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internal_projects\active\Meltome\Meltome_analyzed_data\body_fluids\P014425_Saliva_24fr_hSAX_40-70C_QE+\"/>
    </mc:Choice>
  </mc:AlternateContent>
  <bookViews>
    <workbookView xWindow="0" yWindow="0" windowWidth="25200" windowHeight="113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B1999" i="1" l="1"/>
  <c r="AB1998" i="1"/>
  <c r="AB1997" i="1"/>
  <c r="AB1996" i="1"/>
  <c r="AB1995" i="1"/>
  <c r="AB1994" i="1"/>
  <c r="AB1993" i="1"/>
  <c r="AB1992" i="1"/>
  <c r="AB1991" i="1"/>
  <c r="AB1990" i="1"/>
  <c r="AB1989" i="1"/>
  <c r="AB1988" i="1"/>
  <c r="AB1987" i="1"/>
  <c r="AB1986" i="1"/>
  <c r="AB1985" i="1"/>
  <c r="AB1984" i="1"/>
  <c r="AB1983" i="1"/>
  <c r="AB1982" i="1"/>
  <c r="AB1981" i="1"/>
  <c r="AB1980" i="1"/>
  <c r="AB1979" i="1"/>
  <c r="AB1978" i="1"/>
  <c r="AB1977" i="1"/>
  <c r="AB1976" i="1"/>
  <c r="AB1975" i="1"/>
  <c r="AB1974" i="1"/>
  <c r="AB1973" i="1"/>
  <c r="AB1972" i="1"/>
  <c r="AB1971" i="1"/>
  <c r="AB1970" i="1"/>
  <c r="AB1969" i="1"/>
  <c r="AB1968" i="1"/>
  <c r="AB1967" i="1"/>
  <c r="AB1966" i="1"/>
  <c r="AB1965" i="1"/>
  <c r="AB1964" i="1"/>
  <c r="AB1963" i="1"/>
  <c r="AB1962" i="1"/>
  <c r="AB1961" i="1"/>
  <c r="AB1960" i="1"/>
  <c r="AB1959" i="1"/>
  <c r="AB1958" i="1"/>
  <c r="AB1957" i="1"/>
  <c r="AB1956" i="1"/>
  <c r="AB1955" i="1"/>
  <c r="AB1954" i="1"/>
  <c r="AB1953" i="1"/>
  <c r="AB1952" i="1"/>
  <c r="AB1951" i="1"/>
  <c r="AB1950" i="1"/>
  <c r="AB1949" i="1"/>
  <c r="AB1948" i="1"/>
  <c r="AB1947" i="1"/>
  <c r="AB1946" i="1"/>
  <c r="AB1945" i="1"/>
  <c r="AB1944" i="1"/>
  <c r="AB1943" i="1"/>
  <c r="AB1942" i="1"/>
  <c r="AB1941" i="1"/>
  <c r="AB1940" i="1"/>
  <c r="AB1939" i="1"/>
  <c r="AB1938" i="1"/>
  <c r="AB1937" i="1"/>
  <c r="AB1936" i="1"/>
  <c r="AB1935" i="1"/>
  <c r="AB1934" i="1"/>
  <c r="AB1933" i="1"/>
  <c r="AB1932" i="1"/>
  <c r="AB1931" i="1"/>
  <c r="AB1930" i="1"/>
  <c r="AB1929" i="1"/>
  <c r="AB1928" i="1"/>
  <c r="AB1927" i="1"/>
  <c r="AB1926" i="1"/>
  <c r="AB1925" i="1"/>
  <c r="AB1924" i="1"/>
  <c r="AB1923" i="1"/>
  <c r="AB1922" i="1"/>
  <c r="AB1921" i="1"/>
  <c r="AB1920" i="1"/>
  <c r="AB1919" i="1"/>
  <c r="AB1918" i="1"/>
  <c r="AB1917" i="1"/>
  <c r="AB1916" i="1"/>
  <c r="AB1915" i="1"/>
  <c r="AB1914" i="1"/>
  <c r="AB1913" i="1"/>
  <c r="AB1912" i="1"/>
  <c r="AB1911" i="1"/>
  <c r="AB1910" i="1"/>
  <c r="AB1909" i="1"/>
  <c r="AB1908" i="1"/>
  <c r="AB1907" i="1"/>
  <c r="AB1906" i="1"/>
  <c r="AB1905" i="1"/>
  <c r="AB1904" i="1"/>
  <c r="AB1903" i="1"/>
  <c r="AB1902" i="1"/>
  <c r="AB1901" i="1"/>
  <c r="AB1900" i="1"/>
  <c r="AB1899" i="1"/>
  <c r="AB1898" i="1"/>
  <c r="AB1897" i="1"/>
  <c r="AB1896" i="1"/>
  <c r="AB1895" i="1"/>
  <c r="AB1894" i="1"/>
  <c r="AB1893" i="1"/>
  <c r="AB1892" i="1"/>
  <c r="AB1891" i="1"/>
  <c r="AB1890" i="1"/>
  <c r="AB1889" i="1"/>
  <c r="AB1888" i="1"/>
  <c r="AB1887" i="1"/>
  <c r="AB1886" i="1"/>
  <c r="AB1885" i="1"/>
  <c r="AB1884" i="1"/>
  <c r="AB1883" i="1"/>
  <c r="AB1882" i="1"/>
  <c r="AB1881" i="1"/>
  <c r="AB1880" i="1"/>
  <c r="AB1879" i="1"/>
  <c r="AB1878" i="1"/>
  <c r="AB1877" i="1"/>
  <c r="AB1876" i="1"/>
  <c r="AB1875" i="1"/>
  <c r="AB1874" i="1"/>
  <c r="AB1873" i="1"/>
  <c r="AB1872" i="1"/>
  <c r="AB1871" i="1"/>
  <c r="AB1870" i="1"/>
  <c r="AB1869" i="1"/>
  <c r="AB1868" i="1"/>
  <c r="AB1867" i="1"/>
  <c r="AB1866" i="1"/>
  <c r="AB1865" i="1"/>
  <c r="AB1864" i="1"/>
  <c r="AB1863" i="1"/>
  <c r="AB1862" i="1"/>
  <c r="AB1861" i="1"/>
  <c r="AB1860" i="1"/>
  <c r="AB1859" i="1"/>
  <c r="AB1858" i="1"/>
  <c r="AB1857" i="1"/>
  <c r="AB1856" i="1"/>
  <c r="AB1855" i="1"/>
  <c r="AB1854" i="1"/>
  <c r="AB1853" i="1"/>
  <c r="AB1852" i="1"/>
  <c r="AB1851" i="1"/>
  <c r="AB1850" i="1"/>
  <c r="AB1849" i="1"/>
  <c r="AB1848" i="1"/>
  <c r="AB1847" i="1"/>
  <c r="AB1846" i="1"/>
  <c r="AB1845" i="1"/>
  <c r="AB1844" i="1"/>
  <c r="AB1843" i="1"/>
  <c r="AB1842" i="1"/>
  <c r="AB1841" i="1"/>
  <c r="AB1840" i="1"/>
  <c r="AB1839" i="1"/>
  <c r="AB1838" i="1"/>
  <c r="AB1837" i="1"/>
  <c r="AB1836" i="1"/>
  <c r="AB1835" i="1"/>
  <c r="AB1834" i="1"/>
  <c r="AB1833" i="1"/>
  <c r="AB1832" i="1"/>
  <c r="AB1831" i="1"/>
  <c r="AB1830" i="1"/>
  <c r="AB1829" i="1"/>
  <c r="AB1828" i="1"/>
  <c r="AB1827" i="1"/>
  <c r="AB1826" i="1"/>
  <c r="AB1825" i="1"/>
  <c r="AB1824" i="1"/>
  <c r="AB1823" i="1"/>
  <c r="AB1822" i="1"/>
  <c r="AB1821" i="1"/>
  <c r="AB1820" i="1"/>
  <c r="AB1819" i="1"/>
  <c r="AB1818" i="1"/>
  <c r="AB1817" i="1"/>
  <c r="AB1816" i="1"/>
  <c r="AB1815" i="1"/>
  <c r="AB1814" i="1"/>
  <c r="AB1813" i="1"/>
  <c r="AB1812" i="1"/>
  <c r="AB1811" i="1"/>
  <c r="AB1810" i="1"/>
  <c r="AB1809" i="1"/>
  <c r="AB1808" i="1"/>
  <c r="AB1807" i="1"/>
  <c r="AB1806" i="1"/>
  <c r="AB1805" i="1"/>
  <c r="AB1804" i="1"/>
  <c r="AB1803" i="1"/>
  <c r="AB1802" i="1"/>
  <c r="AB1801" i="1"/>
  <c r="AB1800" i="1"/>
  <c r="AB1799" i="1"/>
  <c r="AB1798" i="1"/>
  <c r="AB1797" i="1"/>
  <c r="AB1796" i="1"/>
  <c r="AB1795" i="1"/>
  <c r="AB1794" i="1"/>
  <c r="AB1793" i="1"/>
  <c r="AB1792" i="1"/>
  <c r="AB1791" i="1"/>
  <c r="AB1790" i="1"/>
  <c r="AB1789" i="1"/>
  <c r="AB1788" i="1"/>
  <c r="AB1787" i="1"/>
  <c r="AB1786" i="1"/>
  <c r="AB1785" i="1"/>
  <c r="AB1784" i="1"/>
  <c r="AB1783" i="1"/>
  <c r="AB1782" i="1"/>
  <c r="AB1781" i="1"/>
  <c r="AB1780" i="1"/>
  <c r="AB1779" i="1"/>
  <c r="AB1778" i="1"/>
  <c r="AB1777" i="1"/>
  <c r="AB1776" i="1"/>
  <c r="AB1775" i="1"/>
  <c r="AB1774" i="1"/>
  <c r="AB1773" i="1"/>
  <c r="AB1772" i="1"/>
  <c r="AB1771" i="1"/>
  <c r="AB1770" i="1"/>
  <c r="AB1769" i="1"/>
  <c r="AB1768" i="1"/>
  <c r="AB1767" i="1"/>
  <c r="AB1766" i="1"/>
  <c r="AB1765" i="1"/>
  <c r="AB1764" i="1"/>
  <c r="AB1763" i="1"/>
  <c r="AB1762" i="1"/>
  <c r="AB1761" i="1"/>
  <c r="AB1760" i="1"/>
  <c r="AB1759" i="1"/>
  <c r="AB1758" i="1"/>
  <c r="AB1757" i="1"/>
  <c r="AB1756" i="1"/>
  <c r="AB1755" i="1"/>
  <c r="AB1754" i="1"/>
  <c r="AB1753" i="1"/>
  <c r="AB1752" i="1"/>
  <c r="AB1751" i="1"/>
  <c r="AB1750" i="1"/>
  <c r="AB1749" i="1"/>
  <c r="AB1748" i="1"/>
  <c r="AB1747" i="1"/>
  <c r="AB1746" i="1"/>
  <c r="AB1745" i="1"/>
  <c r="AB1744" i="1"/>
  <c r="AB1743" i="1"/>
  <c r="AB1742" i="1"/>
  <c r="AB1741" i="1"/>
  <c r="AB1740" i="1"/>
  <c r="AB1739" i="1"/>
  <c r="AB1738" i="1"/>
  <c r="AB1737" i="1"/>
  <c r="AB1736" i="1"/>
  <c r="AB1735" i="1"/>
  <c r="AB1734" i="1"/>
  <c r="AB1733" i="1"/>
  <c r="AB1732" i="1"/>
  <c r="AB1731" i="1"/>
  <c r="AB1730" i="1"/>
  <c r="AB1729" i="1"/>
  <c r="AB1728" i="1"/>
  <c r="AB1727" i="1"/>
  <c r="AB1726" i="1"/>
  <c r="AB1725" i="1"/>
  <c r="AB1724" i="1"/>
  <c r="AB1723" i="1"/>
  <c r="AB1722" i="1"/>
  <c r="AB1721" i="1"/>
  <c r="AB1720" i="1"/>
  <c r="AB1719" i="1"/>
  <c r="AB1718" i="1"/>
  <c r="AB1717" i="1"/>
  <c r="AB1716" i="1"/>
  <c r="AB1715" i="1"/>
  <c r="AB1714" i="1"/>
  <c r="AB1713" i="1"/>
  <c r="AB1712" i="1"/>
  <c r="AB1711" i="1"/>
  <c r="AB1710" i="1"/>
  <c r="AB1709" i="1"/>
  <c r="AB1708" i="1"/>
  <c r="AB1707" i="1"/>
  <c r="AB1706" i="1"/>
  <c r="AB1705" i="1"/>
  <c r="AB1704" i="1"/>
  <c r="AB1703" i="1"/>
  <c r="AB1702" i="1"/>
  <c r="AB1701" i="1"/>
  <c r="AB1700" i="1"/>
  <c r="AB1699" i="1"/>
  <c r="AB1698" i="1"/>
  <c r="AB1697" i="1"/>
  <c r="AB1696" i="1"/>
  <c r="AB1695" i="1"/>
  <c r="AB1694" i="1"/>
  <c r="AB1693" i="1"/>
  <c r="AB1692" i="1"/>
  <c r="AB1691" i="1"/>
  <c r="AB1690" i="1"/>
  <c r="AB1689" i="1"/>
  <c r="AB1688" i="1"/>
  <c r="AB1687" i="1"/>
  <c r="AB1686" i="1"/>
  <c r="AB1685" i="1"/>
  <c r="AB1684" i="1"/>
  <c r="AB1683" i="1"/>
  <c r="AB1682" i="1"/>
  <c r="AB1681" i="1"/>
  <c r="AB1680" i="1"/>
  <c r="AB1679" i="1"/>
  <c r="AB1678" i="1"/>
  <c r="AB1677" i="1"/>
  <c r="AB1676" i="1"/>
  <c r="AB1675" i="1"/>
  <c r="AB1674" i="1"/>
  <c r="AB1673" i="1"/>
  <c r="AB1672" i="1"/>
  <c r="AB1671" i="1"/>
  <c r="AB1670" i="1"/>
  <c r="AB1669" i="1"/>
  <c r="AB1668" i="1"/>
  <c r="AB1667" i="1"/>
  <c r="AB1666" i="1"/>
  <c r="AB1665" i="1"/>
  <c r="AB1664" i="1"/>
  <c r="AB1663" i="1"/>
  <c r="AB1662" i="1"/>
  <c r="AB1661" i="1"/>
  <c r="AB1660" i="1"/>
  <c r="AB1659" i="1"/>
  <c r="AB1658" i="1"/>
  <c r="AB1657" i="1"/>
  <c r="AB1656" i="1"/>
  <c r="AB1655" i="1"/>
  <c r="AB1654" i="1"/>
  <c r="AB1653" i="1"/>
  <c r="AB1652" i="1"/>
  <c r="AB1651" i="1"/>
  <c r="AB1650" i="1"/>
  <c r="AB1649" i="1"/>
  <c r="AB1648" i="1"/>
  <c r="AB1647" i="1"/>
  <c r="AB1646" i="1"/>
  <c r="AB1645" i="1"/>
  <c r="AB1644" i="1"/>
  <c r="AB1643" i="1"/>
  <c r="AB1642" i="1"/>
  <c r="AB1641" i="1"/>
  <c r="AB1640" i="1"/>
  <c r="AB1639" i="1"/>
  <c r="AB1638" i="1"/>
  <c r="AB1637" i="1"/>
  <c r="AB1636" i="1"/>
  <c r="AB1635" i="1"/>
  <c r="AB1634" i="1"/>
  <c r="AB1633" i="1"/>
  <c r="AB1632" i="1"/>
  <c r="AB1631" i="1"/>
  <c r="AB1630" i="1"/>
  <c r="AB1629" i="1"/>
  <c r="AB1628" i="1"/>
  <c r="AB1627" i="1"/>
  <c r="AB1626" i="1"/>
  <c r="AB1625" i="1"/>
  <c r="AB1624" i="1"/>
  <c r="AB1623" i="1"/>
  <c r="AB1622" i="1"/>
  <c r="AB1621" i="1"/>
  <c r="AB1620" i="1"/>
  <c r="AB1619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7" i="1"/>
  <c r="AB1606" i="1"/>
  <c r="AB1605" i="1"/>
  <c r="AB1604" i="1"/>
  <c r="AB1603" i="1"/>
  <c r="AB1602" i="1"/>
  <c r="AB1601" i="1"/>
  <c r="AB1600" i="1"/>
  <c r="AB1599" i="1"/>
  <c r="AB1598" i="1"/>
  <c r="AB1597" i="1"/>
  <c r="AB1596" i="1"/>
  <c r="AB1595" i="1"/>
  <c r="AB1594" i="1"/>
  <c r="AB1593" i="1"/>
  <c r="AB1592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AB1577" i="1"/>
  <c r="AB1576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44" i="1"/>
  <c r="AB1543" i="1"/>
  <c r="AB1542" i="1"/>
  <c r="AB1541" i="1"/>
  <c r="AB1540" i="1"/>
  <c r="AB1539" i="1"/>
  <c r="AB1538" i="1"/>
  <c r="AB1537" i="1"/>
  <c r="AB1536" i="1"/>
  <c r="AB1535" i="1"/>
  <c r="AB1534" i="1"/>
  <c r="AB1533" i="1"/>
  <c r="AB1532" i="1"/>
  <c r="AB1531" i="1"/>
  <c r="AB1530" i="1"/>
  <c r="AB1529" i="1"/>
  <c r="AB1528" i="1"/>
  <c r="AB1527" i="1"/>
  <c r="AB1526" i="1"/>
  <c r="AB1525" i="1"/>
  <c r="AB1524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2" i="1"/>
  <c r="AB1511" i="1"/>
  <c r="AB1510" i="1"/>
  <c r="AB1509" i="1"/>
  <c r="AB1508" i="1"/>
  <c r="AB1507" i="1"/>
  <c r="AB1506" i="1"/>
  <c r="AB1505" i="1"/>
  <c r="AB1504" i="1"/>
  <c r="AB1503" i="1"/>
  <c r="AB1502" i="1"/>
  <c r="AB1501" i="1"/>
  <c r="AB1500" i="1"/>
  <c r="AB1499" i="1"/>
  <c r="AB1498" i="1"/>
  <c r="AB1497" i="1"/>
  <c r="AB1496" i="1"/>
  <c r="AB1495" i="1"/>
  <c r="AB1494" i="1"/>
  <c r="AB1493" i="1"/>
  <c r="AB1492" i="1"/>
  <c r="AB1491" i="1"/>
  <c r="AB1490" i="1"/>
  <c r="AB1489" i="1"/>
  <c r="AB1488" i="1"/>
  <c r="AB1487" i="1"/>
  <c r="AB1486" i="1"/>
  <c r="AB1485" i="1"/>
  <c r="AB1484" i="1"/>
  <c r="AB1483" i="1"/>
  <c r="AB1482" i="1"/>
  <c r="AB1481" i="1"/>
  <c r="AB1480" i="1"/>
  <c r="AB1479" i="1"/>
  <c r="AB1478" i="1"/>
  <c r="AB1477" i="1"/>
  <c r="AB1476" i="1"/>
  <c r="AB1475" i="1"/>
  <c r="AB1474" i="1"/>
  <c r="AB1473" i="1"/>
  <c r="AB1472" i="1"/>
  <c r="AB1471" i="1"/>
  <c r="AB1470" i="1"/>
  <c r="AB1469" i="1"/>
  <c r="AB1468" i="1"/>
  <c r="AB1467" i="1"/>
  <c r="AB1466" i="1"/>
  <c r="AB1465" i="1"/>
  <c r="AB1464" i="1"/>
  <c r="AB1463" i="1"/>
  <c r="AB1462" i="1"/>
  <c r="AB1461" i="1"/>
  <c r="AB1460" i="1"/>
  <c r="AB1459" i="1"/>
  <c r="AB1458" i="1"/>
  <c r="AB1457" i="1"/>
  <c r="AB1456" i="1"/>
  <c r="AB1455" i="1"/>
  <c r="AB1454" i="1"/>
  <c r="AB1453" i="1"/>
  <c r="AB1452" i="1"/>
  <c r="AB1451" i="1"/>
  <c r="AB1450" i="1"/>
  <c r="AB1449" i="1"/>
  <c r="AB1448" i="1"/>
  <c r="AB1447" i="1"/>
  <c r="AB1446" i="1"/>
  <c r="AB1445" i="1"/>
  <c r="AB1444" i="1"/>
  <c r="AB1443" i="1"/>
  <c r="AB1442" i="1"/>
  <c r="AB1441" i="1"/>
  <c r="AB1440" i="1"/>
  <c r="AB1439" i="1"/>
  <c r="AB1438" i="1"/>
  <c r="AB1437" i="1"/>
  <c r="AB1436" i="1"/>
  <c r="AB1435" i="1"/>
  <c r="AB1434" i="1"/>
  <c r="AB1433" i="1"/>
  <c r="AB1432" i="1"/>
  <c r="AB1431" i="1"/>
  <c r="AB1430" i="1"/>
  <c r="AB1429" i="1"/>
  <c r="AB1428" i="1"/>
  <c r="AB1427" i="1"/>
  <c r="AB1426" i="1"/>
  <c r="AB1425" i="1"/>
  <c r="AB1424" i="1"/>
  <c r="AB1423" i="1"/>
  <c r="AB1422" i="1"/>
  <c r="AB1421" i="1"/>
  <c r="AB1420" i="1"/>
  <c r="AB1419" i="1"/>
  <c r="AB1418" i="1"/>
  <c r="AB1417" i="1"/>
  <c r="AB1416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404" i="1"/>
  <c r="AB1403" i="1"/>
  <c r="AB1402" i="1"/>
  <c r="AB1401" i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<sst xmlns="http://schemas.openxmlformats.org/spreadsheetml/2006/main" count="15965" uniqueCount="9921">
  <si>
    <t>Protein_ID</t>
  </si>
  <si>
    <t>plot</t>
  </si>
  <si>
    <t>gene_name</t>
  </si>
  <si>
    <t>uniprot_ac</t>
  </si>
  <si>
    <t>auc</t>
  </si>
  <si>
    <t>plot_link</t>
  </si>
  <si>
    <t>A0M8Q6_IGLC7</t>
  </si>
  <si>
    <t>A0MZ66-2_KIAA1598</t>
  </si>
  <si>
    <t>A2A274_ACO2</t>
  </si>
  <si>
    <t>A2A2M0_RPRD1B</t>
  </si>
  <si>
    <t>A2A2V1_PRNP</t>
  </si>
  <si>
    <t>A2A2V4_VEGFA</t>
  </si>
  <si>
    <t>A2A3R7_RPS6</t>
  </si>
  <si>
    <t>A2A492_BNIPL</t>
  </si>
  <si>
    <t>A2BF36_HLA-DQB1</t>
  </si>
  <si>
    <t>A5YM69_ARHGEF35</t>
  </si>
  <si>
    <t>A6NC48_BST1</t>
  </si>
  <si>
    <t>A6NC98_CCDC88B</t>
  </si>
  <si>
    <t>A6NCC9_TSSC4</t>
  </si>
  <si>
    <t>A6NDF3_PBDC1</t>
  </si>
  <si>
    <t>A6NDG6_PGP</t>
  </si>
  <si>
    <t>A6NDJ8_</t>
  </si>
  <si>
    <t>A6NFX8_NUDT5</t>
  </si>
  <si>
    <t>A6NG51_SPTAN1</t>
  </si>
  <si>
    <t>A6NGP5_HN1L</t>
  </si>
  <si>
    <t>A6NJH9_EIF1AY</t>
  </si>
  <si>
    <t>A6NKB8_RNPEP</t>
  </si>
  <si>
    <t>A6NL93_HMGN1</t>
  </si>
  <si>
    <t>A6NMQ3_ENSA</t>
  </si>
  <si>
    <t>A6PVM9_AIF1L</t>
  </si>
  <si>
    <t>A8CZ64_MAPK1</t>
  </si>
  <si>
    <t>A8K2U0_A2ML1</t>
  </si>
  <si>
    <t>A8K4G3_HCK</t>
  </si>
  <si>
    <t>A8K8E1_TBC1D15</t>
  </si>
  <si>
    <t>A8MTF8_FAM3B</t>
  </si>
  <si>
    <t>A8MU39_PPP5C</t>
  </si>
  <si>
    <t>A8MUA9_SUMO3</t>
  </si>
  <si>
    <t>A8MUB1_TUBA4A</t>
  </si>
  <si>
    <t>A8MVE2_LILRB1</t>
  </si>
  <si>
    <t>A8MVQ3_CARS</t>
  </si>
  <si>
    <t>A8MVS5_HIDE1</t>
  </si>
  <si>
    <t>A8MVU1_NCF1C</t>
  </si>
  <si>
    <t>A8MVZ9_ALDOC</t>
  </si>
  <si>
    <t>A8MX94_GSTP1</t>
  </si>
  <si>
    <t>A8MXL6_SEC13</t>
  </si>
  <si>
    <t>B0QY21_NUP50</t>
  </si>
  <si>
    <t>B0QYF0_BAIAP2L2</t>
  </si>
  <si>
    <t>B0QYI1_TBC1D22A</t>
  </si>
  <si>
    <t>B0QYM9_PARVG</t>
  </si>
  <si>
    <t>B0S7Z4_HLA-C</t>
  </si>
  <si>
    <t>B0UX83_BAG6</t>
  </si>
  <si>
    <t>B0V043_VARS</t>
  </si>
  <si>
    <t>B0V0T3_PSMB9</t>
  </si>
  <si>
    <t>B0YIW2_APOC3</t>
  </si>
  <si>
    <t>B0YIW6_ARCN1</t>
  </si>
  <si>
    <t>B1AHA8_HMOX1</t>
  </si>
  <si>
    <t>B1AHC8_XRCC6</t>
  </si>
  <si>
    <t>B1AJQ6_STX12</t>
  </si>
  <si>
    <t>B1AK87_CAPZB</t>
  </si>
  <si>
    <t>B1AKD8_CROCC</t>
  </si>
  <si>
    <t>B1AMX5_RABL6</t>
  </si>
  <si>
    <t>B1AN99_PRSS3</t>
  </si>
  <si>
    <t>B1ANH5_GUK1</t>
  </si>
  <si>
    <t>B1ANW7_NRAP</t>
  </si>
  <si>
    <t>B1AP58_CPN1</t>
  </si>
  <si>
    <t>B1AR62_HK1</t>
  </si>
  <si>
    <t>B1AR80_UAP1</t>
  </si>
  <si>
    <t>B1ARP7_C1orf123</t>
  </si>
  <si>
    <t>B1AVQ7_MUC1</t>
  </si>
  <si>
    <t>B1B0M1_GRIPAP1</t>
  </si>
  <si>
    <t>B3EWG6_FAM25G</t>
  </si>
  <si>
    <t>B3KQV6_PPP2R1A</t>
  </si>
  <si>
    <t>B3KS98_EIF3S3</t>
  </si>
  <si>
    <t>B3KSY4_CORO7</t>
  </si>
  <si>
    <t>B3KUE5_PLTP</t>
  </si>
  <si>
    <t>B3KUK2_SOD2</t>
  </si>
  <si>
    <t>B3KW71_QDPR</t>
  </si>
  <si>
    <t>B3KXW9_DOCK2</t>
  </si>
  <si>
    <t>B3KYB6_PITPNB</t>
  </si>
  <si>
    <t>B4DDF4_CNN2</t>
  </si>
  <si>
    <t>B4DEK4_SNX2</t>
  </si>
  <si>
    <t>B4DFR2_DYNLRB1</t>
  </si>
  <si>
    <t>B4DGB4_PLS3</t>
  </si>
  <si>
    <t>B4DGQ7_ERBB3</t>
  </si>
  <si>
    <t>B4DIS3_LOC84661</t>
  </si>
  <si>
    <t>B4DIX1_IDS</t>
  </si>
  <si>
    <t>B4DJ45_TARDBP</t>
  </si>
  <si>
    <t>B4DJI7_SNX11</t>
  </si>
  <si>
    <t>B4DJV2_CS</t>
  </si>
  <si>
    <t>B4DKL4_LSR</t>
  </si>
  <si>
    <t>B4DKV7_EPS8L1</t>
  </si>
  <si>
    <t>B4DLR8_NQO1</t>
  </si>
  <si>
    <t>B4DMM8_B4GALT1</t>
  </si>
  <si>
    <t>B4DN45_MAT2A</t>
  </si>
  <si>
    <t>B4DN60_NARS</t>
  </si>
  <si>
    <t>B4DNS5_TINAGL1</t>
  </si>
  <si>
    <t>B4DP05_FMN2</t>
  </si>
  <si>
    <t>B4DP17_CNBP</t>
  </si>
  <si>
    <t>B4DPG6_GGT6</t>
  </si>
  <si>
    <t>B4DPJ8_CCT6A</t>
  </si>
  <si>
    <t>B4DQH4_CCT8</t>
  </si>
  <si>
    <t>B4DQI4_ABHD14B</t>
  </si>
  <si>
    <t>B4DQJ8_PGD</t>
  </si>
  <si>
    <t>B4DQQ8_REPS2</t>
  </si>
  <si>
    <t>B4DST5_PTPN23</t>
  </si>
  <si>
    <t>B4DSV9_ABI3BP</t>
  </si>
  <si>
    <t>B4DSZ6_IDH2</t>
  </si>
  <si>
    <t>B4DUI3_EIF3J</t>
  </si>
  <si>
    <t>B4DUR8_CCT3</t>
  </si>
  <si>
    <t>B4DUS9_BPNT1</t>
  </si>
  <si>
    <t>B4DVE7_ANXA11</t>
  </si>
  <si>
    <t>B4DWL8_GAL3ST4</t>
  </si>
  <si>
    <t>B4DX42_SF1</t>
  </si>
  <si>
    <t>B4DXI0_TMEM40</t>
  </si>
  <si>
    <t>B4DZI8_COPB2</t>
  </si>
  <si>
    <t>B4E072_ACAA1</t>
  </si>
  <si>
    <t>B4E0K5_MAPK14</t>
  </si>
  <si>
    <t>B4E0R6_IPO5</t>
  </si>
  <si>
    <t>B4E132_DDX3Y</t>
  </si>
  <si>
    <t>B4E1C5_HARS</t>
  </si>
  <si>
    <t>B4E1S6_SDC4</t>
  </si>
  <si>
    <t>B4E1Z4_CFB</t>
  </si>
  <si>
    <t>B4E241_SFRS3</t>
  </si>
  <si>
    <t>B4E2C0_GPC4</t>
  </si>
  <si>
    <t>B4E2X5_GNAI2</t>
  </si>
  <si>
    <t>B4E321_OS9</t>
  </si>
  <si>
    <t>B4E351_IGFBP4</t>
  </si>
  <si>
    <t>B4E3P0_ACLY</t>
  </si>
  <si>
    <t>B4E3Q1_CLSTN1</t>
  </si>
  <si>
    <t>B4E3Q4_CECR1</t>
  </si>
  <si>
    <t>B5MCT7_PPM1F</t>
  </si>
  <si>
    <t>B5MCT9_STXBP4</t>
  </si>
  <si>
    <t>B5MDF5_RAN</t>
  </si>
  <si>
    <t>B5MEB3_CABIN1</t>
  </si>
  <si>
    <t>B7WPD9_KIF26B</t>
  </si>
  <si>
    <t>B7Z1L3_PGRMC1</t>
  </si>
  <si>
    <t>B7Z1M1_RCN1</t>
  </si>
  <si>
    <t>B7Z1R5_ATP6V1A</t>
  </si>
  <si>
    <t>B7Z254_PDIA6</t>
  </si>
  <si>
    <t>B7Z3C7_ARHGEF6</t>
  </si>
  <si>
    <t>B7Z4K6_DNASE2</t>
  </si>
  <si>
    <t>B7Z4L4_RPN1</t>
  </si>
  <si>
    <t>B7Z5J4_CPA4</t>
  </si>
  <si>
    <t>B7Z5W1_F11R</t>
  </si>
  <si>
    <t>B7Z7N9_CARD8</t>
  </si>
  <si>
    <t>B7Z7Z8_FKBP5</t>
  </si>
  <si>
    <t>B7Z856_GFRA1</t>
  </si>
  <si>
    <t>B7Z8T3_FETUB</t>
  </si>
  <si>
    <t>B7Z972_PCMT1</t>
  </si>
  <si>
    <t>B7Z9S8_ATP1B1</t>
  </si>
  <si>
    <t>B7ZBK6_ALAD</t>
  </si>
  <si>
    <t>B7ZKW8_RCSD1</t>
  </si>
  <si>
    <t>B8ZZF0_PPM1B</t>
  </si>
  <si>
    <t>B8ZZK4_RPL31</t>
  </si>
  <si>
    <t>B8ZZL8_HSPE1</t>
  </si>
  <si>
    <t>B8ZZQ6_PTMA</t>
  </si>
  <si>
    <t>B8ZZT4_VAMP8</t>
  </si>
  <si>
    <t>B9A064_IGLL5</t>
  </si>
  <si>
    <t>B9ZVX0_DIAPH1</t>
  </si>
  <si>
    <t>C9IZG4_CUTA</t>
  </si>
  <si>
    <t>C9J0A7_CHMP2B</t>
  </si>
  <si>
    <t>C9J1D9_IL1RAP</t>
  </si>
  <si>
    <t>C9J1K8_MEGF9</t>
  </si>
  <si>
    <t>C9J1Z8_ARF5</t>
  </si>
  <si>
    <t>C9J2N5_INPP1</t>
  </si>
  <si>
    <t>C9J3F6_TBC1D5</t>
  </si>
  <si>
    <t>C9J4L5_CREB1</t>
  </si>
  <si>
    <t>C9J4T6_IL8</t>
  </si>
  <si>
    <t>C9J5D1_NAA50</t>
  </si>
  <si>
    <t>C9J6H5_ADAM9</t>
  </si>
  <si>
    <t>C9J6N5_FAM107B</t>
  </si>
  <si>
    <t>C9J6P4_ZC3HAV1</t>
  </si>
  <si>
    <t>C9J815_APOBR</t>
  </si>
  <si>
    <t>C9J8E1_MAPKAPK3</t>
  </si>
  <si>
    <t>C9J8M4_USP19</t>
  </si>
  <si>
    <t>C9J8Z4_IGSF8</t>
  </si>
  <si>
    <t>C9J973_NHLRC3</t>
  </si>
  <si>
    <t>C9J9K3_RPSA</t>
  </si>
  <si>
    <t>C9JAB2_SRSF7</t>
  </si>
  <si>
    <t>C9JAL0_CRYZL1</t>
  </si>
  <si>
    <t>C9JB55_TF</t>
  </si>
  <si>
    <t>C9JC60_NAPRT1</t>
  </si>
  <si>
    <t>C9JEE0_IGLL1</t>
  </si>
  <si>
    <t>C9JEH7_RPS4Y1</t>
  </si>
  <si>
    <t>C9JES9_LBR</t>
  </si>
  <si>
    <t>C9JEU5_FGG</t>
  </si>
  <si>
    <t>C9JEV0_AZGP1</t>
  </si>
  <si>
    <t>C9JF17_APOD</t>
  </si>
  <si>
    <t>C9JFM0_PTPRZ1</t>
  </si>
  <si>
    <t>C9JFM2_KIAA1211L</t>
  </si>
  <si>
    <t>C9JGI3_TYMP</t>
  </si>
  <si>
    <t>C9JH92_CRYZ</t>
  </si>
  <si>
    <t>C9JIZ6_PSAP</t>
  </si>
  <si>
    <t>C9JKF1_SAMD9</t>
  </si>
  <si>
    <t>C9JKY3_EPCAM</t>
  </si>
  <si>
    <t>C9JLK0_ATIC</t>
  </si>
  <si>
    <t>C9JLT3_ZNF502</t>
  </si>
  <si>
    <t>C9JM00_SERPINB7</t>
  </si>
  <si>
    <t>C9JM82_SEPT5</t>
  </si>
  <si>
    <t>C9JMC5_ALDH3A1</t>
  </si>
  <si>
    <t>C9JMU5_DDX17</t>
  </si>
  <si>
    <t>C9JNP9_UFD1L</t>
  </si>
  <si>
    <t>C9JP35_FAM3C</t>
  </si>
  <si>
    <t>C9JPQ9_FGG</t>
  </si>
  <si>
    <t>C9JQ41_CCDC58</t>
  </si>
  <si>
    <t>C9JQT2_ACTL6A</t>
  </si>
  <si>
    <t>C9JRV0_RNF13</t>
  </si>
  <si>
    <t>C9JSQ1_CKMT1B</t>
  </si>
  <si>
    <t>C9JSR2_PDLIM2</t>
  </si>
  <si>
    <t>C9JSU1_LRRFIP2</t>
  </si>
  <si>
    <t>C9JTH1_IL36RN</t>
  </si>
  <si>
    <t>C9JTK6_OLA1</t>
  </si>
  <si>
    <t>C9JV77_AHSG</t>
  </si>
  <si>
    <t>C9JVL0_SELENBP1</t>
  </si>
  <si>
    <t>C9JWS0_GPR64</t>
  </si>
  <si>
    <t>C9JXG8_RANBP1</t>
  </si>
  <si>
    <t>C9JXR7_CASP3</t>
  </si>
  <si>
    <t>C9JY51_ANKRD44</t>
  </si>
  <si>
    <t>C9K080_LRIG3</t>
  </si>
  <si>
    <t>D6R937_AIMP1</t>
  </si>
  <si>
    <t>D6R939_IQGAP2</t>
  </si>
  <si>
    <t>D6R959_GCLC</t>
  </si>
  <si>
    <t>D6R9P3_HNRNPAB</t>
  </si>
  <si>
    <t>D6RA82_ANXA3</t>
  </si>
  <si>
    <t>D6RAE8_FYB</t>
  </si>
  <si>
    <t>D6RAF8_HNRNPD</t>
  </si>
  <si>
    <t>D6RAM3_DOK3</t>
  </si>
  <si>
    <t>D6RAU2_GNB2L1</t>
  </si>
  <si>
    <t>D6RAX3_PCDH1</t>
  </si>
  <si>
    <t>D6RBV0_LEMD2</t>
  </si>
  <si>
    <t>D6RC73_CCL28</t>
  </si>
  <si>
    <t>D6RCN3_ANXA5</t>
  </si>
  <si>
    <t>D6RD47_RPS23</t>
  </si>
  <si>
    <t>D6RD70_SULT1B1</t>
  </si>
  <si>
    <t>D6RDM7_UBE2K</t>
  </si>
  <si>
    <t>D6REQ6_RNASET2</t>
  </si>
  <si>
    <t>D6REX5_SEPP1</t>
  </si>
  <si>
    <t>D6RF35_GC</t>
  </si>
  <si>
    <t>D6RFE4_ADH5</t>
  </si>
  <si>
    <t>D6RG15_TWF2</t>
  </si>
  <si>
    <t>D6RHZ5_SEC31A</t>
  </si>
  <si>
    <t>D6RIU4_LMAN2</t>
  </si>
  <si>
    <t>D6RIU8_SIL1</t>
  </si>
  <si>
    <t>D6RJC7_MRPS27</t>
  </si>
  <si>
    <t>D6RJC9_UBA5</t>
  </si>
  <si>
    <t>E0CX15_UNC5C</t>
  </si>
  <si>
    <t>E5RFP0_NUDCD2</t>
  </si>
  <si>
    <t>E5RFQ2_LAMA4</t>
  </si>
  <si>
    <t>E5RFX6_SPINK7</t>
  </si>
  <si>
    <t>E5RGR0_LYPLA1</t>
  </si>
  <si>
    <t>E5RGS4_PFDN1</t>
  </si>
  <si>
    <t>E5RGX5_STMN2</t>
  </si>
  <si>
    <t>E5RHG8_TCEB1</t>
  </si>
  <si>
    <t>E5RHV6_ST3GAL1</t>
  </si>
  <si>
    <t>E5RI99_RPL30</t>
  </si>
  <si>
    <t>E5RIW3_TBCA</t>
  </si>
  <si>
    <t>E5RJJ7_LY96</t>
  </si>
  <si>
    <t>E5RJU9_MTDH</t>
  </si>
  <si>
    <t>E5RK31_ATP6V1H</t>
  </si>
  <si>
    <t>E7EMB1_SWAP70</t>
  </si>
  <si>
    <t>E7EMB8_PTPN18</t>
  </si>
  <si>
    <t>E7EMC6_ANXA6</t>
  </si>
  <si>
    <t>E7EMM2_AP3D1</t>
  </si>
  <si>
    <t>E7EMN6_PPP1R2</t>
  </si>
  <si>
    <t>E7EMZ9_TACC2</t>
  </si>
  <si>
    <t>E7EN86_ZNF143</t>
  </si>
  <si>
    <t>E7EN95_FLNB</t>
  </si>
  <si>
    <t>E7END7_RAB1A</t>
  </si>
  <si>
    <t>E7ENL6_COL6A3</t>
  </si>
  <si>
    <t>E7ENM0_ELN</t>
  </si>
  <si>
    <t>E7ENN3_SYNE1</t>
  </si>
  <si>
    <t>E7ENR9_PROC</t>
  </si>
  <si>
    <t>E7EPB3_RPL14</t>
  </si>
  <si>
    <t>E7EPD0_TOM1</t>
  </si>
  <si>
    <t>E7EPN9_PRRC2C</t>
  </si>
  <si>
    <t>E7EQ29_GLB1</t>
  </si>
  <si>
    <t>E7EQR8_YIPF3</t>
  </si>
  <si>
    <t>E7EQT4_ACIN1</t>
  </si>
  <si>
    <t>E7EQV3_PABPC1</t>
  </si>
  <si>
    <t>E7ER44_LTF</t>
  </si>
  <si>
    <t>E7ERB7_GMIP</t>
  </si>
  <si>
    <t>E7ERH2_SKP1</t>
  </si>
  <si>
    <t>E7ERV9_ASAH1</t>
  </si>
  <si>
    <t>E7ES28_SLC40A1</t>
  </si>
  <si>
    <t>E7ES35_TTC38</t>
  </si>
  <si>
    <t>E7ESM1_NDRG1</t>
  </si>
  <si>
    <t>E7ESV4_RAP1B</t>
  </si>
  <si>
    <t>E7ET33_ITIH3</t>
  </si>
  <si>
    <t>E7ETN3_</t>
  </si>
  <si>
    <t>E7ETY4_MARK2</t>
  </si>
  <si>
    <t>E7ETZ0_CALM1</t>
  </si>
  <si>
    <t>E7EU23_GDI2</t>
  </si>
  <si>
    <t>E7EUC7_UGP2</t>
  </si>
  <si>
    <t>E7EUF8_EPB41L3</t>
  </si>
  <si>
    <t>E7EUU1_LTBP4</t>
  </si>
  <si>
    <t>E7EV99_ADD1</t>
  </si>
  <si>
    <t>E7EVA0_MAP4</t>
  </si>
  <si>
    <t>E7EW20_MYO6</t>
  </si>
  <si>
    <t>E7EW52_RPE</t>
  </si>
  <si>
    <t>E7EX17_EIF4B</t>
  </si>
  <si>
    <t>E7EX53_RPL15</t>
  </si>
  <si>
    <t>E7EX73_EIF4G1</t>
  </si>
  <si>
    <t>E7EX90_DCTN1</t>
  </si>
  <si>
    <t>E7EXA8_PRB4</t>
  </si>
  <si>
    <t>E9PB61_ALYREF</t>
  </si>
  <si>
    <t>E9PB90_HK2</t>
  </si>
  <si>
    <t>E9PBJ0_MUC5B</t>
  </si>
  <si>
    <t>E9PBT8_SUMF2</t>
  </si>
  <si>
    <t>E9PC28_PTPRC</t>
  </si>
  <si>
    <t>E9PCY7_HNRNPH1</t>
  </si>
  <si>
    <t>E9PDE4_CAST</t>
  </si>
  <si>
    <t>E9PDE8_HSPA4L</t>
  </si>
  <si>
    <t>E9PDI4_LAD1</t>
  </si>
  <si>
    <t>E9PE20_SRP9</t>
  </si>
  <si>
    <t>E9PEB5_FUBP1</t>
  </si>
  <si>
    <t>E9PEF9_AKR1B1</t>
  </si>
  <si>
    <t>E9PES6_HMGB3</t>
  </si>
  <si>
    <t>E9PEX6_DLD</t>
  </si>
  <si>
    <t>E9PFZ2_CP</t>
  </si>
  <si>
    <t>E9PG40_APP</t>
  </si>
  <si>
    <t>E9PG46_AAK1</t>
  </si>
  <si>
    <t>E9PGM4_GBE1</t>
  </si>
  <si>
    <t>E9PGN7_SERPING1</t>
  </si>
  <si>
    <t>E9PGT1_TSN</t>
  </si>
  <si>
    <t>E9PH29_PRDX3</t>
  </si>
  <si>
    <t>E9PHH3_SDC1</t>
  </si>
  <si>
    <t>E9PHI6_DYNC1LI1</t>
  </si>
  <si>
    <t>E9PHT6_PANK4</t>
  </si>
  <si>
    <t>E9PID8_CSTF2</t>
  </si>
  <si>
    <t>E9PIR7_TXNRD1</t>
  </si>
  <si>
    <t>E9PIZ7_S100PBP</t>
  </si>
  <si>
    <t>E9PJA7_BCLAF1</t>
  </si>
  <si>
    <t>E9PJD9_RPL27A</t>
  </si>
  <si>
    <t>E9PJK6_ASRGL1</t>
  </si>
  <si>
    <t>E9PJP1_AAMDC</t>
  </si>
  <si>
    <t>E9PJS5_ACER3</t>
  </si>
  <si>
    <t>E9PJT3_SF3B2</t>
  </si>
  <si>
    <t>E9PK01_EEF1D</t>
  </si>
  <si>
    <t>E9PK08_PPP6R3</t>
  </si>
  <si>
    <t>E9PKB5_PPM1A</t>
  </si>
  <si>
    <t>E9PKD1_TOR1AIP1</t>
  </si>
  <si>
    <t>E9PKG3_CTTN</t>
  </si>
  <si>
    <t>E9PKL9_TSTA3</t>
  </si>
  <si>
    <t>E9PKP4_CSF1</t>
  </si>
  <si>
    <t>E9PKX0_CTSB</t>
  </si>
  <si>
    <t>E9PKZ0_RPL8</t>
  </si>
  <si>
    <t>E9PL19_PUF60</t>
  </si>
  <si>
    <t>E9PL22_HYOU1</t>
  </si>
  <si>
    <t>E9PL38_PSMD13</t>
  </si>
  <si>
    <t>E9PL57_NEDD8-MDP1</t>
  </si>
  <si>
    <t>E9PL83_ADM</t>
  </si>
  <si>
    <t>E9PLK3_NPEPPS</t>
  </si>
  <si>
    <t>E9PM35_ARRB1</t>
  </si>
  <si>
    <t>E9PMS6_LMO7</t>
  </si>
  <si>
    <t>E9PMT1_CASP4</t>
  </si>
  <si>
    <t>E9PN95_SCGB1A1</t>
  </si>
  <si>
    <t>E9PNK6_TPD52L1</t>
  </si>
  <si>
    <t>E9PNW0_NAP1L4</t>
  </si>
  <si>
    <t>E9PNW4_CD59</t>
  </si>
  <si>
    <t>E9PP21_CSRP1</t>
  </si>
  <si>
    <t>E9PP76_CCS</t>
  </si>
  <si>
    <t>E9PPG2_AMPD3</t>
  </si>
  <si>
    <t>E9PPH5_ANP32E</t>
  </si>
  <si>
    <t>E9PPJ5_MDK</t>
  </si>
  <si>
    <t>E9PQI5_CHMP4A</t>
  </si>
  <si>
    <t>E9PQI8_SART1</t>
  </si>
  <si>
    <t>E9PQW4_MAPK3</t>
  </si>
  <si>
    <t>E9PRA0_TMPRSS13</t>
  </si>
  <si>
    <t>E9PRD9_VNN2</t>
  </si>
  <si>
    <t>E9PRM4_CYB5R2</t>
  </si>
  <si>
    <t>E9PRR2_PRSS23</t>
  </si>
  <si>
    <t>E9PRX5_ZNF720</t>
  </si>
  <si>
    <t>E9PS38_NEDD8-MDP1</t>
  </si>
  <si>
    <t>E9PSC2_CTSF</t>
  </si>
  <si>
    <t>F2Z2U8_MYH14</t>
  </si>
  <si>
    <t>F2Z2Y6_NAA38</t>
  </si>
  <si>
    <t>F2Z3A8_NPHP3</t>
  </si>
  <si>
    <t>F2Z3K9_ESYT2</t>
  </si>
  <si>
    <t>F5GWP8_JUP</t>
  </si>
  <si>
    <t>F5GWT4_WNK1</t>
  </si>
  <si>
    <t>F5GWY5_PODXL</t>
  </si>
  <si>
    <t>F5GX07_REXO2</t>
  </si>
  <si>
    <t>F5GXJ9_ALCAM</t>
  </si>
  <si>
    <t>F5GY03_SPARC</t>
  </si>
  <si>
    <t>F5GY99_GALNT1</t>
  </si>
  <si>
    <t>F5GYC4_RPS6KA3</t>
  </si>
  <si>
    <t>F5GYN4_OTUB1</t>
  </si>
  <si>
    <t>F5GZ00_CAMKK2</t>
  </si>
  <si>
    <t>F5GZ12_SPRR3</t>
  </si>
  <si>
    <t>F5GZ53_TIAM1</t>
  </si>
  <si>
    <t>F5GZ78_PXN</t>
  </si>
  <si>
    <t>F5GZK2_COL21A1</t>
  </si>
  <si>
    <t>F5GZS6_SLC3A2</t>
  </si>
  <si>
    <t>F5GZW3_ARHGAP4</t>
  </si>
  <si>
    <t>F5GZY0_APLP2</t>
  </si>
  <si>
    <t>F5H0B0_TPD52</t>
  </si>
  <si>
    <t>F5H157_RAB35</t>
  </si>
  <si>
    <t>F5H1G9_ABI1</t>
  </si>
  <si>
    <t>F5H1S8_MLEC</t>
  </si>
  <si>
    <t>F5H1Y3_FEN1</t>
  </si>
  <si>
    <t>F5H1Z7_SEMA3C</t>
  </si>
  <si>
    <t>F5H2B9_UACA</t>
  </si>
  <si>
    <t>F5H2Q7_KIAA1715</t>
  </si>
  <si>
    <t>F5H2R5_ARHGDIB</t>
  </si>
  <si>
    <t>F5H2S7_DCTN2</t>
  </si>
  <si>
    <t>F5H335_EIF3A</t>
  </si>
  <si>
    <t>F5H3T3_KCTD20</t>
  </si>
  <si>
    <t>F5H423_ARF3</t>
  </si>
  <si>
    <t>F5H4F9_RPS3A</t>
  </si>
  <si>
    <t>F5H4L7_VPS26A</t>
  </si>
  <si>
    <t>F5H577_BRK1</t>
  </si>
  <si>
    <t>F5H5D3_TUBA1C</t>
  </si>
  <si>
    <t>F5H5E2_PLBD2</t>
  </si>
  <si>
    <t>F5H5P4_VAV1</t>
  </si>
  <si>
    <t>F5H5Q2_ACVR1B</t>
  </si>
  <si>
    <t>F5H5V4_PSMD9</t>
  </si>
  <si>
    <t>F5H648_TAP1</t>
  </si>
  <si>
    <t>F5H6I0_B2M</t>
  </si>
  <si>
    <t>F5H6I7_ATL3</t>
  </si>
  <si>
    <t>F5H6T1_ACTR2</t>
  </si>
  <si>
    <t>F5H6V7_TNFRSF1A</t>
  </si>
  <si>
    <t>F5H6X6_GANAB</t>
  </si>
  <si>
    <t>F5H721_WBP11</t>
  </si>
  <si>
    <t>F5H7C1_PRB3</t>
  </si>
  <si>
    <t>F5H7C4_MSRB3</t>
  </si>
  <si>
    <t>F5H7G2_RGMA</t>
  </si>
  <si>
    <t>F5H7G9_GBP6</t>
  </si>
  <si>
    <t>F5H7K3_EFCAB14</t>
  </si>
  <si>
    <t>F5H7N8_OLR1</t>
  </si>
  <si>
    <t>F5H7R9_PTMS</t>
  </si>
  <si>
    <t>F5H7S3_TPM1</t>
  </si>
  <si>
    <t>F5H7X5_ANXA8L1</t>
  </si>
  <si>
    <t>F5H810_OLFM1</t>
  </si>
  <si>
    <t>F5H853_DEF6</t>
  </si>
  <si>
    <t>F5H877_SPINT1</t>
  </si>
  <si>
    <t>F5H8J2_P4HB</t>
  </si>
  <si>
    <t>F5H8J9_CADM1</t>
  </si>
  <si>
    <t>F6RY50_SIPA1</t>
  </si>
  <si>
    <t>F6SKB8_NECAP2</t>
  </si>
  <si>
    <t>F6UPZ7_TNFRSF14</t>
  </si>
  <si>
    <t>F8VQ14_CCT2</t>
  </si>
  <si>
    <t>F8VQF4_CNOT2</t>
  </si>
  <si>
    <t>F8VR84_C12orf10</t>
  </si>
  <si>
    <t>F8VRJ2_NAP1L1</t>
  </si>
  <si>
    <t>F8VS02_ALDH7A1</t>
  </si>
  <si>
    <t>F8VSC4_METAP2</t>
  </si>
  <si>
    <t>F8VUA6_RPL18</t>
  </si>
  <si>
    <t>F8VUJ3_POC1B-GALNT4</t>
  </si>
  <si>
    <t>F8VV13_MUCL1</t>
  </si>
  <si>
    <t>F8VVD3_OSBPL8</t>
  </si>
  <si>
    <t>F8VVI6_CPM</t>
  </si>
  <si>
    <t>F8VVL1_DENR</t>
  </si>
  <si>
    <t>F8VW89_ARHGAP9</t>
  </si>
  <si>
    <t>F8VWU1_LALBA</t>
  </si>
  <si>
    <t>F8VWV4_RPLP0</t>
  </si>
  <si>
    <t>F8VXC8_SMARCC2</t>
  </si>
  <si>
    <t>F8VXU5_VPS29</t>
  </si>
  <si>
    <t>F8VYK9_IGFBP6</t>
  </si>
  <si>
    <t>F8VZJ2_NACA</t>
  </si>
  <si>
    <t>F8VZQ9_SARNP</t>
  </si>
  <si>
    <t>F8W038_C17orf49</t>
  </si>
  <si>
    <t>F8W148_CA6</t>
  </si>
  <si>
    <t>F8W181_RPL6</t>
  </si>
  <si>
    <t>F8W1A4_AK2</t>
  </si>
  <si>
    <t>F8W1Q3_BTD</t>
  </si>
  <si>
    <t>F8W1R7_MYL6</t>
  </si>
  <si>
    <t>F8W6I7_HNRNPA1</t>
  </si>
  <si>
    <t>F8W726_UBAP2L</t>
  </si>
  <si>
    <t>F8W785_GOLIM4</t>
  </si>
  <si>
    <t>F8W787_CTSD</t>
  </si>
  <si>
    <t>F8W7C6_RPL10</t>
  </si>
  <si>
    <t>F8W7U3_FAM21A</t>
  </si>
  <si>
    <t>F8W845_CTNNA1</t>
  </si>
  <si>
    <t>F8W876_MASP1</t>
  </si>
  <si>
    <t>F8W8H5_RAB24</t>
  </si>
  <si>
    <t>F8W8S0_DYNC1I2</t>
  </si>
  <si>
    <t>F8W914_RTN4</t>
  </si>
  <si>
    <t>F8W9Y0_STX3</t>
  </si>
  <si>
    <t>F8WA67_COLQ</t>
  </si>
  <si>
    <t>F8WAE5_EIF2A</t>
  </si>
  <si>
    <t>F8WAM2_CCT7</t>
  </si>
  <si>
    <t>F8WAM8_KLK1</t>
  </si>
  <si>
    <t>F8WAQ7_ST13</t>
  </si>
  <si>
    <t>F8WB82_GALM</t>
  </si>
  <si>
    <t>F8WC07_LAIR1</t>
  </si>
  <si>
    <t>F8WCF6_ARPC4</t>
  </si>
  <si>
    <t>F8WCY4_LILRA6</t>
  </si>
  <si>
    <t>F8WDF3_PDCD10</t>
  </si>
  <si>
    <t>F8WE81_MUC16</t>
  </si>
  <si>
    <t>F8WEP1_KYNU</t>
  </si>
  <si>
    <t>F8WEQ6_RALB</t>
  </si>
  <si>
    <t>F8WF49_DLGAP4</t>
  </si>
  <si>
    <t>F8WF69_CLTA</t>
  </si>
  <si>
    <t>G3V113_UBE2V2</t>
  </si>
  <si>
    <t>G3V132_IPCEF1</t>
  </si>
  <si>
    <t>G3V169_CASP1</t>
  </si>
  <si>
    <t>G3V1D3_DPP3</t>
  </si>
  <si>
    <t>G3V1J9_TMED3</t>
  </si>
  <si>
    <t>G3V1Q4_SEPT7</t>
  </si>
  <si>
    <t>G3V1T4_NUP107</t>
  </si>
  <si>
    <t>G3V295_PSMA6</t>
  </si>
  <si>
    <t>G3V2U7_ACYP1</t>
  </si>
  <si>
    <t>G3V2V6_ATP6V1D</t>
  </si>
  <si>
    <t>G3V3L6_MTHFD1</t>
  </si>
  <si>
    <t>G3V3Z5_FAM177A1</t>
  </si>
  <si>
    <t>G3V3Z8_NUMB</t>
  </si>
  <si>
    <t>G3V461_CKB</t>
  </si>
  <si>
    <t>G3V4P8_GMFB</t>
  </si>
  <si>
    <t>G3V4U0_FBLN5</t>
  </si>
  <si>
    <t>G3V4U5_EML1</t>
  </si>
  <si>
    <t>G3V4Y7_KTN1</t>
  </si>
  <si>
    <t>G3V511_LTBP2</t>
  </si>
  <si>
    <t>G3V533_SYNE3</t>
  </si>
  <si>
    <t>G3V576_HNRNPC</t>
  </si>
  <si>
    <t>G3V578_NDRG2</t>
  </si>
  <si>
    <t>G3V5D9_APEX1</t>
  </si>
  <si>
    <t>G3V5I3_SERPINA3</t>
  </si>
  <si>
    <t>G3V5V4_COCH</t>
  </si>
  <si>
    <t>G3XAM2_CFI</t>
  </si>
  <si>
    <t>G3XAP6_COMP</t>
  </si>
  <si>
    <t>G5E972_TMPO</t>
  </si>
  <si>
    <t>G5E9W9_GIMAP4</t>
  </si>
  <si>
    <t>G5EA43_TMPRSS5</t>
  </si>
  <si>
    <t>G5EA52_PDIA3</t>
  </si>
  <si>
    <t>G8JL86_COBLL1</t>
  </si>
  <si>
    <t>G8JL88_APOL1</t>
  </si>
  <si>
    <t>G8JLA8_TGFBI</t>
  </si>
  <si>
    <t>G8JLC6_MIA3</t>
  </si>
  <si>
    <t>G8JLG2_CDSN</t>
  </si>
  <si>
    <t>H0Y2P0_CD44</t>
  </si>
  <si>
    <t>H0Y2X5_ALDH1A3</t>
  </si>
  <si>
    <t>H0Y3P2_EIF4G2</t>
  </si>
  <si>
    <t>H0Y3R8_TJP1</t>
  </si>
  <si>
    <t>H0Y477_DUT</t>
  </si>
  <si>
    <t>H0Y4S8_KIAA0319L</t>
  </si>
  <si>
    <t>H0Y4U3_FCGR3B</t>
  </si>
  <si>
    <t>H0Y512_APMAP</t>
  </si>
  <si>
    <t>H0Y555_PSMF1</t>
  </si>
  <si>
    <t>H0Y561_PSMD4</t>
  </si>
  <si>
    <t>H0Y5A1_PTGDS</t>
  </si>
  <si>
    <t>H0Y5R6_UROD</t>
  </si>
  <si>
    <t>H0Y612_TRIM33</t>
  </si>
  <si>
    <t>H0Y614_UFM1</t>
  </si>
  <si>
    <t>H0Y630_STK24</t>
  </si>
  <si>
    <t>H0Y750_ATP6AP2</t>
  </si>
  <si>
    <t>H0Y755_FCGR3A</t>
  </si>
  <si>
    <t>H0Y798_PCCA</t>
  </si>
  <si>
    <t>H0Y7V4_DNAH8</t>
  </si>
  <si>
    <t>H0Y8I3_PGM3</t>
  </si>
  <si>
    <t>H0Y961_SEPT11</t>
  </si>
  <si>
    <t>H0Y9I0_MLLT4</t>
  </si>
  <si>
    <t>H0Y9J0_RAP1GDS1</t>
  </si>
  <si>
    <t>H0Y9X3_PDCD6</t>
  </si>
  <si>
    <t>H0YA68_MAN2B2</t>
  </si>
  <si>
    <t>H0YAC1_KLKB1</t>
  </si>
  <si>
    <t>H0YAL9_TMPRSS11A</t>
  </si>
  <si>
    <t>H0YAZ5_C8orf58</t>
  </si>
  <si>
    <t>H0YBD0_AP3B1</t>
  </si>
  <si>
    <t>H0YC33_LARP1</t>
  </si>
  <si>
    <t>H0YC68_GSR</t>
  </si>
  <si>
    <t>H0YCR2_REPS1</t>
  </si>
  <si>
    <t>H0YCR9_EFEMP2</t>
  </si>
  <si>
    <t>H0YCY1_PICALM</t>
  </si>
  <si>
    <t>H0YCY6_DAK</t>
  </si>
  <si>
    <t>H0YDB2_STIM1</t>
  </si>
  <si>
    <t>H0YDU3_TOR1AIP1</t>
  </si>
  <si>
    <t>H0YE06_CR1</t>
  </si>
  <si>
    <t>H0YE91_CHI3L2</t>
  </si>
  <si>
    <t>H0YEN5_RPS2</t>
  </si>
  <si>
    <t>H0YEP8_SERPINH1</t>
  </si>
  <si>
    <t>H0YFI1_LAMTOR1</t>
  </si>
  <si>
    <t>H0YFS9_GLTP</t>
  </si>
  <si>
    <t>H0YGL6_RAB6A</t>
  </si>
  <si>
    <t>H0YGL9_RYR2</t>
  </si>
  <si>
    <t>H0YH81_ATP5B</t>
  </si>
  <si>
    <t>H0YHL7_CORO1C</t>
  </si>
  <si>
    <t>H0YIP0_MARS</t>
  </si>
  <si>
    <t>H0YJH9_PABPN1</t>
  </si>
  <si>
    <t>H0YK42_SNX1</t>
  </si>
  <si>
    <t>H0YKE7_CHP1</t>
  </si>
  <si>
    <t>H0YLF3_B2M</t>
  </si>
  <si>
    <t>H0YLR3_SNRPA1</t>
  </si>
  <si>
    <t>H0YMD0_ANXA2</t>
  </si>
  <si>
    <t>H0YMR0_CASC4</t>
  </si>
  <si>
    <t>H0YN26_ANP32A</t>
  </si>
  <si>
    <t>H0YN73_RPS17L</t>
  </si>
  <si>
    <t>H0YNE3_PSME1</t>
  </si>
  <si>
    <t>H0YNE9_RAB8B</t>
  </si>
  <si>
    <t>H3BLU7_AKR7A2</t>
  </si>
  <si>
    <t>H3BLV0_CD55</t>
  </si>
  <si>
    <t>H3BM89_RPL4</t>
  </si>
  <si>
    <t>H3BNE1_SNAP23</t>
  </si>
  <si>
    <t>H3BP20_HEXA</t>
  </si>
  <si>
    <t>H3BP35_MVD</t>
  </si>
  <si>
    <t>H3BPE7_FUS</t>
  </si>
  <si>
    <t>H3BPK3_HAGH</t>
  </si>
  <si>
    <t>H3BQ52_ARPP19</t>
  </si>
  <si>
    <t>H3BQB1_APRT</t>
  </si>
  <si>
    <t>H3BQF7_IST1</t>
  </si>
  <si>
    <t>H3BQZ7_hCG_2044799</t>
  </si>
  <si>
    <t>H3BR27_RBMX</t>
  </si>
  <si>
    <t>H3BRP9_SIRPB1</t>
  </si>
  <si>
    <t>H3BRU6_PCBP2</t>
  </si>
  <si>
    <t>H3BTE3_AMDHD2</t>
  </si>
  <si>
    <t>H3BTK3_CARHSP1</t>
  </si>
  <si>
    <t>H3BUD9_RAB27A</t>
  </si>
  <si>
    <t>H3BV04_SCAMP2</t>
  </si>
  <si>
    <t>H3BV11_NUP93</t>
  </si>
  <si>
    <t>H3BV53_MBTPS1</t>
  </si>
  <si>
    <t>H3BVC8_PRSS8</t>
  </si>
  <si>
    <t>H7BXI7_LYPD6B</t>
  </si>
  <si>
    <t>H7BXU9_FGFR2</t>
  </si>
  <si>
    <t>H7BXV5_COL18A1</t>
  </si>
  <si>
    <t>H7BY83_WDR44</t>
  </si>
  <si>
    <t>H7BYG8_LTN1</t>
  </si>
  <si>
    <t>H7BYJ3_CIT</t>
  </si>
  <si>
    <t>H7BYP0_EPS15</t>
  </si>
  <si>
    <t>H7BYW6_PDGFA</t>
  </si>
  <si>
    <t>H7BZ14_PPIL3</t>
  </si>
  <si>
    <t>H7BZ35_DARS</t>
  </si>
  <si>
    <t>H7BZ87_KREMEN1</t>
  </si>
  <si>
    <t>H7BZ97_ITGA6</t>
  </si>
  <si>
    <t>H7BZJ3_PDIA3</t>
  </si>
  <si>
    <t>H7BZT4_</t>
  </si>
  <si>
    <t>H7BZT7_ESD</t>
  </si>
  <si>
    <t>H7C013_ALB</t>
  </si>
  <si>
    <t>H7C270_CTDSP1</t>
  </si>
  <si>
    <t>H7C393_APEH</t>
  </si>
  <si>
    <t>H7C3G9_NAGK</t>
  </si>
  <si>
    <t>H7C3P4_GNS</t>
  </si>
  <si>
    <t>H7C3Q5_PPP1R7</t>
  </si>
  <si>
    <t>H7C3R6_ZBTB8OS</t>
  </si>
  <si>
    <t>H7C492_BCS1L</t>
  </si>
  <si>
    <t>H7C4P1_ARHGAP25</t>
  </si>
  <si>
    <t>H7C559_PPP4R2</t>
  </si>
  <si>
    <t>H9KV70_LCN2</t>
  </si>
  <si>
    <t>H9KVA7_CEACAM5</t>
  </si>
  <si>
    <t>I3L097_</t>
  </si>
  <si>
    <t>I3L0N3_NSF</t>
  </si>
  <si>
    <t>I3L0S7_MEFV</t>
  </si>
  <si>
    <t>I3L0W2_SMG1</t>
  </si>
  <si>
    <t>I3L1J2_CDH5</t>
  </si>
  <si>
    <t>I3L1K4_RNF167</t>
  </si>
  <si>
    <t>I3L1Y9_FLYWCH2</t>
  </si>
  <si>
    <t>I3L268_ACAP1</t>
  </si>
  <si>
    <t>I3L2X8_PITPNA</t>
  </si>
  <si>
    <t>I3L397_EIF5A</t>
  </si>
  <si>
    <t>I3L3D5_PFN1</t>
  </si>
  <si>
    <t>I3L3G9_NDE1</t>
  </si>
  <si>
    <t>I3L3H7_COL1A1</t>
  </si>
  <si>
    <t>I3L3Q4_GLOD4</t>
  </si>
  <si>
    <t>I3L4U9_NPLOC4</t>
  </si>
  <si>
    <t>I3L4X0_PPP4C</t>
  </si>
  <si>
    <t>I3L506_SCPEP1</t>
  </si>
  <si>
    <t>I6L8B7_FABP5</t>
  </si>
  <si>
    <t>J3KMY5_NPC2</t>
  </si>
  <si>
    <t>J3KMZ9_LDLR</t>
  </si>
  <si>
    <t>J3KN36_NOMO3</t>
  </si>
  <si>
    <t>J3KN60_ETFA</t>
  </si>
  <si>
    <t>J3KN67_TPM3</t>
  </si>
  <si>
    <t>J3KNB4_CAMP</t>
  </si>
  <si>
    <t>J3KNC7_CYB5A</t>
  </si>
  <si>
    <t>J3KNL6_SEC16A</t>
  </si>
  <si>
    <t>J3KNT0_FSCN1</t>
  </si>
  <si>
    <t>J3KP29_NUP98</t>
  </si>
  <si>
    <t>J3KPA1_CRISP3</t>
  </si>
  <si>
    <t>J3KPD9_NME2</t>
  </si>
  <si>
    <t>J3KPM9_STAT1</t>
  </si>
  <si>
    <t>J3KPS3_ALDOA</t>
  </si>
  <si>
    <t>J3KQ18_DDT</t>
  </si>
  <si>
    <t>J3KQ37_RGPD8</t>
  </si>
  <si>
    <t>J3KQ45_TGOLN2</t>
  </si>
  <si>
    <t>J3KRP0_CNDP1</t>
  </si>
  <si>
    <t>J3KRW7_TMEM199</t>
  </si>
  <si>
    <t>J3KSX6_NT5C</t>
  </si>
  <si>
    <t>J3KSY7_CASC3</t>
  </si>
  <si>
    <t>J3KT11_LPO</t>
  </si>
  <si>
    <t>J3KT51_HN1</t>
  </si>
  <si>
    <t>J3KTD8_CBFB</t>
  </si>
  <si>
    <t>J3KTE9_CDH3</t>
  </si>
  <si>
    <t>J3KTJ8_RPL26</t>
  </si>
  <si>
    <t>J3QK90_NSFL1C</t>
  </si>
  <si>
    <t>J3QL69_LIMD2</t>
  </si>
  <si>
    <t>J3QL71_SCRN2</t>
  </si>
  <si>
    <t>J3QLI9_SNRPD1</t>
  </si>
  <si>
    <t>J3QLP3_VWA1</t>
  </si>
  <si>
    <t>J3QLT3_RALBP1</t>
  </si>
  <si>
    <t>J3QQL9_DUS1L</t>
  </si>
  <si>
    <t>J3QQT6_USP14</t>
  </si>
  <si>
    <t>J3QR51_RAB31</t>
  </si>
  <si>
    <t>J3QRS3_MYL12A</t>
  </si>
  <si>
    <t>J3QS28_NAPG</t>
  </si>
  <si>
    <t>J3QS39_UBB</t>
  </si>
  <si>
    <t>J3QSA3_UBB</t>
  </si>
  <si>
    <t>J3QSB7_MTAP</t>
  </si>
  <si>
    <t>J3QSX6_ABLIM1</t>
  </si>
  <si>
    <t>J9JID7_LMNB2</t>
  </si>
  <si>
    <t>K4DI84_PRAM1</t>
  </si>
  <si>
    <t>K7EII6_EML2</t>
  </si>
  <si>
    <t>K7EIN1_WBP2</t>
  </si>
  <si>
    <t>K7EJ28_TNFSF13</t>
  </si>
  <si>
    <t>K7EK35_STAT5A</t>
  </si>
  <si>
    <t>K7EK45_PTBP1</t>
  </si>
  <si>
    <t>K7EKG2_TXNL1</t>
  </si>
  <si>
    <t>K7EKI0_EVPL</t>
  </si>
  <si>
    <t>K7EKI8_PPL</t>
  </si>
  <si>
    <t>K7EKM5_TREM1</t>
  </si>
  <si>
    <t>K7EKM7_C19orf77</t>
  </si>
  <si>
    <t>K7EKW9_FLOT2</t>
  </si>
  <si>
    <t>K7ELL7_PRKCSH</t>
  </si>
  <si>
    <t>K7ELR1_DNM2</t>
  </si>
  <si>
    <t>K7ELT5_TBCB</t>
  </si>
  <si>
    <t>K7ELV6_CIRBP</t>
  </si>
  <si>
    <t>K7ELW0_PARK7</t>
  </si>
  <si>
    <t>K7EM11_GIPC1</t>
  </si>
  <si>
    <t>K7EM38_ACTG1</t>
  </si>
  <si>
    <t>K7EMD6_SGTA</t>
  </si>
  <si>
    <t>K7EMS3_KRT19</t>
  </si>
  <si>
    <t>K7EMV3_H3F3B</t>
  </si>
  <si>
    <t>K7EN03_PPP1R13L</t>
  </si>
  <si>
    <t>K7ENG2_U2AF2</t>
  </si>
  <si>
    <t>K7ENJ0_RAD23A</t>
  </si>
  <si>
    <t>K7ENS1_EPG5</t>
  </si>
  <si>
    <t>K7ENU8_BCAM</t>
  </si>
  <si>
    <t>K7EQA1_PDCD5</t>
  </si>
  <si>
    <t>K7EQZ3_</t>
  </si>
  <si>
    <t>K7ERG9_CFD</t>
  </si>
  <si>
    <t>K7ERI9_APOC1</t>
  </si>
  <si>
    <t>K7ERN2_ICAM3</t>
  </si>
  <si>
    <t>K7ERU9_</t>
  </si>
  <si>
    <t>K7ES31_EIF3K</t>
  </si>
  <si>
    <t>K7ES82_CAPNS1</t>
  </si>
  <si>
    <t>M0QXB4_COPE</t>
  </si>
  <si>
    <t>M0QXB5_ETHE1</t>
  </si>
  <si>
    <t>M0QXD2_AKAP8L</t>
  </si>
  <si>
    <t>M0QYG8_GMFG</t>
  </si>
  <si>
    <t>M0QYM2_</t>
  </si>
  <si>
    <t>M0QYR1_SNRNP70</t>
  </si>
  <si>
    <t>M0QYU8_KLK7</t>
  </si>
  <si>
    <t>M0QYY3_LYPD5</t>
  </si>
  <si>
    <t>M0QZI4_PLD3</t>
  </si>
  <si>
    <t>M0QZI8_KLK11</t>
  </si>
  <si>
    <t>M0QZK8_GGCT</t>
  </si>
  <si>
    <t>M0QZR4_ARHGEF1</t>
  </si>
  <si>
    <t>M0QZR9_ELAVL1</t>
  </si>
  <si>
    <t>M0R0P7_RPL18A</t>
  </si>
  <si>
    <t>M0R0Y2_NAPA</t>
  </si>
  <si>
    <t>M0R150_</t>
  </si>
  <si>
    <t>M0R154_ESM1</t>
  </si>
  <si>
    <t>M0R1E0_RAB4B</t>
  </si>
  <si>
    <t>M0R1Q0_FKBP8</t>
  </si>
  <si>
    <t>M0R294_KLK3</t>
  </si>
  <si>
    <t>M0R2L9_RPS19</t>
  </si>
  <si>
    <t>M0R2S2_EPS15L1</t>
  </si>
  <si>
    <t>M0R300_MYO9B</t>
  </si>
  <si>
    <t>M0R389_PAFAH1B3</t>
  </si>
  <si>
    <t>O00151_PDLIM1</t>
  </si>
  <si>
    <t>O00160_MYO1F</t>
  </si>
  <si>
    <t>O00244_ATOX1</t>
  </si>
  <si>
    <t>O00291-3_HIP1</t>
  </si>
  <si>
    <t>O00299_CLIC1</t>
  </si>
  <si>
    <t>O00391_QSOX1</t>
  </si>
  <si>
    <t>O00462_MANBA</t>
  </si>
  <si>
    <t>O00468-2_AGRN</t>
  </si>
  <si>
    <t>O00479_HMGN4</t>
  </si>
  <si>
    <t>O00602_FCN1</t>
  </si>
  <si>
    <t>O00622_CYR61</t>
  </si>
  <si>
    <t>O00748_CES2</t>
  </si>
  <si>
    <t>O00754-2_MAN2B1</t>
  </si>
  <si>
    <t>O00764-2_PDXK</t>
  </si>
  <si>
    <t>O14498_ISLR</t>
  </si>
  <si>
    <t>O14672_ADAM10</t>
  </si>
  <si>
    <t>O14732-2_IMPA2</t>
  </si>
  <si>
    <t>O14745_SLC9A3R1</t>
  </si>
  <si>
    <t>O14773_TPP1</t>
  </si>
  <si>
    <t>O14798_TNFRSF10C</t>
  </si>
  <si>
    <t>O14818-2_PSMA7</t>
  </si>
  <si>
    <t>O14828_SCAMP3</t>
  </si>
  <si>
    <t>O14907_TAX1BP3</t>
  </si>
  <si>
    <t>O14974-5_PPP1R12A</t>
  </si>
  <si>
    <t>O14979-3_HNRPDL</t>
  </si>
  <si>
    <t>O15020-2_SPTBN2</t>
  </si>
  <si>
    <t>O15031_PLXNB2</t>
  </si>
  <si>
    <t>O15067_PFAS</t>
  </si>
  <si>
    <t>O15117_FYB</t>
  </si>
  <si>
    <t>O15126-2_SCAMP1</t>
  </si>
  <si>
    <t>O15143_ARPC1B</t>
  </si>
  <si>
    <t>O15144_ARPC2</t>
  </si>
  <si>
    <t>O15145_ARPC3</t>
  </si>
  <si>
    <t>O15212_PFDN6</t>
  </si>
  <si>
    <t>O15231-3_ZNF185</t>
  </si>
  <si>
    <t>O15231-4_ZNF185</t>
  </si>
  <si>
    <t>O15335_CHAD</t>
  </si>
  <si>
    <t>O15389_SIGLEC5</t>
  </si>
  <si>
    <t>O15400-2_STX7</t>
  </si>
  <si>
    <t>O15511_ARPC5</t>
  </si>
  <si>
    <t>O43143_DHX15</t>
  </si>
  <si>
    <t>O43175_PHGDH</t>
  </si>
  <si>
    <t>O43240_KLK10</t>
  </si>
  <si>
    <t>O43242_PSMD3</t>
  </si>
  <si>
    <t>O43291_SPINT2</t>
  </si>
  <si>
    <t>O43399-2_TPD52L2</t>
  </si>
  <si>
    <t>O43490-5_PROM1</t>
  </si>
  <si>
    <t>O43505_B3GNT1</t>
  </si>
  <si>
    <t>O43516_WIPF1</t>
  </si>
  <si>
    <t>O43617-2_TRAPPC3</t>
  </si>
  <si>
    <t>O43681_ASNA1</t>
  </si>
  <si>
    <t>O43707_ACTN4</t>
  </si>
  <si>
    <t>O43815-2_STRN</t>
  </si>
  <si>
    <t>O43852_CALU</t>
  </si>
  <si>
    <t>O60218_AKR1B10</t>
  </si>
  <si>
    <t>O60220_TIMM8A</t>
  </si>
  <si>
    <t>O60234_GMFG</t>
  </si>
  <si>
    <t>O60235_TMPRSS11D</t>
  </si>
  <si>
    <t>O60259_KLK8</t>
  </si>
  <si>
    <t>O60271-5_SPAG9</t>
  </si>
  <si>
    <t>O60449-3_LY75</t>
  </si>
  <si>
    <t>O60506-4_SYNCRIP</t>
  </si>
  <si>
    <t>O60603_TLR2</t>
  </si>
  <si>
    <t>O60664_PLIN3</t>
  </si>
  <si>
    <t>O60701-3_UGDH</t>
  </si>
  <si>
    <t>O60763_USO1</t>
  </si>
  <si>
    <t>O60869-2_EDF1</t>
  </si>
  <si>
    <t>O60885_BRD4</t>
  </si>
  <si>
    <t>O60911_CTSL2</t>
  </si>
  <si>
    <t>O75083_WDR1</t>
  </si>
  <si>
    <t>O75348_ATP6V1G1</t>
  </si>
  <si>
    <t>O75351_VPS4B</t>
  </si>
  <si>
    <t>O75367-2_H2AFY</t>
  </si>
  <si>
    <t>O75368_SH3BGRL</t>
  </si>
  <si>
    <t>O75396_SEC22B</t>
  </si>
  <si>
    <t>O75503_CLN5</t>
  </si>
  <si>
    <t>O75533_SF3B1</t>
  </si>
  <si>
    <t>O75563_SKAP2</t>
  </si>
  <si>
    <t>O75594_PGLYRP1</t>
  </si>
  <si>
    <t>O75629_CREG1</t>
  </si>
  <si>
    <t>O75663_TIPRL</t>
  </si>
  <si>
    <t>O75695_RP2</t>
  </si>
  <si>
    <t>O75828_CBR3</t>
  </si>
  <si>
    <t>O75874_IDH1</t>
  </si>
  <si>
    <t>O75882-3_ATRN</t>
  </si>
  <si>
    <t>O75886_STAM2</t>
  </si>
  <si>
    <t>O75937_DNAJC8</t>
  </si>
  <si>
    <t>O75976_CPD</t>
  </si>
  <si>
    <t>O75995_SASH3</t>
  </si>
  <si>
    <t>O76070_SNCG</t>
  </si>
  <si>
    <t>O94760_DDAH1</t>
  </si>
  <si>
    <t>O94779-4_CNTN5</t>
  </si>
  <si>
    <t>O94804_STK10</t>
  </si>
  <si>
    <t>O94903_PROSC</t>
  </si>
  <si>
    <t>O94919_ENDOD1</t>
  </si>
  <si>
    <t>O94927-2_HAUS5</t>
  </si>
  <si>
    <t>O94991_SLITRK5</t>
  </si>
  <si>
    <t>O95171_SCEL</t>
  </si>
  <si>
    <t>O95171-2_SCEL</t>
  </si>
  <si>
    <t>O95210_STBD1</t>
  </si>
  <si>
    <t>O95274_LYPD3</t>
  </si>
  <si>
    <t>O95292_VAPB</t>
  </si>
  <si>
    <t>O95336_PGLS</t>
  </si>
  <si>
    <t>O95425-2_SVIL</t>
  </si>
  <si>
    <t>O95466_FMNL1</t>
  </si>
  <si>
    <t>O95544_NADK</t>
  </si>
  <si>
    <t>O95630_STAMBP</t>
  </si>
  <si>
    <t>O95685_PPP1R3D</t>
  </si>
  <si>
    <t>O95716_RAB3D</t>
  </si>
  <si>
    <t>O95747_OXSR1</t>
  </si>
  <si>
    <t>O95758-7_PTBP3</t>
  </si>
  <si>
    <t>O95782-2_AP2A1</t>
  </si>
  <si>
    <t>O95817_BAG3</t>
  </si>
  <si>
    <t>O95841_ANGPTL1</t>
  </si>
  <si>
    <t>O95865_DDAH2</t>
  </si>
  <si>
    <t>O95881_TXNDC12</t>
  </si>
  <si>
    <t>O95989_NUDT3</t>
  </si>
  <si>
    <t>P00338_LDHA</t>
  </si>
  <si>
    <t>P00352_ALDH1A1</t>
  </si>
  <si>
    <t>P00441_SOD1</t>
  </si>
  <si>
    <t>P00488_F13A1</t>
  </si>
  <si>
    <t>P00491_PNP</t>
  </si>
  <si>
    <t>P00492_HPRT1</t>
  </si>
  <si>
    <t>P00558_PGK1</t>
  </si>
  <si>
    <t>P00734_F2</t>
  </si>
  <si>
    <t>P00738_HP</t>
  </si>
  <si>
    <t>P00739_HPR</t>
  </si>
  <si>
    <t>P00747_PLG</t>
  </si>
  <si>
    <t>P00748_F12</t>
  </si>
  <si>
    <t>P00813_ADA</t>
  </si>
  <si>
    <t>P00915_CA1</t>
  </si>
  <si>
    <t>P00918_CA2</t>
  </si>
  <si>
    <t>P01008_SERPINC1</t>
  </si>
  <si>
    <t>P01009_SERPINA1</t>
  </si>
  <si>
    <t>P01019_AGT</t>
  </si>
  <si>
    <t>P01023_A2M</t>
  </si>
  <si>
    <t>P01024_C3</t>
  </si>
  <si>
    <t>P01031_C5</t>
  </si>
  <si>
    <t>P01034_CST3</t>
  </si>
  <si>
    <t>P01036_CST4</t>
  </si>
  <si>
    <t>P01037_CST1</t>
  </si>
  <si>
    <t>P01040_CSTA</t>
  </si>
  <si>
    <t>P01042-2_KNG1</t>
  </si>
  <si>
    <t>P01116-2_KRAS</t>
  </si>
  <si>
    <t>P01133-2_EGF</t>
  </si>
  <si>
    <t>P01344_IGF2</t>
  </si>
  <si>
    <t>P01591_IGJ</t>
  </si>
  <si>
    <t>P01598_</t>
  </si>
  <si>
    <t>P01601_</t>
  </si>
  <si>
    <t>P01603_</t>
  </si>
  <si>
    <t>P01604_</t>
  </si>
  <si>
    <t>P01611_</t>
  </si>
  <si>
    <t>P01612_</t>
  </si>
  <si>
    <t>P01613_</t>
  </si>
  <si>
    <t>P01617_</t>
  </si>
  <si>
    <t>P01623_</t>
  </si>
  <si>
    <t>P01624_</t>
  </si>
  <si>
    <t>P01625_</t>
  </si>
  <si>
    <t>P01699_</t>
  </si>
  <si>
    <t>P01700_</t>
  </si>
  <si>
    <t>P01701_</t>
  </si>
  <si>
    <t>P01702_</t>
  </si>
  <si>
    <t>P01714_</t>
  </si>
  <si>
    <t>P01717_</t>
  </si>
  <si>
    <t>P01719_</t>
  </si>
  <si>
    <t>P01743_</t>
  </si>
  <si>
    <t>P01764_</t>
  </si>
  <si>
    <t>P01765_</t>
  </si>
  <si>
    <t>P01766_</t>
  </si>
  <si>
    <t>P01767_</t>
  </si>
  <si>
    <t>P01771_</t>
  </si>
  <si>
    <t>P01775_</t>
  </si>
  <si>
    <t>P01778_</t>
  </si>
  <si>
    <t>P01779_</t>
  </si>
  <si>
    <t>P01780_</t>
  </si>
  <si>
    <t>P01781_</t>
  </si>
  <si>
    <t>P01824_</t>
  </si>
  <si>
    <t>P01833_PIGR</t>
  </si>
  <si>
    <t>P01834_IGKC</t>
  </si>
  <si>
    <t>P01857_IGHG1</t>
  </si>
  <si>
    <t>P01859_IGHG2</t>
  </si>
  <si>
    <t>P01860_IGHG3</t>
  </si>
  <si>
    <t>P01861_IGHG4</t>
  </si>
  <si>
    <t>P01871_IGHM</t>
  </si>
  <si>
    <t>P01876_IGHA1</t>
  </si>
  <si>
    <t>P01877_IGHA2</t>
  </si>
  <si>
    <t>P01880_IGHD</t>
  </si>
  <si>
    <t>P02647_APOA1</t>
  </si>
  <si>
    <t>P02649_APOE</t>
  </si>
  <si>
    <t>P02652_APOA2</t>
  </si>
  <si>
    <t>P02671-2_FGA</t>
  </si>
  <si>
    <t>P02675_FGB</t>
  </si>
  <si>
    <t>P02748_C9</t>
  </si>
  <si>
    <t>P02749_APOH</t>
  </si>
  <si>
    <t>P02750_LRG1</t>
  </si>
  <si>
    <t>P02751-10_FN1</t>
  </si>
  <si>
    <t>P02760_AMBP</t>
  </si>
  <si>
    <t>P02763_ORM1</t>
  </si>
  <si>
    <t>P02766_TTR</t>
  </si>
  <si>
    <t>P02787_TF</t>
  </si>
  <si>
    <t>P02790_HPX</t>
  </si>
  <si>
    <t>P02810_PRH1</t>
  </si>
  <si>
    <t>P02812_PRB2</t>
  </si>
  <si>
    <t>P02814_SMR3B</t>
  </si>
  <si>
    <t>P03950_ANG</t>
  </si>
  <si>
    <t>P03973_SLPI</t>
  </si>
  <si>
    <t>P04003_C4BPA</t>
  </si>
  <si>
    <t>P04004_VTN</t>
  </si>
  <si>
    <t>P04040_CAT</t>
  </si>
  <si>
    <t>P04066_FUCA1</t>
  </si>
  <si>
    <t>P04080_CSTB</t>
  </si>
  <si>
    <t>P04083_ANXA1</t>
  </si>
  <si>
    <t>P04114_APOB</t>
  </si>
  <si>
    <t>P04196_HRG</t>
  </si>
  <si>
    <t>P04209_</t>
  </si>
  <si>
    <t>P04217_A1BG</t>
  </si>
  <si>
    <t>P04259_KRT6B</t>
  </si>
  <si>
    <t>P04275_VWF</t>
  </si>
  <si>
    <t>P04279_SEMG1</t>
  </si>
  <si>
    <t>P04406_GAPDH</t>
  </si>
  <si>
    <t>P04424-3_ASL</t>
  </si>
  <si>
    <t>P04433_</t>
  </si>
  <si>
    <t>P04438_</t>
  </si>
  <si>
    <t>P04745_AMY1A</t>
  </si>
  <si>
    <t>P04792_HSPB1</t>
  </si>
  <si>
    <t>P05089-3_ARG1</t>
  </si>
  <si>
    <t>P05091_ALDH2</t>
  </si>
  <si>
    <t>P05107_ITGB2</t>
  </si>
  <si>
    <t>P05109_S100A8</t>
  </si>
  <si>
    <t>P05120_SERPINB2</t>
  </si>
  <si>
    <t>P05141_SLC25A5</t>
  </si>
  <si>
    <t>P05154_SERPINA5</t>
  </si>
  <si>
    <t>P05160_F13B</t>
  </si>
  <si>
    <t>P05164-2_MPO</t>
  </si>
  <si>
    <t>P05198_EIF2S1</t>
  </si>
  <si>
    <t>P05204_HMGN2</t>
  </si>
  <si>
    <t>P05362_ICAM1</t>
  </si>
  <si>
    <t>P05387_RPLP2</t>
  </si>
  <si>
    <t>P05455_SSB</t>
  </si>
  <si>
    <t>P05543_SERPINA7</t>
  </si>
  <si>
    <t>P05546_SERPIND1</t>
  </si>
  <si>
    <t>P05814_CSN2</t>
  </si>
  <si>
    <t>P05976-2_MYL1</t>
  </si>
  <si>
    <t>P06280_GLA</t>
  </si>
  <si>
    <t>P06310_</t>
  </si>
  <si>
    <t>P06331_</t>
  </si>
  <si>
    <t>P06396-2_GSN</t>
  </si>
  <si>
    <t>P06401-3_PGR</t>
  </si>
  <si>
    <t>P06681_C2</t>
  </si>
  <si>
    <t>P06702_S100A9</t>
  </si>
  <si>
    <t>P06727_APOA4</t>
  </si>
  <si>
    <t>P06733_ENO1</t>
  </si>
  <si>
    <t>P06737-2_PYGL</t>
  </si>
  <si>
    <t>P06744_GPI</t>
  </si>
  <si>
    <t>P06748-3_NPM1</t>
  </si>
  <si>
    <t>P06753-2_TPM3</t>
  </si>
  <si>
    <t>P06753-5_TPM3</t>
  </si>
  <si>
    <t>P07108_DBI</t>
  </si>
  <si>
    <t>P07195_LDHB</t>
  </si>
  <si>
    <t>P07203_GPX1</t>
  </si>
  <si>
    <t>P07225_PROS1</t>
  </si>
  <si>
    <t>P07339_CTSD</t>
  </si>
  <si>
    <t>P07357_C8A</t>
  </si>
  <si>
    <t>P07360_C8G</t>
  </si>
  <si>
    <t>P07384_CAPN1</t>
  </si>
  <si>
    <t>P07476_IVL</t>
  </si>
  <si>
    <t>P07585_DCN</t>
  </si>
  <si>
    <t>P07686_HEXB</t>
  </si>
  <si>
    <t>P07711_CTSL1</t>
  </si>
  <si>
    <t>P07737_PFN1</t>
  </si>
  <si>
    <t>P07738_BPGM</t>
  </si>
  <si>
    <t>P07814_EPRS</t>
  </si>
  <si>
    <t>P07858_CTSB</t>
  </si>
  <si>
    <t>P07900_HSP90AA1</t>
  </si>
  <si>
    <t>P07948-2_LYN</t>
  </si>
  <si>
    <t>P07954-2_FH</t>
  </si>
  <si>
    <t>P07998_RNASE1</t>
  </si>
  <si>
    <t>P08107_HSPA1A</t>
  </si>
  <si>
    <t>P08118_MSMB</t>
  </si>
  <si>
    <t>P08185_SERPINA6</t>
  </si>
  <si>
    <t>P08238_HSP90AB1</t>
  </si>
  <si>
    <t>P08240-2_SRPR</t>
  </si>
  <si>
    <t>P08246_ELANE</t>
  </si>
  <si>
    <t>P08294_SOD3</t>
  </si>
  <si>
    <t>P08311_CTSG</t>
  </si>
  <si>
    <t>P08493_MGP</t>
  </si>
  <si>
    <t>P08567_PLEK</t>
  </si>
  <si>
    <t>P08571_CD14</t>
  </si>
  <si>
    <t>P08582_MFI2</t>
  </si>
  <si>
    <t>P08603_CFH</t>
  </si>
  <si>
    <t>P08670_VIM</t>
  </si>
  <si>
    <t>P08697_SERPINF2</t>
  </si>
  <si>
    <t>P08754_GNAI3</t>
  </si>
  <si>
    <t>P09228_CST2</t>
  </si>
  <si>
    <t>P09341_CXCL1</t>
  </si>
  <si>
    <t>P09382_LGALS1</t>
  </si>
  <si>
    <t>P09429_HMGB1</t>
  </si>
  <si>
    <t>P09467_FBP1</t>
  </si>
  <si>
    <t>P09497-2_CLTB</t>
  </si>
  <si>
    <t>P09529_INHBB</t>
  </si>
  <si>
    <t>P09668_CTSH</t>
  </si>
  <si>
    <t>P09758_TACSTD2</t>
  </si>
  <si>
    <t>P09871_C1S</t>
  </si>
  <si>
    <t>P09958_FURIN</t>
  </si>
  <si>
    <t>P09960_LTA4H</t>
  </si>
  <si>
    <t>P0C0L4_C4A</t>
  </si>
  <si>
    <t>P0C0L5_C4B</t>
  </si>
  <si>
    <t>P0CG05_IGLC2</t>
  </si>
  <si>
    <t>P0CG06_IGLC3</t>
  </si>
  <si>
    <t>P0CG12_CHTF8</t>
  </si>
  <si>
    <t>P0DJI8_SAA1</t>
  </si>
  <si>
    <t>P10153_RNASE2</t>
  </si>
  <si>
    <t>P10155-2_TROVE2</t>
  </si>
  <si>
    <t>P10253_GAA</t>
  </si>
  <si>
    <t>P10412_HIST1H1E</t>
  </si>
  <si>
    <t>P10451-5_SPP1</t>
  </si>
  <si>
    <t>P10586-2_PTPRF</t>
  </si>
  <si>
    <t>P10599_TXN</t>
  </si>
  <si>
    <t>P10606_COX5B</t>
  </si>
  <si>
    <t>P10643_C7</t>
  </si>
  <si>
    <t>P10644_PRKAR1A</t>
  </si>
  <si>
    <t>P10809_HSPD1</t>
  </si>
  <si>
    <t>P10909-4_CLU</t>
  </si>
  <si>
    <t>P11021_HSPA5</t>
  </si>
  <si>
    <t>P11047_LAMC1</t>
  </si>
  <si>
    <t>P11142_HSPA8</t>
  </si>
  <si>
    <t>P11171-6_EPB41</t>
  </si>
  <si>
    <t>P11172-2_UMPS</t>
  </si>
  <si>
    <t>P11215_ITGAM</t>
  </si>
  <si>
    <t>P11216_PYGB</t>
  </si>
  <si>
    <t>P11279_LAMP1</t>
  </si>
  <si>
    <t>P11413_G6PD</t>
  </si>
  <si>
    <t>P11717_IGF2R</t>
  </si>
  <si>
    <t>P12004_PCNA</t>
  </si>
  <si>
    <t>P12109_COL6A1</t>
  </si>
  <si>
    <t>P12110-3_COL6A2</t>
  </si>
  <si>
    <t>P12273_PIP</t>
  </si>
  <si>
    <t>P12645_BMP3</t>
  </si>
  <si>
    <t>P12724_RNASE3</t>
  </si>
  <si>
    <t>P12814-2_ACTN1</t>
  </si>
  <si>
    <t>P12830_CDH1</t>
  </si>
  <si>
    <t>P13010_XRCC5</t>
  </si>
  <si>
    <t>P13284_IFI30</t>
  </si>
  <si>
    <t>P13489_RNH1</t>
  </si>
  <si>
    <t>P13498_CYBA</t>
  </si>
  <si>
    <t>P13639_EEF2</t>
  </si>
  <si>
    <t>P13667_PDIA4</t>
  </si>
  <si>
    <t>P13671_C6</t>
  </si>
  <si>
    <t>P13796_LCP1</t>
  </si>
  <si>
    <t>P14138-2_EDN3</t>
  </si>
  <si>
    <t>P14151_SELL</t>
  </si>
  <si>
    <t>P14174_MIF</t>
  </si>
  <si>
    <t>P14317_HCLS1</t>
  </si>
  <si>
    <t>P14324-2_FDPS</t>
  </si>
  <si>
    <t>P14550_AKR1A1</t>
  </si>
  <si>
    <t>P14555_PLA2G2A</t>
  </si>
  <si>
    <t>P14618_PKM</t>
  </si>
  <si>
    <t>P14618-2_PKM</t>
  </si>
  <si>
    <t>P14625_HSP90B1</t>
  </si>
  <si>
    <t>P14735_IDE</t>
  </si>
  <si>
    <t>P14780_MMP9</t>
  </si>
  <si>
    <t>P14854_COX6B1</t>
  </si>
  <si>
    <t>P14923_JUP</t>
  </si>
  <si>
    <t>P15104_GLUL</t>
  </si>
  <si>
    <t>P15144_ANPEP</t>
  </si>
  <si>
    <t>P15151-3_PVR</t>
  </si>
  <si>
    <t>P15153_RAC2</t>
  </si>
  <si>
    <t>P15289_ARSA</t>
  </si>
  <si>
    <t>P15309_ACPP</t>
  </si>
  <si>
    <t>P15311_EZR</t>
  </si>
  <si>
    <t>P15328_FOLR1</t>
  </si>
  <si>
    <t>P15515_HTN1</t>
  </si>
  <si>
    <t>P15516_HTN3</t>
  </si>
  <si>
    <t>P15531_NME1</t>
  </si>
  <si>
    <t>P15848_ARSB</t>
  </si>
  <si>
    <t>P15924_DSP</t>
  </si>
  <si>
    <t>P16035_TIMP2</t>
  </si>
  <si>
    <t>P16152_CBR1</t>
  </si>
  <si>
    <t>P16284-3_PECAM1</t>
  </si>
  <si>
    <t>P16298_PPP3CB</t>
  </si>
  <si>
    <t>P16333_NCK1</t>
  </si>
  <si>
    <t>P16401_HIST1H1B</t>
  </si>
  <si>
    <t>P16562_CRISP2</t>
  </si>
  <si>
    <t>P16870-2_CPE</t>
  </si>
  <si>
    <t>P16949_STMN1</t>
  </si>
  <si>
    <t>P16989-2_YBX3</t>
  </si>
  <si>
    <t>P17050_NAGA</t>
  </si>
  <si>
    <t>P17066_HSPA6</t>
  </si>
  <si>
    <t>P17096-2_HMGA1</t>
  </si>
  <si>
    <t>P17174_GOT1</t>
  </si>
  <si>
    <t>P17213_BPI</t>
  </si>
  <si>
    <t>P17858_PFKL</t>
  </si>
  <si>
    <t>P17900_GM2A</t>
  </si>
  <si>
    <t>P17931_LGALS3</t>
  </si>
  <si>
    <t>P17936_IGFBP3</t>
  </si>
  <si>
    <t>P17987_TCP1</t>
  </si>
  <si>
    <t>P18065_IGFBP2</t>
  </si>
  <si>
    <t>P18124_RPL7</t>
  </si>
  <si>
    <t>P18206-2_VCL</t>
  </si>
  <si>
    <t>P18510-4_IL1RN</t>
  </si>
  <si>
    <t>P18669_PGAM1</t>
  </si>
  <si>
    <t>P19021-2_PAM</t>
  </si>
  <si>
    <t>P19320-3_VCAM1</t>
  </si>
  <si>
    <t>P19338_NCL</t>
  </si>
  <si>
    <t>P19447_ERCC3</t>
  </si>
  <si>
    <t>P19525-2_EIF2AK2</t>
  </si>
  <si>
    <t>P19652_ORM2</t>
  </si>
  <si>
    <t>P19827_ITIH1</t>
  </si>
  <si>
    <t>P19835_CEL</t>
  </si>
  <si>
    <t>P19878-3_NCF2</t>
  </si>
  <si>
    <t>P19957_PI3</t>
  </si>
  <si>
    <t>P19961_AMY2B</t>
  </si>
  <si>
    <t>P20061_TCN1</t>
  </si>
  <si>
    <t>P20160_AZU1</t>
  </si>
  <si>
    <t>P20618_PSMB1</t>
  </si>
  <si>
    <t>P20700_LMNB1</t>
  </si>
  <si>
    <t>P20827_EFNA1</t>
  </si>
  <si>
    <t>P20933_AGA</t>
  </si>
  <si>
    <t>P21128-3_ENDOU</t>
  </si>
  <si>
    <t>P21281_ATP6V1B2</t>
  </si>
  <si>
    <t>P21333-2_FLNA</t>
  </si>
  <si>
    <t>P21709_EPHA1</t>
  </si>
  <si>
    <t>P21964-2_COMT</t>
  </si>
  <si>
    <t>P22079_LPO</t>
  </si>
  <si>
    <t>P22102_GART</t>
  </si>
  <si>
    <t>P22314_UBA1</t>
  </si>
  <si>
    <t>P22352_GPX3</t>
  </si>
  <si>
    <t>P22528_SPRR1B</t>
  </si>
  <si>
    <t>P22531_SPRR2E</t>
  </si>
  <si>
    <t>P22532_SPRR2D</t>
  </si>
  <si>
    <t>P22626_HNRNPA2B1</t>
  </si>
  <si>
    <t>P22694-10_PRKACB</t>
  </si>
  <si>
    <t>P22735_TGM1</t>
  </si>
  <si>
    <t>P22748_CA4</t>
  </si>
  <si>
    <t>P22792_CPN2</t>
  </si>
  <si>
    <t>P22891_PROZ</t>
  </si>
  <si>
    <t>P22894_MMP8</t>
  </si>
  <si>
    <t>P23083_</t>
  </si>
  <si>
    <t>P23141-3_CES1</t>
  </si>
  <si>
    <t>P23142_FBLN1</t>
  </si>
  <si>
    <t>P23246_SFPQ</t>
  </si>
  <si>
    <t>P23280-2_CA6</t>
  </si>
  <si>
    <t>P23284_PPIB</t>
  </si>
  <si>
    <t>P23368_ME2</t>
  </si>
  <si>
    <t>P23381_WARS</t>
  </si>
  <si>
    <t>P23396_RPS3</t>
  </si>
  <si>
    <t>P23470-2_PTPRG</t>
  </si>
  <si>
    <t>P23526_AHCY</t>
  </si>
  <si>
    <t>P23528_CFL1</t>
  </si>
  <si>
    <t>P23786_CPT2</t>
  </si>
  <si>
    <t>P24071-9_FCAR</t>
  </si>
  <si>
    <t>P24158_PRTN3</t>
  </si>
  <si>
    <t>P24534_EEF1B2</t>
  </si>
  <si>
    <t>P24593_IGFBP5</t>
  </si>
  <si>
    <t>P24855_DNASE1</t>
  </si>
  <si>
    <t>P25098_ADRBK1</t>
  </si>
  <si>
    <t>P25311_AZGP1</t>
  </si>
  <si>
    <t>P25325_MPST</t>
  </si>
  <si>
    <t>P25398_RPS12</t>
  </si>
  <si>
    <t>P25685_DNAJB1</t>
  </si>
  <si>
    <t>P25705-2_ATP5A1</t>
  </si>
  <si>
    <t>P25774_CTSS</t>
  </si>
  <si>
    <t>P25786_PSMA1</t>
  </si>
  <si>
    <t>P25788-2_PSMA3</t>
  </si>
  <si>
    <t>P25815_S100P</t>
  </si>
  <si>
    <t>P26038_MSN</t>
  </si>
  <si>
    <t>P26447_S100A4</t>
  </si>
  <si>
    <t>P26572_MGAT1</t>
  </si>
  <si>
    <t>P26583_HMGB2</t>
  </si>
  <si>
    <t>P26639_TARS</t>
  </si>
  <si>
    <t>P26641_EEF1G</t>
  </si>
  <si>
    <t>P26885_FKBP2</t>
  </si>
  <si>
    <t>P27105_STOM</t>
  </si>
  <si>
    <t>P27169_PON1</t>
  </si>
  <si>
    <t>P27348_YWHAQ</t>
  </si>
  <si>
    <t>P27469_G0S2</t>
  </si>
  <si>
    <t>P27482_CALML3</t>
  </si>
  <si>
    <t>P27487_DPP4</t>
  </si>
  <si>
    <t>P27797_CALR</t>
  </si>
  <si>
    <t>P27824_CANX</t>
  </si>
  <si>
    <t>P27918_CFP</t>
  </si>
  <si>
    <t>P28066_PSMA5</t>
  </si>
  <si>
    <t>P28070_PSMB4</t>
  </si>
  <si>
    <t>P28072_PSMB6</t>
  </si>
  <si>
    <t>P28325_CST5</t>
  </si>
  <si>
    <t>P28799_GRN</t>
  </si>
  <si>
    <t>P28838-2_LAP3</t>
  </si>
  <si>
    <t>P28908-2_TNFRSF8</t>
  </si>
  <si>
    <t>P29034_S100A2</t>
  </si>
  <si>
    <t>P29218_IMPA1</t>
  </si>
  <si>
    <t>P29279-2_CTGF</t>
  </si>
  <si>
    <t>P29317_EPHA2</t>
  </si>
  <si>
    <t>P29350_PTPN6</t>
  </si>
  <si>
    <t>P29353-5_SHC1</t>
  </si>
  <si>
    <t>P29373_CRABP2</t>
  </si>
  <si>
    <t>P29400_COL4A5</t>
  </si>
  <si>
    <t>P29401_TKT</t>
  </si>
  <si>
    <t>P29508_SERPINB3</t>
  </si>
  <si>
    <t>P29966_MARCKS</t>
  </si>
  <si>
    <t>P30040_ERP29</t>
  </si>
  <si>
    <t>P30041_PRDX6</t>
  </si>
  <si>
    <t>P30043_BLVRB</t>
  </si>
  <si>
    <t>P30044-2_PRDX5</t>
  </si>
  <si>
    <t>P30049_ATP5D</t>
  </si>
  <si>
    <t>P30050_RPL12</t>
  </si>
  <si>
    <t>P30086_PEBP1</t>
  </si>
  <si>
    <t>P30273_FCER1G</t>
  </si>
  <si>
    <t>P30419-2_NMT1</t>
  </si>
  <si>
    <t>P30520_ADSS</t>
  </si>
  <si>
    <t>P30533_LRPAP1</t>
  </si>
  <si>
    <t>P30622-2_CLIP1</t>
  </si>
  <si>
    <t>P30740_SERPINB1</t>
  </si>
  <si>
    <t>P31025_LCN1</t>
  </si>
  <si>
    <t>P31146_CORO1A</t>
  </si>
  <si>
    <t>P31150_GDI1</t>
  </si>
  <si>
    <t>P31151_S100A7</t>
  </si>
  <si>
    <t>P31942-3_HNRNPH3</t>
  </si>
  <si>
    <t>P31944_CASP14</t>
  </si>
  <si>
    <t>P31946-2_YWHAB</t>
  </si>
  <si>
    <t>P31947_SFN</t>
  </si>
  <si>
    <t>P31948_STIP1</t>
  </si>
  <si>
    <t>P31949_S100A11</t>
  </si>
  <si>
    <t>P31997_CEACAM8</t>
  </si>
  <si>
    <t>P32119_PRDX2</t>
  </si>
  <si>
    <t>P32320_CDA</t>
  </si>
  <si>
    <t>P32455_GBP1</t>
  </si>
  <si>
    <t>P32926_DSG3</t>
  </si>
  <si>
    <t>P33176_KIF5B</t>
  </si>
  <si>
    <t>P33241_LSP1</t>
  </si>
  <si>
    <t>P33908_MAN1A1</t>
  </si>
  <si>
    <t>P34096_RNASE4</t>
  </si>
  <si>
    <t>P34910_EVI2B</t>
  </si>
  <si>
    <t>P34932_HSPA4</t>
  </si>
  <si>
    <t>P35052_GPC1</t>
  </si>
  <si>
    <t>P35237_SERPINB6</t>
  </si>
  <si>
    <t>P35241_RDX</t>
  </si>
  <si>
    <t>P35321_SPRR1A</t>
  </si>
  <si>
    <t>P35325_SPRR2B</t>
  </si>
  <si>
    <t>P35326_SPRR2A</t>
  </si>
  <si>
    <t>P35579_MYH9</t>
  </si>
  <si>
    <t>P35658-2_NUP214</t>
  </si>
  <si>
    <t>P35754_GLRX</t>
  </si>
  <si>
    <t>P35858_IGFALS</t>
  </si>
  <si>
    <t>P35998_PSMC2</t>
  </si>
  <si>
    <t>P36222_CHI3L1</t>
  </si>
  <si>
    <t>P36639-4_NUDT1</t>
  </si>
  <si>
    <t>P36871_PGM1</t>
  </si>
  <si>
    <t>P36952_SERPINB5</t>
  </si>
  <si>
    <t>P36955_SERPINF1</t>
  </si>
  <si>
    <t>P36980-2_CFHR2</t>
  </si>
  <si>
    <t>P37802_TAGLN2</t>
  </si>
  <si>
    <t>P37837_TALDO1</t>
  </si>
  <si>
    <t>P38117_ETFB</t>
  </si>
  <si>
    <t>P38646_HSPA9</t>
  </si>
  <si>
    <t>P40121-2_CAPG</t>
  </si>
  <si>
    <t>P40189_IL6ST</t>
  </si>
  <si>
    <t>P40394_ADH7</t>
  </si>
  <si>
    <t>P40925-2_MDH1</t>
  </si>
  <si>
    <t>P40926_MDH2</t>
  </si>
  <si>
    <t>P41091_EIF2S3</t>
  </si>
  <si>
    <t>P41218_MNDA</t>
  </si>
  <si>
    <t>P41226_UBA7</t>
  </si>
  <si>
    <t>P41240_CSK</t>
  </si>
  <si>
    <t>P41250_GARS</t>
  </si>
  <si>
    <t>P42768_WAS</t>
  </si>
  <si>
    <t>P42785_PRCP</t>
  </si>
  <si>
    <t>P42830_CXCL5</t>
  </si>
  <si>
    <t>P43034_PAFAH1B1</t>
  </si>
  <si>
    <t>P43121_MCAM</t>
  </si>
  <si>
    <t>P43250-2_GRK6</t>
  </si>
  <si>
    <t>P43405-2_SYK</t>
  </si>
  <si>
    <t>P43490_NAMPT</t>
  </si>
  <si>
    <t>P43652_AFM</t>
  </si>
  <si>
    <t>P43686_PSMC4</t>
  </si>
  <si>
    <t>P45877_PPIC</t>
  </si>
  <si>
    <t>P45974-2_USP5</t>
  </si>
  <si>
    <t>P46109_CRKL</t>
  </si>
  <si>
    <t>P46781_RPS9</t>
  </si>
  <si>
    <t>P46783_RPS10</t>
  </si>
  <si>
    <t>P46940_IQGAP1</t>
  </si>
  <si>
    <t>P46976-2_GYG1</t>
  </si>
  <si>
    <t>P47755_CAPZA2</t>
  </si>
  <si>
    <t>P47914_RPL29</t>
  </si>
  <si>
    <t>P47929_LGALS7</t>
  </si>
  <si>
    <t>P48147_PREP</t>
  </si>
  <si>
    <t>P48163_ME1</t>
  </si>
  <si>
    <t>P48507_GCLM</t>
  </si>
  <si>
    <t>P48594_SERPINB4</t>
  </si>
  <si>
    <t>P48595_SERPINB10</t>
  </si>
  <si>
    <t>P48634-4_PRRC2A</t>
  </si>
  <si>
    <t>P48637_GSS</t>
  </si>
  <si>
    <t>P48723_HSPA13</t>
  </si>
  <si>
    <t>P49006_MARCKSL1</t>
  </si>
  <si>
    <t>P49137_MAPKAPK2</t>
  </si>
  <si>
    <t>P49189_ALDH9A1</t>
  </si>
  <si>
    <t>P49247_RPIA</t>
  </si>
  <si>
    <t>P49257_LMAN1</t>
  </si>
  <si>
    <t>P49321-3_NASP</t>
  </si>
  <si>
    <t>P49327_FASN</t>
  </si>
  <si>
    <t>P49411_TUFM</t>
  </si>
  <si>
    <t>P49755_TMED10</t>
  </si>
  <si>
    <t>P49773_HINT1</t>
  </si>
  <si>
    <t>P49788-2_RARRES1</t>
  </si>
  <si>
    <t>P50452_SERPINB8</t>
  </si>
  <si>
    <t>P50453_SERPINB9</t>
  </si>
  <si>
    <t>P50552_VASP</t>
  </si>
  <si>
    <t>P50591_TNFSF10</t>
  </si>
  <si>
    <t>P50749_RASSF2</t>
  </si>
  <si>
    <t>P50991-2_CCT4</t>
  </si>
  <si>
    <t>P51149_RAB7A</t>
  </si>
  <si>
    <t>P51151_RAB9A</t>
  </si>
  <si>
    <t>P51572_BCAP31</t>
  </si>
  <si>
    <t>P51580_TPMT</t>
  </si>
  <si>
    <t>P51858_HDGF</t>
  </si>
  <si>
    <t>P51884_LUM</t>
  </si>
  <si>
    <t>P51991_HNRNPA3</t>
  </si>
  <si>
    <t>P51993_FUT6</t>
  </si>
  <si>
    <t>P52565_ARHGDIA</t>
  </si>
  <si>
    <t>P52566_ARHGDIB</t>
  </si>
  <si>
    <t>P52597_HNRNPF</t>
  </si>
  <si>
    <t>P52790_HK3</t>
  </si>
  <si>
    <t>P52799_EFNB2</t>
  </si>
  <si>
    <t>P52907_CAPZA1</t>
  </si>
  <si>
    <t>P53004_BLVRA</t>
  </si>
  <si>
    <t>P53367_ARFIP1</t>
  </si>
  <si>
    <t>P53597_SUCLG1</t>
  </si>
  <si>
    <t>P53634_CTSC</t>
  </si>
  <si>
    <t>P53999_SUB1</t>
  </si>
  <si>
    <t>P54577_YARS</t>
  </si>
  <si>
    <t>P54710-2_FXYD2</t>
  </si>
  <si>
    <t>P54727_RAD23B</t>
  </si>
  <si>
    <t>P54753_EPHB3</t>
  </si>
  <si>
    <t>P54802_NAGLU</t>
  </si>
  <si>
    <t>P55000_SLURP1</t>
  </si>
  <si>
    <t>P55072_VCP</t>
  </si>
  <si>
    <t>P55145_MANF</t>
  </si>
  <si>
    <t>P55263-3_ADK</t>
  </si>
  <si>
    <t>P55268_LAMB2</t>
  </si>
  <si>
    <t>P55273_CDKN2D</t>
  </si>
  <si>
    <t>P55290_CDH13</t>
  </si>
  <si>
    <t>P55884_EIF3B</t>
  </si>
  <si>
    <t>P55957_BID</t>
  </si>
  <si>
    <t>P56537_EIF6</t>
  </si>
  <si>
    <t>P57735_RAB25</t>
  </si>
  <si>
    <t>P58107_EPPK1</t>
  </si>
  <si>
    <t>P58546_MTPN</t>
  </si>
  <si>
    <t>P59666_DEFA3</t>
  </si>
  <si>
    <t>P60022_DEFB1</t>
  </si>
  <si>
    <t>P60174-1_TPI1</t>
  </si>
  <si>
    <t>P60842_EIF4A1</t>
  </si>
  <si>
    <t>P60866_RPS20</t>
  </si>
  <si>
    <t>P60953_CDC42</t>
  </si>
  <si>
    <t>P60981-2_DSTN</t>
  </si>
  <si>
    <t>P61006_RAB8A</t>
  </si>
  <si>
    <t>P61019-2_RAB2A</t>
  </si>
  <si>
    <t>P61020_RAB5B</t>
  </si>
  <si>
    <t>P61026_RAB10</t>
  </si>
  <si>
    <t>P61077_UBE2D3</t>
  </si>
  <si>
    <t>P61088_UBE2N</t>
  </si>
  <si>
    <t>P61106_RAB14</t>
  </si>
  <si>
    <t>P61158_ACTR3</t>
  </si>
  <si>
    <t>P61160_ACTR2</t>
  </si>
  <si>
    <t>P61457_PCBD1</t>
  </si>
  <si>
    <t>P61586_RHOA</t>
  </si>
  <si>
    <t>P61626_LYZ</t>
  </si>
  <si>
    <t>P61970_NUTF2</t>
  </si>
  <si>
    <t>P61981_YWHAG</t>
  </si>
  <si>
    <t>P62136_PPP1CA</t>
  </si>
  <si>
    <t>P62258_YWHAE</t>
  </si>
  <si>
    <t>P62263_RPS14</t>
  </si>
  <si>
    <t>P62269_RPS18</t>
  </si>
  <si>
    <t>P62328_TMSB4X</t>
  </si>
  <si>
    <t>P62333_PSMC6</t>
  </si>
  <si>
    <t>P62805_HIST1H4A</t>
  </si>
  <si>
    <t>P62851_RPS25</t>
  </si>
  <si>
    <t>P62857_RPS28</t>
  </si>
  <si>
    <t>P62906_RPL10A</t>
  </si>
  <si>
    <t>P62937_PPIA</t>
  </si>
  <si>
    <t>P62942_FKBP1A</t>
  </si>
  <si>
    <t>P62993_GRB2</t>
  </si>
  <si>
    <t>P63000_RAC1</t>
  </si>
  <si>
    <t>P63104_YWHAZ</t>
  </si>
  <si>
    <t>P63261_ACTG1</t>
  </si>
  <si>
    <t>P63267_ACTG2</t>
  </si>
  <si>
    <t>P63313_TMSB10</t>
  </si>
  <si>
    <t>P67936_TPM4</t>
  </si>
  <si>
    <t>P67936-2_TPM4</t>
  </si>
  <si>
    <t>P68036-2_UBE2L3</t>
  </si>
  <si>
    <t>P68371_TUBB4B</t>
  </si>
  <si>
    <t>P68871_HBB</t>
  </si>
  <si>
    <t>P69905_HBA1</t>
  </si>
  <si>
    <t>P78324_SIRPA</t>
  </si>
  <si>
    <t>P78417_GSTO1</t>
  </si>
  <si>
    <t>P80108_GPLD1</t>
  </si>
  <si>
    <t>P80303_NUCB2</t>
  </si>
  <si>
    <t>P80362_</t>
  </si>
  <si>
    <t>P80419_</t>
  </si>
  <si>
    <t>P80511_S100A12</t>
  </si>
  <si>
    <t>P80723_BASP1</t>
  </si>
  <si>
    <t>P80748_</t>
  </si>
  <si>
    <t>P81534_DEFB103A</t>
  </si>
  <si>
    <t>P81605_DCD</t>
  </si>
  <si>
    <t>P84090_ERH</t>
  </si>
  <si>
    <t>P84095_RHOG</t>
  </si>
  <si>
    <t>P98160_HSPG2</t>
  </si>
  <si>
    <t>P98172_EFNB1</t>
  </si>
  <si>
    <t>Q00610-2_CLTC</t>
  </si>
  <si>
    <t>Q00688_FKBP3</t>
  </si>
  <si>
    <t>Q00839-2_HNRNPU</t>
  </si>
  <si>
    <t>Q01082_SPTBN1</t>
  </si>
  <si>
    <t>Q01105-3_SET</t>
  </si>
  <si>
    <t>Q01459_CTBS</t>
  </si>
  <si>
    <t>Q01469_FABP5</t>
  </si>
  <si>
    <t>Q01518-2_CAP1</t>
  </si>
  <si>
    <t>Q01581_HMGCS1</t>
  </si>
  <si>
    <t>Q02383_SEMG2</t>
  </si>
  <si>
    <t>Q02413_DSG1</t>
  </si>
  <si>
    <t>Q02487-2_DSC2</t>
  </si>
  <si>
    <t>Q02742_GCNT1</t>
  </si>
  <si>
    <t>Q02750-2_MAP2K1</t>
  </si>
  <si>
    <t>Q02790_FKBP4</t>
  </si>
  <si>
    <t>Q02818_NUCB1</t>
  </si>
  <si>
    <t>Q03403_TFF2</t>
  </si>
  <si>
    <t>Q03405_PLAUR</t>
  </si>
  <si>
    <t>Q03591_CFHR1</t>
  </si>
  <si>
    <t>Q04609-6_FOLH1</t>
  </si>
  <si>
    <t>Q04760-2_GLO1</t>
  </si>
  <si>
    <t>Q04917_YWHAH</t>
  </si>
  <si>
    <t>Q05209_PTPN12</t>
  </si>
  <si>
    <t>Q05315_CLC</t>
  </si>
  <si>
    <t>Q05655_PRKCD</t>
  </si>
  <si>
    <t>Q05707-2_COL14A1</t>
  </si>
  <si>
    <t>Q06828_FMOD</t>
  </si>
  <si>
    <t>Q06830_PRDX1</t>
  </si>
  <si>
    <t>Q06S70_TREX2</t>
  </si>
  <si>
    <t>Q07065_CKAP4</t>
  </si>
  <si>
    <t>Q07654_TFF3</t>
  </si>
  <si>
    <t>Q07812-5_BAX</t>
  </si>
  <si>
    <t>Q07960_ARHGAP1</t>
  </si>
  <si>
    <t>Q08188_TGM3</t>
  </si>
  <si>
    <t>Q08209-3_PPP3CA</t>
  </si>
  <si>
    <t>Q08345-2_DDR1</t>
  </si>
  <si>
    <t>Q08380_LGALS3BP</t>
  </si>
  <si>
    <t>Q08554-2_DSC1</t>
  </si>
  <si>
    <t>Q08752_PPID</t>
  </si>
  <si>
    <t>Q08ET2_SIGLEC14</t>
  </si>
  <si>
    <t>Q09666_AHNAK</t>
  </si>
  <si>
    <t>Q10469_MGAT2</t>
  </si>
  <si>
    <t>Q10567-3_AP1B1</t>
  </si>
  <si>
    <t>Q12765_SCRN1</t>
  </si>
  <si>
    <t>Q12802-4_AKAP13</t>
  </si>
  <si>
    <t>Q12805-2_EFEMP1</t>
  </si>
  <si>
    <t>Q12841_FSTL1</t>
  </si>
  <si>
    <t>Q12906-5_ILF3</t>
  </si>
  <si>
    <t>Q12913_PTPRJ</t>
  </si>
  <si>
    <t>Q13043_STK4</t>
  </si>
  <si>
    <t>Q13045-2_FLII</t>
  </si>
  <si>
    <t>Q13113_PDZK1IP1</t>
  </si>
  <si>
    <t>Q13153_PAK1</t>
  </si>
  <si>
    <t>Q13162_PRDX4</t>
  </si>
  <si>
    <t>Q13177_PAK2</t>
  </si>
  <si>
    <t>Q13185_CBX3</t>
  </si>
  <si>
    <t>Q13217_DNAJC3</t>
  </si>
  <si>
    <t>Q13231-3_CHIT1</t>
  </si>
  <si>
    <t>Q13332-6_PTPRS</t>
  </si>
  <si>
    <t>Q13421-4_MSLN</t>
  </si>
  <si>
    <t>Q13429_IGF-I</t>
  </si>
  <si>
    <t>Q13442_PDAP1</t>
  </si>
  <si>
    <t>Q13444-10_ADAM15</t>
  </si>
  <si>
    <t>Q13464_ROCK1</t>
  </si>
  <si>
    <t>Q13637_RAB32</t>
  </si>
  <si>
    <t>Q13835-2_PKP1</t>
  </si>
  <si>
    <t>Q14005-3_IL16</t>
  </si>
  <si>
    <t>Q14019_COTL1</t>
  </si>
  <si>
    <t>Q14050_COL9A3</t>
  </si>
  <si>
    <t>Q14116-2_IL18</t>
  </si>
  <si>
    <t>Q14118_DAG1</t>
  </si>
  <si>
    <t>Q14126_DSG2</t>
  </si>
  <si>
    <t>Q14134-2_TRIM29</t>
  </si>
  <si>
    <t>Q14166_TTLL12</t>
  </si>
  <si>
    <t>Q14204_DYNC1H1</t>
  </si>
  <si>
    <t>Q14210_LY6D</t>
  </si>
  <si>
    <t>Q14289-2_PTK2B</t>
  </si>
  <si>
    <t>Q14314_FGL2</t>
  </si>
  <si>
    <t>Q14332_FZD2</t>
  </si>
  <si>
    <t>Q14435_GALNT3</t>
  </si>
  <si>
    <t>Q14508_WFDC2</t>
  </si>
  <si>
    <t>Q14515_SPARCL1</t>
  </si>
  <si>
    <t>Q14520-2_HABP2</t>
  </si>
  <si>
    <t>Q14574-2_DSC3</t>
  </si>
  <si>
    <t>Q14624_ITIH4</t>
  </si>
  <si>
    <t>Q14677-2_CLINT1</t>
  </si>
  <si>
    <t>Q14696_MESDC2</t>
  </si>
  <si>
    <t>Q14764_MVP</t>
  </si>
  <si>
    <t>Q14766_LTBP1</t>
  </si>
  <si>
    <t>Q14847_LASP1</t>
  </si>
  <si>
    <t>Q14914-2_PTGR1</t>
  </si>
  <si>
    <t>Q14974_KPNB1</t>
  </si>
  <si>
    <t>Q14CN2_CLCA4</t>
  </si>
  <si>
    <t>Q15029-2_EFTUD2</t>
  </si>
  <si>
    <t>Q15056-2_EIF4H</t>
  </si>
  <si>
    <t>Q15075_EEA1</t>
  </si>
  <si>
    <t>Q15080_NCF4</t>
  </si>
  <si>
    <t>Q15113_PCOLCE</t>
  </si>
  <si>
    <t>Q15149-7_PLEC</t>
  </si>
  <si>
    <t>Q15166_PON3</t>
  </si>
  <si>
    <t>Q15181_PPA1</t>
  </si>
  <si>
    <t>Q15208_STK38</t>
  </si>
  <si>
    <t>Q15223-3_PVRL1</t>
  </si>
  <si>
    <t>Q15233-2_NONO</t>
  </si>
  <si>
    <t>Q15365_PCBP1</t>
  </si>
  <si>
    <t>Q15375-3_EPHA7</t>
  </si>
  <si>
    <t>Q15404-2_RSU1</t>
  </si>
  <si>
    <t>Q15424-2_SAFB</t>
  </si>
  <si>
    <t>Q15691_MAPRE1</t>
  </si>
  <si>
    <t>Q15828_CST6</t>
  </si>
  <si>
    <t>Q15833-2_STXBP2</t>
  </si>
  <si>
    <t>Q15836_VAMP3</t>
  </si>
  <si>
    <t>Q15847_ADIRF</t>
  </si>
  <si>
    <t>Q15904_ATP6AP1</t>
  </si>
  <si>
    <t>Q15907_RAB11B</t>
  </si>
  <si>
    <t>Q15942_ZYX</t>
  </si>
  <si>
    <t>Q16270-2_IGFBP7</t>
  </si>
  <si>
    <t>Q16348-2_SLC15A2</t>
  </si>
  <si>
    <t>Q16378_PRR4</t>
  </si>
  <si>
    <t>Q16512-3_PKN1</t>
  </si>
  <si>
    <t>Q16543_CDC37</t>
  </si>
  <si>
    <t>Q16555-2_DPYSL2</t>
  </si>
  <si>
    <t>Q16610_ECM1</t>
  </si>
  <si>
    <t>Q16706_MAN2A1</t>
  </si>
  <si>
    <t>Q16769_QPCT</t>
  </si>
  <si>
    <t>Q17RU2_REL</t>
  </si>
  <si>
    <t>Q1L6K4_PDCD8</t>
  </si>
  <si>
    <t>Q24JP5_TMEM132A</t>
  </si>
  <si>
    <t>Q2I0M4_LRRC26</t>
  </si>
  <si>
    <t>Q32MZ4-3_LRRFIP1</t>
  </si>
  <si>
    <t>Q3KQU3-2_MAP7D1</t>
  </si>
  <si>
    <t>Q49AM7_KLK12</t>
  </si>
  <si>
    <t>Q4G0X9-3_CCDC40</t>
  </si>
  <si>
    <t>Q4VB95_HAL</t>
  </si>
  <si>
    <t>Q53RT3_ASPRV1</t>
  </si>
  <si>
    <t>Q53XA7_DKFZp686F13224</t>
  </si>
  <si>
    <t>Q58FG1_HSP90AA4P</t>
  </si>
  <si>
    <t>Q5FBE1_F9</t>
  </si>
  <si>
    <t>Q5H8X8_UTS2</t>
  </si>
  <si>
    <t>Q5H9A7_TIMP1</t>
  </si>
  <si>
    <t>Q5JP53_TUBB</t>
  </si>
  <si>
    <t>Q5JPT2_SH3KBP1</t>
  </si>
  <si>
    <t>Q5JR95_RPS8</t>
  </si>
  <si>
    <t>Q5JSP0-2_FGD3</t>
  </si>
  <si>
    <t>Q5JTJ3-3_COA6</t>
  </si>
  <si>
    <t>Q5JVE8_F10</t>
  </si>
  <si>
    <t>Q5JVY0_TRIM32</t>
  </si>
  <si>
    <t>Q5JW30_STAU1</t>
  </si>
  <si>
    <t>Q5JXD4_CD164L2</t>
  </si>
  <si>
    <t>Q5JZG9_CTSA</t>
  </si>
  <si>
    <t>Q5QPE4_SNX5</t>
  </si>
  <si>
    <t>Q5QPL9_RALY</t>
  </si>
  <si>
    <t>Q5R3E4_MAPK13</t>
  </si>
  <si>
    <t>Q5SGD2-2_PPM1L</t>
  </si>
  <si>
    <t>Q5SPY9_NPDC1</t>
  </si>
  <si>
    <t>Q5SQ17_CLIC3</t>
  </si>
  <si>
    <t>Q5SRN7_HLA-A</t>
  </si>
  <si>
    <t>Q5SRP5_APOM</t>
  </si>
  <si>
    <t>Q5SSJ5_HP1BP3</t>
  </si>
  <si>
    <t>Q5STX8_AIF1</t>
  </si>
  <si>
    <t>Q5SVK8_DNMBP</t>
  </si>
  <si>
    <t>Q5T0D2_CMPK1</t>
  </si>
  <si>
    <t>Q5T0Z8_C6orf132</t>
  </si>
  <si>
    <t>Q5T123_SH3BGRL3</t>
  </si>
  <si>
    <t>Q5T1M5-2_FKBP15</t>
  </si>
  <si>
    <t>Q5T205_NCSTN</t>
  </si>
  <si>
    <t>Q5T6H7_XPNPEP1</t>
  </si>
  <si>
    <t>Q5T6W5_HNRNPK</t>
  </si>
  <si>
    <t>Q5T749_KPRP</t>
  </si>
  <si>
    <t>Q5T750_XP32</t>
  </si>
  <si>
    <t>Q5T760_SRSF11</t>
  </si>
  <si>
    <t>Q5T8U3_RPL7A</t>
  </si>
  <si>
    <t>Q5T985_ITIH2</t>
  </si>
  <si>
    <t>Q5TBC7_BCL2L15</t>
  </si>
  <si>
    <t>Q5TBK7_UCHL3</t>
  </si>
  <si>
    <t>Q5TD07_NQO2</t>
  </si>
  <si>
    <t>Q5TEJ0_RPA2</t>
  </si>
  <si>
    <t>Q5TFE4_NT5DC1</t>
  </si>
  <si>
    <t>Q5TGY6_FGR</t>
  </si>
  <si>
    <t>Q5VTE0_EEF1A1P5</t>
  </si>
  <si>
    <t>Q5VU13_VSIG8</t>
  </si>
  <si>
    <t>Q5VVC9_RPL11</t>
  </si>
  <si>
    <t>Q5VY30_RBP4</t>
  </si>
  <si>
    <t>Q5VY93_ARHGEF2</t>
  </si>
  <si>
    <t>Q5VZA6_ACO1</t>
  </si>
  <si>
    <t>Q5VZR0_GLIPR2</t>
  </si>
  <si>
    <t>Q5VZZ6_CELF2</t>
  </si>
  <si>
    <t>Q5W0H4_TPT1</t>
  </si>
  <si>
    <t>Q5W0J0_RAB18</t>
  </si>
  <si>
    <t>Q68CR8_DKFZp781M17165</t>
  </si>
  <si>
    <t>Q6EMK4_VASN</t>
  </si>
  <si>
    <t>Q6GMV3_PTRHD1</t>
  </si>
  <si>
    <t>Q6MZM9_C4orf40</t>
  </si>
  <si>
    <t>Q6NVW1_EPHB2</t>
  </si>
  <si>
    <t>Q6NX70_SCGB2A2</t>
  </si>
  <si>
    <t>Q6NYC8_PPP1R18</t>
  </si>
  <si>
    <t>Q6P163_APOC2</t>
  </si>
  <si>
    <t>Q6P452_ANXA4</t>
  </si>
  <si>
    <t>Q6P4A8_PLBD1</t>
  </si>
  <si>
    <t>Q6P5S2_C6orf58</t>
  </si>
  <si>
    <t>Q6PL18_ATAD2</t>
  </si>
  <si>
    <t>Q6PL24_TMED8</t>
  </si>
  <si>
    <t>Q6RW13-2_AGTRAP</t>
  </si>
  <si>
    <t>Q6UWP8_SBSN</t>
  </si>
  <si>
    <t>Q6UWP8-2_SBSN</t>
  </si>
  <si>
    <t>Q6UWY2_PRSS57</t>
  </si>
  <si>
    <t>Q6UXB0-3_FAM131A</t>
  </si>
  <si>
    <t>Q6UXB3_LYPD2</t>
  </si>
  <si>
    <t>Q6UXD5-6_SEZ6L2</t>
  </si>
  <si>
    <t>Q6UXH1-4_CRELD2</t>
  </si>
  <si>
    <t>Q6UYC3_LMNA</t>
  </si>
  <si>
    <t>Q6WKZ4_RAB11FIP1</t>
  </si>
  <si>
    <t>Q6XPR3_RPTN</t>
  </si>
  <si>
    <t>Q6ZQN7_SLCO4C1</t>
  </si>
  <si>
    <t>Q6ZVX7_NCCRP1</t>
  </si>
  <si>
    <t>Q70J99_UNC13D</t>
  </si>
  <si>
    <t>Q7LBR1_CHMP1B</t>
  </si>
  <si>
    <t>Q7LDG7_RASGRP2</t>
  </si>
  <si>
    <t>Q7Z3T8-3_ZFYVE16</t>
  </si>
  <si>
    <t>Q7Z422-2_SZRD1</t>
  </si>
  <si>
    <t>Q7Z434-4_MAVS</t>
  </si>
  <si>
    <t>Q7Z5L0_VMO1</t>
  </si>
  <si>
    <t>Q7Z5R6_APBB1IP</t>
  </si>
  <si>
    <t>Q7Z6I6_ARHGAP30</t>
  </si>
  <si>
    <t>Q7Z6P3_RAB44</t>
  </si>
  <si>
    <t>Q7Z7H5-3_TMED4</t>
  </si>
  <si>
    <t>Q7Z7M9_GALNT5</t>
  </si>
  <si>
    <t>Q86SF2_GALNT7</t>
  </si>
  <si>
    <t>Q86SQ4-2_GPR126</t>
  </si>
  <si>
    <t>Q86T26_TMPRSS11B</t>
  </si>
  <si>
    <t>Q86TU7_SETD3</t>
  </si>
  <si>
    <t>Q86TV2_LGMN</t>
  </si>
  <si>
    <t>Q86UD1_OAF</t>
  </si>
  <si>
    <t>Q86UN2_RTN4RL1</t>
  </si>
  <si>
    <t>Q86UQ4_ABCA13</t>
  </si>
  <si>
    <t>Q86UX7-2_FERMT3</t>
  </si>
  <si>
    <t>Q86UY0_TXNDC5</t>
  </si>
  <si>
    <t>Q86VN1-2_VPS36</t>
  </si>
  <si>
    <t>Q86VP6-2_CAND1</t>
  </si>
  <si>
    <t>Q86VR7_VSIG10L</t>
  </si>
  <si>
    <t>Q86VS8_HOOK3</t>
  </si>
  <si>
    <t>Q86W28-2_NLRP8</t>
  </si>
  <si>
    <t>Q86X76-2_NIT1</t>
  </si>
  <si>
    <t>Q86X91_PTK7</t>
  </si>
  <si>
    <t>Q8IV04_TBC1D10C</t>
  </si>
  <si>
    <t>Q8IWB9_TEX2</t>
  </si>
  <si>
    <t>Q8IWU2_LMTK2</t>
  </si>
  <si>
    <t>Q8IXJ6-2_SIRT2</t>
  </si>
  <si>
    <t>Q8IXK2-2_GALNT12</t>
  </si>
  <si>
    <t>Q8IY92-2_SLX4</t>
  </si>
  <si>
    <t>Q8IYJ3-2_SYTL1</t>
  </si>
  <si>
    <t>Q8IYS5-6_OSCAR</t>
  </si>
  <si>
    <t>Q8IZ21-3_PHACTR4</t>
  </si>
  <si>
    <t>Q8N1G4_LRRC47</t>
  </si>
  <si>
    <t>Q8N271-2_PROM2</t>
  </si>
  <si>
    <t>Q8N292_GAPT</t>
  </si>
  <si>
    <t>Q8N3D4_EHBP1L1</t>
  </si>
  <si>
    <t>Q8N441_FGFRL1</t>
  </si>
  <si>
    <t>Q8N474_SFRP1</t>
  </si>
  <si>
    <t>Q8N4F0_BPIFB2</t>
  </si>
  <si>
    <t>Q8N573-2_OXR1</t>
  </si>
  <si>
    <t>Q8N5W9_FAM101B</t>
  </si>
  <si>
    <t>Q8N6Q3_CD177</t>
  </si>
  <si>
    <t>Q8NBJ4-2_GOLM1</t>
  </si>
  <si>
    <t>Q8NBJ5_COLGALT1</t>
  </si>
  <si>
    <t>Q8NBY1_MST4</t>
  </si>
  <si>
    <t>Q8NC51-4_SERBP1</t>
  </si>
  <si>
    <t>Q8NCL4_GALNT6</t>
  </si>
  <si>
    <t>Q8NCM8_DYNC2H1</t>
  </si>
  <si>
    <t>Q8NCW5-2_APOA1BP</t>
  </si>
  <si>
    <t>Q8NE01-2_CNNM3</t>
  </si>
  <si>
    <t>Q8NE71-2_ABCF1</t>
  </si>
  <si>
    <t>Q8NES3-3_LFNG</t>
  </si>
  <si>
    <t>Q8NFT8_DNER</t>
  </si>
  <si>
    <t>Q8NFU4_FDCSP</t>
  </si>
  <si>
    <t>Q8NFZ8_CADM4</t>
  </si>
  <si>
    <t>Q8NHG7_SVIP</t>
  </si>
  <si>
    <t>Q8NI22-2_MCFD2</t>
  </si>
  <si>
    <t>Q8TAX7_MUC7</t>
  </si>
  <si>
    <t>Q8TD08-2_MAPK15</t>
  </si>
  <si>
    <t>Q8TD16_BICD2</t>
  </si>
  <si>
    <t>Q8TD55-2_PLEKHO2</t>
  </si>
  <si>
    <t>Q8TDL5_BPIFB1</t>
  </si>
  <si>
    <t>Q8TDZ2-2_MICAL1</t>
  </si>
  <si>
    <t>Q8WU39_MZB1</t>
  </si>
  <si>
    <t>Q8WU79-3_SMAP2</t>
  </si>
  <si>
    <t>Q8WUJ3_KIAA1199</t>
  </si>
  <si>
    <t>Q8WUM4_PDCD6IP</t>
  </si>
  <si>
    <t>Q8WVC2_RPS21</t>
  </si>
  <si>
    <t>Q8WVQ1_CANT1</t>
  </si>
  <si>
    <t>Q8WVT3_TRAPPC12</t>
  </si>
  <si>
    <t>Q8WVV4_POF1B</t>
  </si>
  <si>
    <t>Q8WW12-2_PCNP</t>
  </si>
  <si>
    <t>Q8WWA0_ITLN1</t>
  </si>
  <si>
    <t>Q8WWX9_SELM</t>
  </si>
  <si>
    <t>Q8WWY7_WFDC12</t>
  </si>
  <si>
    <t>Q8WYQ9_ZCCHC14</t>
  </si>
  <si>
    <t>Q8WZA0_LZIC</t>
  </si>
  <si>
    <t>Q92485-2_SMPDL3B</t>
  </si>
  <si>
    <t>Q92598-2_HSPH1</t>
  </si>
  <si>
    <t>Q92619_HMHA1</t>
  </si>
  <si>
    <t>Q92623_TTC9</t>
  </si>
  <si>
    <t>Q92673_SORL1</t>
  </si>
  <si>
    <t>Q92688-2_ANP32B</t>
  </si>
  <si>
    <t>Q92692-2_PVRL2</t>
  </si>
  <si>
    <t>Q92743_HTRA1</t>
  </si>
  <si>
    <t>Q92747_ARPC1A</t>
  </si>
  <si>
    <t>Q92820_GGH</t>
  </si>
  <si>
    <t>Q92835-2_INPP5D</t>
  </si>
  <si>
    <t>Q92876_KLK6</t>
  </si>
  <si>
    <t>Q92882_OSTF1</t>
  </si>
  <si>
    <t>Q92896_GLG1</t>
  </si>
  <si>
    <t>Q92932-4_PTPRN2</t>
  </si>
  <si>
    <t>Q92945_KHSRP</t>
  </si>
  <si>
    <t>Q92954-3_PRG4</t>
  </si>
  <si>
    <t>Q93077_HIST1H2AC</t>
  </si>
  <si>
    <t>Q969E4_TCEAL3</t>
  </si>
  <si>
    <t>Q969H8_C19orf10</t>
  </si>
  <si>
    <t>Q96A65-2_EXOC4</t>
  </si>
  <si>
    <t>Q96BQ1_FAM3D</t>
  </si>
  <si>
    <t>Q96BW5-2_PTER</t>
  </si>
  <si>
    <t>Q96BZ8_LENG1</t>
  </si>
  <si>
    <t>Q96C19_EFHD2</t>
  </si>
  <si>
    <t>Q96C86_DCPS</t>
  </si>
  <si>
    <t>Q96C90_PPP1R14B</t>
  </si>
  <si>
    <t>Q96CG8-3_CTHRC1</t>
  </si>
  <si>
    <t>Q96CN7_ISOC1</t>
  </si>
  <si>
    <t>Q96CT7_CCDC124</t>
  </si>
  <si>
    <t>Q96CX2_KCTD12</t>
  </si>
  <si>
    <t>Q96DA0_ZG16B</t>
  </si>
  <si>
    <t>Q96DD7_SHISA4</t>
  </si>
  <si>
    <t>Q96DR5_BPIFA2</t>
  </si>
  <si>
    <t>Q96F24-2_NRBF2</t>
  </si>
  <si>
    <t>Q96FE7-4_PIK3IP1</t>
  </si>
  <si>
    <t>Q96FQ6_S100A16</t>
  </si>
  <si>
    <t>Q96G03_PGM2</t>
  </si>
  <si>
    <t>Q96GD0_PDXP</t>
  </si>
  <si>
    <t>Q96HC4_PDLIM5</t>
  </si>
  <si>
    <t>Q96HE7_ERO1L</t>
  </si>
  <si>
    <t>Q96HY6-2_DDRGK1</t>
  </si>
  <si>
    <t>Q96I82-2_KAZALD1</t>
  </si>
  <si>
    <t>Q96IY4_CPB2</t>
  </si>
  <si>
    <t>Q96J77_TPD52L3</t>
  </si>
  <si>
    <t>Q96KP4_CNDP2</t>
  </si>
  <si>
    <t>Q96L92-3_SNX27</t>
  </si>
  <si>
    <t>Q96NY8_PVRL4</t>
  </si>
  <si>
    <t>Q96P48-3_ARAP1</t>
  </si>
  <si>
    <t>Q96P63_SERPINB12</t>
  </si>
  <si>
    <t>Q96PD5_PGLYRP2</t>
  </si>
  <si>
    <t>Q96PP8_GBP5</t>
  </si>
  <si>
    <t>Q96QA5_GSDMA</t>
  </si>
  <si>
    <t>Q96QR1_SCGB3A1</t>
  </si>
  <si>
    <t>Q96RF0-3_SNX18</t>
  </si>
  <si>
    <t>Q96RM1_SPRR2F</t>
  </si>
  <si>
    <t>Q96S79_RASL10B</t>
  </si>
  <si>
    <t>Q96SB3_PPP1R9B</t>
  </si>
  <si>
    <t>Q96TA1-2_FAM129B</t>
  </si>
  <si>
    <t>Q99417_MYCBP</t>
  </si>
  <si>
    <t>Q99519_NEU1</t>
  </si>
  <si>
    <t>Q99523_SORT1</t>
  </si>
  <si>
    <t>Q99536_VAT1</t>
  </si>
  <si>
    <t>Q99612-2_KLF6</t>
  </si>
  <si>
    <t>Q99614_TTC1</t>
  </si>
  <si>
    <t>Q99674_CGREF1</t>
  </si>
  <si>
    <t>Q99878_HIST1H2AJ</t>
  </si>
  <si>
    <t>Q99879_HIST1H2BM</t>
  </si>
  <si>
    <t>Q99954_SMR3A</t>
  </si>
  <si>
    <t>Q99961_SH3GL1</t>
  </si>
  <si>
    <t>Q9BPY8_HOPX</t>
  </si>
  <si>
    <t>Q9BQR3_PRSS27</t>
  </si>
  <si>
    <t>Q9BR76_CORO1B</t>
  </si>
  <si>
    <t>Q9BRA2_TXNDC17</t>
  </si>
  <si>
    <t>Q9BRF8_CPPED1</t>
  </si>
  <si>
    <t>Q9BRK5_SDF4</t>
  </si>
  <si>
    <t>Q9BRP8-2_WIBG</t>
  </si>
  <si>
    <t>Q9BS26_ERP44</t>
  </si>
  <si>
    <t>Q9BS40_LXN</t>
  </si>
  <si>
    <t>Q9BSJ8_ESYT1</t>
  </si>
  <si>
    <t>Q9BT09_CNPY3</t>
  </si>
  <si>
    <t>Q9BTY2_FUCA2</t>
  </si>
  <si>
    <t>Q9BUB1_PRKAR2A</t>
  </si>
  <si>
    <t>Q9BUH6_C9orf142</t>
  </si>
  <si>
    <t>Q9BUJ2-3_HNRNPUL1</t>
  </si>
  <si>
    <t>Q9BW04_SARG</t>
  </si>
  <si>
    <t>Q9BW30_TPPP3</t>
  </si>
  <si>
    <t>Q9BWD1_ACAT2</t>
  </si>
  <si>
    <t>Q9BX68_HINT2</t>
  </si>
  <si>
    <t>Q9BXB1-2_LGR4</t>
  </si>
  <si>
    <t>Q9BZG9-3_LYNX1</t>
  </si>
  <si>
    <t>Q9BZM5_ULBP2</t>
  </si>
  <si>
    <t>Q9BZQ8_FAM129A</t>
  </si>
  <si>
    <t>Q9GZN4_PRSS22</t>
  </si>
  <si>
    <t>Q9GZN8_C20orf27</t>
  </si>
  <si>
    <t>Q9GZP4-2_PITHD1</t>
  </si>
  <si>
    <t>Q9GZZ8_LACRT</t>
  </si>
  <si>
    <t>Q9H0E2_TOLLIP</t>
  </si>
  <si>
    <t>Q9H0N0_RAB6C</t>
  </si>
  <si>
    <t>Q9H0P0-3_NT5C3A</t>
  </si>
  <si>
    <t>Q9H0U4_RAB1B</t>
  </si>
  <si>
    <t>Q9H0W9-3_C11orf54</t>
  </si>
  <si>
    <t>Q9H1E1_RNASE7</t>
  </si>
  <si>
    <t>Q9H1E3-2_NUCKS1</t>
  </si>
  <si>
    <t>Q9H1Z4_WDR13</t>
  </si>
  <si>
    <t>Q9H2E6_SEMA6A</t>
  </si>
  <si>
    <t>Q9H2G2-2_SLK</t>
  </si>
  <si>
    <t>Q9H3K6_BOLA2</t>
  </si>
  <si>
    <t>Q9H3N1_TMX1</t>
  </si>
  <si>
    <t>Q9H3P7_ACBD3</t>
  </si>
  <si>
    <t>Q9H3Z4-2_DNAJC5</t>
  </si>
  <si>
    <t>Q9H444_CHMP4B</t>
  </si>
  <si>
    <t>Q9H461_FZD8</t>
  </si>
  <si>
    <t>Q9H4A9_DPEP2</t>
  </si>
  <si>
    <t>Q9H4F8_SMOC1</t>
  </si>
  <si>
    <t>Q9H4M9_EHD1</t>
  </si>
  <si>
    <t>Q9H6S3_EPS8L2</t>
  </si>
  <si>
    <t>Q9H741_C12orf49</t>
  </si>
  <si>
    <t>Q9H8J5_MANSC1</t>
  </si>
  <si>
    <t>Q9H8S9_MOB1A</t>
  </si>
  <si>
    <t>Q9H8Y8-2_GORASP2</t>
  </si>
  <si>
    <t>Q9HB40-2_SCPEP1</t>
  </si>
  <si>
    <t>Q9HBR0_SLC38A10</t>
  </si>
  <si>
    <t>Q9HCY8_S100A14</t>
  </si>
  <si>
    <t>Q9HD89_RETN</t>
  </si>
  <si>
    <t>Q9NP31-4_SH2D2A</t>
  </si>
  <si>
    <t>Q9NP79_VTA1</t>
  </si>
  <si>
    <t>Q9NPA2_MMP25</t>
  </si>
  <si>
    <t>Q9NPY3_CD93</t>
  </si>
  <si>
    <t>Q9NQ38_SPINK5</t>
  </si>
  <si>
    <t>Q9NQ38-3_SPINK5</t>
  </si>
  <si>
    <t>Q9NQ79-2_CRTAC1</t>
  </si>
  <si>
    <t>Q9NQR4_NIT2</t>
  </si>
  <si>
    <t>Q9NR12-2_PDLIM7</t>
  </si>
  <si>
    <t>Q9NR45_NANS</t>
  </si>
  <si>
    <t>Q9NRV9_HEBP1</t>
  </si>
  <si>
    <t>Q9NRX4-2_PHPT1</t>
  </si>
  <si>
    <t>Q9NS68-2_TNFRSF19</t>
  </si>
  <si>
    <t>Q9NS98_SEMA3G</t>
  </si>
  <si>
    <t>Q9NSA3_CTNNBIP1</t>
  </si>
  <si>
    <t>Q9NSC7_ST6GALNAC1</t>
  </si>
  <si>
    <t>Q9NT62-2_ATG3</t>
  </si>
  <si>
    <t>Q9NTX5-3_ECHDC1</t>
  </si>
  <si>
    <t>Q9NUQ9_FAM49B</t>
  </si>
  <si>
    <t>Q9NV96-3_TMEM30A</t>
  </si>
  <si>
    <t>Q9NWB6-2_ARGLU1</t>
  </si>
  <si>
    <t>Q9NX46_ADPRHL2</t>
  </si>
  <si>
    <t>Q9NYL9_TMOD3</t>
  </si>
  <si>
    <t>Q9NYQ8_FAT2</t>
  </si>
  <si>
    <t>Q9NZ08_ERAP1</t>
  </si>
  <si>
    <t>Q9NZ53_PODXL2</t>
  </si>
  <si>
    <t>Q9NZH8_IL36G</t>
  </si>
  <si>
    <t>Q9NZM3-4_ITSN2</t>
  </si>
  <si>
    <t>Q9NZP8_C1RL</t>
  </si>
  <si>
    <t>Q9NZT1_CALML5</t>
  </si>
  <si>
    <t>Q9NZT2-2_OGFR</t>
  </si>
  <si>
    <t>Q9NZV1_CRIM1</t>
  </si>
  <si>
    <t>Q9NZZ3_CHMP5</t>
  </si>
  <si>
    <t>Q9P0G3_KLK14</t>
  </si>
  <si>
    <t>Q9P0L0_VAPA</t>
  </si>
  <si>
    <t>Q9P0S2_COX16</t>
  </si>
  <si>
    <t>Q9P258_RCC2</t>
  </si>
  <si>
    <t>Q9P2D7-5_DNAH1</t>
  </si>
  <si>
    <t>Q9P2E9-2_RRBP1</t>
  </si>
  <si>
    <t>Q9P2L0-2_WDR35</t>
  </si>
  <si>
    <t>Q9P2X0_DPM3</t>
  </si>
  <si>
    <t>Q9UBG3_CRNN</t>
  </si>
  <si>
    <t>Q9UBQ7_GRHPR</t>
  </si>
  <si>
    <t>Q9UBR2_CTSZ</t>
  </si>
  <si>
    <t>Q9UBS3_DNAJB9</t>
  </si>
  <si>
    <t>Q9UBT6-3_POLK</t>
  </si>
  <si>
    <t>Q9UBW5-2_BIN2</t>
  </si>
  <si>
    <t>Q9UDY5_IL13RA1</t>
  </si>
  <si>
    <t>Q9UFH2-4_DNAH17</t>
  </si>
  <si>
    <t>Q9UGI8-2_TES</t>
  </si>
  <si>
    <t>Q9UGM3-5_DMBT1</t>
  </si>
  <si>
    <t>Q9UHA7_IL36A</t>
  </si>
  <si>
    <t>Q9UHD0_IL19</t>
  </si>
  <si>
    <t>Q9UHD8-7_SEPT9</t>
  </si>
  <si>
    <t>Q9UHG2_PCSK1N</t>
  </si>
  <si>
    <t>Q9UHL4_DPP7</t>
  </si>
  <si>
    <t>Q9UHV9_PFDN2</t>
  </si>
  <si>
    <t>Q9UII2-3_ATPIF1</t>
  </si>
  <si>
    <t>Q9UIV8-2_SERPINB13</t>
  </si>
  <si>
    <t>Q9UJ68-2_MSRA</t>
  </si>
  <si>
    <t>Q9UJJ9_GNPTG</t>
  </si>
  <si>
    <t>Q9UJU6_DBNL</t>
  </si>
  <si>
    <t>Q9UKG1_APPL1</t>
  </si>
  <si>
    <t>Q9UKR3_KLK13</t>
  </si>
  <si>
    <t>Q9UKY7_CDV3</t>
  </si>
  <si>
    <t>Q9UL25_RAB21</t>
  </si>
  <si>
    <t>Q9UL46_PSME2</t>
  </si>
  <si>
    <t>Q9UL52_TMPRSS11E</t>
  </si>
  <si>
    <t>Q9ULH1_ASAP1</t>
  </si>
  <si>
    <t>Q9ULZ3-2_PYCARD</t>
  </si>
  <si>
    <t>Q9UM07_PADI4</t>
  </si>
  <si>
    <t>Q9UM21-2_MGAT4A</t>
  </si>
  <si>
    <t>Q9UMX0-2_UBQLN1</t>
  </si>
  <si>
    <t>Q9UMX5_NENF</t>
  </si>
  <si>
    <t>Q9UNF0-2_PACSIN2</t>
  </si>
  <si>
    <t>Q9UNW1-3_MINPP1</t>
  </si>
  <si>
    <t>Q9UPN7_PPP6R1</t>
  </si>
  <si>
    <t>Q9UQ35_SRRM2</t>
  </si>
  <si>
    <t>Q9UQ80_PA2G4</t>
  </si>
  <si>
    <t>Q9Y265-2_RUVBL1</t>
  </si>
  <si>
    <t>Q9Y266_NUDC</t>
  </si>
  <si>
    <t>Q9Y2B0_CNPY2</t>
  </si>
  <si>
    <t>Q9Y2R0_COA3</t>
  </si>
  <si>
    <t>Q9Y2S2-2_CRYL1</t>
  </si>
  <si>
    <t>Q9Y2S6_TMA7</t>
  </si>
  <si>
    <t>Q9Y2W1_THRAP3</t>
  </si>
  <si>
    <t>Q9Y333_LSM2</t>
  </si>
  <si>
    <t>Q9Y3B3-2_TMED7</t>
  </si>
  <si>
    <t>Q9Y3C8_UFC1</t>
  </si>
  <si>
    <t>Q9Y3D6_FIS1</t>
  </si>
  <si>
    <t>Q9Y3E7-2_CHMP3</t>
  </si>
  <si>
    <t>Q9Y3F4_STRAP</t>
  </si>
  <si>
    <t>Q9Y3L3_SH3BP1</t>
  </si>
  <si>
    <t>Q9Y3Q8_TSC22D4</t>
  </si>
  <si>
    <t>Q9Y3R4_NEU2</t>
  </si>
  <si>
    <t>Q9Y446_PKP3</t>
  </si>
  <si>
    <t>Q9Y490_TLN1</t>
  </si>
  <si>
    <t>Q9Y4E8_USP15</t>
  </si>
  <si>
    <t>Q9Y4K1_AIM1</t>
  </si>
  <si>
    <t>Q9Y5F9-2_PCDHGB6</t>
  </si>
  <si>
    <t>Q9Y5G0-2_PCDHGB5</t>
  </si>
  <si>
    <t>Q9Y5H7-2_PCDHA5</t>
  </si>
  <si>
    <t>Q9Y5K6_CD2AP</t>
  </si>
  <si>
    <t>Q9Y5P6_GMPPB</t>
  </si>
  <si>
    <t>Q9Y5Y6_ST14</t>
  </si>
  <si>
    <t>Q9Y5Z4_HEBP2</t>
  </si>
  <si>
    <t>Q9Y613_FHOD1</t>
  </si>
  <si>
    <t>Q9Y653-2_GPR56</t>
  </si>
  <si>
    <t>Q9Y662_HS3ST3B1</t>
  </si>
  <si>
    <t>Q9Y678_COPG1</t>
  </si>
  <si>
    <t>Q9Y6A5_TACC3</t>
  </si>
  <si>
    <t>Q9Y6H1_CHCHD2</t>
  </si>
  <si>
    <t>Q9Y6N5_SQRDL</t>
  </si>
  <si>
    <t>Q9Y6R7_FCGBP</t>
  </si>
  <si>
    <t>Q9Y6W5_WASF2</t>
  </si>
  <si>
    <t>R4GMN6_C1R</t>
  </si>
  <si>
    <t>R4GMX5_BSG</t>
  </si>
  <si>
    <t>R4GN98_S100A6</t>
  </si>
  <si>
    <t>R4GN99_PPIF</t>
  </si>
  <si>
    <t>Melting_Curves/meltCurve_A0M8Q6_IGLC7.pdf</t>
  </si>
  <si>
    <t>Melting_Curves/meltCurve_A0MZ66_2_KIAA1598.pdf</t>
  </si>
  <si>
    <t>Melting_Curves/meltCurve_A2A274_ACO2.pdf</t>
  </si>
  <si>
    <t>Melting_Curves/meltCurve_A2A2M0_RPRD1B.pdf</t>
  </si>
  <si>
    <t>Melting_Curves/meltCurve_A2A2V1_PRNP.pdf</t>
  </si>
  <si>
    <t>Melting_Curves/meltCurve_A2A2V4_VEGFA.pdf</t>
  </si>
  <si>
    <t>Melting_Curves/meltCurve_A2A3R7_RPS6.pdf</t>
  </si>
  <si>
    <t>Melting_Curves/meltCurve_A2A492_BNIPL.pdf</t>
  </si>
  <si>
    <t>Melting_Curves/meltCurve_A2BF36_HLA_DQB1.pdf</t>
  </si>
  <si>
    <t>Melting_Curves/meltCurve_A5YM69_ARHGEF35.pdf</t>
  </si>
  <si>
    <t>Melting_Curves/meltCurve_A6NC48_BST1.pdf</t>
  </si>
  <si>
    <t>Melting_Curves/meltCurve_A6NC98_CCDC88B.pdf</t>
  </si>
  <si>
    <t>Melting_Curves/meltCurve_A6NCC9_TSSC4.pdf</t>
  </si>
  <si>
    <t>Melting_Curves/meltCurve_A6NDF3_PBDC1.pdf</t>
  </si>
  <si>
    <t>Melting_Curves/meltCurve_A6NDG6_PGP.pdf</t>
  </si>
  <si>
    <t>Melting_Curves/meltCurve_A6NDJ8_.pdf</t>
  </si>
  <si>
    <t>Melting_Curves/meltCurve_A6NFX8_NUDT5.pdf</t>
  </si>
  <si>
    <t>Melting_Curves/meltCurve_A6NG51_SPTAN1.pdf</t>
  </si>
  <si>
    <t>Melting_Curves/meltCurve_A6NGP5_HN1L.pdf</t>
  </si>
  <si>
    <t>Melting_Curves/meltCurve_A6NJH9_EIF1AY.pdf</t>
  </si>
  <si>
    <t>Melting_Curves/meltCurve_A6NKB8_RNPEP.pdf</t>
  </si>
  <si>
    <t>Melting_Curves/meltCurve_A6NL93_HMGN1.pdf</t>
  </si>
  <si>
    <t>Melting_Curves/meltCurve_A6NMQ3_ENSA.pdf</t>
  </si>
  <si>
    <t>Melting_Curves/meltCurve_A6PVM9_AIF1L.pdf</t>
  </si>
  <si>
    <t>Melting_Curves/meltCurve_A8CZ64_MAPK1.pdf</t>
  </si>
  <si>
    <t>Melting_Curves/meltCurve_A8K2U0_A2ML1.pdf</t>
  </si>
  <si>
    <t>Melting_Curves/meltCurve_A8K4G3_HCK.pdf</t>
  </si>
  <si>
    <t>Melting_Curves/meltCurve_A8K8E1_TBC1D15.pdf</t>
  </si>
  <si>
    <t>Melting_Curves/meltCurve_A8MTF8_FAM3B.pdf</t>
  </si>
  <si>
    <t>Melting_Curves/meltCurve_A8MU39_PPP5C.pdf</t>
  </si>
  <si>
    <t>Melting_Curves/meltCurve_A8MUA9_SUMO3.pdf</t>
  </si>
  <si>
    <t>Melting_Curves/meltCurve_A8MUB1_TUBA4A.pdf</t>
  </si>
  <si>
    <t>Melting_Curves/meltCurve_A8MVE2_LILRB1.pdf</t>
  </si>
  <si>
    <t>Melting_Curves/meltCurve_A8MVQ3_CARS.pdf</t>
  </si>
  <si>
    <t>Melting_Curves/meltCurve_A8MVS5_HIDE1.pdf</t>
  </si>
  <si>
    <t>Melting_Curves/meltCurve_A8MVU1_NCF1C.pdf</t>
  </si>
  <si>
    <t>Melting_Curves/meltCurve_A8MVZ9_ALDOC.pdf</t>
  </si>
  <si>
    <t>Melting_Curves/meltCurve_A8MX94_GSTP1.pdf</t>
  </si>
  <si>
    <t>Melting_Curves/meltCurve_A8MXL6_SEC13.pdf</t>
  </si>
  <si>
    <t>Melting_Curves/meltCurve_B0QY21_NUP50.pdf</t>
  </si>
  <si>
    <t>Melting_Curves/meltCurve_B0QYF0_BAIAP2L2.pdf</t>
  </si>
  <si>
    <t>Melting_Curves/meltCurve_B0QYI1_TBC1D22A.pdf</t>
  </si>
  <si>
    <t>Melting_Curves/meltCurve_B0QYM9_PARVG.pdf</t>
  </si>
  <si>
    <t>Melting_Curves/meltCurve_B0S7Z4_HLA_C.pdf</t>
  </si>
  <si>
    <t>Melting_Curves/meltCurve_B0UX83_BAG6.pdf</t>
  </si>
  <si>
    <t>Melting_Curves/meltCurve_B0V043_VARS.pdf</t>
  </si>
  <si>
    <t>Melting_Curves/meltCurve_B0V0T3_PSMB9.pdf</t>
  </si>
  <si>
    <t>Melting_Curves/meltCurve_B0YIW2_APOC3.pdf</t>
  </si>
  <si>
    <t>Melting_Curves/meltCurve_B0YIW6_ARCN1.pdf</t>
  </si>
  <si>
    <t>Melting_Curves/meltCurve_B1AHA8_HMOX1.pdf</t>
  </si>
  <si>
    <t>Melting_Curves/meltCurve_B1AHC8_XRCC6.pdf</t>
  </si>
  <si>
    <t>Melting_Curves/meltCurve_B1AJQ6_STX12.pdf</t>
  </si>
  <si>
    <t>Melting_Curves/meltCurve_B1AK87_CAPZB.pdf</t>
  </si>
  <si>
    <t>Melting_Curves/meltCurve_B1AKD8_CROCC.pdf</t>
  </si>
  <si>
    <t>Melting_Curves/meltCurve_B1AMX5_RABL6.pdf</t>
  </si>
  <si>
    <t>Melting_Curves/meltCurve_B1AN99_PRSS3.pdf</t>
  </si>
  <si>
    <t>Melting_Curves/meltCurve_B1ANH5_GUK1.pdf</t>
  </si>
  <si>
    <t>Melting_Curves/meltCurve_B1ANW7_NRAP.pdf</t>
  </si>
  <si>
    <t>Melting_Curves/meltCurve_B1AP58_CPN1.pdf</t>
  </si>
  <si>
    <t>Melting_Curves/meltCurve_B1AR62_HK1.pdf</t>
  </si>
  <si>
    <t>Melting_Curves/meltCurve_B1AR80_UAP1.pdf</t>
  </si>
  <si>
    <t>Melting_Curves/meltCurve_B1ARP7_C1orf123.pdf</t>
  </si>
  <si>
    <t>Melting_Curves/meltCurve_B1AVQ7_MUC1.pdf</t>
  </si>
  <si>
    <t>Melting_Curves/meltCurve_B1B0M1_GRIPAP1.pdf</t>
  </si>
  <si>
    <t>Melting_Curves/meltCurve_B3EWG6_FAM25G.pdf</t>
  </si>
  <si>
    <t>Melting_Curves/meltCurve_B3KQV6_PPP2R1A.pdf</t>
  </si>
  <si>
    <t>Melting_Curves/meltCurve_B3KS98_EIF3S3.pdf</t>
  </si>
  <si>
    <t>Melting_Curves/meltCurve_B3KSY4_CORO7.pdf</t>
  </si>
  <si>
    <t>Melting_Curves/meltCurve_B3KUE5_PLTP.pdf</t>
  </si>
  <si>
    <t>Melting_Curves/meltCurve_B3KUK2_SOD2.pdf</t>
  </si>
  <si>
    <t>Melting_Curves/meltCurve_B3KW71_QDPR.pdf</t>
  </si>
  <si>
    <t>Melting_Curves/meltCurve_B3KXW9_DOCK2.pdf</t>
  </si>
  <si>
    <t>Melting_Curves/meltCurve_B3KYB6_PITPNB.pdf</t>
  </si>
  <si>
    <t>Melting_Curves/meltCurve_B4DDF4_CNN2.pdf</t>
  </si>
  <si>
    <t>Melting_Curves/meltCurve_B4DEK4_SNX2.pdf</t>
  </si>
  <si>
    <t>Melting_Curves/meltCurve_B4DFR2_DYNLRB1.pdf</t>
  </si>
  <si>
    <t>Melting_Curves/meltCurve_B4DGB4_PLS3.pdf</t>
  </si>
  <si>
    <t>Melting_Curves/meltCurve_B4DGQ7_ERBB3.pdf</t>
  </si>
  <si>
    <t>Melting_Curves/meltCurve_B4DIS3_LOC84661.pdf</t>
  </si>
  <si>
    <t>Melting_Curves/meltCurve_B4DIX1_IDS.pdf</t>
  </si>
  <si>
    <t>Melting_Curves/meltCurve_B4DJ45_TARDBP.pdf</t>
  </si>
  <si>
    <t>Melting_Curves/meltCurve_B4DJI7_SNX11.pdf</t>
  </si>
  <si>
    <t>Melting_Curves/meltCurve_B4DJV2_CS.pdf</t>
  </si>
  <si>
    <t>Melting_Curves/meltCurve_B4DKL4_LSR.pdf</t>
  </si>
  <si>
    <t>Melting_Curves/meltCurve_B4DKV7_EPS8L1.pdf</t>
  </si>
  <si>
    <t>Melting_Curves/meltCurve_B4DLR8_NQO1.pdf</t>
  </si>
  <si>
    <t>Melting_Curves/meltCurve_B4DMM8_B4GALT1.pdf</t>
  </si>
  <si>
    <t>Melting_Curves/meltCurve_B4DN45_MAT2A.pdf</t>
  </si>
  <si>
    <t>Melting_Curves/meltCurve_B4DN60_NARS.pdf</t>
  </si>
  <si>
    <t>Melting_Curves/meltCurve_B4DNS5_TINAGL1.pdf</t>
  </si>
  <si>
    <t>Melting_Curves/meltCurve_B4DP05_FMN2.pdf</t>
  </si>
  <si>
    <t>Melting_Curves/meltCurve_B4DP17_CNBP.pdf</t>
  </si>
  <si>
    <t>Melting_Curves/meltCurve_B4DPG6_GGT6.pdf</t>
  </si>
  <si>
    <t>Melting_Curves/meltCurve_B4DPJ8_CCT6A.pdf</t>
  </si>
  <si>
    <t>Melting_Curves/meltCurve_B4DQH4_CCT8.pdf</t>
  </si>
  <si>
    <t>Melting_Curves/meltCurve_B4DQI4_ABHD14B.pdf</t>
  </si>
  <si>
    <t>Melting_Curves/meltCurve_B4DQJ8_PGD.pdf</t>
  </si>
  <si>
    <t>Melting_Curves/meltCurve_B4DQQ8_REPS2.pdf</t>
  </si>
  <si>
    <t>Melting_Curves/meltCurve_B4DST5_PTPN23.pdf</t>
  </si>
  <si>
    <t>Melting_Curves/meltCurve_B4DSV9_ABI3BP.pdf</t>
  </si>
  <si>
    <t>Melting_Curves/meltCurve_B4DSZ6_IDH2.pdf</t>
  </si>
  <si>
    <t>Melting_Curves/meltCurve_B4DUI3_EIF3J.pdf</t>
  </si>
  <si>
    <t>Melting_Curves/meltCurve_B4DUR8_CCT3.pdf</t>
  </si>
  <si>
    <t>Melting_Curves/meltCurve_B4DUS9_BPNT1.pdf</t>
  </si>
  <si>
    <t>Melting_Curves/meltCurve_B4DVE7_ANXA11.pdf</t>
  </si>
  <si>
    <t>Melting_Curves/meltCurve_B4DWL8_GAL3ST4.pdf</t>
  </si>
  <si>
    <t>Melting_Curves/meltCurve_B4DX42_SF1.pdf</t>
  </si>
  <si>
    <t>Melting_Curves/meltCurve_B4DXI0_TMEM40.pdf</t>
  </si>
  <si>
    <t>Melting_Curves/meltCurve_B4DZI8_COPB2.pdf</t>
  </si>
  <si>
    <t>Melting_Curves/meltCurve_B4E072_ACAA1.pdf</t>
  </si>
  <si>
    <t>Melting_Curves/meltCurve_B4E0K5_MAPK14.pdf</t>
  </si>
  <si>
    <t>Melting_Curves/meltCurve_B4E0R6_IPO5.pdf</t>
  </si>
  <si>
    <t>Melting_Curves/meltCurve_B4E132_DDX3Y.pdf</t>
  </si>
  <si>
    <t>Melting_Curves/meltCurve_B4E1C5_HARS.pdf</t>
  </si>
  <si>
    <t>Melting_Curves/meltCurve_B4E1S6_SDC4.pdf</t>
  </si>
  <si>
    <t>Melting_Curves/meltCurve_B4E1Z4_CFB.pdf</t>
  </si>
  <si>
    <t>Melting_Curves/meltCurve_B4E241_SFRS3.pdf</t>
  </si>
  <si>
    <t>Melting_Curves/meltCurve_B4E2C0_GPC4.pdf</t>
  </si>
  <si>
    <t>Melting_Curves/meltCurve_B4E2X5_GNAI2.pdf</t>
  </si>
  <si>
    <t>Melting_Curves/meltCurve_B4E321_OS9.pdf</t>
  </si>
  <si>
    <t>Melting_Curves/meltCurve_B4E351_IGFBP4.pdf</t>
  </si>
  <si>
    <t>Melting_Curves/meltCurve_B4E3P0_ACLY.pdf</t>
  </si>
  <si>
    <t>Melting_Curves/meltCurve_B4E3Q1_CLSTN1.pdf</t>
  </si>
  <si>
    <t>Melting_Curves/meltCurve_B4E3Q4_CECR1.pdf</t>
  </si>
  <si>
    <t>Melting_Curves/meltCurve_B5MCT7_PPM1F.pdf</t>
  </si>
  <si>
    <t>Melting_Curves/meltCurve_B5MCT9_STXBP4.pdf</t>
  </si>
  <si>
    <t>Melting_Curves/meltCurve_B5MDF5_RAN.pdf</t>
  </si>
  <si>
    <t>Melting_Curves/meltCurve_B5MEB3_CABIN1.pdf</t>
  </si>
  <si>
    <t>Melting_Curves/meltCurve_B7WPD9_KIF26B.pdf</t>
  </si>
  <si>
    <t>Melting_Curves/meltCurve_B7Z1L3_PGRMC1.pdf</t>
  </si>
  <si>
    <t>Melting_Curves/meltCurve_B7Z1M1_RCN1.pdf</t>
  </si>
  <si>
    <t>Melting_Curves/meltCurve_B7Z1R5_ATP6V1A.pdf</t>
  </si>
  <si>
    <t>Melting_Curves/meltCurve_B7Z254_PDIA6.pdf</t>
  </si>
  <si>
    <t>Melting_Curves/meltCurve_B7Z3C7_ARHGEF6.pdf</t>
  </si>
  <si>
    <t>Melting_Curves/meltCurve_B7Z4K6_DNASE2.pdf</t>
  </si>
  <si>
    <t>Melting_Curves/meltCurve_B7Z4L4_RPN1.pdf</t>
  </si>
  <si>
    <t>Melting_Curves/meltCurve_B7Z5J4_CPA4.pdf</t>
  </si>
  <si>
    <t>Melting_Curves/meltCurve_B7Z5W1_F11R.pdf</t>
  </si>
  <si>
    <t>Melting_Curves/meltCurve_B7Z7N9_CARD8.pdf</t>
  </si>
  <si>
    <t>Melting_Curves/meltCurve_B7Z7Z8_FKBP5.pdf</t>
  </si>
  <si>
    <t>Melting_Curves/meltCurve_B7Z856_GFRA1.pdf</t>
  </si>
  <si>
    <t>Melting_Curves/meltCurve_B7Z8T3_FETUB.pdf</t>
  </si>
  <si>
    <t>Melting_Curves/meltCurve_B7Z972_PCMT1.pdf</t>
  </si>
  <si>
    <t>Melting_Curves/meltCurve_B7Z9S8_ATP1B1.pdf</t>
  </si>
  <si>
    <t>Melting_Curves/meltCurve_B7ZBK6_ALAD.pdf</t>
  </si>
  <si>
    <t>Melting_Curves/meltCurve_B7ZKW8_RCSD1.pdf</t>
  </si>
  <si>
    <t>Melting_Curves/meltCurve_B8ZZF0_PPM1B.pdf</t>
  </si>
  <si>
    <t>Melting_Curves/meltCurve_B8ZZK4_RPL31.pdf</t>
  </si>
  <si>
    <t>Melting_Curves/meltCurve_B8ZZL8_HSPE1.pdf</t>
  </si>
  <si>
    <t>Melting_Curves/meltCurve_B8ZZQ6_PTMA.pdf</t>
  </si>
  <si>
    <t>Melting_Curves/meltCurve_B8ZZT4_VAMP8.pdf</t>
  </si>
  <si>
    <t>Melting_Curves/meltCurve_B9A064_IGLL5.pdf</t>
  </si>
  <si>
    <t>Melting_Curves/meltCurve_B9ZVX0_DIAPH1.pdf</t>
  </si>
  <si>
    <t>Melting_Curves/meltCurve_C9IZG4_CUTA.pdf</t>
  </si>
  <si>
    <t>Melting_Curves/meltCurve_C9J0A7_CHMP2B.pdf</t>
  </si>
  <si>
    <t>Melting_Curves/meltCurve_C9J1D9_IL1RAP.pdf</t>
  </si>
  <si>
    <t>Melting_Curves/meltCurve_C9J1K8_MEGF9.pdf</t>
  </si>
  <si>
    <t>Melting_Curves/meltCurve_C9J1Z8_ARF5.pdf</t>
  </si>
  <si>
    <t>Melting_Curves/meltCurve_C9J2N5_INPP1.pdf</t>
  </si>
  <si>
    <t>Melting_Curves/meltCurve_C9J3F6_TBC1D5.pdf</t>
  </si>
  <si>
    <t>Melting_Curves/meltCurve_C9J4L5_CREB1.pdf</t>
  </si>
  <si>
    <t>Melting_Curves/meltCurve_C9J4T6_IL8.pdf</t>
  </si>
  <si>
    <t>Melting_Curves/meltCurve_C9J5D1_NAA50.pdf</t>
  </si>
  <si>
    <t>Melting_Curves/meltCurve_C9J6H5_ADAM9.pdf</t>
  </si>
  <si>
    <t>Melting_Curves/meltCurve_C9J6N5_FAM107B.pdf</t>
  </si>
  <si>
    <t>Melting_Curves/meltCurve_C9J6P4_ZC3HAV1.pdf</t>
  </si>
  <si>
    <t>Melting_Curves/meltCurve_C9J815_APOBR.pdf</t>
  </si>
  <si>
    <t>Melting_Curves/meltCurve_C9J8E1_MAPKAPK3.pdf</t>
  </si>
  <si>
    <t>Melting_Curves/meltCurve_C9J8M4_USP19.pdf</t>
  </si>
  <si>
    <t>Melting_Curves/meltCurve_C9J8Z4_IGSF8.pdf</t>
  </si>
  <si>
    <t>Melting_Curves/meltCurve_C9J973_NHLRC3.pdf</t>
  </si>
  <si>
    <t>Melting_Curves/meltCurve_C9J9K3_RPSA.pdf</t>
  </si>
  <si>
    <t>Melting_Curves/meltCurve_C9JAB2_SRSF7.pdf</t>
  </si>
  <si>
    <t>Melting_Curves/meltCurve_C9JAL0_CRYZL1.pdf</t>
  </si>
  <si>
    <t>Melting_Curves/meltCurve_C9JB55_TF.pdf</t>
  </si>
  <si>
    <t>Melting_Curves/meltCurve_C9JC60_NAPRT1.pdf</t>
  </si>
  <si>
    <t>Melting_Curves/meltCurve_C9JEE0_IGLL1.pdf</t>
  </si>
  <si>
    <t>Melting_Curves/meltCurve_C9JEH7_RPS4Y1.pdf</t>
  </si>
  <si>
    <t>Melting_Curves/meltCurve_C9JES9_LBR.pdf</t>
  </si>
  <si>
    <t>Melting_Curves/meltCurve_C9JEU5_FGG.pdf</t>
  </si>
  <si>
    <t>Melting_Curves/meltCurve_C9JEV0_AZGP1.pdf</t>
  </si>
  <si>
    <t>Melting_Curves/meltCurve_C9JF17_APOD.pdf</t>
  </si>
  <si>
    <t>Melting_Curves/meltCurve_C9JFM0_PTPRZ1.pdf</t>
  </si>
  <si>
    <t>Melting_Curves/meltCurve_C9JFM2_KIAA1211L.pdf</t>
  </si>
  <si>
    <t>Melting_Curves/meltCurve_C9JGI3_TYMP.pdf</t>
  </si>
  <si>
    <t>Melting_Curves/meltCurve_C9JH92_CRYZ.pdf</t>
  </si>
  <si>
    <t>Melting_Curves/meltCurve_C9JIZ6_PSAP.pdf</t>
  </si>
  <si>
    <t>Melting_Curves/meltCurve_C9JKF1_SAMD9.pdf</t>
  </si>
  <si>
    <t>Melting_Curves/meltCurve_C9JKY3_EPCAM.pdf</t>
  </si>
  <si>
    <t>Melting_Curves/meltCurve_C9JLK0_ATIC.pdf</t>
  </si>
  <si>
    <t>Melting_Curves/meltCurve_C9JLT3_ZNF502.pdf</t>
  </si>
  <si>
    <t>Melting_Curves/meltCurve_C9JM00_SERPINB7.pdf</t>
  </si>
  <si>
    <t>Melting_Curves/meltCurve_C9JM82_SEPT5.pdf</t>
  </si>
  <si>
    <t>Melting_Curves/meltCurve_C9JMC5_ALDH3A1.pdf</t>
  </si>
  <si>
    <t>Melting_Curves/meltCurve_C9JMU5_DDX17.pdf</t>
  </si>
  <si>
    <t>Melting_Curves/meltCurve_C9JNP9_UFD1L.pdf</t>
  </si>
  <si>
    <t>Melting_Curves/meltCurve_C9JP35_FAM3C.pdf</t>
  </si>
  <si>
    <t>Melting_Curves/meltCurve_C9JPQ9_FGG.pdf</t>
  </si>
  <si>
    <t>Melting_Curves/meltCurve_C9JQ41_CCDC58.pdf</t>
  </si>
  <si>
    <t>Melting_Curves/meltCurve_C9JQT2_ACTL6A.pdf</t>
  </si>
  <si>
    <t>Melting_Curves/meltCurve_C9JRV0_RNF13.pdf</t>
  </si>
  <si>
    <t>Melting_Curves/meltCurve_C9JSQ1_CKMT1B.pdf</t>
  </si>
  <si>
    <t>Melting_Curves/meltCurve_C9JSR2_PDLIM2.pdf</t>
  </si>
  <si>
    <t>Melting_Curves/meltCurve_C9JSU1_LRRFIP2.pdf</t>
  </si>
  <si>
    <t>Melting_Curves/meltCurve_C9JTH1_IL36RN.pdf</t>
  </si>
  <si>
    <t>Melting_Curves/meltCurve_C9JTK6_OLA1.pdf</t>
  </si>
  <si>
    <t>Melting_Curves/meltCurve_C9JV77_AHSG.pdf</t>
  </si>
  <si>
    <t>Melting_Curves/meltCurve_C9JVL0_SELENBP1.pdf</t>
  </si>
  <si>
    <t>Melting_Curves/meltCurve_C9JWS0_GPR64.pdf</t>
  </si>
  <si>
    <t>Melting_Curves/meltCurve_C9JXG8_RANBP1.pdf</t>
  </si>
  <si>
    <t>Melting_Curves/meltCurve_C9JXR7_CASP3.pdf</t>
  </si>
  <si>
    <t>Melting_Curves/meltCurve_C9JY51_ANKRD44.pdf</t>
  </si>
  <si>
    <t>Melting_Curves/meltCurve_C9K080_LRIG3.pdf</t>
  </si>
  <si>
    <t>Melting_Curves/meltCurve_D6R937_AIMP1.pdf</t>
  </si>
  <si>
    <t>Melting_Curves/meltCurve_D6R939_IQGAP2.pdf</t>
  </si>
  <si>
    <t>Melting_Curves/meltCurve_D6R959_GCLC.pdf</t>
  </si>
  <si>
    <t>Melting_Curves/meltCurve_D6R9P3_HNRNPAB.pdf</t>
  </si>
  <si>
    <t>Melting_Curves/meltCurve_D6RA82_ANXA3.pdf</t>
  </si>
  <si>
    <t>Melting_Curves/meltCurve_D6RAE8_FYB.pdf</t>
  </si>
  <si>
    <t>Melting_Curves/meltCurve_D6RAF8_HNRNPD.pdf</t>
  </si>
  <si>
    <t>Melting_Curves/meltCurve_D6RAM3_DOK3.pdf</t>
  </si>
  <si>
    <t>Melting_Curves/meltCurve_D6RAU2_GNB2L1.pdf</t>
  </si>
  <si>
    <t>Melting_Curves/meltCurve_D6RAX3_PCDH1.pdf</t>
  </si>
  <si>
    <t>Melting_Curves/meltCurve_D6RBV0_LEMD2.pdf</t>
  </si>
  <si>
    <t>Melting_Curves/meltCurve_D6RC73_CCL28.pdf</t>
  </si>
  <si>
    <t>Melting_Curves/meltCurve_D6RCN3_ANXA5.pdf</t>
  </si>
  <si>
    <t>Melting_Curves/meltCurve_D6RD47_RPS23.pdf</t>
  </si>
  <si>
    <t>Melting_Curves/meltCurve_D6RD70_SULT1B1.pdf</t>
  </si>
  <si>
    <t>Melting_Curves/meltCurve_D6RDM7_UBE2K.pdf</t>
  </si>
  <si>
    <t>Melting_Curves/meltCurve_D6REQ6_RNASET2.pdf</t>
  </si>
  <si>
    <t>Melting_Curves/meltCurve_D6REX5_SEPP1.pdf</t>
  </si>
  <si>
    <t>Melting_Curves/meltCurve_D6RF35_GC.pdf</t>
  </si>
  <si>
    <t>Melting_Curves/meltCurve_D6RFE4_ADH5.pdf</t>
  </si>
  <si>
    <t>Melting_Curves/meltCurve_D6RG15_TWF2.pdf</t>
  </si>
  <si>
    <t>Melting_Curves/meltCurve_D6RHZ5_SEC31A.pdf</t>
  </si>
  <si>
    <t>Melting_Curves/meltCurve_D6RIU4_LMAN2.pdf</t>
  </si>
  <si>
    <t>Melting_Curves/meltCurve_D6RIU8_SIL1.pdf</t>
  </si>
  <si>
    <t>Melting_Curves/meltCurve_D6RJC7_MRPS27.pdf</t>
  </si>
  <si>
    <t>Melting_Curves/meltCurve_D6RJC9_UBA5.pdf</t>
  </si>
  <si>
    <t>Melting_Curves/meltCurve_E0CX15_UNC5C.pdf</t>
  </si>
  <si>
    <t>Melting_Curves/meltCurve_E5RFP0_NUDCD2.pdf</t>
  </si>
  <si>
    <t>Melting_Curves/meltCurve_E5RFQ2_LAMA4.pdf</t>
  </si>
  <si>
    <t>Melting_Curves/meltCurve_E5RFX6_SPINK7.pdf</t>
  </si>
  <si>
    <t>Melting_Curves/meltCurve_E5RGR0_LYPLA1.pdf</t>
  </si>
  <si>
    <t>Melting_Curves/meltCurve_E5RGS4_PFDN1.pdf</t>
  </si>
  <si>
    <t>Melting_Curves/meltCurve_E5RGX5_STMN2.pdf</t>
  </si>
  <si>
    <t>Melting_Curves/meltCurve_E5RHG8_TCEB1.pdf</t>
  </si>
  <si>
    <t>Melting_Curves/meltCurve_E5RHV6_ST3GAL1.pdf</t>
  </si>
  <si>
    <t>Melting_Curves/meltCurve_E5RI99_RPL30.pdf</t>
  </si>
  <si>
    <t>Melting_Curves/meltCurve_E5RIW3_TBCA.pdf</t>
  </si>
  <si>
    <t>Melting_Curves/meltCurve_E5RJJ7_LY96.pdf</t>
  </si>
  <si>
    <t>Melting_Curves/meltCurve_E5RJU9_MTDH.pdf</t>
  </si>
  <si>
    <t>Melting_Curves/meltCurve_E5RK31_ATP6V1H.pdf</t>
  </si>
  <si>
    <t>Melting_Curves/meltCurve_E7EMB1_SWAP70.pdf</t>
  </si>
  <si>
    <t>Melting_Curves/meltCurve_E7EMB8_PTPN18.pdf</t>
  </si>
  <si>
    <t>Melting_Curves/meltCurve_E7EMC6_ANXA6.pdf</t>
  </si>
  <si>
    <t>Melting_Curves/meltCurve_E7EMM2_AP3D1.pdf</t>
  </si>
  <si>
    <t>Melting_Curves/meltCurve_E7EMN6_PPP1R2.pdf</t>
  </si>
  <si>
    <t>Melting_Curves/meltCurve_E7EMZ9_TACC2.pdf</t>
  </si>
  <si>
    <t>Melting_Curves/meltCurve_E7EN86_ZNF143.pdf</t>
  </si>
  <si>
    <t>Melting_Curves/meltCurve_E7EN95_FLNB.pdf</t>
  </si>
  <si>
    <t>Melting_Curves/meltCurve_E7END7_RAB1A.pdf</t>
  </si>
  <si>
    <t>Melting_Curves/meltCurve_E7ENL6_COL6A3.pdf</t>
  </si>
  <si>
    <t>Melting_Curves/meltCurve_E7ENM0_ELN.pdf</t>
  </si>
  <si>
    <t>Melting_Curves/meltCurve_E7ENN3_SYNE1.pdf</t>
  </si>
  <si>
    <t>Melting_Curves/meltCurve_E7ENR9_PROC.pdf</t>
  </si>
  <si>
    <t>Melting_Curves/meltCurve_E7EPB3_RPL14.pdf</t>
  </si>
  <si>
    <t>Melting_Curves/meltCurve_E7EPD0_TOM1.pdf</t>
  </si>
  <si>
    <t>Melting_Curves/meltCurve_E7EPN9_PRRC2C.pdf</t>
  </si>
  <si>
    <t>Melting_Curves/meltCurve_E7EQ29_GLB1.pdf</t>
  </si>
  <si>
    <t>Melting_Curves/meltCurve_E7EQR8_YIPF3.pdf</t>
  </si>
  <si>
    <t>Melting_Curves/meltCurve_E7EQT4_ACIN1.pdf</t>
  </si>
  <si>
    <t>Melting_Curves/meltCurve_E7EQV3_PABPC1.pdf</t>
  </si>
  <si>
    <t>Melting_Curves/meltCurve_E7ER44_LTF.pdf</t>
  </si>
  <si>
    <t>Melting_Curves/meltCurve_E7ERB7_GMIP.pdf</t>
  </si>
  <si>
    <t>Melting_Curves/meltCurve_E7ERH2_SKP1.pdf</t>
  </si>
  <si>
    <t>Melting_Curves/meltCurve_E7ERV9_ASAH1.pdf</t>
  </si>
  <si>
    <t>Melting_Curves/meltCurve_E7ES28_SLC40A1.pdf</t>
  </si>
  <si>
    <t>Melting_Curves/meltCurve_E7ES35_TTC38.pdf</t>
  </si>
  <si>
    <t>Melting_Curves/meltCurve_E7ESM1_NDRG1.pdf</t>
  </si>
  <si>
    <t>Melting_Curves/meltCurve_E7ESV4_RAP1B.pdf</t>
  </si>
  <si>
    <t>Melting_Curves/meltCurve_E7ET33_ITIH3.pdf</t>
  </si>
  <si>
    <t>Melting_Curves/meltCurve_E7ETN3_.pdf</t>
  </si>
  <si>
    <t>Melting_Curves/meltCurve_E7ETY4_MARK2.pdf</t>
  </si>
  <si>
    <t>Melting_Curves/meltCurve_E7ETZ0_CALM1.pdf</t>
  </si>
  <si>
    <t>Melting_Curves/meltCurve_E7EU23_GDI2.pdf</t>
  </si>
  <si>
    <t>Melting_Curves/meltCurve_E7EUC7_UGP2.pdf</t>
  </si>
  <si>
    <t>Melting_Curves/meltCurve_E7EUF8_EPB41L3.pdf</t>
  </si>
  <si>
    <t>Melting_Curves/meltCurve_E7EUU1_LTBP4.pdf</t>
  </si>
  <si>
    <t>Melting_Curves/meltCurve_E7EV99_ADD1.pdf</t>
  </si>
  <si>
    <t>Melting_Curves/meltCurve_E7EVA0_MAP4.pdf</t>
  </si>
  <si>
    <t>Melting_Curves/meltCurve_E7EW20_MYO6.pdf</t>
  </si>
  <si>
    <t>Melting_Curves/meltCurve_E7EW52_RPE.pdf</t>
  </si>
  <si>
    <t>Melting_Curves/meltCurve_E7EX17_EIF4B.pdf</t>
  </si>
  <si>
    <t>Melting_Curves/meltCurve_E7EX53_RPL15.pdf</t>
  </si>
  <si>
    <t>Melting_Curves/meltCurve_E7EX73_EIF4G1.pdf</t>
  </si>
  <si>
    <t>Melting_Curves/meltCurve_E7EX90_DCTN1.pdf</t>
  </si>
  <si>
    <t>Melting_Curves/meltCurve_E7EXA8_PRB4.pdf</t>
  </si>
  <si>
    <t>Melting_Curves/meltCurve_E9PB61_ALYREF.pdf</t>
  </si>
  <si>
    <t>Melting_Curves/meltCurve_E9PB90_HK2.pdf</t>
  </si>
  <si>
    <t>Melting_Curves/meltCurve_E9PBJ0_MUC5B.pdf</t>
  </si>
  <si>
    <t>Melting_Curves/meltCurve_E9PBT8_SUMF2.pdf</t>
  </si>
  <si>
    <t>Melting_Curves/meltCurve_E9PC28_PTPRC.pdf</t>
  </si>
  <si>
    <t>Melting_Curves/meltCurve_E9PCY7_HNRNPH1.pdf</t>
  </si>
  <si>
    <t>Melting_Curves/meltCurve_E9PDE4_CAST.pdf</t>
  </si>
  <si>
    <t>Melting_Curves/meltCurve_E9PDE8_HSPA4L.pdf</t>
  </si>
  <si>
    <t>Melting_Curves/meltCurve_E9PDI4_LAD1.pdf</t>
  </si>
  <si>
    <t>Melting_Curves/meltCurve_E9PE20_SRP9.pdf</t>
  </si>
  <si>
    <t>Melting_Curves/meltCurve_E9PEB5_FUBP1.pdf</t>
  </si>
  <si>
    <t>Melting_Curves/meltCurve_E9PEF9_AKR1B1.pdf</t>
  </si>
  <si>
    <t>Melting_Curves/meltCurve_E9PES6_HMGB3.pdf</t>
  </si>
  <si>
    <t>Melting_Curves/meltCurve_E9PEX6_DLD.pdf</t>
  </si>
  <si>
    <t>Melting_Curves/meltCurve_E9PFZ2_CP.pdf</t>
  </si>
  <si>
    <t>Melting_Curves/meltCurve_E9PG40_APP.pdf</t>
  </si>
  <si>
    <t>Melting_Curves/meltCurve_E9PG46_AAK1.pdf</t>
  </si>
  <si>
    <t>Melting_Curves/meltCurve_E9PGM4_GBE1.pdf</t>
  </si>
  <si>
    <t>Melting_Curves/meltCurve_E9PGN7_SERPING1.pdf</t>
  </si>
  <si>
    <t>Melting_Curves/meltCurve_E9PGT1_TSN.pdf</t>
  </si>
  <si>
    <t>Melting_Curves/meltCurve_E9PH29_PRDX3.pdf</t>
  </si>
  <si>
    <t>Melting_Curves/meltCurve_E9PHH3_SDC1.pdf</t>
  </si>
  <si>
    <t>Melting_Curves/meltCurve_E9PHI6_DYNC1LI1.pdf</t>
  </si>
  <si>
    <t>Melting_Curves/meltCurve_E9PHT6_PANK4.pdf</t>
  </si>
  <si>
    <t>Melting_Curves/meltCurve_E9PID8_CSTF2.pdf</t>
  </si>
  <si>
    <t>Melting_Curves/meltCurve_E9PIR7_TXNRD1.pdf</t>
  </si>
  <si>
    <t>Melting_Curves/meltCurve_E9PIZ7_S100PBP.pdf</t>
  </si>
  <si>
    <t>Melting_Curves/meltCurve_E9PJA7_BCLAF1.pdf</t>
  </si>
  <si>
    <t>Melting_Curves/meltCurve_E9PJD9_RPL27A.pdf</t>
  </si>
  <si>
    <t>Melting_Curves/meltCurve_E9PJK6_ASRGL1.pdf</t>
  </si>
  <si>
    <t>Melting_Curves/meltCurve_E9PJP1_AAMDC.pdf</t>
  </si>
  <si>
    <t>Melting_Curves/meltCurve_E9PJS5_ACER3.pdf</t>
  </si>
  <si>
    <t>Melting_Curves/meltCurve_E9PJT3_SF3B2.pdf</t>
  </si>
  <si>
    <t>Melting_Curves/meltCurve_E9PK01_EEF1D.pdf</t>
  </si>
  <si>
    <t>Melting_Curves/meltCurve_E9PK08_PPP6R3.pdf</t>
  </si>
  <si>
    <t>Melting_Curves/meltCurve_E9PKB5_PPM1A.pdf</t>
  </si>
  <si>
    <t>Melting_Curves/meltCurve_E9PKD1_TOR1AIP1.pdf</t>
  </si>
  <si>
    <t>Melting_Curves/meltCurve_E9PKG3_CTTN.pdf</t>
  </si>
  <si>
    <t>Melting_Curves/meltCurve_E9PKL9_TSTA3.pdf</t>
  </si>
  <si>
    <t>Melting_Curves/meltCurve_E9PKP4_CSF1.pdf</t>
  </si>
  <si>
    <t>Melting_Curves/meltCurve_E9PKX0_CTSB.pdf</t>
  </si>
  <si>
    <t>Melting_Curves/meltCurve_E9PKZ0_RPL8.pdf</t>
  </si>
  <si>
    <t>Melting_Curves/meltCurve_E9PL19_PUF60.pdf</t>
  </si>
  <si>
    <t>Melting_Curves/meltCurve_E9PL22_HYOU1.pdf</t>
  </si>
  <si>
    <t>Melting_Curves/meltCurve_E9PL38_PSMD13.pdf</t>
  </si>
  <si>
    <t>Melting_Curves/meltCurve_E9PL57_NEDD8_MDP1.pdf</t>
  </si>
  <si>
    <t>Melting_Curves/meltCurve_E9PL83_ADM.pdf</t>
  </si>
  <si>
    <t>Melting_Curves/meltCurve_E9PLK3_NPEPPS.pdf</t>
  </si>
  <si>
    <t>Melting_Curves/meltCurve_E9PM35_ARRB1.pdf</t>
  </si>
  <si>
    <t>Melting_Curves/meltCurve_E9PMS6_LMO7.pdf</t>
  </si>
  <si>
    <t>Melting_Curves/meltCurve_E9PMT1_CASP4.pdf</t>
  </si>
  <si>
    <t>Melting_Curves/meltCurve_E9PN95_SCGB1A1.pdf</t>
  </si>
  <si>
    <t>Melting_Curves/meltCurve_E9PNK6_TPD52L1.pdf</t>
  </si>
  <si>
    <t>Melting_Curves/meltCurve_E9PNW0_NAP1L4.pdf</t>
  </si>
  <si>
    <t>Melting_Curves/meltCurve_E9PNW4_CD59.pdf</t>
  </si>
  <si>
    <t>Melting_Curves/meltCurve_E9PP21_CSRP1.pdf</t>
  </si>
  <si>
    <t>Melting_Curves/meltCurve_E9PP76_CCS.pdf</t>
  </si>
  <si>
    <t>Melting_Curves/meltCurve_E9PPG2_AMPD3.pdf</t>
  </si>
  <si>
    <t>Melting_Curves/meltCurve_E9PPH5_ANP32E.pdf</t>
  </si>
  <si>
    <t>Melting_Curves/meltCurve_E9PPJ5_MDK.pdf</t>
  </si>
  <si>
    <t>Melting_Curves/meltCurve_E9PQI5_CHMP4A.pdf</t>
  </si>
  <si>
    <t>Melting_Curves/meltCurve_E9PQI8_SART1.pdf</t>
  </si>
  <si>
    <t>Melting_Curves/meltCurve_E9PQW4_MAPK3.pdf</t>
  </si>
  <si>
    <t>Melting_Curves/meltCurve_E9PRA0_TMPRSS13.pdf</t>
  </si>
  <si>
    <t>Melting_Curves/meltCurve_E9PRD9_VNN2.pdf</t>
  </si>
  <si>
    <t>Melting_Curves/meltCurve_E9PRM4_CYB5R2.pdf</t>
  </si>
  <si>
    <t>Melting_Curves/meltCurve_E9PRR2_PRSS23.pdf</t>
  </si>
  <si>
    <t>Melting_Curves/meltCurve_E9PRX5_ZNF720.pdf</t>
  </si>
  <si>
    <t>Melting_Curves/meltCurve_E9PS38_NEDD8_MDP1.pdf</t>
  </si>
  <si>
    <t>Melting_Curves/meltCurve_E9PSC2_CTSF.pdf</t>
  </si>
  <si>
    <t>Melting_Curves/meltCurve_F2Z2U8_MYH14.pdf</t>
  </si>
  <si>
    <t>Melting_Curves/meltCurve_F2Z2Y6_NAA38.pdf</t>
  </si>
  <si>
    <t>Melting_Curves/meltCurve_F2Z3A8_NPHP3.pdf</t>
  </si>
  <si>
    <t>Melting_Curves/meltCurve_F2Z3K9_ESYT2.pdf</t>
  </si>
  <si>
    <t>Melting_Curves/meltCurve_F5GWP8_JUP.pdf</t>
  </si>
  <si>
    <t>Melting_Curves/meltCurve_F5GWT4_WNK1.pdf</t>
  </si>
  <si>
    <t>Melting_Curves/meltCurve_F5GWY5_PODXL.pdf</t>
  </si>
  <si>
    <t>Melting_Curves/meltCurve_F5GX07_REXO2.pdf</t>
  </si>
  <si>
    <t>Melting_Curves/meltCurve_F5GXJ9_ALCAM.pdf</t>
  </si>
  <si>
    <t>Melting_Curves/meltCurve_F5GY03_SPARC.pdf</t>
  </si>
  <si>
    <t>Melting_Curves/meltCurve_F5GY99_GALNT1.pdf</t>
  </si>
  <si>
    <t>Melting_Curves/meltCurve_F5GYC4_RPS6KA3.pdf</t>
  </si>
  <si>
    <t>Melting_Curves/meltCurve_F5GYN4_OTUB1.pdf</t>
  </si>
  <si>
    <t>Melting_Curves/meltCurve_F5GZ00_CAMKK2.pdf</t>
  </si>
  <si>
    <t>Melting_Curves/meltCurve_F5GZ12_SPRR3.pdf</t>
  </si>
  <si>
    <t>Melting_Curves/meltCurve_F5GZ53_TIAM1.pdf</t>
  </si>
  <si>
    <t>Melting_Curves/meltCurve_F5GZ78_PXN.pdf</t>
  </si>
  <si>
    <t>Melting_Curves/meltCurve_F5GZK2_COL21A1.pdf</t>
  </si>
  <si>
    <t>Melting_Curves/meltCurve_F5GZS6_SLC3A2.pdf</t>
  </si>
  <si>
    <t>Melting_Curves/meltCurve_F5GZW3_ARHGAP4.pdf</t>
  </si>
  <si>
    <t>Melting_Curves/meltCurve_F5GZY0_APLP2.pdf</t>
  </si>
  <si>
    <t>Melting_Curves/meltCurve_F5H0B0_TPD52.pdf</t>
  </si>
  <si>
    <t>Melting_Curves/meltCurve_F5H157_RAB35.pdf</t>
  </si>
  <si>
    <t>Melting_Curves/meltCurve_F5H1G9_ABI1.pdf</t>
  </si>
  <si>
    <t>Melting_Curves/meltCurve_F5H1S8_MLEC.pdf</t>
  </si>
  <si>
    <t>Melting_Curves/meltCurve_F5H1Y3_FEN1.pdf</t>
  </si>
  <si>
    <t>Melting_Curves/meltCurve_F5H1Z7_SEMA3C.pdf</t>
  </si>
  <si>
    <t>Melting_Curves/meltCurve_F5H2B9_UACA.pdf</t>
  </si>
  <si>
    <t>Melting_Curves/meltCurve_F5H2Q7_KIAA1715.pdf</t>
  </si>
  <si>
    <t>Melting_Curves/meltCurve_F5H2R5_ARHGDIB.pdf</t>
  </si>
  <si>
    <t>Melting_Curves/meltCurve_F5H2S7_DCTN2.pdf</t>
  </si>
  <si>
    <t>Melting_Curves/meltCurve_F5H335_EIF3A.pdf</t>
  </si>
  <si>
    <t>Melting_Curves/meltCurve_F5H3T3_KCTD20.pdf</t>
  </si>
  <si>
    <t>Melting_Curves/meltCurve_F5H423_ARF3.pdf</t>
  </si>
  <si>
    <t>Melting_Curves/meltCurve_F5H4F9_RPS3A.pdf</t>
  </si>
  <si>
    <t>Melting_Curves/meltCurve_F5H4L7_VPS26A.pdf</t>
  </si>
  <si>
    <t>Melting_Curves/meltCurve_F5H577_BRK1.pdf</t>
  </si>
  <si>
    <t>Melting_Curves/meltCurve_F5H5D3_TUBA1C.pdf</t>
  </si>
  <si>
    <t>Melting_Curves/meltCurve_F5H5E2_PLBD2.pdf</t>
  </si>
  <si>
    <t>Melting_Curves/meltCurve_F5H5P4_VAV1.pdf</t>
  </si>
  <si>
    <t>Melting_Curves/meltCurve_F5H5Q2_ACVR1B.pdf</t>
  </si>
  <si>
    <t>Melting_Curves/meltCurve_F5H5V4_PSMD9.pdf</t>
  </si>
  <si>
    <t>Melting_Curves/meltCurve_F5H648_TAP1.pdf</t>
  </si>
  <si>
    <t>Melting_Curves/meltCurve_F5H6I0_B2M.pdf</t>
  </si>
  <si>
    <t>Melting_Curves/meltCurve_F5H6I7_ATL3.pdf</t>
  </si>
  <si>
    <t>Melting_Curves/meltCurve_F5H6T1_ACTR2.pdf</t>
  </si>
  <si>
    <t>Melting_Curves/meltCurve_F5H6V7_TNFRSF1A.pdf</t>
  </si>
  <si>
    <t>Melting_Curves/meltCurve_F5H6X6_GANAB.pdf</t>
  </si>
  <si>
    <t>Melting_Curves/meltCurve_F5H721_WBP11.pdf</t>
  </si>
  <si>
    <t>Melting_Curves/meltCurve_F5H7C1_PRB3.pdf</t>
  </si>
  <si>
    <t>Melting_Curves/meltCurve_F5H7C4_MSRB3.pdf</t>
  </si>
  <si>
    <t>Melting_Curves/meltCurve_F5H7G2_RGMA.pdf</t>
  </si>
  <si>
    <t>Melting_Curves/meltCurve_F5H7G9_GBP6.pdf</t>
  </si>
  <si>
    <t>Melting_Curves/meltCurve_F5H7K3_EFCAB14.pdf</t>
  </si>
  <si>
    <t>Melting_Curves/meltCurve_F5H7N8_OLR1.pdf</t>
  </si>
  <si>
    <t>Melting_Curves/meltCurve_F5H7R9_PTMS.pdf</t>
  </si>
  <si>
    <t>Melting_Curves/meltCurve_F5H7S3_TPM1.pdf</t>
  </si>
  <si>
    <t>Melting_Curves/meltCurve_F5H7X5_ANXA8L1.pdf</t>
  </si>
  <si>
    <t>Melting_Curves/meltCurve_F5H810_OLFM1.pdf</t>
  </si>
  <si>
    <t>Melting_Curves/meltCurve_F5H853_DEF6.pdf</t>
  </si>
  <si>
    <t>Melting_Curves/meltCurve_F5H877_SPINT1.pdf</t>
  </si>
  <si>
    <t>Melting_Curves/meltCurve_F5H8J2_P4HB.pdf</t>
  </si>
  <si>
    <t>Melting_Curves/meltCurve_F5H8J9_CADM1.pdf</t>
  </si>
  <si>
    <t>Melting_Curves/meltCurve_F6RY50_SIPA1.pdf</t>
  </si>
  <si>
    <t>Melting_Curves/meltCurve_F6SKB8_NECAP2.pdf</t>
  </si>
  <si>
    <t>Melting_Curves/meltCurve_F6UPZ7_TNFRSF14.pdf</t>
  </si>
  <si>
    <t>Melting_Curves/meltCurve_F8VQ14_CCT2.pdf</t>
  </si>
  <si>
    <t>Melting_Curves/meltCurve_F8VQF4_CNOT2.pdf</t>
  </si>
  <si>
    <t>Melting_Curves/meltCurve_F8VR84_C12orf10.pdf</t>
  </si>
  <si>
    <t>Melting_Curves/meltCurve_F8VRJ2_NAP1L1.pdf</t>
  </si>
  <si>
    <t>Melting_Curves/meltCurve_F8VS02_ALDH7A1.pdf</t>
  </si>
  <si>
    <t>Melting_Curves/meltCurve_F8VSC4_METAP2.pdf</t>
  </si>
  <si>
    <t>Melting_Curves/meltCurve_F8VUA6_RPL18.pdf</t>
  </si>
  <si>
    <t>Melting_Curves/meltCurve_F8VUJ3_POC1B_GALNT4.pdf</t>
  </si>
  <si>
    <t>Melting_Curves/meltCurve_F8VV13_MUCL1.pdf</t>
  </si>
  <si>
    <t>Melting_Curves/meltCurve_F8VVD3_OSBPL8.pdf</t>
  </si>
  <si>
    <t>Melting_Curves/meltCurve_F8VVI6_CPM.pdf</t>
  </si>
  <si>
    <t>Melting_Curves/meltCurve_F8VVL1_DENR.pdf</t>
  </si>
  <si>
    <t>Melting_Curves/meltCurve_F8VW89_ARHGAP9.pdf</t>
  </si>
  <si>
    <t>Melting_Curves/meltCurve_F8VWU1_LALBA.pdf</t>
  </si>
  <si>
    <t>Melting_Curves/meltCurve_F8VWV4_RPLP0.pdf</t>
  </si>
  <si>
    <t>Melting_Curves/meltCurve_F8VXC8_SMARCC2.pdf</t>
  </si>
  <si>
    <t>Melting_Curves/meltCurve_F8VXU5_VPS29.pdf</t>
  </si>
  <si>
    <t>Melting_Curves/meltCurve_F8VYK9_IGFBP6.pdf</t>
  </si>
  <si>
    <t>Melting_Curves/meltCurve_F8VZJ2_NACA.pdf</t>
  </si>
  <si>
    <t>Melting_Curves/meltCurve_F8VZQ9_SARNP.pdf</t>
  </si>
  <si>
    <t>Melting_Curves/meltCurve_F8W038_C17orf49.pdf</t>
  </si>
  <si>
    <t>Melting_Curves/meltCurve_F8W148_CA6.pdf</t>
  </si>
  <si>
    <t>Melting_Curves/meltCurve_F8W181_RPL6.pdf</t>
  </si>
  <si>
    <t>Melting_Curves/meltCurve_F8W1A4_AK2.pdf</t>
  </si>
  <si>
    <t>Melting_Curves/meltCurve_F8W1Q3_BTD.pdf</t>
  </si>
  <si>
    <t>Melting_Curves/meltCurve_F8W1R7_MYL6.pdf</t>
  </si>
  <si>
    <t>Melting_Curves/meltCurve_F8W6I7_HNRNPA1.pdf</t>
  </si>
  <si>
    <t>Melting_Curves/meltCurve_F8W726_UBAP2L.pdf</t>
  </si>
  <si>
    <t>Melting_Curves/meltCurve_F8W785_GOLIM4.pdf</t>
  </si>
  <si>
    <t>Melting_Curves/meltCurve_F8W787_CTSD.pdf</t>
  </si>
  <si>
    <t>Melting_Curves/meltCurve_F8W7C6_RPL10.pdf</t>
  </si>
  <si>
    <t>Melting_Curves/meltCurve_F8W7U3_FAM21A.pdf</t>
  </si>
  <si>
    <t>Melting_Curves/meltCurve_F8W845_CTNNA1.pdf</t>
  </si>
  <si>
    <t>Melting_Curves/meltCurve_F8W876_MASP1.pdf</t>
  </si>
  <si>
    <t>Melting_Curves/meltCurve_F8W8H5_RAB24.pdf</t>
  </si>
  <si>
    <t>Melting_Curves/meltCurve_F8W8S0_DYNC1I2.pdf</t>
  </si>
  <si>
    <t>Melting_Curves/meltCurve_F8W914_RTN4.pdf</t>
  </si>
  <si>
    <t>Melting_Curves/meltCurve_F8W9Y0_STX3.pdf</t>
  </si>
  <si>
    <t>Melting_Curves/meltCurve_F8WA67_COLQ.pdf</t>
  </si>
  <si>
    <t>Melting_Curves/meltCurve_F8WAE5_EIF2A.pdf</t>
  </si>
  <si>
    <t>Melting_Curves/meltCurve_F8WAM2_CCT7.pdf</t>
  </si>
  <si>
    <t>Melting_Curves/meltCurve_F8WAM8_KLK1.pdf</t>
  </si>
  <si>
    <t>Melting_Curves/meltCurve_F8WAQ7_ST13.pdf</t>
  </si>
  <si>
    <t>Melting_Curves/meltCurve_F8WB82_GALM.pdf</t>
  </si>
  <si>
    <t>Melting_Curves/meltCurve_F8WC07_LAIR1.pdf</t>
  </si>
  <si>
    <t>Melting_Curves/meltCurve_F8WCF6_ARPC4.pdf</t>
  </si>
  <si>
    <t>Melting_Curves/meltCurve_F8WCY4_LILRA6.pdf</t>
  </si>
  <si>
    <t>Melting_Curves/meltCurve_F8WDF3_PDCD10.pdf</t>
  </si>
  <si>
    <t>Melting_Curves/meltCurve_F8WE81_MUC16.pdf</t>
  </si>
  <si>
    <t>Melting_Curves/meltCurve_F8WEP1_KYNU.pdf</t>
  </si>
  <si>
    <t>Melting_Curves/meltCurve_F8WEQ6_RALB.pdf</t>
  </si>
  <si>
    <t>Melting_Curves/meltCurve_F8WF49_DLGAP4.pdf</t>
  </si>
  <si>
    <t>Melting_Curves/meltCurve_F8WF69_CLTA.pdf</t>
  </si>
  <si>
    <t>Melting_Curves/meltCurve_G3V113_UBE2V2.pdf</t>
  </si>
  <si>
    <t>Melting_Curves/meltCurve_G3V132_IPCEF1.pdf</t>
  </si>
  <si>
    <t>Melting_Curves/meltCurve_G3V169_CASP1.pdf</t>
  </si>
  <si>
    <t>Melting_Curves/meltCurve_G3V1D3_DPP3.pdf</t>
  </si>
  <si>
    <t>Melting_Curves/meltCurve_G3V1J9_TMED3.pdf</t>
  </si>
  <si>
    <t>Melting_Curves/meltCurve_G3V1Q4_SEPT7.pdf</t>
  </si>
  <si>
    <t>Melting_Curves/meltCurve_G3V1T4_NUP107.pdf</t>
  </si>
  <si>
    <t>Melting_Curves/meltCurve_G3V295_PSMA6.pdf</t>
  </si>
  <si>
    <t>Melting_Curves/meltCurve_G3V2U7_ACYP1.pdf</t>
  </si>
  <si>
    <t>Melting_Curves/meltCurve_G3V2V6_ATP6V1D.pdf</t>
  </si>
  <si>
    <t>Melting_Curves/meltCurve_G3V3L6_MTHFD1.pdf</t>
  </si>
  <si>
    <t>Melting_Curves/meltCurve_G3V3Z5_FAM177A1.pdf</t>
  </si>
  <si>
    <t>Melting_Curves/meltCurve_G3V3Z8_NUMB.pdf</t>
  </si>
  <si>
    <t>Melting_Curves/meltCurve_G3V461_CKB.pdf</t>
  </si>
  <si>
    <t>Melting_Curves/meltCurve_G3V4P8_GMFB.pdf</t>
  </si>
  <si>
    <t>Melting_Curves/meltCurve_G3V4U0_FBLN5.pdf</t>
  </si>
  <si>
    <t>Melting_Curves/meltCurve_G3V4U5_EML1.pdf</t>
  </si>
  <si>
    <t>Melting_Curves/meltCurve_G3V4Y7_KTN1.pdf</t>
  </si>
  <si>
    <t>Melting_Curves/meltCurve_G3V511_LTBP2.pdf</t>
  </si>
  <si>
    <t>Melting_Curves/meltCurve_G3V533_SYNE3.pdf</t>
  </si>
  <si>
    <t>Melting_Curves/meltCurve_G3V576_HNRNPC.pdf</t>
  </si>
  <si>
    <t>Melting_Curves/meltCurve_G3V578_NDRG2.pdf</t>
  </si>
  <si>
    <t>Melting_Curves/meltCurve_G3V5D9_APEX1.pdf</t>
  </si>
  <si>
    <t>Melting_Curves/meltCurve_G3V5I3_SERPINA3.pdf</t>
  </si>
  <si>
    <t>Melting_Curves/meltCurve_G3V5V4_COCH.pdf</t>
  </si>
  <si>
    <t>Melting_Curves/meltCurve_G3XAM2_CFI.pdf</t>
  </si>
  <si>
    <t>Melting_Curves/meltCurve_G3XAP6_COMP.pdf</t>
  </si>
  <si>
    <t>Melting_Curves/meltCurve_G5E972_TMPO.pdf</t>
  </si>
  <si>
    <t>Melting_Curves/meltCurve_G5E9W9_GIMAP4.pdf</t>
  </si>
  <si>
    <t>Melting_Curves/meltCurve_G5EA43_TMPRSS5.pdf</t>
  </si>
  <si>
    <t>Melting_Curves/meltCurve_G5EA52_PDIA3.pdf</t>
  </si>
  <si>
    <t>Melting_Curves/meltCurve_G8JL86_COBLL1.pdf</t>
  </si>
  <si>
    <t>Melting_Curves/meltCurve_G8JL88_APOL1.pdf</t>
  </si>
  <si>
    <t>Melting_Curves/meltCurve_G8JLA8_TGFBI.pdf</t>
  </si>
  <si>
    <t>Melting_Curves/meltCurve_G8JLC6_MIA3.pdf</t>
  </si>
  <si>
    <t>Melting_Curves/meltCurve_G8JLG2_CDSN.pdf</t>
  </si>
  <si>
    <t>Melting_Curves/meltCurve_H0Y2P0_CD44.pdf</t>
  </si>
  <si>
    <t>Melting_Curves/meltCurve_H0Y2X5_ALDH1A3.pdf</t>
  </si>
  <si>
    <t>Melting_Curves/meltCurve_H0Y3P2_EIF4G2.pdf</t>
  </si>
  <si>
    <t>Melting_Curves/meltCurve_H0Y3R8_TJP1.pdf</t>
  </si>
  <si>
    <t>Melting_Curves/meltCurve_H0Y477_DUT.pdf</t>
  </si>
  <si>
    <t>Melting_Curves/meltCurve_H0Y4S8_KIAA0319L.pdf</t>
  </si>
  <si>
    <t>Melting_Curves/meltCurve_H0Y4U3_FCGR3B.pdf</t>
  </si>
  <si>
    <t>Melting_Curves/meltCurve_H0Y512_APMAP.pdf</t>
  </si>
  <si>
    <t>Melting_Curves/meltCurve_H0Y555_PSMF1.pdf</t>
  </si>
  <si>
    <t>Melting_Curves/meltCurve_H0Y561_PSMD4.pdf</t>
  </si>
  <si>
    <t>Melting_Curves/meltCurve_H0Y5A1_PTGDS.pdf</t>
  </si>
  <si>
    <t>Melting_Curves/meltCurve_H0Y5R6_UROD.pdf</t>
  </si>
  <si>
    <t>Melting_Curves/meltCurve_H0Y612_TRIM33.pdf</t>
  </si>
  <si>
    <t>Melting_Curves/meltCurve_H0Y614_UFM1.pdf</t>
  </si>
  <si>
    <t>Melting_Curves/meltCurve_H0Y630_STK24.pdf</t>
  </si>
  <si>
    <t>Melting_Curves/meltCurve_H0Y750_ATP6AP2.pdf</t>
  </si>
  <si>
    <t>Melting_Curves/meltCurve_H0Y755_FCGR3A.pdf</t>
  </si>
  <si>
    <t>Melting_Curves/meltCurve_H0Y798_PCCA.pdf</t>
  </si>
  <si>
    <t>Melting_Curves/meltCurve_H0Y7V4_DNAH8.pdf</t>
  </si>
  <si>
    <t>Melting_Curves/meltCurve_H0Y8I3_PGM3.pdf</t>
  </si>
  <si>
    <t>Melting_Curves/meltCurve_H0Y961_SEPT11.pdf</t>
  </si>
  <si>
    <t>Melting_Curves/meltCurve_H0Y9I0_MLLT4.pdf</t>
  </si>
  <si>
    <t>Melting_Curves/meltCurve_H0Y9J0_RAP1GDS1.pdf</t>
  </si>
  <si>
    <t>Melting_Curves/meltCurve_H0Y9X3_PDCD6.pdf</t>
  </si>
  <si>
    <t>Melting_Curves/meltCurve_H0YA68_MAN2B2.pdf</t>
  </si>
  <si>
    <t>Melting_Curves/meltCurve_H0YAC1_KLKB1.pdf</t>
  </si>
  <si>
    <t>Melting_Curves/meltCurve_H0YAL9_TMPRSS11A.pdf</t>
  </si>
  <si>
    <t>Melting_Curves/meltCurve_H0YAZ5_C8orf58.pdf</t>
  </si>
  <si>
    <t>Melting_Curves/meltCurve_H0YBD0_AP3B1.pdf</t>
  </si>
  <si>
    <t>Melting_Curves/meltCurve_H0YC33_LARP1.pdf</t>
  </si>
  <si>
    <t>Melting_Curves/meltCurve_H0YC68_GSR.pdf</t>
  </si>
  <si>
    <t>Melting_Curves/meltCurve_H0YCR2_REPS1.pdf</t>
  </si>
  <si>
    <t>Melting_Curves/meltCurve_H0YCR9_EFEMP2.pdf</t>
  </si>
  <si>
    <t>Melting_Curves/meltCurve_H0YCY1_PICALM.pdf</t>
  </si>
  <si>
    <t>Melting_Curves/meltCurve_H0YCY6_DAK.pdf</t>
  </si>
  <si>
    <t>Melting_Curves/meltCurve_H0YDB2_STIM1.pdf</t>
  </si>
  <si>
    <t>Melting_Curves/meltCurve_H0YDU3_TOR1AIP1.pdf</t>
  </si>
  <si>
    <t>Melting_Curves/meltCurve_H0YE06_CR1.pdf</t>
  </si>
  <si>
    <t>Melting_Curves/meltCurve_H0YE91_CHI3L2.pdf</t>
  </si>
  <si>
    <t>Melting_Curves/meltCurve_H0YEN5_RPS2.pdf</t>
  </si>
  <si>
    <t>Melting_Curves/meltCurve_H0YEP8_SERPINH1.pdf</t>
  </si>
  <si>
    <t>Melting_Curves/meltCurve_H0YFI1_LAMTOR1.pdf</t>
  </si>
  <si>
    <t>Melting_Curves/meltCurve_H0YFS9_GLTP.pdf</t>
  </si>
  <si>
    <t>Melting_Curves/meltCurve_H0YGL6_RAB6A.pdf</t>
  </si>
  <si>
    <t>Melting_Curves/meltCurve_H0YGL9_RYR2.pdf</t>
  </si>
  <si>
    <t>Melting_Curves/meltCurve_H0YH81_ATP5B.pdf</t>
  </si>
  <si>
    <t>Melting_Curves/meltCurve_H0YHL7_CORO1C.pdf</t>
  </si>
  <si>
    <t>Melting_Curves/meltCurve_H0YIP0_MARS.pdf</t>
  </si>
  <si>
    <t>Melting_Curves/meltCurve_H0YJH9_PABPN1.pdf</t>
  </si>
  <si>
    <t>Melting_Curves/meltCurve_H0YK42_SNX1.pdf</t>
  </si>
  <si>
    <t>Melting_Curves/meltCurve_H0YKE7_CHP1.pdf</t>
  </si>
  <si>
    <t>Melting_Curves/meltCurve_H0YLF3_B2M.pdf</t>
  </si>
  <si>
    <t>Melting_Curves/meltCurve_H0YLR3_SNRPA1.pdf</t>
  </si>
  <si>
    <t>Melting_Curves/meltCurve_H0YMD0_ANXA2.pdf</t>
  </si>
  <si>
    <t>Melting_Curves/meltCurve_H0YMR0_CASC4.pdf</t>
  </si>
  <si>
    <t>Melting_Curves/meltCurve_H0YN26_ANP32A.pdf</t>
  </si>
  <si>
    <t>Melting_Curves/meltCurve_H0YN73_RPS17L.pdf</t>
  </si>
  <si>
    <t>Melting_Curves/meltCurve_H0YNE3_PSME1.pdf</t>
  </si>
  <si>
    <t>Melting_Curves/meltCurve_H0YNE9_RAB8B.pdf</t>
  </si>
  <si>
    <t>Melting_Curves/meltCurve_H3BLU7_AKR7A2.pdf</t>
  </si>
  <si>
    <t>Melting_Curves/meltCurve_H3BLV0_CD55.pdf</t>
  </si>
  <si>
    <t>Melting_Curves/meltCurve_H3BM89_RPL4.pdf</t>
  </si>
  <si>
    <t>Melting_Curves/meltCurve_H3BNE1_SNAP23.pdf</t>
  </si>
  <si>
    <t>Melting_Curves/meltCurve_H3BP20_HEXA.pdf</t>
  </si>
  <si>
    <t>Melting_Curves/meltCurve_H3BP35_MVD.pdf</t>
  </si>
  <si>
    <t>Melting_Curves/meltCurve_H3BPE7_FUS.pdf</t>
  </si>
  <si>
    <t>Melting_Curves/meltCurve_H3BPK3_HAGH.pdf</t>
  </si>
  <si>
    <t>Melting_Curves/meltCurve_H3BQ52_ARPP19.pdf</t>
  </si>
  <si>
    <t>Melting_Curves/meltCurve_H3BQB1_APRT.pdf</t>
  </si>
  <si>
    <t>Melting_Curves/meltCurve_H3BQF7_IST1.pdf</t>
  </si>
  <si>
    <t>Melting_Curves/meltCurve_H3BQZ7_hCG_2044799.pdf</t>
  </si>
  <si>
    <t>Melting_Curves/meltCurve_H3BR27_RBMX.pdf</t>
  </si>
  <si>
    <t>Melting_Curves/meltCurve_H3BRP9_SIRPB1.pdf</t>
  </si>
  <si>
    <t>Melting_Curves/meltCurve_H3BRU6_PCBP2.pdf</t>
  </si>
  <si>
    <t>Melting_Curves/meltCurve_H3BTE3_AMDHD2.pdf</t>
  </si>
  <si>
    <t>Melting_Curves/meltCurve_H3BTK3_CARHSP1.pdf</t>
  </si>
  <si>
    <t>Melting_Curves/meltCurve_H3BUD9_RAB27A.pdf</t>
  </si>
  <si>
    <t>Melting_Curves/meltCurve_H3BV04_SCAMP2.pdf</t>
  </si>
  <si>
    <t>Melting_Curves/meltCurve_H3BV11_NUP93.pdf</t>
  </si>
  <si>
    <t>Melting_Curves/meltCurve_H3BV53_MBTPS1.pdf</t>
  </si>
  <si>
    <t>Melting_Curves/meltCurve_H3BVC8_PRSS8.pdf</t>
  </si>
  <si>
    <t>Melting_Curves/meltCurve_H7BXI7_LYPD6B.pdf</t>
  </si>
  <si>
    <t>Melting_Curves/meltCurve_H7BXU9_FGFR2.pdf</t>
  </si>
  <si>
    <t>Melting_Curves/meltCurve_H7BXV5_COL18A1.pdf</t>
  </si>
  <si>
    <t>Melting_Curves/meltCurve_H7BY83_WDR44.pdf</t>
  </si>
  <si>
    <t>Melting_Curves/meltCurve_H7BYG8_LTN1.pdf</t>
  </si>
  <si>
    <t>Melting_Curves/meltCurve_H7BYJ3_CIT.pdf</t>
  </si>
  <si>
    <t>Melting_Curves/meltCurve_H7BYP0_EPS15.pdf</t>
  </si>
  <si>
    <t>Melting_Curves/meltCurve_H7BYW6_PDGFA.pdf</t>
  </si>
  <si>
    <t>Melting_Curves/meltCurve_H7BZ14_PPIL3.pdf</t>
  </si>
  <si>
    <t>Melting_Curves/meltCurve_H7BZ35_DARS.pdf</t>
  </si>
  <si>
    <t>Melting_Curves/meltCurve_H7BZ87_KREMEN1.pdf</t>
  </si>
  <si>
    <t>Melting_Curves/meltCurve_H7BZ97_ITGA6.pdf</t>
  </si>
  <si>
    <t>Melting_Curves/meltCurve_H7BZJ3_PDIA3.pdf</t>
  </si>
  <si>
    <t>Melting_Curves/meltCurve_H7BZT4_.pdf</t>
  </si>
  <si>
    <t>Melting_Curves/meltCurve_H7BZT7_ESD.pdf</t>
  </si>
  <si>
    <t>Melting_Curves/meltCurve_H7C013_ALB.pdf</t>
  </si>
  <si>
    <t>Melting_Curves/meltCurve_H7C270_CTDSP1.pdf</t>
  </si>
  <si>
    <t>Melting_Curves/meltCurve_H7C393_APEH.pdf</t>
  </si>
  <si>
    <t>Melting_Curves/meltCurve_H7C3G9_NAGK.pdf</t>
  </si>
  <si>
    <t>Melting_Curves/meltCurve_H7C3P4_GNS.pdf</t>
  </si>
  <si>
    <t>Melting_Curves/meltCurve_H7C3Q5_PPP1R7.pdf</t>
  </si>
  <si>
    <t>Melting_Curves/meltCurve_H7C3R6_ZBTB8OS.pdf</t>
  </si>
  <si>
    <t>Melting_Curves/meltCurve_H7C492_BCS1L.pdf</t>
  </si>
  <si>
    <t>Melting_Curves/meltCurve_H7C4P1_ARHGAP25.pdf</t>
  </si>
  <si>
    <t>Melting_Curves/meltCurve_H7C559_PPP4R2.pdf</t>
  </si>
  <si>
    <t>Melting_Curves/meltCurve_H9KV70_LCN2.pdf</t>
  </si>
  <si>
    <t>Melting_Curves/meltCurve_H9KVA7_CEACAM5.pdf</t>
  </si>
  <si>
    <t>Melting_Curves/meltCurve_I3L097_.pdf</t>
  </si>
  <si>
    <t>Melting_Curves/meltCurve_I3L0N3_NSF.pdf</t>
  </si>
  <si>
    <t>Melting_Curves/meltCurve_I3L0S7_MEFV.pdf</t>
  </si>
  <si>
    <t>Melting_Curves/meltCurve_I3L0W2_SMG1.pdf</t>
  </si>
  <si>
    <t>Melting_Curves/meltCurve_I3L1J2_CDH5.pdf</t>
  </si>
  <si>
    <t>Melting_Curves/meltCurve_I3L1K4_RNF167.pdf</t>
  </si>
  <si>
    <t>Melting_Curves/meltCurve_I3L1Y9_FLYWCH2.pdf</t>
  </si>
  <si>
    <t>Melting_Curves/meltCurve_I3L268_ACAP1.pdf</t>
  </si>
  <si>
    <t>Melting_Curves/meltCurve_I3L2X8_PITPNA.pdf</t>
  </si>
  <si>
    <t>Melting_Curves/meltCurve_I3L397_EIF5A.pdf</t>
  </si>
  <si>
    <t>Melting_Curves/meltCurve_I3L3D5_PFN1.pdf</t>
  </si>
  <si>
    <t>Melting_Curves/meltCurve_I3L3G9_NDE1.pdf</t>
  </si>
  <si>
    <t>Melting_Curves/meltCurve_I3L3H7_COL1A1.pdf</t>
  </si>
  <si>
    <t>Melting_Curves/meltCurve_I3L3Q4_GLOD4.pdf</t>
  </si>
  <si>
    <t>Melting_Curves/meltCurve_I3L4U9_NPLOC4.pdf</t>
  </si>
  <si>
    <t>Melting_Curves/meltCurve_I3L4X0_PPP4C.pdf</t>
  </si>
  <si>
    <t>Melting_Curves/meltCurve_I3L506_SCPEP1.pdf</t>
  </si>
  <si>
    <t>Melting_Curves/meltCurve_I6L8B7_FABP5.pdf</t>
  </si>
  <si>
    <t>Melting_Curves/meltCurve_J3KMY5_NPC2.pdf</t>
  </si>
  <si>
    <t>Melting_Curves/meltCurve_J3KMZ9_LDLR.pdf</t>
  </si>
  <si>
    <t>Melting_Curves/meltCurve_J3KN36_NOMO3.pdf</t>
  </si>
  <si>
    <t>Melting_Curves/meltCurve_J3KN60_ETFA.pdf</t>
  </si>
  <si>
    <t>Melting_Curves/meltCurve_J3KN67_TPM3.pdf</t>
  </si>
  <si>
    <t>Melting_Curves/meltCurve_J3KNB4_CAMP.pdf</t>
  </si>
  <si>
    <t>Melting_Curves/meltCurve_J3KNC7_CYB5A.pdf</t>
  </si>
  <si>
    <t>Melting_Curves/meltCurve_J3KNL6_SEC16A.pdf</t>
  </si>
  <si>
    <t>Melting_Curves/meltCurve_J3KNT0_FSCN1.pdf</t>
  </si>
  <si>
    <t>Melting_Curves/meltCurve_J3KP29_NUP98.pdf</t>
  </si>
  <si>
    <t>Melting_Curves/meltCurve_J3KPA1_CRISP3.pdf</t>
  </si>
  <si>
    <t>Melting_Curves/meltCurve_J3KPD9_NME2.pdf</t>
  </si>
  <si>
    <t>Melting_Curves/meltCurve_J3KPM9_STAT1.pdf</t>
  </si>
  <si>
    <t>Melting_Curves/meltCurve_J3KPS3_ALDOA.pdf</t>
  </si>
  <si>
    <t>Melting_Curves/meltCurve_J3KQ18_DDT.pdf</t>
  </si>
  <si>
    <t>Melting_Curves/meltCurve_J3KQ37_RGPD8.pdf</t>
  </si>
  <si>
    <t>Melting_Curves/meltCurve_J3KQ45_TGOLN2.pdf</t>
  </si>
  <si>
    <t>Melting_Curves/meltCurve_J3KRP0_CNDP1.pdf</t>
  </si>
  <si>
    <t>Melting_Curves/meltCurve_J3KRW7_TMEM199.pdf</t>
  </si>
  <si>
    <t>Melting_Curves/meltCurve_J3KSX6_NT5C.pdf</t>
  </si>
  <si>
    <t>Melting_Curves/meltCurve_J3KSY7_CASC3.pdf</t>
  </si>
  <si>
    <t>Melting_Curves/meltCurve_J3KT11_LPO.pdf</t>
  </si>
  <si>
    <t>Melting_Curves/meltCurve_J3KT51_HN1.pdf</t>
  </si>
  <si>
    <t>Melting_Curves/meltCurve_J3KTD8_CBFB.pdf</t>
  </si>
  <si>
    <t>Melting_Curves/meltCurve_J3KTE9_CDH3.pdf</t>
  </si>
  <si>
    <t>Melting_Curves/meltCurve_J3KTJ8_RPL26.pdf</t>
  </si>
  <si>
    <t>Melting_Curves/meltCurve_J3QK90_NSFL1C.pdf</t>
  </si>
  <si>
    <t>Melting_Curves/meltCurve_J3QL69_LIMD2.pdf</t>
  </si>
  <si>
    <t>Melting_Curves/meltCurve_J3QL71_SCRN2.pdf</t>
  </si>
  <si>
    <t>Melting_Curves/meltCurve_J3QLI9_SNRPD1.pdf</t>
  </si>
  <si>
    <t>Melting_Curves/meltCurve_J3QLP3_VWA1.pdf</t>
  </si>
  <si>
    <t>Melting_Curves/meltCurve_J3QLT3_RALBP1.pdf</t>
  </si>
  <si>
    <t>Melting_Curves/meltCurve_J3QQL9_DUS1L.pdf</t>
  </si>
  <si>
    <t>Melting_Curves/meltCurve_J3QQT6_USP14.pdf</t>
  </si>
  <si>
    <t>Melting_Curves/meltCurve_J3QR51_RAB31.pdf</t>
  </si>
  <si>
    <t>Melting_Curves/meltCurve_J3QRS3_MYL12A.pdf</t>
  </si>
  <si>
    <t>Melting_Curves/meltCurve_J3QS28_NAPG.pdf</t>
  </si>
  <si>
    <t>Melting_Curves/meltCurve_J3QS39_UBB.pdf</t>
  </si>
  <si>
    <t>Melting_Curves/meltCurve_J3QSA3_UBB.pdf</t>
  </si>
  <si>
    <t>Melting_Curves/meltCurve_J3QSB7_MTAP.pdf</t>
  </si>
  <si>
    <t>Melting_Curves/meltCurve_J3QSX6_ABLIM1.pdf</t>
  </si>
  <si>
    <t>Melting_Curves/meltCurve_J9JID7_LMNB2.pdf</t>
  </si>
  <si>
    <t>Melting_Curves/meltCurve_K4DI84_PRAM1.pdf</t>
  </si>
  <si>
    <t>Melting_Curves/meltCurve_K7EII6_EML2.pdf</t>
  </si>
  <si>
    <t>Melting_Curves/meltCurve_K7EIN1_WBP2.pdf</t>
  </si>
  <si>
    <t>Melting_Curves/meltCurve_K7EJ28_TNFSF13.pdf</t>
  </si>
  <si>
    <t>Melting_Curves/meltCurve_K7EK35_STAT5A.pdf</t>
  </si>
  <si>
    <t>Melting_Curves/meltCurve_K7EK45_PTBP1.pdf</t>
  </si>
  <si>
    <t>Melting_Curves/meltCurve_K7EKG2_TXNL1.pdf</t>
  </si>
  <si>
    <t>Melting_Curves/meltCurve_K7EKI0_EVPL.pdf</t>
  </si>
  <si>
    <t>Melting_Curves/meltCurve_K7EKI8_PPL.pdf</t>
  </si>
  <si>
    <t>Melting_Curves/meltCurve_K7EKM5_TREM1.pdf</t>
  </si>
  <si>
    <t>Melting_Curves/meltCurve_K7EKM7_C19orf77.pdf</t>
  </si>
  <si>
    <t>Melting_Curves/meltCurve_K7EKW9_FLOT2.pdf</t>
  </si>
  <si>
    <t>Melting_Curves/meltCurve_K7ELL7_PRKCSH.pdf</t>
  </si>
  <si>
    <t>Melting_Curves/meltCurve_K7ELR1_DNM2.pdf</t>
  </si>
  <si>
    <t>Melting_Curves/meltCurve_K7ELT5_TBCB.pdf</t>
  </si>
  <si>
    <t>Melting_Curves/meltCurve_K7ELV6_CIRBP.pdf</t>
  </si>
  <si>
    <t>Melting_Curves/meltCurve_K7ELW0_PARK7.pdf</t>
  </si>
  <si>
    <t>Melting_Curves/meltCurve_K7EM11_GIPC1.pdf</t>
  </si>
  <si>
    <t>Melting_Curves/meltCurve_K7EM38_ACTG1.pdf</t>
  </si>
  <si>
    <t>Melting_Curves/meltCurve_K7EMD6_SGTA.pdf</t>
  </si>
  <si>
    <t>Melting_Curves/meltCurve_K7EMS3_KRT19.pdf</t>
  </si>
  <si>
    <t>Melting_Curves/meltCurve_K7EMV3_H3F3B.pdf</t>
  </si>
  <si>
    <t>Melting_Curves/meltCurve_K7EN03_PPP1R13L.pdf</t>
  </si>
  <si>
    <t>Melting_Curves/meltCurve_K7ENG2_U2AF2.pdf</t>
  </si>
  <si>
    <t>Melting_Curves/meltCurve_K7ENJ0_RAD23A.pdf</t>
  </si>
  <si>
    <t>Melting_Curves/meltCurve_K7ENS1_EPG5.pdf</t>
  </si>
  <si>
    <t>Melting_Curves/meltCurve_K7ENU8_BCAM.pdf</t>
  </si>
  <si>
    <t>Melting_Curves/meltCurve_K7EQA1_PDCD5.pdf</t>
  </si>
  <si>
    <t>Melting_Curves/meltCurve_K7EQZ3_.pdf</t>
  </si>
  <si>
    <t>Melting_Curves/meltCurve_K7ERG9_CFD.pdf</t>
  </si>
  <si>
    <t>Melting_Curves/meltCurve_K7ERI9_APOC1.pdf</t>
  </si>
  <si>
    <t>Melting_Curves/meltCurve_K7ERN2_ICAM3.pdf</t>
  </si>
  <si>
    <t>Melting_Curves/meltCurve_K7ERU9_.pdf</t>
  </si>
  <si>
    <t>Melting_Curves/meltCurve_K7ES31_EIF3K.pdf</t>
  </si>
  <si>
    <t>Melting_Curves/meltCurve_K7ES82_CAPNS1.pdf</t>
  </si>
  <si>
    <t>Melting_Curves/meltCurve_M0QXB4_COPE.pdf</t>
  </si>
  <si>
    <t>Melting_Curves/meltCurve_M0QXB5_ETHE1.pdf</t>
  </si>
  <si>
    <t>Melting_Curves/meltCurve_M0QXD2_AKAP8L.pdf</t>
  </si>
  <si>
    <t>Melting_Curves/meltCurve_M0QYG8_GMFG.pdf</t>
  </si>
  <si>
    <t>Melting_Curves/meltCurve_M0QYM2_.pdf</t>
  </si>
  <si>
    <t>Melting_Curves/meltCurve_M0QYR1_SNRNP70.pdf</t>
  </si>
  <si>
    <t>Melting_Curves/meltCurve_M0QYU8_KLK7.pdf</t>
  </si>
  <si>
    <t>Melting_Curves/meltCurve_M0QYY3_LYPD5.pdf</t>
  </si>
  <si>
    <t>Melting_Curves/meltCurve_M0QZI4_PLD3.pdf</t>
  </si>
  <si>
    <t>Melting_Curves/meltCurve_M0QZI8_KLK11.pdf</t>
  </si>
  <si>
    <t>Melting_Curves/meltCurve_M0QZK8_GGCT.pdf</t>
  </si>
  <si>
    <t>Melting_Curves/meltCurve_M0QZR4_ARHGEF1.pdf</t>
  </si>
  <si>
    <t>Melting_Curves/meltCurve_M0QZR9_ELAVL1.pdf</t>
  </si>
  <si>
    <t>Melting_Curves/meltCurve_M0R0P7_RPL18A.pdf</t>
  </si>
  <si>
    <t>Melting_Curves/meltCurve_M0R0Y2_NAPA.pdf</t>
  </si>
  <si>
    <t>Melting_Curves/meltCurve_M0R150_.pdf</t>
  </si>
  <si>
    <t>Melting_Curves/meltCurve_M0R154_ESM1.pdf</t>
  </si>
  <si>
    <t>Melting_Curves/meltCurve_M0R1E0_RAB4B.pdf</t>
  </si>
  <si>
    <t>Melting_Curves/meltCurve_M0R1Q0_FKBP8.pdf</t>
  </si>
  <si>
    <t>Melting_Curves/meltCurve_M0R294_KLK3.pdf</t>
  </si>
  <si>
    <t>Melting_Curves/meltCurve_M0R2L9_RPS19.pdf</t>
  </si>
  <si>
    <t>Melting_Curves/meltCurve_M0R2S2_EPS15L1.pdf</t>
  </si>
  <si>
    <t>Melting_Curves/meltCurve_M0R300_MYO9B.pdf</t>
  </si>
  <si>
    <t>Melting_Curves/meltCurve_M0R389_PAFAH1B3.pdf</t>
  </si>
  <si>
    <t>Melting_Curves/meltCurve_O00151_PDLIM1.pdf</t>
  </si>
  <si>
    <t>Melting_Curves/meltCurve_O00160_MYO1F.pdf</t>
  </si>
  <si>
    <t>Melting_Curves/meltCurve_O00244_ATOX1.pdf</t>
  </si>
  <si>
    <t>Melting_Curves/meltCurve_O00291_3_HIP1.pdf</t>
  </si>
  <si>
    <t>Melting_Curves/meltCurve_O00299_CLIC1.pdf</t>
  </si>
  <si>
    <t>Melting_Curves/meltCurve_O00391_QSOX1.pdf</t>
  </si>
  <si>
    <t>Melting_Curves/meltCurve_O00462_MANBA.pdf</t>
  </si>
  <si>
    <t>Melting_Curves/meltCurve_O00468_2_AGRN.pdf</t>
  </si>
  <si>
    <t>Melting_Curves/meltCurve_O00479_HMGN4.pdf</t>
  </si>
  <si>
    <t>Melting_Curves/meltCurve_O00602_FCN1.pdf</t>
  </si>
  <si>
    <t>Melting_Curves/meltCurve_O00622_CYR61.pdf</t>
  </si>
  <si>
    <t>Melting_Curves/meltCurve_O00748_CES2.pdf</t>
  </si>
  <si>
    <t>Melting_Curves/meltCurve_O00754_2_MAN2B1.pdf</t>
  </si>
  <si>
    <t>Melting_Curves/meltCurve_O00764_2_PDXK.pdf</t>
  </si>
  <si>
    <t>Melting_Curves/meltCurve_O14498_ISLR.pdf</t>
  </si>
  <si>
    <t>Melting_Curves/meltCurve_O14672_ADAM10.pdf</t>
  </si>
  <si>
    <t>Melting_Curves/meltCurve_O14732_2_IMPA2.pdf</t>
  </si>
  <si>
    <t>Melting_Curves/meltCurve_O14745_SLC9A3R1.pdf</t>
  </si>
  <si>
    <t>Melting_Curves/meltCurve_O14773_TPP1.pdf</t>
  </si>
  <si>
    <t>Melting_Curves/meltCurve_O14798_TNFRSF10C.pdf</t>
  </si>
  <si>
    <t>Melting_Curves/meltCurve_O14818_2_PSMA7.pdf</t>
  </si>
  <si>
    <t>Melting_Curves/meltCurve_O14828_SCAMP3.pdf</t>
  </si>
  <si>
    <t>Melting_Curves/meltCurve_O14907_TAX1BP3.pdf</t>
  </si>
  <si>
    <t>Melting_Curves/meltCurve_O14974_5_PPP1R12A.pdf</t>
  </si>
  <si>
    <t>Melting_Curves/meltCurve_O14979_3_HNRPDL.pdf</t>
  </si>
  <si>
    <t>Melting_Curves/meltCurve_O15020_2_SPTBN2.pdf</t>
  </si>
  <si>
    <t>Melting_Curves/meltCurve_O15031_PLXNB2.pdf</t>
  </si>
  <si>
    <t>Melting_Curves/meltCurve_O15067_PFAS.pdf</t>
  </si>
  <si>
    <t>Melting_Curves/meltCurve_O15117_FYB.pdf</t>
  </si>
  <si>
    <t>Melting_Curves/meltCurve_O15126_2_SCAMP1.pdf</t>
  </si>
  <si>
    <t>Melting_Curves/meltCurve_O15143_ARPC1B.pdf</t>
  </si>
  <si>
    <t>Melting_Curves/meltCurve_O15144_ARPC2.pdf</t>
  </si>
  <si>
    <t>Melting_Curves/meltCurve_O15145_ARPC3.pdf</t>
  </si>
  <si>
    <t>Melting_Curves/meltCurve_O15212_PFDN6.pdf</t>
  </si>
  <si>
    <t>Melting_Curves/meltCurve_O15231_3_ZNF185.pdf</t>
  </si>
  <si>
    <t>Melting_Curves/meltCurve_O15231_4_ZNF185.pdf</t>
  </si>
  <si>
    <t>Melting_Curves/meltCurve_O15335_CHAD.pdf</t>
  </si>
  <si>
    <t>Melting_Curves/meltCurve_O15389_SIGLEC5.pdf</t>
  </si>
  <si>
    <t>Melting_Curves/meltCurve_O15400_2_STX7.pdf</t>
  </si>
  <si>
    <t>Melting_Curves/meltCurve_O15511_ARPC5.pdf</t>
  </si>
  <si>
    <t>Melting_Curves/meltCurve_O43143_DHX15.pdf</t>
  </si>
  <si>
    <t>Melting_Curves/meltCurve_O43175_PHGDH.pdf</t>
  </si>
  <si>
    <t>Melting_Curves/meltCurve_O43240_KLK10.pdf</t>
  </si>
  <si>
    <t>Melting_Curves/meltCurve_O43242_PSMD3.pdf</t>
  </si>
  <si>
    <t>Melting_Curves/meltCurve_O43291_SPINT2.pdf</t>
  </si>
  <si>
    <t>Melting_Curves/meltCurve_O43399_2_TPD52L2.pdf</t>
  </si>
  <si>
    <t>Melting_Curves/meltCurve_O43490_5_PROM1.pdf</t>
  </si>
  <si>
    <t>Melting_Curves/meltCurve_O43505_B3GNT1.pdf</t>
  </si>
  <si>
    <t>Melting_Curves/meltCurve_O43516_WIPF1.pdf</t>
  </si>
  <si>
    <t>Melting_Curves/meltCurve_O43617_2_TRAPPC3.pdf</t>
  </si>
  <si>
    <t>Melting_Curves/meltCurve_O43681_ASNA1.pdf</t>
  </si>
  <si>
    <t>Melting_Curves/meltCurve_O43707_ACTN4.pdf</t>
  </si>
  <si>
    <t>Melting_Curves/meltCurve_O43815_2_STRN.pdf</t>
  </si>
  <si>
    <t>Melting_Curves/meltCurve_O43852_CALU.pdf</t>
  </si>
  <si>
    <t>Melting_Curves/meltCurve_O60218_AKR1B10.pdf</t>
  </si>
  <si>
    <t>Melting_Curves/meltCurve_O60220_TIMM8A.pdf</t>
  </si>
  <si>
    <t>Melting_Curves/meltCurve_O60234_GMFG.pdf</t>
  </si>
  <si>
    <t>Melting_Curves/meltCurve_O60235_TMPRSS11D.pdf</t>
  </si>
  <si>
    <t>Melting_Curves/meltCurve_O60259_KLK8.pdf</t>
  </si>
  <si>
    <t>Melting_Curves/meltCurve_O60271_5_SPAG9.pdf</t>
  </si>
  <si>
    <t>Melting_Curves/meltCurve_O60449_3_LY75.pdf</t>
  </si>
  <si>
    <t>Melting_Curves/meltCurve_O60506_4_SYNCRIP.pdf</t>
  </si>
  <si>
    <t>Melting_Curves/meltCurve_O60603_TLR2.pdf</t>
  </si>
  <si>
    <t>Melting_Curves/meltCurve_O60664_PLIN3.pdf</t>
  </si>
  <si>
    <t>Melting_Curves/meltCurve_O60701_3_UGDH.pdf</t>
  </si>
  <si>
    <t>Melting_Curves/meltCurve_O60763_USO1.pdf</t>
  </si>
  <si>
    <t>Melting_Curves/meltCurve_O60869_2_EDF1.pdf</t>
  </si>
  <si>
    <t>Melting_Curves/meltCurve_O60885_BRD4.pdf</t>
  </si>
  <si>
    <t>Melting_Curves/meltCurve_O60911_CTSL2.pdf</t>
  </si>
  <si>
    <t>Melting_Curves/meltCurve_O75083_WDR1.pdf</t>
  </si>
  <si>
    <t>Melting_Curves/meltCurve_O75348_ATP6V1G1.pdf</t>
  </si>
  <si>
    <t>Melting_Curves/meltCurve_O75351_VPS4B.pdf</t>
  </si>
  <si>
    <t>Melting_Curves/meltCurve_O75367_2_H2AFY.pdf</t>
  </si>
  <si>
    <t>Melting_Curves/meltCurve_O75368_SH3BGRL.pdf</t>
  </si>
  <si>
    <t>Melting_Curves/meltCurve_O75396_SEC22B.pdf</t>
  </si>
  <si>
    <t>Melting_Curves/meltCurve_O75503_CLN5.pdf</t>
  </si>
  <si>
    <t>Melting_Curves/meltCurve_O75533_SF3B1.pdf</t>
  </si>
  <si>
    <t>Melting_Curves/meltCurve_O75563_SKAP2.pdf</t>
  </si>
  <si>
    <t>Melting_Curves/meltCurve_O75594_PGLYRP1.pdf</t>
  </si>
  <si>
    <t>Melting_Curves/meltCurve_O75629_CREG1.pdf</t>
  </si>
  <si>
    <t>Melting_Curves/meltCurve_O75663_TIPRL.pdf</t>
  </si>
  <si>
    <t>Melting_Curves/meltCurve_O75695_RP2.pdf</t>
  </si>
  <si>
    <t>Melting_Curves/meltCurve_O75828_CBR3.pdf</t>
  </si>
  <si>
    <t>Melting_Curves/meltCurve_O75874_IDH1.pdf</t>
  </si>
  <si>
    <t>Melting_Curves/meltCurve_O75882_3_ATRN.pdf</t>
  </si>
  <si>
    <t>Melting_Curves/meltCurve_O75886_STAM2.pdf</t>
  </si>
  <si>
    <t>Melting_Curves/meltCurve_O75937_DNAJC8.pdf</t>
  </si>
  <si>
    <t>Melting_Curves/meltCurve_O75976_CPD.pdf</t>
  </si>
  <si>
    <t>Melting_Curves/meltCurve_O75995_SASH3.pdf</t>
  </si>
  <si>
    <t>Melting_Curves/meltCurve_O76070_SNCG.pdf</t>
  </si>
  <si>
    <t>Melting_Curves/meltCurve_O94760_DDAH1.pdf</t>
  </si>
  <si>
    <t>Melting_Curves/meltCurve_O94779_4_CNTN5.pdf</t>
  </si>
  <si>
    <t>Melting_Curves/meltCurve_O94804_STK10.pdf</t>
  </si>
  <si>
    <t>Melting_Curves/meltCurve_O94903_PROSC.pdf</t>
  </si>
  <si>
    <t>Melting_Curves/meltCurve_O94919_ENDOD1.pdf</t>
  </si>
  <si>
    <t>Melting_Curves/meltCurve_O94927_2_HAUS5.pdf</t>
  </si>
  <si>
    <t>Melting_Curves/meltCurve_O94991_SLITRK5.pdf</t>
  </si>
  <si>
    <t>Melting_Curves/meltCurve_O95171_SCEL.pdf</t>
  </si>
  <si>
    <t>Melting_Curves/meltCurve_O95171_2_SCEL.pdf</t>
  </si>
  <si>
    <t>Melting_Curves/meltCurve_O95210_STBD1.pdf</t>
  </si>
  <si>
    <t>Melting_Curves/meltCurve_O95274_LYPD3.pdf</t>
  </si>
  <si>
    <t>Melting_Curves/meltCurve_O95292_VAPB.pdf</t>
  </si>
  <si>
    <t>Melting_Curves/meltCurve_O95336_PGLS.pdf</t>
  </si>
  <si>
    <t>Melting_Curves/meltCurve_O95425_2_SVIL.pdf</t>
  </si>
  <si>
    <t>Melting_Curves/meltCurve_O95466_FMNL1.pdf</t>
  </si>
  <si>
    <t>Melting_Curves/meltCurve_O95544_NADK.pdf</t>
  </si>
  <si>
    <t>Melting_Curves/meltCurve_O95630_STAMBP.pdf</t>
  </si>
  <si>
    <t>Melting_Curves/meltCurve_O95685_PPP1R3D.pdf</t>
  </si>
  <si>
    <t>Melting_Curves/meltCurve_O95716_RAB3D.pdf</t>
  </si>
  <si>
    <t>Melting_Curves/meltCurve_O95747_OXSR1.pdf</t>
  </si>
  <si>
    <t>Melting_Curves/meltCurve_O95758_7_PTBP3.pdf</t>
  </si>
  <si>
    <t>Melting_Curves/meltCurve_O95782_2_AP2A1.pdf</t>
  </si>
  <si>
    <t>Melting_Curves/meltCurve_O95817_BAG3.pdf</t>
  </si>
  <si>
    <t>Melting_Curves/meltCurve_O95841_ANGPTL1.pdf</t>
  </si>
  <si>
    <t>Melting_Curves/meltCurve_O95865_DDAH2.pdf</t>
  </si>
  <si>
    <t>Melting_Curves/meltCurve_O95881_TXNDC12.pdf</t>
  </si>
  <si>
    <t>Melting_Curves/meltCurve_O95989_NUDT3.pdf</t>
  </si>
  <si>
    <t>Melting_Curves/meltCurve_P00338_LDHA.pdf</t>
  </si>
  <si>
    <t>Melting_Curves/meltCurve_P00352_ALDH1A1.pdf</t>
  </si>
  <si>
    <t>Melting_Curves/meltCurve_P00441_SOD1.pdf</t>
  </si>
  <si>
    <t>Melting_Curves/meltCurve_P00488_F13A1.pdf</t>
  </si>
  <si>
    <t>Melting_Curves/meltCurve_P00491_PNP.pdf</t>
  </si>
  <si>
    <t>Melting_Curves/meltCurve_P00492_HPRT1.pdf</t>
  </si>
  <si>
    <t>Melting_Curves/meltCurve_P00558_PGK1.pdf</t>
  </si>
  <si>
    <t>Melting_Curves/meltCurve_P00734_F2.pdf</t>
  </si>
  <si>
    <t>Melting_Curves/meltCurve_P00738_HP.pdf</t>
  </si>
  <si>
    <t>Melting_Curves/meltCurve_P00739_HPR.pdf</t>
  </si>
  <si>
    <t>Melting_Curves/meltCurve_P00747_PLG.pdf</t>
  </si>
  <si>
    <t>Melting_Curves/meltCurve_P00748_F12.pdf</t>
  </si>
  <si>
    <t>Melting_Curves/meltCurve_P00813_ADA.pdf</t>
  </si>
  <si>
    <t>Melting_Curves/meltCurve_P00915_CA1.pdf</t>
  </si>
  <si>
    <t>Melting_Curves/meltCurve_P00918_CA2.pdf</t>
  </si>
  <si>
    <t>Melting_Curves/meltCurve_P01008_SERPINC1.pdf</t>
  </si>
  <si>
    <t>Melting_Curves/meltCurve_P01009_SERPINA1.pdf</t>
  </si>
  <si>
    <t>Melting_Curves/meltCurve_P01019_AGT.pdf</t>
  </si>
  <si>
    <t>Melting_Curves/meltCurve_P01023_A2M.pdf</t>
  </si>
  <si>
    <t>Melting_Curves/meltCurve_P01024_C3.pdf</t>
  </si>
  <si>
    <t>Melting_Curves/meltCurve_P01031_C5.pdf</t>
  </si>
  <si>
    <t>Melting_Curves/meltCurve_P01034_CST3.pdf</t>
  </si>
  <si>
    <t>Melting_Curves/meltCurve_P01036_CST4.pdf</t>
  </si>
  <si>
    <t>Melting_Curves/meltCurve_P01037_CST1.pdf</t>
  </si>
  <si>
    <t>Melting_Curves/meltCurve_P01040_CSTA.pdf</t>
  </si>
  <si>
    <t>Melting_Curves/meltCurve_P01042_2_KNG1.pdf</t>
  </si>
  <si>
    <t>Melting_Curves/meltCurve_P01116_2_KRAS.pdf</t>
  </si>
  <si>
    <t>Melting_Curves/meltCurve_P01133_2_EGF.pdf</t>
  </si>
  <si>
    <t>Melting_Curves/meltCurve_P01344_IGF2.pdf</t>
  </si>
  <si>
    <t>Melting_Curves/meltCurve_P01591_IGJ.pdf</t>
  </si>
  <si>
    <t>Melting_Curves/meltCurve_P01598_.pdf</t>
  </si>
  <si>
    <t>Melting_Curves/meltCurve_P01601_.pdf</t>
  </si>
  <si>
    <t>Melting_Curves/meltCurve_P01603_.pdf</t>
  </si>
  <si>
    <t>Melting_Curves/meltCurve_P01604_.pdf</t>
  </si>
  <si>
    <t>Melting_Curves/meltCurve_P01611_.pdf</t>
  </si>
  <si>
    <t>Melting_Curves/meltCurve_P01612_.pdf</t>
  </si>
  <si>
    <t>Melting_Curves/meltCurve_P01613_.pdf</t>
  </si>
  <si>
    <t>Melting_Curves/meltCurve_P01617_.pdf</t>
  </si>
  <si>
    <t>Melting_Curves/meltCurve_P01623_.pdf</t>
  </si>
  <si>
    <t>Melting_Curves/meltCurve_P01624_.pdf</t>
  </si>
  <si>
    <t>Melting_Curves/meltCurve_P01625_.pdf</t>
  </si>
  <si>
    <t>Melting_Curves/meltCurve_P01699_.pdf</t>
  </si>
  <si>
    <t>Melting_Curves/meltCurve_P01700_.pdf</t>
  </si>
  <si>
    <t>Melting_Curves/meltCurve_P01701_.pdf</t>
  </si>
  <si>
    <t>Melting_Curves/meltCurve_P01702_.pdf</t>
  </si>
  <si>
    <t>Melting_Curves/meltCurve_P01714_.pdf</t>
  </si>
  <si>
    <t>Melting_Curves/meltCurve_P01717_.pdf</t>
  </si>
  <si>
    <t>Melting_Curves/meltCurve_P01719_.pdf</t>
  </si>
  <si>
    <t>Melting_Curves/meltCurve_P01743_.pdf</t>
  </si>
  <si>
    <t>Melting_Curves/meltCurve_P01764_.pdf</t>
  </si>
  <si>
    <t>Melting_Curves/meltCurve_P01765_.pdf</t>
  </si>
  <si>
    <t>Melting_Curves/meltCurve_P01766_.pdf</t>
  </si>
  <si>
    <t>Melting_Curves/meltCurve_P01767_.pdf</t>
  </si>
  <si>
    <t>Melting_Curves/meltCurve_P01771_.pdf</t>
  </si>
  <si>
    <t>Melting_Curves/meltCurve_P01775_.pdf</t>
  </si>
  <si>
    <t>Melting_Curves/meltCurve_P01778_.pdf</t>
  </si>
  <si>
    <t>Melting_Curves/meltCurve_P01779_.pdf</t>
  </si>
  <si>
    <t>Melting_Curves/meltCurve_P01780_.pdf</t>
  </si>
  <si>
    <t>Melting_Curves/meltCurve_P01781_.pdf</t>
  </si>
  <si>
    <t>Melting_Curves/meltCurve_P01824_.pdf</t>
  </si>
  <si>
    <t>Melting_Curves/meltCurve_P01833_PIGR.pdf</t>
  </si>
  <si>
    <t>Melting_Curves/meltCurve_P01834_IGKC.pdf</t>
  </si>
  <si>
    <t>Melting_Curves/meltCurve_P01857_IGHG1.pdf</t>
  </si>
  <si>
    <t>Melting_Curves/meltCurve_P01859_IGHG2.pdf</t>
  </si>
  <si>
    <t>Melting_Curves/meltCurve_P01860_IGHG3.pdf</t>
  </si>
  <si>
    <t>Melting_Curves/meltCurve_P01861_IGHG4.pdf</t>
  </si>
  <si>
    <t>Melting_Curves/meltCurve_P01871_IGHM.pdf</t>
  </si>
  <si>
    <t>Melting_Curves/meltCurve_P01876_IGHA1.pdf</t>
  </si>
  <si>
    <t>Melting_Curves/meltCurve_P01877_IGHA2.pdf</t>
  </si>
  <si>
    <t>Melting_Curves/meltCurve_P01880_IGHD.pdf</t>
  </si>
  <si>
    <t>Melting_Curves/meltCurve_P02647_APOA1.pdf</t>
  </si>
  <si>
    <t>Melting_Curves/meltCurve_P02649_APOE.pdf</t>
  </si>
  <si>
    <t>Melting_Curves/meltCurve_P02652_APOA2.pdf</t>
  </si>
  <si>
    <t>Melting_Curves/meltCurve_P02671_2_FGA.pdf</t>
  </si>
  <si>
    <t>Melting_Curves/meltCurve_P02675_FGB.pdf</t>
  </si>
  <si>
    <t>Melting_Curves/meltCurve_P02748_C9.pdf</t>
  </si>
  <si>
    <t>Melting_Curves/meltCurve_P02749_APOH.pdf</t>
  </si>
  <si>
    <t>Melting_Curves/meltCurve_P02750_LRG1.pdf</t>
  </si>
  <si>
    <t>Melting_Curves/meltCurve_P02751_10_FN1.pdf</t>
  </si>
  <si>
    <t>Melting_Curves/meltCurve_P02760_AMBP.pdf</t>
  </si>
  <si>
    <t>Melting_Curves/meltCurve_P02763_ORM1.pdf</t>
  </si>
  <si>
    <t>Melting_Curves/meltCurve_P02766_TTR.pdf</t>
  </si>
  <si>
    <t>Melting_Curves/meltCurve_P02787_TF.pdf</t>
  </si>
  <si>
    <t>Melting_Curves/meltCurve_P02790_HPX.pdf</t>
  </si>
  <si>
    <t>Melting_Curves/meltCurve_P02810_PRH1.pdf</t>
  </si>
  <si>
    <t>Melting_Curves/meltCurve_P02812_PRB2.pdf</t>
  </si>
  <si>
    <t>Melting_Curves/meltCurve_P02814_SMR3B.pdf</t>
  </si>
  <si>
    <t>Melting_Curves/meltCurve_P03950_ANG.pdf</t>
  </si>
  <si>
    <t>Melting_Curves/meltCurve_P03973_SLPI.pdf</t>
  </si>
  <si>
    <t>Melting_Curves/meltCurve_P04003_C4BPA.pdf</t>
  </si>
  <si>
    <t>Melting_Curves/meltCurve_P04004_VTN.pdf</t>
  </si>
  <si>
    <t>Melting_Curves/meltCurve_P04040_CAT.pdf</t>
  </si>
  <si>
    <t>Melting_Curves/meltCurve_P04066_FUCA1.pdf</t>
  </si>
  <si>
    <t>Melting_Curves/meltCurve_P04080_CSTB.pdf</t>
  </si>
  <si>
    <t>Melting_Curves/meltCurve_P04083_ANXA1.pdf</t>
  </si>
  <si>
    <t>Melting_Curves/meltCurve_P04114_APOB.pdf</t>
  </si>
  <si>
    <t>Melting_Curves/meltCurve_P04196_HRG.pdf</t>
  </si>
  <si>
    <t>Melting_Curves/meltCurve_P04209_.pdf</t>
  </si>
  <si>
    <t>Melting_Curves/meltCurve_P04217_A1BG.pdf</t>
  </si>
  <si>
    <t>Melting_Curves/meltCurve_P04259_KRT6B.pdf</t>
  </si>
  <si>
    <t>Melting_Curves/meltCurve_P04275_VWF.pdf</t>
  </si>
  <si>
    <t>Melting_Curves/meltCurve_P04279_SEMG1.pdf</t>
  </si>
  <si>
    <t>Melting_Curves/meltCurve_P04406_GAPDH.pdf</t>
  </si>
  <si>
    <t>Melting_Curves/meltCurve_P04424_3_ASL.pdf</t>
  </si>
  <si>
    <t>Melting_Curves/meltCurve_P04433_.pdf</t>
  </si>
  <si>
    <t>Melting_Curves/meltCurve_P04438_.pdf</t>
  </si>
  <si>
    <t>Melting_Curves/meltCurve_P04745_AMY1A.pdf</t>
  </si>
  <si>
    <t>Melting_Curves/meltCurve_P04792_HSPB1.pdf</t>
  </si>
  <si>
    <t>Melting_Curves/meltCurve_P05089_3_ARG1.pdf</t>
  </si>
  <si>
    <t>Melting_Curves/meltCurve_P05091_ALDH2.pdf</t>
  </si>
  <si>
    <t>Melting_Curves/meltCurve_P05107_ITGB2.pdf</t>
  </si>
  <si>
    <t>Melting_Curves/meltCurve_P05109_S100A8.pdf</t>
  </si>
  <si>
    <t>Melting_Curves/meltCurve_P05120_SERPINB2.pdf</t>
  </si>
  <si>
    <t>Melting_Curves/meltCurve_P05141_SLC25A5.pdf</t>
  </si>
  <si>
    <t>Melting_Curves/meltCurve_P05154_SERPINA5.pdf</t>
  </si>
  <si>
    <t>Melting_Curves/meltCurve_P05160_F13B.pdf</t>
  </si>
  <si>
    <t>Melting_Curves/meltCurve_P05164_2_MPO.pdf</t>
  </si>
  <si>
    <t>Melting_Curves/meltCurve_P05198_EIF2S1.pdf</t>
  </si>
  <si>
    <t>Melting_Curves/meltCurve_P05204_HMGN2.pdf</t>
  </si>
  <si>
    <t>Melting_Curves/meltCurve_P05362_ICAM1.pdf</t>
  </si>
  <si>
    <t>Melting_Curves/meltCurve_P05387_RPLP2.pdf</t>
  </si>
  <si>
    <t>Melting_Curves/meltCurve_P05455_SSB.pdf</t>
  </si>
  <si>
    <t>Melting_Curves/meltCurve_P05543_SERPINA7.pdf</t>
  </si>
  <si>
    <t>Melting_Curves/meltCurve_P05546_SERPIND1.pdf</t>
  </si>
  <si>
    <t>Melting_Curves/meltCurve_P05814_CSN2.pdf</t>
  </si>
  <si>
    <t>Melting_Curves/meltCurve_P05976_2_MYL1.pdf</t>
  </si>
  <si>
    <t>Melting_Curves/meltCurve_P06280_GLA.pdf</t>
  </si>
  <si>
    <t>Melting_Curves/meltCurve_P06310_.pdf</t>
  </si>
  <si>
    <t>Melting_Curves/meltCurve_P06331_.pdf</t>
  </si>
  <si>
    <t>Melting_Curves/meltCurve_P06396_2_GSN.pdf</t>
  </si>
  <si>
    <t>Melting_Curves/meltCurve_P06401_3_PGR.pdf</t>
  </si>
  <si>
    <t>Melting_Curves/meltCurve_P06681_C2.pdf</t>
  </si>
  <si>
    <t>Melting_Curves/meltCurve_P06702_S100A9.pdf</t>
  </si>
  <si>
    <t>Melting_Curves/meltCurve_P06727_APOA4.pdf</t>
  </si>
  <si>
    <t>Melting_Curves/meltCurve_P06733_ENO1.pdf</t>
  </si>
  <si>
    <t>Melting_Curves/meltCurve_P06737_2_PYGL.pdf</t>
  </si>
  <si>
    <t>Melting_Curves/meltCurve_P06744_GPI.pdf</t>
  </si>
  <si>
    <t>Melting_Curves/meltCurve_P06748_3_NPM1.pdf</t>
  </si>
  <si>
    <t>Melting_Curves/meltCurve_P06753_2_TPM3.pdf</t>
  </si>
  <si>
    <t>Melting_Curves/meltCurve_P06753_5_TPM3.pdf</t>
  </si>
  <si>
    <t>Melting_Curves/meltCurve_P07108_DBI.pdf</t>
  </si>
  <si>
    <t>Melting_Curves/meltCurve_P07195_LDHB.pdf</t>
  </si>
  <si>
    <t>Melting_Curves/meltCurve_P07203_GPX1.pdf</t>
  </si>
  <si>
    <t>Melting_Curves/meltCurve_P07225_PROS1.pdf</t>
  </si>
  <si>
    <t>Melting_Curves/meltCurve_P07339_CTSD.pdf</t>
  </si>
  <si>
    <t>Melting_Curves/meltCurve_P07357_C8A.pdf</t>
  </si>
  <si>
    <t>Melting_Curves/meltCurve_P07360_C8G.pdf</t>
  </si>
  <si>
    <t>Melting_Curves/meltCurve_P07384_CAPN1.pdf</t>
  </si>
  <si>
    <t>Melting_Curves/meltCurve_P07476_IVL.pdf</t>
  </si>
  <si>
    <t>Melting_Curves/meltCurve_P07585_DCN.pdf</t>
  </si>
  <si>
    <t>Melting_Curves/meltCurve_P07686_HEXB.pdf</t>
  </si>
  <si>
    <t>Melting_Curves/meltCurve_P07711_CTSL1.pdf</t>
  </si>
  <si>
    <t>Melting_Curves/meltCurve_P07737_PFN1.pdf</t>
  </si>
  <si>
    <t>Melting_Curves/meltCurve_P07738_BPGM.pdf</t>
  </si>
  <si>
    <t>Melting_Curves/meltCurve_P07814_EPRS.pdf</t>
  </si>
  <si>
    <t>Melting_Curves/meltCurve_P07858_CTSB.pdf</t>
  </si>
  <si>
    <t>Melting_Curves/meltCurve_P07900_HSP90AA1.pdf</t>
  </si>
  <si>
    <t>Melting_Curves/meltCurve_P07948_2_LYN.pdf</t>
  </si>
  <si>
    <t>Melting_Curves/meltCurve_P07954_2_FH.pdf</t>
  </si>
  <si>
    <t>Melting_Curves/meltCurve_P07998_RNASE1.pdf</t>
  </si>
  <si>
    <t>Melting_Curves/meltCurve_P08107_HSPA1A.pdf</t>
  </si>
  <si>
    <t>Melting_Curves/meltCurve_P08118_MSMB.pdf</t>
  </si>
  <si>
    <t>Melting_Curves/meltCurve_P08185_SERPINA6.pdf</t>
  </si>
  <si>
    <t>Melting_Curves/meltCurve_P08238_HSP90AB1.pdf</t>
  </si>
  <si>
    <t>Melting_Curves/meltCurve_P08240_2_SRPR.pdf</t>
  </si>
  <si>
    <t>Melting_Curves/meltCurve_P08246_ELANE.pdf</t>
  </si>
  <si>
    <t>Melting_Curves/meltCurve_P08294_SOD3.pdf</t>
  </si>
  <si>
    <t>Melting_Curves/meltCurve_P08311_CTSG.pdf</t>
  </si>
  <si>
    <t>Melting_Curves/meltCurve_P08493_MGP.pdf</t>
  </si>
  <si>
    <t>Melting_Curves/meltCurve_P08567_PLEK.pdf</t>
  </si>
  <si>
    <t>Melting_Curves/meltCurve_P08571_CD14.pdf</t>
  </si>
  <si>
    <t>Melting_Curves/meltCurve_P08582_MFI2.pdf</t>
  </si>
  <si>
    <t>Melting_Curves/meltCurve_P08603_CFH.pdf</t>
  </si>
  <si>
    <t>Melting_Curves/meltCurve_P08670_VIM.pdf</t>
  </si>
  <si>
    <t>Melting_Curves/meltCurve_P08697_SERPINF2.pdf</t>
  </si>
  <si>
    <t>Melting_Curves/meltCurve_P08754_GNAI3.pdf</t>
  </si>
  <si>
    <t>Melting_Curves/meltCurve_P09228_CST2.pdf</t>
  </si>
  <si>
    <t>Melting_Curves/meltCurve_P09341_CXCL1.pdf</t>
  </si>
  <si>
    <t>Melting_Curves/meltCurve_P09382_LGALS1.pdf</t>
  </si>
  <si>
    <t>Melting_Curves/meltCurve_P09429_HMGB1.pdf</t>
  </si>
  <si>
    <t>Melting_Curves/meltCurve_P09467_FBP1.pdf</t>
  </si>
  <si>
    <t>Melting_Curves/meltCurve_P09497_2_CLTB.pdf</t>
  </si>
  <si>
    <t>Melting_Curves/meltCurve_P09529_INHBB.pdf</t>
  </si>
  <si>
    <t>Melting_Curves/meltCurve_P09668_CTSH.pdf</t>
  </si>
  <si>
    <t>Melting_Curves/meltCurve_P09758_TACSTD2.pdf</t>
  </si>
  <si>
    <t>Melting_Curves/meltCurve_P09871_C1S.pdf</t>
  </si>
  <si>
    <t>Melting_Curves/meltCurve_P09958_FURIN.pdf</t>
  </si>
  <si>
    <t>Melting_Curves/meltCurve_P09960_LTA4H.pdf</t>
  </si>
  <si>
    <t>Melting_Curves/meltCurve_P0C0L4_C4A.pdf</t>
  </si>
  <si>
    <t>Melting_Curves/meltCurve_P0C0L5_C4B.pdf</t>
  </si>
  <si>
    <t>Melting_Curves/meltCurve_P0CG05_IGLC2.pdf</t>
  </si>
  <si>
    <t>Melting_Curves/meltCurve_P0CG06_IGLC3.pdf</t>
  </si>
  <si>
    <t>Melting_Curves/meltCurve_P0CG12_CHTF8.pdf</t>
  </si>
  <si>
    <t>Melting_Curves/meltCurve_P0DJI8_SAA1.pdf</t>
  </si>
  <si>
    <t>Melting_Curves/meltCurve_P10153_RNASE2.pdf</t>
  </si>
  <si>
    <t>Melting_Curves/meltCurve_P10155_2_TROVE2.pdf</t>
  </si>
  <si>
    <t>Melting_Curves/meltCurve_P10253_GAA.pdf</t>
  </si>
  <si>
    <t>Melting_Curves/meltCurve_P10412_HIST1H1E.pdf</t>
  </si>
  <si>
    <t>Melting_Curves/meltCurve_P10451_5_SPP1.pdf</t>
  </si>
  <si>
    <t>Melting_Curves/meltCurve_P10586_2_PTPRF.pdf</t>
  </si>
  <si>
    <t>Melting_Curves/meltCurve_P10599_TXN.pdf</t>
  </si>
  <si>
    <t>Melting_Curves/meltCurve_P10606_COX5B.pdf</t>
  </si>
  <si>
    <t>Melting_Curves/meltCurve_P10643_C7.pdf</t>
  </si>
  <si>
    <t>Melting_Curves/meltCurve_P10644_PRKAR1A.pdf</t>
  </si>
  <si>
    <t>Melting_Curves/meltCurve_P10809_HSPD1.pdf</t>
  </si>
  <si>
    <t>Melting_Curves/meltCurve_P10909_4_CLU.pdf</t>
  </si>
  <si>
    <t>Melting_Curves/meltCurve_P11021_HSPA5.pdf</t>
  </si>
  <si>
    <t>Melting_Curves/meltCurve_P11047_LAMC1.pdf</t>
  </si>
  <si>
    <t>Melting_Curves/meltCurve_P11142_HSPA8.pdf</t>
  </si>
  <si>
    <t>Melting_Curves/meltCurve_P11171_6_EPB41.pdf</t>
  </si>
  <si>
    <t>Melting_Curves/meltCurve_P11172_2_UMPS.pdf</t>
  </si>
  <si>
    <t>Melting_Curves/meltCurve_P11215_ITGAM.pdf</t>
  </si>
  <si>
    <t>Melting_Curves/meltCurve_P11216_PYGB.pdf</t>
  </si>
  <si>
    <t>Melting_Curves/meltCurve_P11279_LAMP1.pdf</t>
  </si>
  <si>
    <t>Melting_Curves/meltCurve_P11413_G6PD.pdf</t>
  </si>
  <si>
    <t>Melting_Curves/meltCurve_P11717_IGF2R.pdf</t>
  </si>
  <si>
    <t>Melting_Curves/meltCurve_P12004_PCNA.pdf</t>
  </si>
  <si>
    <t>Melting_Curves/meltCurve_P12109_COL6A1.pdf</t>
  </si>
  <si>
    <t>Melting_Curves/meltCurve_P12110_3_COL6A2.pdf</t>
  </si>
  <si>
    <t>Melting_Curves/meltCurve_P12273_PIP.pdf</t>
  </si>
  <si>
    <t>Melting_Curves/meltCurve_P12645_BMP3.pdf</t>
  </si>
  <si>
    <t>Melting_Curves/meltCurve_P12724_RNASE3.pdf</t>
  </si>
  <si>
    <t>Melting_Curves/meltCurve_P12814_2_ACTN1.pdf</t>
  </si>
  <si>
    <t>Melting_Curves/meltCurve_P12830_CDH1.pdf</t>
  </si>
  <si>
    <t>Melting_Curves/meltCurve_P13010_XRCC5.pdf</t>
  </si>
  <si>
    <t>Melting_Curves/meltCurve_P13284_IFI30.pdf</t>
  </si>
  <si>
    <t>Melting_Curves/meltCurve_P13489_RNH1.pdf</t>
  </si>
  <si>
    <t>Melting_Curves/meltCurve_P13498_CYBA.pdf</t>
  </si>
  <si>
    <t>Melting_Curves/meltCurve_P13639_EEF2.pdf</t>
  </si>
  <si>
    <t>Melting_Curves/meltCurve_P13667_PDIA4.pdf</t>
  </si>
  <si>
    <t>Melting_Curves/meltCurve_P13671_C6.pdf</t>
  </si>
  <si>
    <t>Melting_Curves/meltCurve_P13796_LCP1.pdf</t>
  </si>
  <si>
    <t>Melting_Curves/meltCurve_P14138_2_EDN3.pdf</t>
  </si>
  <si>
    <t>Melting_Curves/meltCurve_P14151_SELL.pdf</t>
  </si>
  <si>
    <t>Melting_Curves/meltCurve_P14174_MIF.pdf</t>
  </si>
  <si>
    <t>Melting_Curves/meltCurve_P14317_HCLS1.pdf</t>
  </si>
  <si>
    <t>Melting_Curves/meltCurve_P14324_2_FDPS.pdf</t>
  </si>
  <si>
    <t>Melting_Curves/meltCurve_P14550_AKR1A1.pdf</t>
  </si>
  <si>
    <t>Melting_Curves/meltCurve_P14555_PLA2G2A.pdf</t>
  </si>
  <si>
    <t>Melting_Curves/meltCurve_P14618_PKM.pdf</t>
  </si>
  <si>
    <t>Melting_Curves/meltCurve_P14618_2_PKM.pdf</t>
  </si>
  <si>
    <t>Melting_Curves/meltCurve_P14625_HSP90B1.pdf</t>
  </si>
  <si>
    <t>Melting_Curves/meltCurve_P14735_IDE.pdf</t>
  </si>
  <si>
    <t>Melting_Curves/meltCurve_P14780_MMP9.pdf</t>
  </si>
  <si>
    <t>Melting_Curves/meltCurve_P14854_COX6B1.pdf</t>
  </si>
  <si>
    <t>Melting_Curves/meltCurve_P14923_JUP.pdf</t>
  </si>
  <si>
    <t>Melting_Curves/meltCurve_P15104_GLUL.pdf</t>
  </si>
  <si>
    <t>Melting_Curves/meltCurve_P15144_ANPEP.pdf</t>
  </si>
  <si>
    <t>Melting_Curves/meltCurve_P15151_3_PVR.pdf</t>
  </si>
  <si>
    <t>Melting_Curves/meltCurve_P15153_RAC2.pdf</t>
  </si>
  <si>
    <t>Melting_Curves/meltCurve_P15289_ARSA.pdf</t>
  </si>
  <si>
    <t>Melting_Curves/meltCurve_P15309_ACPP.pdf</t>
  </si>
  <si>
    <t>Melting_Curves/meltCurve_P15311_EZR.pdf</t>
  </si>
  <si>
    <t>Melting_Curves/meltCurve_P15328_FOLR1.pdf</t>
  </si>
  <si>
    <t>Melting_Curves/meltCurve_P15515_HTN1.pdf</t>
  </si>
  <si>
    <t>Melting_Curves/meltCurve_P15516_HTN3.pdf</t>
  </si>
  <si>
    <t>Melting_Curves/meltCurve_P15531_NME1.pdf</t>
  </si>
  <si>
    <t>Melting_Curves/meltCurve_P15848_ARSB.pdf</t>
  </si>
  <si>
    <t>Melting_Curves/meltCurve_P15924_DSP.pdf</t>
  </si>
  <si>
    <t>Melting_Curves/meltCurve_P16035_TIMP2.pdf</t>
  </si>
  <si>
    <t>Melting_Curves/meltCurve_P16152_CBR1.pdf</t>
  </si>
  <si>
    <t>Melting_Curves/meltCurve_P16284_3_PECAM1.pdf</t>
  </si>
  <si>
    <t>Melting_Curves/meltCurve_P16298_PPP3CB.pdf</t>
  </si>
  <si>
    <t>Melting_Curves/meltCurve_P16333_NCK1.pdf</t>
  </si>
  <si>
    <t>Melting_Curves/meltCurve_P16401_HIST1H1B.pdf</t>
  </si>
  <si>
    <t>Melting_Curves/meltCurve_P16562_CRISP2.pdf</t>
  </si>
  <si>
    <t>Melting_Curves/meltCurve_P16870_2_CPE.pdf</t>
  </si>
  <si>
    <t>Melting_Curves/meltCurve_P16949_STMN1.pdf</t>
  </si>
  <si>
    <t>Melting_Curves/meltCurve_P16989_2_YBX3.pdf</t>
  </si>
  <si>
    <t>Melting_Curves/meltCurve_P17050_NAGA.pdf</t>
  </si>
  <si>
    <t>Melting_Curves/meltCurve_P17066_HSPA6.pdf</t>
  </si>
  <si>
    <t>Melting_Curves/meltCurve_P17096_2_HMGA1.pdf</t>
  </si>
  <si>
    <t>Melting_Curves/meltCurve_P17174_GOT1.pdf</t>
  </si>
  <si>
    <t>Melting_Curves/meltCurve_P17213_BPI.pdf</t>
  </si>
  <si>
    <t>Melting_Curves/meltCurve_P17858_PFKL.pdf</t>
  </si>
  <si>
    <t>Melting_Curves/meltCurve_P17900_GM2A.pdf</t>
  </si>
  <si>
    <t>Melting_Curves/meltCurve_P17931_LGALS3.pdf</t>
  </si>
  <si>
    <t>Melting_Curves/meltCurve_P17936_IGFBP3.pdf</t>
  </si>
  <si>
    <t>Melting_Curves/meltCurve_P17987_TCP1.pdf</t>
  </si>
  <si>
    <t>Melting_Curves/meltCurve_P18065_IGFBP2.pdf</t>
  </si>
  <si>
    <t>Melting_Curves/meltCurve_P18124_RPL7.pdf</t>
  </si>
  <si>
    <t>Melting_Curves/meltCurve_P18206_2_VCL.pdf</t>
  </si>
  <si>
    <t>Melting_Curves/meltCurve_P18510_4_IL1RN.pdf</t>
  </si>
  <si>
    <t>Melting_Curves/meltCurve_P18669_PGAM1.pdf</t>
  </si>
  <si>
    <t>Melting_Curves/meltCurve_P19021_2_PAM.pdf</t>
  </si>
  <si>
    <t>Melting_Curves/meltCurve_P19320_3_VCAM1.pdf</t>
  </si>
  <si>
    <t>Melting_Curves/meltCurve_P19338_NCL.pdf</t>
  </si>
  <si>
    <t>Melting_Curves/meltCurve_P19447_ERCC3.pdf</t>
  </si>
  <si>
    <t>Melting_Curves/meltCurve_P19525_2_EIF2AK2.pdf</t>
  </si>
  <si>
    <t>Melting_Curves/meltCurve_P19652_ORM2.pdf</t>
  </si>
  <si>
    <t>Melting_Curves/meltCurve_P19827_ITIH1.pdf</t>
  </si>
  <si>
    <t>Melting_Curves/meltCurve_P19835_CEL.pdf</t>
  </si>
  <si>
    <t>Melting_Curves/meltCurve_P19878_3_NCF2.pdf</t>
  </si>
  <si>
    <t>Melting_Curves/meltCurve_P19957_PI3.pdf</t>
  </si>
  <si>
    <t>Melting_Curves/meltCurve_P19961_AMY2B.pdf</t>
  </si>
  <si>
    <t>Melting_Curves/meltCurve_P20061_TCN1.pdf</t>
  </si>
  <si>
    <t>Melting_Curves/meltCurve_P20160_AZU1.pdf</t>
  </si>
  <si>
    <t>Melting_Curves/meltCurve_P20618_PSMB1.pdf</t>
  </si>
  <si>
    <t>Melting_Curves/meltCurve_P20700_LMNB1.pdf</t>
  </si>
  <si>
    <t>Melting_Curves/meltCurve_P20827_EFNA1.pdf</t>
  </si>
  <si>
    <t>Melting_Curves/meltCurve_P20933_AGA.pdf</t>
  </si>
  <si>
    <t>Melting_Curves/meltCurve_P21128_3_ENDOU.pdf</t>
  </si>
  <si>
    <t>Melting_Curves/meltCurve_P21281_ATP6V1B2.pdf</t>
  </si>
  <si>
    <t>Melting_Curves/meltCurve_P21333_2_FLNA.pdf</t>
  </si>
  <si>
    <t>Melting_Curves/meltCurve_P21709_EPHA1.pdf</t>
  </si>
  <si>
    <t>Melting_Curves/meltCurve_P21964_2_COMT.pdf</t>
  </si>
  <si>
    <t>Melting_Curves/meltCurve_P22079_LPO.pdf</t>
  </si>
  <si>
    <t>Melting_Curves/meltCurve_P22102_GART.pdf</t>
  </si>
  <si>
    <t>Melting_Curves/meltCurve_P22314_UBA1.pdf</t>
  </si>
  <si>
    <t>Melting_Curves/meltCurve_P22352_GPX3.pdf</t>
  </si>
  <si>
    <t>Melting_Curves/meltCurve_P22528_SPRR1B.pdf</t>
  </si>
  <si>
    <t>Melting_Curves/meltCurve_P22531_SPRR2E.pdf</t>
  </si>
  <si>
    <t>Melting_Curves/meltCurve_P22532_SPRR2D.pdf</t>
  </si>
  <si>
    <t>Melting_Curves/meltCurve_P22626_HNRNPA2B1.pdf</t>
  </si>
  <si>
    <t>Melting_Curves/meltCurve_P22694_10_PRKACB.pdf</t>
  </si>
  <si>
    <t>Melting_Curves/meltCurve_P22735_TGM1.pdf</t>
  </si>
  <si>
    <t>Melting_Curves/meltCurve_P22748_CA4.pdf</t>
  </si>
  <si>
    <t>Melting_Curves/meltCurve_P22792_CPN2.pdf</t>
  </si>
  <si>
    <t>Melting_Curves/meltCurve_P22891_PROZ.pdf</t>
  </si>
  <si>
    <t>Melting_Curves/meltCurve_P22894_MMP8.pdf</t>
  </si>
  <si>
    <t>Melting_Curves/meltCurve_P23083_.pdf</t>
  </si>
  <si>
    <t>Melting_Curves/meltCurve_P23141_3_CES1.pdf</t>
  </si>
  <si>
    <t>Melting_Curves/meltCurve_P23142_FBLN1.pdf</t>
  </si>
  <si>
    <t>Melting_Curves/meltCurve_P23246_SFPQ.pdf</t>
  </si>
  <si>
    <t>Melting_Curves/meltCurve_P23280_2_CA6.pdf</t>
  </si>
  <si>
    <t>Melting_Curves/meltCurve_P23284_PPIB.pdf</t>
  </si>
  <si>
    <t>Melting_Curves/meltCurve_P23368_ME2.pdf</t>
  </si>
  <si>
    <t>Melting_Curves/meltCurve_P23381_WARS.pdf</t>
  </si>
  <si>
    <t>Melting_Curves/meltCurve_P23396_RPS3.pdf</t>
  </si>
  <si>
    <t>Melting_Curves/meltCurve_P23470_2_PTPRG.pdf</t>
  </si>
  <si>
    <t>Melting_Curves/meltCurve_P23526_AHCY.pdf</t>
  </si>
  <si>
    <t>Melting_Curves/meltCurve_P23528_CFL1.pdf</t>
  </si>
  <si>
    <t>Melting_Curves/meltCurve_P23786_CPT2.pdf</t>
  </si>
  <si>
    <t>Melting_Curves/meltCurve_P24071_9_FCAR.pdf</t>
  </si>
  <si>
    <t>Melting_Curves/meltCurve_P24158_PRTN3.pdf</t>
  </si>
  <si>
    <t>Melting_Curves/meltCurve_P24534_EEF1B2.pdf</t>
  </si>
  <si>
    <t>Melting_Curves/meltCurve_P24593_IGFBP5.pdf</t>
  </si>
  <si>
    <t>Melting_Curves/meltCurve_P24855_DNASE1.pdf</t>
  </si>
  <si>
    <t>Melting_Curves/meltCurve_P25098_ADRBK1.pdf</t>
  </si>
  <si>
    <t>Melting_Curves/meltCurve_P25311_AZGP1.pdf</t>
  </si>
  <si>
    <t>Melting_Curves/meltCurve_P25325_MPST.pdf</t>
  </si>
  <si>
    <t>Melting_Curves/meltCurve_P25398_RPS12.pdf</t>
  </si>
  <si>
    <t>Melting_Curves/meltCurve_P25685_DNAJB1.pdf</t>
  </si>
  <si>
    <t>Melting_Curves/meltCurve_P25705_2_ATP5A1.pdf</t>
  </si>
  <si>
    <t>Melting_Curves/meltCurve_P25774_CTSS.pdf</t>
  </si>
  <si>
    <t>Melting_Curves/meltCurve_P25786_PSMA1.pdf</t>
  </si>
  <si>
    <t>Melting_Curves/meltCurve_P25788_2_PSMA3.pdf</t>
  </si>
  <si>
    <t>Melting_Curves/meltCurve_P25815_S100P.pdf</t>
  </si>
  <si>
    <t>Melting_Curves/meltCurve_P26038_MSN.pdf</t>
  </si>
  <si>
    <t>Melting_Curves/meltCurve_P26447_S100A4.pdf</t>
  </si>
  <si>
    <t>Melting_Curves/meltCurve_P26572_MGAT1.pdf</t>
  </si>
  <si>
    <t>Melting_Curves/meltCurve_P26583_HMGB2.pdf</t>
  </si>
  <si>
    <t>Melting_Curves/meltCurve_P26639_TARS.pdf</t>
  </si>
  <si>
    <t>Melting_Curves/meltCurve_P26641_EEF1G.pdf</t>
  </si>
  <si>
    <t>Melting_Curves/meltCurve_P26885_FKBP2.pdf</t>
  </si>
  <si>
    <t>Melting_Curves/meltCurve_P27105_STOM.pdf</t>
  </si>
  <si>
    <t>Melting_Curves/meltCurve_P27169_PON1.pdf</t>
  </si>
  <si>
    <t>Melting_Curves/meltCurve_P27348_YWHAQ.pdf</t>
  </si>
  <si>
    <t>Melting_Curves/meltCurve_P27469_G0S2.pdf</t>
  </si>
  <si>
    <t>Melting_Curves/meltCurve_P27482_CALML3.pdf</t>
  </si>
  <si>
    <t>Melting_Curves/meltCurve_P27487_DPP4.pdf</t>
  </si>
  <si>
    <t>Melting_Curves/meltCurve_P27797_CALR.pdf</t>
  </si>
  <si>
    <t>Melting_Curves/meltCurve_P27824_CANX.pdf</t>
  </si>
  <si>
    <t>Melting_Curves/meltCurve_P27918_CFP.pdf</t>
  </si>
  <si>
    <t>Melting_Curves/meltCurve_P28066_PSMA5.pdf</t>
  </si>
  <si>
    <t>Melting_Curves/meltCurve_P28070_PSMB4.pdf</t>
  </si>
  <si>
    <t>Melting_Curves/meltCurve_P28072_PSMB6.pdf</t>
  </si>
  <si>
    <t>Melting_Curves/meltCurve_P28325_CST5.pdf</t>
  </si>
  <si>
    <t>Melting_Curves/meltCurve_P28799_GRN.pdf</t>
  </si>
  <si>
    <t>Melting_Curves/meltCurve_P28838_2_LAP3.pdf</t>
  </si>
  <si>
    <t>Melting_Curves/meltCurve_P28908_2_TNFRSF8.pdf</t>
  </si>
  <si>
    <t>Melting_Curves/meltCurve_P29034_S100A2.pdf</t>
  </si>
  <si>
    <t>Melting_Curves/meltCurve_P29218_IMPA1.pdf</t>
  </si>
  <si>
    <t>Melting_Curves/meltCurve_P29279_2_CTGF.pdf</t>
  </si>
  <si>
    <t>Melting_Curves/meltCurve_P29317_EPHA2.pdf</t>
  </si>
  <si>
    <t>Melting_Curves/meltCurve_P29350_PTPN6.pdf</t>
  </si>
  <si>
    <t>Melting_Curves/meltCurve_P29353_5_SHC1.pdf</t>
  </si>
  <si>
    <t>Melting_Curves/meltCurve_P29373_CRABP2.pdf</t>
  </si>
  <si>
    <t>Melting_Curves/meltCurve_P29400_COL4A5.pdf</t>
  </si>
  <si>
    <t>Melting_Curves/meltCurve_P29401_TKT.pdf</t>
  </si>
  <si>
    <t>Melting_Curves/meltCurve_P29508_SERPINB3.pdf</t>
  </si>
  <si>
    <t>Melting_Curves/meltCurve_P29966_MARCKS.pdf</t>
  </si>
  <si>
    <t>Melting_Curves/meltCurve_P30040_ERP29.pdf</t>
  </si>
  <si>
    <t>Melting_Curves/meltCurve_P30041_PRDX6.pdf</t>
  </si>
  <si>
    <t>Melting_Curves/meltCurve_P30043_BLVRB.pdf</t>
  </si>
  <si>
    <t>Melting_Curves/meltCurve_P30044_2_PRDX5.pdf</t>
  </si>
  <si>
    <t>Melting_Curves/meltCurve_P30049_ATP5D.pdf</t>
  </si>
  <si>
    <t>Melting_Curves/meltCurve_P30050_RPL12.pdf</t>
  </si>
  <si>
    <t>Melting_Curves/meltCurve_P30086_PEBP1.pdf</t>
  </si>
  <si>
    <t>Melting_Curves/meltCurve_P30273_FCER1G.pdf</t>
  </si>
  <si>
    <t>Melting_Curves/meltCurve_P30419_2_NMT1.pdf</t>
  </si>
  <si>
    <t>Melting_Curves/meltCurve_P30520_ADSS.pdf</t>
  </si>
  <si>
    <t>Melting_Curves/meltCurve_P30533_LRPAP1.pdf</t>
  </si>
  <si>
    <t>Melting_Curves/meltCurve_P30622_2_CLIP1.pdf</t>
  </si>
  <si>
    <t>Melting_Curves/meltCurve_P30740_SERPINB1.pdf</t>
  </si>
  <si>
    <t>Melting_Curves/meltCurve_P31025_LCN1.pdf</t>
  </si>
  <si>
    <t>Melting_Curves/meltCurve_P31146_CORO1A.pdf</t>
  </si>
  <si>
    <t>Melting_Curves/meltCurve_P31150_GDI1.pdf</t>
  </si>
  <si>
    <t>Melting_Curves/meltCurve_P31151_S100A7.pdf</t>
  </si>
  <si>
    <t>Melting_Curves/meltCurve_P31942_3_HNRNPH3.pdf</t>
  </si>
  <si>
    <t>Melting_Curves/meltCurve_P31944_CASP14.pdf</t>
  </si>
  <si>
    <t>Melting_Curves/meltCurve_P31946_2_YWHAB.pdf</t>
  </si>
  <si>
    <t>Melting_Curves/meltCurve_P31947_SFN.pdf</t>
  </si>
  <si>
    <t>Melting_Curves/meltCurve_P31948_STIP1.pdf</t>
  </si>
  <si>
    <t>Melting_Curves/meltCurve_P31949_S100A11.pdf</t>
  </si>
  <si>
    <t>Melting_Curves/meltCurve_P31997_CEACAM8.pdf</t>
  </si>
  <si>
    <t>Melting_Curves/meltCurve_P32119_PRDX2.pdf</t>
  </si>
  <si>
    <t>Melting_Curves/meltCurve_P32320_CDA.pdf</t>
  </si>
  <si>
    <t>Melting_Curves/meltCurve_P32455_GBP1.pdf</t>
  </si>
  <si>
    <t>Melting_Curves/meltCurve_P32926_DSG3.pdf</t>
  </si>
  <si>
    <t>Melting_Curves/meltCurve_P33176_KIF5B.pdf</t>
  </si>
  <si>
    <t>Melting_Curves/meltCurve_P33241_LSP1.pdf</t>
  </si>
  <si>
    <t>Melting_Curves/meltCurve_P33908_MAN1A1.pdf</t>
  </si>
  <si>
    <t>Melting_Curves/meltCurve_P34096_RNASE4.pdf</t>
  </si>
  <si>
    <t>Melting_Curves/meltCurve_P34910_EVI2B.pdf</t>
  </si>
  <si>
    <t>Melting_Curves/meltCurve_P34932_HSPA4.pdf</t>
  </si>
  <si>
    <t>Melting_Curves/meltCurve_P35052_GPC1.pdf</t>
  </si>
  <si>
    <t>Melting_Curves/meltCurve_P35237_SERPINB6.pdf</t>
  </si>
  <si>
    <t>Melting_Curves/meltCurve_P35241_RDX.pdf</t>
  </si>
  <si>
    <t>Melting_Curves/meltCurve_P35321_SPRR1A.pdf</t>
  </si>
  <si>
    <t>Melting_Curves/meltCurve_P35325_SPRR2B.pdf</t>
  </si>
  <si>
    <t>Melting_Curves/meltCurve_P35326_SPRR2A.pdf</t>
  </si>
  <si>
    <t>Melting_Curves/meltCurve_P35579_MYH9.pdf</t>
  </si>
  <si>
    <t>Melting_Curves/meltCurve_P35658_2_NUP214.pdf</t>
  </si>
  <si>
    <t>Melting_Curves/meltCurve_P35754_GLRX.pdf</t>
  </si>
  <si>
    <t>Melting_Curves/meltCurve_P35858_IGFALS.pdf</t>
  </si>
  <si>
    <t>Melting_Curves/meltCurve_P35998_PSMC2.pdf</t>
  </si>
  <si>
    <t>Melting_Curves/meltCurve_P36222_CHI3L1.pdf</t>
  </si>
  <si>
    <t>Melting_Curves/meltCurve_P36639_4_NUDT1.pdf</t>
  </si>
  <si>
    <t>Melting_Curves/meltCurve_P36871_PGM1.pdf</t>
  </si>
  <si>
    <t>Melting_Curves/meltCurve_P36952_SERPINB5.pdf</t>
  </si>
  <si>
    <t>Melting_Curves/meltCurve_P36955_SERPINF1.pdf</t>
  </si>
  <si>
    <t>Melting_Curves/meltCurve_P36980_2_CFHR2.pdf</t>
  </si>
  <si>
    <t>Melting_Curves/meltCurve_P37802_TAGLN2.pdf</t>
  </si>
  <si>
    <t>Melting_Curves/meltCurve_P37837_TALDO1.pdf</t>
  </si>
  <si>
    <t>Melting_Curves/meltCurve_P38117_ETFB.pdf</t>
  </si>
  <si>
    <t>Melting_Curves/meltCurve_P38646_HSPA9.pdf</t>
  </si>
  <si>
    <t>Melting_Curves/meltCurve_P40121_2_CAPG.pdf</t>
  </si>
  <si>
    <t>Melting_Curves/meltCurve_P40189_IL6ST.pdf</t>
  </si>
  <si>
    <t>Melting_Curves/meltCurve_P40394_ADH7.pdf</t>
  </si>
  <si>
    <t>Melting_Curves/meltCurve_P40925_2_MDH1.pdf</t>
  </si>
  <si>
    <t>Melting_Curves/meltCurve_P40926_MDH2.pdf</t>
  </si>
  <si>
    <t>Melting_Curves/meltCurve_P41091_EIF2S3.pdf</t>
  </si>
  <si>
    <t>Melting_Curves/meltCurve_P41218_MNDA.pdf</t>
  </si>
  <si>
    <t>Melting_Curves/meltCurve_P41226_UBA7.pdf</t>
  </si>
  <si>
    <t>Melting_Curves/meltCurve_P41240_CSK.pdf</t>
  </si>
  <si>
    <t>Melting_Curves/meltCurve_P41250_GARS.pdf</t>
  </si>
  <si>
    <t>Melting_Curves/meltCurve_P42768_WAS.pdf</t>
  </si>
  <si>
    <t>Melting_Curves/meltCurve_P42785_PRCP.pdf</t>
  </si>
  <si>
    <t>Melting_Curves/meltCurve_P42830_CXCL5.pdf</t>
  </si>
  <si>
    <t>Melting_Curves/meltCurve_P43034_PAFAH1B1.pdf</t>
  </si>
  <si>
    <t>Melting_Curves/meltCurve_P43121_MCAM.pdf</t>
  </si>
  <si>
    <t>Melting_Curves/meltCurve_P43250_2_GRK6.pdf</t>
  </si>
  <si>
    <t>Melting_Curves/meltCurve_P43405_2_SYK.pdf</t>
  </si>
  <si>
    <t>Melting_Curves/meltCurve_P43490_NAMPT.pdf</t>
  </si>
  <si>
    <t>Melting_Curves/meltCurve_P43652_AFM.pdf</t>
  </si>
  <si>
    <t>Melting_Curves/meltCurve_P43686_PSMC4.pdf</t>
  </si>
  <si>
    <t>Melting_Curves/meltCurve_P45877_PPIC.pdf</t>
  </si>
  <si>
    <t>Melting_Curves/meltCurve_P45974_2_USP5.pdf</t>
  </si>
  <si>
    <t>Melting_Curves/meltCurve_P46109_CRKL.pdf</t>
  </si>
  <si>
    <t>Melting_Curves/meltCurve_P46781_RPS9.pdf</t>
  </si>
  <si>
    <t>Melting_Curves/meltCurve_P46783_RPS10.pdf</t>
  </si>
  <si>
    <t>Melting_Curves/meltCurve_P46940_IQGAP1.pdf</t>
  </si>
  <si>
    <t>Melting_Curves/meltCurve_P46976_2_GYG1.pdf</t>
  </si>
  <si>
    <t>Melting_Curves/meltCurve_P47755_CAPZA2.pdf</t>
  </si>
  <si>
    <t>Melting_Curves/meltCurve_P47914_RPL29.pdf</t>
  </si>
  <si>
    <t>Melting_Curves/meltCurve_P47929_LGALS7.pdf</t>
  </si>
  <si>
    <t>Melting_Curves/meltCurve_P48147_PREP.pdf</t>
  </si>
  <si>
    <t>Melting_Curves/meltCurve_P48163_ME1.pdf</t>
  </si>
  <si>
    <t>Melting_Curves/meltCurve_P48507_GCLM.pdf</t>
  </si>
  <si>
    <t>Melting_Curves/meltCurve_P48594_SERPINB4.pdf</t>
  </si>
  <si>
    <t>Melting_Curves/meltCurve_P48595_SERPINB10.pdf</t>
  </si>
  <si>
    <t>Melting_Curves/meltCurve_P48634_4_PRRC2A.pdf</t>
  </si>
  <si>
    <t>Melting_Curves/meltCurve_P48637_GSS.pdf</t>
  </si>
  <si>
    <t>Melting_Curves/meltCurve_P48723_HSPA13.pdf</t>
  </si>
  <si>
    <t>Melting_Curves/meltCurve_P49006_MARCKSL1.pdf</t>
  </si>
  <si>
    <t>Melting_Curves/meltCurve_P49137_MAPKAPK2.pdf</t>
  </si>
  <si>
    <t>Melting_Curves/meltCurve_P49189_ALDH9A1.pdf</t>
  </si>
  <si>
    <t>Melting_Curves/meltCurve_P49247_RPIA.pdf</t>
  </si>
  <si>
    <t>Melting_Curves/meltCurve_P49257_LMAN1.pdf</t>
  </si>
  <si>
    <t>Melting_Curves/meltCurve_P49321_3_NASP.pdf</t>
  </si>
  <si>
    <t>Melting_Curves/meltCurve_P49327_FASN.pdf</t>
  </si>
  <si>
    <t>Melting_Curves/meltCurve_P49411_TUFM.pdf</t>
  </si>
  <si>
    <t>Melting_Curves/meltCurve_P49755_TMED10.pdf</t>
  </si>
  <si>
    <t>Melting_Curves/meltCurve_P49773_HINT1.pdf</t>
  </si>
  <si>
    <t>Melting_Curves/meltCurve_P49788_2_RARRES1.pdf</t>
  </si>
  <si>
    <t>Melting_Curves/meltCurve_P50452_SERPINB8.pdf</t>
  </si>
  <si>
    <t>Melting_Curves/meltCurve_P50453_SERPINB9.pdf</t>
  </si>
  <si>
    <t>Melting_Curves/meltCurve_P50552_VASP.pdf</t>
  </si>
  <si>
    <t>Melting_Curves/meltCurve_P50591_TNFSF10.pdf</t>
  </si>
  <si>
    <t>Melting_Curves/meltCurve_P50749_RASSF2.pdf</t>
  </si>
  <si>
    <t>Melting_Curves/meltCurve_P50991_2_CCT4.pdf</t>
  </si>
  <si>
    <t>Melting_Curves/meltCurve_P51149_RAB7A.pdf</t>
  </si>
  <si>
    <t>Melting_Curves/meltCurve_P51151_RAB9A.pdf</t>
  </si>
  <si>
    <t>Melting_Curves/meltCurve_P51572_BCAP31.pdf</t>
  </si>
  <si>
    <t>Melting_Curves/meltCurve_P51580_TPMT.pdf</t>
  </si>
  <si>
    <t>Melting_Curves/meltCurve_P51858_HDGF.pdf</t>
  </si>
  <si>
    <t>Melting_Curves/meltCurve_P51884_LUM.pdf</t>
  </si>
  <si>
    <t>Melting_Curves/meltCurve_P51991_HNRNPA3.pdf</t>
  </si>
  <si>
    <t>Melting_Curves/meltCurve_P51993_FUT6.pdf</t>
  </si>
  <si>
    <t>Melting_Curves/meltCurve_P52565_ARHGDIA.pdf</t>
  </si>
  <si>
    <t>Melting_Curves/meltCurve_P52566_ARHGDIB.pdf</t>
  </si>
  <si>
    <t>Melting_Curves/meltCurve_P52597_HNRNPF.pdf</t>
  </si>
  <si>
    <t>Melting_Curves/meltCurve_P52790_HK3.pdf</t>
  </si>
  <si>
    <t>Melting_Curves/meltCurve_P52799_EFNB2.pdf</t>
  </si>
  <si>
    <t>Melting_Curves/meltCurve_P52907_CAPZA1.pdf</t>
  </si>
  <si>
    <t>Melting_Curves/meltCurve_P53004_BLVRA.pdf</t>
  </si>
  <si>
    <t>Melting_Curves/meltCurve_P53367_ARFIP1.pdf</t>
  </si>
  <si>
    <t>Melting_Curves/meltCurve_P53597_SUCLG1.pdf</t>
  </si>
  <si>
    <t>Melting_Curves/meltCurve_P53634_CTSC.pdf</t>
  </si>
  <si>
    <t>Melting_Curves/meltCurve_P53999_SUB1.pdf</t>
  </si>
  <si>
    <t>Melting_Curves/meltCurve_P54577_YARS.pdf</t>
  </si>
  <si>
    <t>Melting_Curves/meltCurve_P54710_2_FXYD2.pdf</t>
  </si>
  <si>
    <t>Melting_Curves/meltCurve_P54727_RAD23B.pdf</t>
  </si>
  <si>
    <t>Melting_Curves/meltCurve_P54753_EPHB3.pdf</t>
  </si>
  <si>
    <t>Melting_Curves/meltCurve_P54802_NAGLU.pdf</t>
  </si>
  <si>
    <t>Melting_Curves/meltCurve_P55000_SLURP1.pdf</t>
  </si>
  <si>
    <t>Melting_Curves/meltCurve_P55072_VCP.pdf</t>
  </si>
  <si>
    <t>Melting_Curves/meltCurve_P55145_MANF.pdf</t>
  </si>
  <si>
    <t>Melting_Curves/meltCurve_P55263_3_ADK.pdf</t>
  </si>
  <si>
    <t>Melting_Curves/meltCurve_P55268_LAMB2.pdf</t>
  </si>
  <si>
    <t>Melting_Curves/meltCurve_P55273_CDKN2D.pdf</t>
  </si>
  <si>
    <t>Melting_Curves/meltCurve_P55290_CDH13.pdf</t>
  </si>
  <si>
    <t>Melting_Curves/meltCurve_P55884_EIF3B.pdf</t>
  </si>
  <si>
    <t>Melting_Curves/meltCurve_P55957_BID.pdf</t>
  </si>
  <si>
    <t>Melting_Curves/meltCurve_P56537_EIF6.pdf</t>
  </si>
  <si>
    <t>Melting_Curves/meltCurve_P57735_RAB25.pdf</t>
  </si>
  <si>
    <t>Melting_Curves/meltCurve_P58107_EPPK1.pdf</t>
  </si>
  <si>
    <t>Melting_Curves/meltCurve_P58546_MTPN.pdf</t>
  </si>
  <si>
    <t>Melting_Curves/meltCurve_P59666_DEFA3.pdf</t>
  </si>
  <si>
    <t>Melting_Curves/meltCurve_P60022_DEFB1.pdf</t>
  </si>
  <si>
    <t>Melting_Curves/meltCurve_P60174_1_TPI1.pdf</t>
  </si>
  <si>
    <t>Melting_Curves/meltCurve_P60842_EIF4A1.pdf</t>
  </si>
  <si>
    <t>Melting_Curves/meltCurve_P60866_RPS20.pdf</t>
  </si>
  <si>
    <t>Melting_Curves/meltCurve_P60953_CDC42.pdf</t>
  </si>
  <si>
    <t>Melting_Curves/meltCurve_P60981_2_DSTN.pdf</t>
  </si>
  <si>
    <t>Melting_Curves/meltCurve_P61006_RAB8A.pdf</t>
  </si>
  <si>
    <t>Melting_Curves/meltCurve_P61019_2_RAB2A.pdf</t>
  </si>
  <si>
    <t>Melting_Curves/meltCurve_P61020_RAB5B.pdf</t>
  </si>
  <si>
    <t>Melting_Curves/meltCurve_P61026_RAB10.pdf</t>
  </si>
  <si>
    <t>Melting_Curves/meltCurve_P61077_UBE2D3.pdf</t>
  </si>
  <si>
    <t>Melting_Curves/meltCurve_P61088_UBE2N.pdf</t>
  </si>
  <si>
    <t>Melting_Curves/meltCurve_P61106_RAB14.pdf</t>
  </si>
  <si>
    <t>Melting_Curves/meltCurve_P61158_ACTR3.pdf</t>
  </si>
  <si>
    <t>Melting_Curves/meltCurve_P61160_ACTR2.pdf</t>
  </si>
  <si>
    <t>Melting_Curves/meltCurve_P61457_PCBD1.pdf</t>
  </si>
  <si>
    <t>Melting_Curves/meltCurve_P61586_RHOA.pdf</t>
  </si>
  <si>
    <t>Melting_Curves/meltCurve_P61626_LYZ.pdf</t>
  </si>
  <si>
    <t>Melting_Curves/meltCurve_P61970_NUTF2.pdf</t>
  </si>
  <si>
    <t>Melting_Curves/meltCurve_P61981_YWHAG.pdf</t>
  </si>
  <si>
    <t>Melting_Curves/meltCurve_P62136_PPP1CA.pdf</t>
  </si>
  <si>
    <t>Melting_Curves/meltCurve_P62258_YWHAE.pdf</t>
  </si>
  <si>
    <t>Melting_Curves/meltCurve_P62263_RPS14.pdf</t>
  </si>
  <si>
    <t>Melting_Curves/meltCurve_P62269_RPS18.pdf</t>
  </si>
  <si>
    <t>Melting_Curves/meltCurve_P62328_TMSB4X.pdf</t>
  </si>
  <si>
    <t>Melting_Curves/meltCurve_P62333_PSMC6.pdf</t>
  </si>
  <si>
    <t>Melting_Curves/meltCurve_P62805_HIST1H4A.pdf</t>
  </si>
  <si>
    <t>Melting_Curves/meltCurve_P62851_RPS25.pdf</t>
  </si>
  <si>
    <t>Melting_Curves/meltCurve_P62857_RPS28.pdf</t>
  </si>
  <si>
    <t>Melting_Curves/meltCurve_P62906_RPL10A.pdf</t>
  </si>
  <si>
    <t>Melting_Curves/meltCurve_P62937_PPIA.pdf</t>
  </si>
  <si>
    <t>Melting_Curves/meltCurve_P62942_FKBP1A.pdf</t>
  </si>
  <si>
    <t>Melting_Curves/meltCurve_P62993_GRB2.pdf</t>
  </si>
  <si>
    <t>Melting_Curves/meltCurve_P63000_RAC1.pdf</t>
  </si>
  <si>
    <t>Melting_Curves/meltCurve_P63104_YWHAZ.pdf</t>
  </si>
  <si>
    <t>Melting_Curves/meltCurve_P63261_ACTG1.pdf</t>
  </si>
  <si>
    <t>Melting_Curves/meltCurve_P63267_ACTG2.pdf</t>
  </si>
  <si>
    <t>Melting_Curves/meltCurve_P63313_TMSB10.pdf</t>
  </si>
  <si>
    <t>Melting_Curves/meltCurve_P67936_TPM4.pdf</t>
  </si>
  <si>
    <t>Melting_Curves/meltCurve_P67936_2_TPM4.pdf</t>
  </si>
  <si>
    <t>Melting_Curves/meltCurve_P68036_2_UBE2L3.pdf</t>
  </si>
  <si>
    <t>Melting_Curves/meltCurve_P68371_TUBB4B.pdf</t>
  </si>
  <si>
    <t>Melting_Curves/meltCurve_P68871_HBB.pdf</t>
  </si>
  <si>
    <t>Melting_Curves/meltCurve_P69905_HBA1.pdf</t>
  </si>
  <si>
    <t>Melting_Curves/meltCurve_P78324_SIRPA.pdf</t>
  </si>
  <si>
    <t>Melting_Curves/meltCurve_P78417_GSTO1.pdf</t>
  </si>
  <si>
    <t>Melting_Curves/meltCurve_P80108_GPLD1.pdf</t>
  </si>
  <si>
    <t>Melting_Curves/meltCurve_P80303_NUCB2.pdf</t>
  </si>
  <si>
    <t>Melting_Curves/meltCurve_P80362_.pdf</t>
  </si>
  <si>
    <t>Melting_Curves/meltCurve_P80419_.pdf</t>
  </si>
  <si>
    <t>Melting_Curves/meltCurve_P80511_S100A12.pdf</t>
  </si>
  <si>
    <t>Melting_Curves/meltCurve_P80723_BASP1.pdf</t>
  </si>
  <si>
    <t>Melting_Curves/meltCurve_P80748_.pdf</t>
  </si>
  <si>
    <t>Melting_Curves/meltCurve_P81534_DEFB103A.pdf</t>
  </si>
  <si>
    <t>Melting_Curves/meltCurve_P81605_DCD.pdf</t>
  </si>
  <si>
    <t>Melting_Curves/meltCurve_P84090_ERH.pdf</t>
  </si>
  <si>
    <t>Melting_Curves/meltCurve_P84095_RHOG.pdf</t>
  </si>
  <si>
    <t>Melting_Curves/meltCurve_P98160_HSPG2.pdf</t>
  </si>
  <si>
    <t>Melting_Curves/meltCurve_P98172_EFNB1.pdf</t>
  </si>
  <si>
    <t>Melting_Curves/meltCurve_Q00610_2_CLTC.pdf</t>
  </si>
  <si>
    <t>Melting_Curves/meltCurve_Q00688_FKBP3.pdf</t>
  </si>
  <si>
    <t>Melting_Curves/meltCurve_Q00839_2_HNRNPU.pdf</t>
  </si>
  <si>
    <t>Melting_Curves/meltCurve_Q01082_SPTBN1.pdf</t>
  </si>
  <si>
    <t>Melting_Curves/meltCurve_Q01105_3_SET.pdf</t>
  </si>
  <si>
    <t>Melting_Curves/meltCurve_Q01459_CTBS.pdf</t>
  </si>
  <si>
    <t>Melting_Curves/meltCurve_Q01469_FABP5.pdf</t>
  </si>
  <si>
    <t>Melting_Curves/meltCurve_Q01518_2_CAP1.pdf</t>
  </si>
  <si>
    <t>Melting_Curves/meltCurve_Q01581_HMGCS1.pdf</t>
  </si>
  <si>
    <t>Melting_Curves/meltCurve_Q02383_SEMG2.pdf</t>
  </si>
  <si>
    <t>Melting_Curves/meltCurve_Q02413_DSG1.pdf</t>
  </si>
  <si>
    <t>Melting_Curves/meltCurve_Q02487_2_DSC2.pdf</t>
  </si>
  <si>
    <t>Melting_Curves/meltCurve_Q02742_GCNT1.pdf</t>
  </si>
  <si>
    <t>Melting_Curves/meltCurve_Q02750_2_MAP2K1.pdf</t>
  </si>
  <si>
    <t>Melting_Curves/meltCurve_Q02790_FKBP4.pdf</t>
  </si>
  <si>
    <t>Melting_Curves/meltCurve_Q02818_NUCB1.pdf</t>
  </si>
  <si>
    <t>Melting_Curves/meltCurve_Q03403_TFF2.pdf</t>
  </si>
  <si>
    <t>Melting_Curves/meltCurve_Q03405_PLAUR.pdf</t>
  </si>
  <si>
    <t>Melting_Curves/meltCurve_Q03591_CFHR1.pdf</t>
  </si>
  <si>
    <t>Melting_Curves/meltCurve_Q04609_6_FOLH1.pdf</t>
  </si>
  <si>
    <t>Melting_Curves/meltCurve_Q04760_2_GLO1.pdf</t>
  </si>
  <si>
    <t>Melting_Curves/meltCurve_Q04917_YWHAH.pdf</t>
  </si>
  <si>
    <t>Melting_Curves/meltCurve_Q05209_PTPN12.pdf</t>
  </si>
  <si>
    <t>Melting_Curves/meltCurve_Q05315_CLC.pdf</t>
  </si>
  <si>
    <t>Melting_Curves/meltCurve_Q05655_PRKCD.pdf</t>
  </si>
  <si>
    <t>Melting_Curves/meltCurve_Q05707_2_COL14A1.pdf</t>
  </si>
  <si>
    <t>Melting_Curves/meltCurve_Q06828_FMOD.pdf</t>
  </si>
  <si>
    <t>Melting_Curves/meltCurve_Q06830_PRDX1.pdf</t>
  </si>
  <si>
    <t>Melting_Curves/meltCurve_Q06S70_TREX2.pdf</t>
  </si>
  <si>
    <t>Melting_Curves/meltCurve_Q07065_CKAP4.pdf</t>
  </si>
  <si>
    <t>Melting_Curves/meltCurve_Q07654_TFF3.pdf</t>
  </si>
  <si>
    <t>Melting_Curves/meltCurve_Q07812_5_BAX.pdf</t>
  </si>
  <si>
    <t>Melting_Curves/meltCurve_Q07960_ARHGAP1.pdf</t>
  </si>
  <si>
    <t>Melting_Curves/meltCurve_Q08188_TGM3.pdf</t>
  </si>
  <si>
    <t>Melting_Curves/meltCurve_Q08209_3_PPP3CA.pdf</t>
  </si>
  <si>
    <t>Melting_Curves/meltCurve_Q08345_2_DDR1.pdf</t>
  </si>
  <si>
    <t>Melting_Curves/meltCurve_Q08380_LGALS3BP.pdf</t>
  </si>
  <si>
    <t>Melting_Curves/meltCurve_Q08554_2_DSC1.pdf</t>
  </si>
  <si>
    <t>Melting_Curves/meltCurve_Q08752_PPID.pdf</t>
  </si>
  <si>
    <t>Melting_Curves/meltCurve_Q08ET2_SIGLEC14.pdf</t>
  </si>
  <si>
    <t>Melting_Curves/meltCurve_Q09666_AHNAK.pdf</t>
  </si>
  <si>
    <t>Melting_Curves/meltCurve_Q10469_MGAT2.pdf</t>
  </si>
  <si>
    <t>Melting_Curves/meltCurve_Q10567_3_AP1B1.pdf</t>
  </si>
  <si>
    <t>Melting_Curves/meltCurve_Q12765_SCRN1.pdf</t>
  </si>
  <si>
    <t>Melting_Curves/meltCurve_Q12802_4_AKAP13.pdf</t>
  </si>
  <si>
    <t>Melting_Curves/meltCurve_Q12805_2_EFEMP1.pdf</t>
  </si>
  <si>
    <t>Melting_Curves/meltCurve_Q12841_FSTL1.pdf</t>
  </si>
  <si>
    <t>Melting_Curves/meltCurve_Q12906_5_ILF3.pdf</t>
  </si>
  <si>
    <t>Melting_Curves/meltCurve_Q12913_PTPRJ.pdf</t>
  </si>
  <si>
    <t>Melting_Curves/meltCurve_Q13043_STK4.pdf</t>
  </si>
  <si>
    <t>Melting_Curves/meltCurve_Q13045_2_FLII.pdf</t>
  </si>
  <si>
    <t>Melting_Curves/meltCurve_Q13113_PDZK1IP1.pdf</t>
  </si>
  <si>
    <t>Melting_Curves/meltCurve_Q13153_PAK1.pdf</t>
  </si>
  <si>
    <t>Melting_Curves/meltCurve_Q13162_PRDX4.pdf</t>
  </si>
  <si>
    <t>Melting_Curves/meltCurve_Q13177_PAK2.pdf</t>
  </si>
  <si>
    <t>Melting_Curves/meltCurve_Q13185_CBX3.pdf</t>
  </si>
  <si>
    <t>Melting_Curves/meltCurve_Q13217_DNAJC3.pdf</t>
  </si>
  <si>
    <t>Melting_Curves/meltCurve_Q13231_3_CHIT1.pdf</t>
  </si>
  <si>
    <t>Melting_Curves/meltCurve_Q13332_6_PTPRS.pdf</t>
  </si>
  <si>
    <t>Melting_Curves/meltCurve_Q13421_4_MSLN.pdf</t>
  </si>
  <si>
    <t>Melting_Curves/meltCurve_Q13429_IGF_I.pdf</t>
  </si>
  <si>
    <t>Melting_Curves/meltCurve_Q13442_PDAP1.pdf</t>
  </si>
  <si>
    <t>Melting_Curves/meltCurve_Q13444_10_ADAM15.pdf</t>
  </si>
  <si>
    <t>Melting_Curves/meltCurve_Q13464_ROCK1.pdf</t>
  </si>
  <si>
    <t>Melting_Curves/meltCurve_Q13637_RAB32.pdf</t>
  </si>
  <si>
    <t>Melting_Curves/meltCurve_Q13835_2_PKP1.pdf</t>
  </si>
  <si>
    <t>Melting_Curves/meltCurve_Q14005_3_IL16.pdf</t>
  </si>
  <si>
    <t>Melting_Curves/meltCurve_Q14019_COTL1.pdf</t>
  </si>
  <si>
    <t>Melting_Curves/meltCurve_Q14050_COL9A3.pdf</t>
  </si>
  <si>
    <t>Melting_Curves/meltCurve_Q14116_2_IL18.pdf</t>
  </si>
  <si>
    <t>Melting_Curves/meltCurve_Q14118_DAG1.pdf</t>
  </si>
  <si>
    <t>Melting_Curves/meltCurve_Q14126_DSG2.pdf</t>
  </si>
  <si>
    <t>Melting_Curves/meltCurve_Q14134_2_TRIM29.pdf</t>
  </si>
  <si>
    <t>Melting_Curves/meltCurve_Q14166_TTLL12.pdf</t>
  </si>
  <si>
    <t>Melting_Curves/meltCurve_Q14204_DYNC1H1.pdf</t>
  </si>
  <si>
    <t>Melting_Curves/meltCurve_Q14210_LY6D.pdf</t>
  </si>
  <si>
    <t>Melting_Curves/meltCurve_Q14289_2_PTK2B.pdf</t>
  </si>
  <si>
    <t>Melting_Curves/meltCurve_Q14314_FGL2.pdf</t>
  </si>
  <si>
    <t>Melting_Curves/meltCurve_Q14332_FZD2.pdf</t>
  </si>
  <si>
    <t>Melting_Curves/meltCurve_Q14435_GALNT3.pdf</t>
  </si>
  <si>
    <t>Melting_Curves/meltCurve_Q14508_WFDC2.pdf</t>
  </si>
  <si>
    <t>Melting_Curves/meltCurve_Q14515_SPARCL1.pdf</t>
  </si>
  <si>
    <t>Melting_Curves/meltCurve_Q14520_2_HABP2.pdf</t>
  </si>
  <si>
    <t>Melting_Curves/meltCurve_Q14574_2_DSC3.pdf</t>
  </si>
  <si>
    <t>Melting_Curves/meltCurve_Q14624_ITIH4.pdf</t>
  </si>
  <si>
    <t>Melting_Curves/meltCurve_Q14677_2_CLINT1.pdf</t>
  </si>
  <si>
    <t>Melting_Curves/meltCurve_Q14696_MESDC2.pdf</t>
  </si>
  <si>
    <t>Melting_Curves/meltCurve_Q14764_MVP.pdf</t>
  </si>
  <si>
    <t>Melting_Curves/meltCurve_Q14766_LTBP1.pdf</t>
  </si>
  <si>
    <t>Melting_Curves/meltCurve_Q14847_LASP1.pdf</t>
  </si>
  <si>
    <t>Melting_Curves/meltCurve_Q14914_2_PTGR1.pdf</t>
  </si>
  <si>
    <t>Melting_Curves/meltCurve_Q14974_KPNB1.pdf</t>
  </si>
  <si>
    <t>Melting_Curves/meltCurve_Q14CN2_CLCA4.pdf</t>
  </si>
  <si>
    <t>Melting_Curves/meltCurve_Q15029_2_EFTUD2.pdf</t>
  </si>
  <si>
    <t>Melting_Curves/meltCurve_Q15056_2_EIF4H.pdf</t>
  </si>
  <si>
    <t>Melting_Curves/meltCurve_Q15075_EEA1.pdf</t>
  </si>
  <si>
    <t>Melting_Curves/meltCurve_Q15080_NCF4.pdf</t>
  </si>
  <si>
    <t>Melting_Curves/meltCurve_Q15113_PCOLCE.pdf</t>
  </si>
  <si>
    <t>Melting_Curves/meltCurve_Q15149_7_PLEC.pdf</t>
  </si>
  <si>
    <t>Melting_Curves/meltCurve_Q15166_PON3.pdf</t>
  </si>
  <si>
    <t>Melting_Curves/meltCurve_Q15181_PPA1.pdf</t>
  </si>
  <si>
    <t>Melting_Curves/meltCurve_Q15208_STK38.pdf</t>
  </si>
  <si>
    <t>Melting_Curves/meltCurve_Q15223_3_PVRL1.pdf</t>
  </si>
  <si>
    <t>Melting_Curves/meltCurve_Q15233_2_NONO.pdf</t>
  </si>
  <si>
    <t>Melting_Curves/meltCurve_Q15365_PCBP1.pdf</t>
  </si>
  <si>
    <t>Melting_Curves/meltCurve_Q15375_3_EPHA7.pdf</t>
  </si>
  <si>
    <t>Melting_Curves/meltCurve_Q15404_2_RSU1.pdf</t>
  </si>
  <si>
    <t>Melting_Curves/meltCurve_Q15424_2_SAFB.pdf</t>
  </si>
  <si>
    <t>Melting_Curves/meltCurve_Q15691_MAPRE1.pdf</t>
  </si>
  <si>
    <t>Melting_Curves/meltCurve_Q15828_CST6.pdf</t>
  </si>
  <si>
    <t>Melting_Curves/meltCurve_Q15833_2_STXBP2.pdf</t>
  </si>
  <si>
    <t>Melting_Curves/meltCurve_Q15836_VAMP3.pdf</t>
  </si>
  <si>
    <t>Melting_Curves/meltCurve_Q15847_ADIRF.pdf</t>
  </si>
  <si>
    <t>Melting_Curves/meltCurve_Q15904_ATP6AP1.pdf</t>
  </si>
  <si>
    <t>Melting_Curves/meltCurve_Q15907_RAB11B.pdf</t>
  </si>
  <si>
    <t>Melting_Curves/meltCurve_Q15942_ZYX.pdf</t>
  </si>
  <si>
    <t>Melting_Curves/meltCurve_Q16270_2_IGFBP7.pdf</t>
  </si>
  <si>
    <t>Melting_Curves/meltCurve_Q16348_2_SLC15A2.pdf</t>
  </si>
  <si>
    <t>Melting_Curves/meltCurve_Q16378_PRR4.pdf</t>
  </si>
  <si>
    <t>Melting_Curves/meltCurve_Q16512_3_PKN1.pdf</t>
  </si>
  <si>
    <t>Melting_Curves/meltCurve_Q16543_CDC37.pdf</t>
  </si>
  <si>
    <t>Melting_Curves/meltCurve_Q16555_2_DPYSL2.pdf</t>
  </si>
  <si>
    <t>Melting_Curves/meltCurve_Q16610_ECM1.pdf</t>
  </si>
  <si>
    <t>Melting_Curves/meltCurve_Q16706_MAN2A1.pdf</t>
  </si>
  <si>
    <t>Melting_Curves/meltCurve_Q16769_QPCT.pdf</t>
  </si>
  <si>
    <t>Melting_Curves/meltCurve_Q17RU2_REL.pdf</t>
  </si>
  <si>
    <t>Melting_Curves/meltCurve_Q1L6K4_PDCD8.pdf</t>
  </si>
  <si>
    <t>Melting_Curves/meltCurve_Q24JP5_TMEM132A.pdf</t>
  </si>
  <si>
    <t>Melting_Curves/meltCurve_Q2I0M4_LRRC26.pdf</t>
  </si>
  <si>
    <t>Melting_Curves/meltCurve_Q32MZ4_3_LRRFIP1.pdf</t>
  </si>
  <si>
    <t>Melting_Curves/meltCurve_Q3KQU3_2_MAP7D1.pdf</t>
  </si>
  <si>
    <t>Melting_Curves/meltCurve_Q49AM7_KLK12.pdf</t>
  </si>
  <si>
    <t>Melting_Curves/meltCurve_Q4G0X9_3_CCDC40.pdf</t>
  </si>
  <si>
    <t>Melting_Curves/meltCurve_Q4VB95_HAL.pdf</t>
  </si>
  <si>
    <t>Melting_Curves/meltCurve_Q53RT3_ASPRV1.pdf</t>
  </si>
  <si>
    <t>Melting_Curves/meltCurve_Q53XA7_DKFZp686F13224.pdf</t>
  </si>
  <si>
    <t>Melting_Curves/meltCurve_Q58FG1_HSP90AA4P.pdf</t>
  </si>
  <si>
    <t>Melting_Curves/meltCurve_Q5FBE1_F9.pdf</t>
  </si>
  <si>
    <t>Melting_Curves/meltCurve_Q5H8X8_UTS2.pdf</t>
  </si>
  <si>
    <t>Melting_Curves/meltCurve_Q5H9A7_TIMP1.pdf</t>
  </si>
  <si>
    <t>Melting_Curves/meltCurve_Q5JP53_TUBB.pdf</t>
  </si>
  <si>
    <t>Melting_Curves/meltCurve_Q5JPT2_SH3KBP1.pdf</t>
  </si>
  <si>
    <t>Melting_Curves/meltCurve_Q5JR95_RPS8.pdf</t>
  </si>
  <si>
    <t>Melting_Curves/meltCurve_Q5JSP0_2_FGD3.pdf</t>
  </si>
  <si>
    <t>Melting_Curves/meltCurve_Q5JTJ3_3_COA6.pdf</t>
  </si>
  <si>
    <t>Melting_Curves/meltCurve_Q5JVE8_F10.pdf</t>
  </si>
  <si>
    <t>Melting_Curves/meltCurve_Q5JVY0_TRIM32.pdf</t>
  </si>
  <si>
    <t>Melting_Curves/meltCurve_Q5JW30_STAU1.pdf</t>
  </si>
  <si>
    <t>Melting_Curves/meltCurve_Q5JXD4_CD164L2.pdf</t>
  </si>
  <si>
    <t>Melting_Curves/meltCurve_Q5JZG9_CTSA.pdf</t>
  </si>
  <si>
    <t>Melting_Curves/meltCurve_Q5QPE4_SNX5.pdf</t>
  </si>
  <si>
    <t>Melting_Curves/meltCurve_Q5QPL9_RALY.pdf</t>
  </si>
  <si>
    <t>Melting_Curves/meltCurve_Q5R3E4_MAPK13.pdf</t>
  </si>
  <si>
    <t>Melting_Curves/meltCurve_Q5SGD2_2_PPM1L.pdf</t>
  </si>
  <si>
    <t>Melting_Curves/meltCurve_Q5SPY9_NPDC1.pdf</t>
  </si>
  <si>
    <t>Melting_Curves/meltCurve_Q5SQ17_CLIC3.pdf</t>
  </si>
  <si>
    <t>Melting_Curves/meltCurve_Q5SRN7_HLA_A.pdf</t>
  </si>
  <si>
    <t>Melting_Curves/meltCurve_Q5SRP5_APOM.pdf</t>
  </si>
  <si>
    <t>Melting_Curves/meltCurve_Q5SSJ5_HP1BP3.pdf</t>
  </si>
  <si>
    <t>Melting_Curves/meltCurve_Q5STX8_AIF1.pdf</t>
  </si>
  <si>
    <t>Melting_Curves/meltCurve_Q5SVK8_DNMBP.pdf</t>
  </si>
  <si>
    <t>Melting_Curves/meltCurve_Q5T0D2_CMPK1.pdf</t>
  </si>
  <si>
    <t>Melting_Curves/meltCurve_Q5T0Z8_C6orf132.pdf</t>
  </si>
  <si>
    <t>Melting_Curves/meltCurve_Q5T123_SH3BGRL3.pdf</t>
  </si>
  <si>
    <t>Melting_Curves/meltCurve_Q5T1M5_2_FKBP15.pdf</t>
  </si>
  <si>
    <t>Melting_Curves/meltCurve_Q5T205_NCSTN.pdf</t>
  </si>
  <si>
    <t>Melting_Curves/meltCurve_Q5T6H7_XPNPEP1.pdf</t>
  </si>
  <si>
    <t>Melting_Curves/meltCurve_Q5T6W5_HNRNPK.pdf</t>
  </si>
  <si>
    <t>Melting_Curves/meltCurve_Q5T749_KPRP.pdf</t>
  </si>
  <si>
    <t>Melting_Curves/meltCurve_Q5T750_XP32.pdf</t>
  </si>
  <si>
    <t>Melting_Curves/meltCurve_Q5T760_SRSF11.pdf</t>
  </si>
  <si>
    <t>Melting_Curves/meltCurve_Q5T8U3_RPL7A.pdf</t>
  </si>
  <si>
    <t>Melting_Curves/meltCurve_Q5T985_ITIH2.pdf</t>
  </si>
  <si>
    <t>Melting_Curves/meltCurve_Q5TBC7_BCL2L15.pdf</t>
  </si>
  <si>
    <t>Melting_Curves/meltCurve_Q5TBK7_UCHL3.pdf</t>
  </si>
  <si>
    <t>Melting_Curves/meltCurve_Q5TD07_NQO2.pdf</t>
  </si>
  <si>
    <t>Melting_Curves/meltCurve_Q5TEJ0_RPA2.pdf</t>
  </si>
  <si>
    <t>Melting_Curves/meltCurve_Q5TFE4_NT5DC1.pdf</t>
  </si>
  <si>
    <t>Melting_Curves/meltCurve_Q5TGY6_FGR.pdf</t>
  </si>
  <si>
    <t>Melting_Curves/meltCurve_Q5VTE0_EEF1A1P5.pdf</t>
  </si>
  <si>
    <t>Melting_Curves/meltCurve_Q5VU13_VSIG8.pdf</t>
  </si>
  <si>
    <t>Melting_Curves/meltCurve_Q5VVC9_RPL11.pdf</t>
  </si>
  <si>
    <t>Melting_Curves/meltCurve_Q5VY30_RBP4.pdf</t>
  </si>
  <si>
    <t>Melting_Curves/meltCurve_Q5VY93_ARHGEF2.pdf</t>
  </si>
  <si>
    <t>Melting_Curves/meltCurve_Q5VZA6_ACO1.pdf</t>
  </si>
  <si>
    <t>Melting_Curves/meltCurve_Q5VZR0_GLIPR2.pdf</t>
  </si>
  <si>
    <t>Melting_Curves/meltCurve_Q5VZZ6_CELF2.pdf</t>
  </si>
  <si>
    <t>Melting_Curves/meltCurve_Q5W0H4_TPT1.pdf</t>
  </si>
  <si>
    <t>Melting_Curves/meltCurve_Q5W0J0_RAB18.pdf</t>
  </si>
  <si>
    <t>Melting_Curves/meltCurve_Q68CR8_DKFZp781M17165.pdf</t>
  </si>
  <si>
    <t>Melting_Curves/meltCurve_Q6EMK4_VASN.pdf</t>
  </si>
  <si>
    <t>Melting_Curves/meltCurve_Q6GMV3_PTRHD1.pdf</t>
  </si>
  <si>
    <t>Melting_Curves/meltCurve_Q6MZM9_C4orf40.pdf</t>
  </si>
  <si>
    <t>Melting_Curves/meltCurve_Q6NVW1_EPHB2.pdf</t>
  </si>
  <si>
    <t>Melting_Curves/meltCurve_Q6NX70_SCGB2A2.pdf</t>
  </si>
  <si>
    <t>Melting_Curves/meltCurve_Q6NYC8_PPP1R18.pdf</t>
  </si>
  <si>
    <t>Melting_Curves/meltCurve_Q6P163_APOC2.pdf</t>
  </si>
  <si>
    <t>Melting_Curves/meltCurve_Q6P452_ANXA4.pdf</t>
  </si>
  <si>
    <t>Melting_Curves/meltCurve_Q6P4A8_PLBD1.pdf</t>
  </si>
  <si>
    <t>Melting_Curves/meltCurve_Q6P5S2_C6orf58.pdf</t>
  </si>
  <si>
    <t>Melting_Curves/meltCurve_Q6PL18_ATAD2.pdf</t>
  </si>
  <si>
    <t>Melting_Curves/meltCurve_Q6PL24_TMED8.pdf</t>
  </si>
  <si>
    <t>Melting_Curves/meltCurve_Q6RW13_2_AGTRAP.pdf</t>
  </si>
  <si>
    <t>Melting_Curves/meltCurve_Q6UWP8_SBSN.pdf</t>
  </si>
  <si>
    <t>Melting_Curves/meltCurve_Q6UWP8_2_SBSN.pdf</t>
  </si>
  <si>
    <t>Melting_Curves/meltCurve_Q6UWY2_PRSS57.pdf</t>
  </si>
  <si>
    <t>Melting_Curves/meltCurve_Q6UXB0_3_FAM131A.pdf</t>
  </si>
  <si>
    <t>Melting_Curves/meltCurve_Q6UXB3_LYPD2.pdf</t>
  </si>
  <si>
    <t>Melting_Curves/meltCurve_Q6UXD5_6_SEZ6L2.pdf</t>
  </si>
  <si>
    <t>Melting_Curves/meltCurve_Q6UXH1_4_CRELD2.pdf</t>
  </si>
  <si>
    <t>Melting_Curves/meltCurve_Q6UYC3_LMNA.pdf</t>
  </si>
  <si>
    <t>Melting_Curves/meltCurve_Q6WKZ4_RAB11FIP1.pdf</t>
  </si>
  <si>
    <t>Melting_Curves/meltCurve_Q6XPR3_RPTN.pdf</t>
  </si>
  <si>
    <t>Melting_Curves/meltCurve_Q6ZQN7_SLCO4C1.pdf</t>
  </si>
  <si>
    <t>Melting_Curves/meltCurve_Q6ZVX7_NCCRP1.pdf</t>
  </si>
  <si>
    <t>Melting_Curves/meltCurve_Q70J99_UNC13D.pdf</t>
  </si>
  <si>
    <t>Melting_Curves/meltCurve_Q7LBR1_CHMP1B.pdf</t>
  </si>
  <si>
    <t>Melting_Curves/meltCurve_Q7LDG7_RASGRP2.pdf</t>
  </si>
  <si>
    <t>Melting_Curves/meltCurve_Q7Z3T8_3_ZFYVE16.pdf</t>
  </si>
  <si>
    <t>Melting_Curves/meltCurve_Q7Z422_2_SZRD1.pdf</t>
  </si>
  <si>
    <t>Melting_Curves/meltCurve_Q7Z434_4_MAVS.pdf</t>
  </si>
  <si>
    <t>Melting_Curves/meltCurve_Q7Z5L0_VMO1.pdf</t>
  </si>
  <si>
    <t>Melting_Curves/meltCurve_Q7Z5R6_APBB1IP.pdf</t>
  </si>
  <si>
    <t>Melting_Curves/meltCurve_Q7Z6I6_ARHGAP30.pdf</t>
  </si>
  <si>
    <t>Melting_Curves/meltCurve_Q7Z6P3_RAB44.pdf</t>
  </si>
  <si>
    <t>Melting_Curves/meltCurve_Q7Z7H5_3_TMED4.pdf</t>
  </si>
  <si>
    <t>Melting_Curves/meltCurve_Q7Z7M9_GALNT5.pdf</t>
  </si>
  <si>
    <t>Melting_Curves/meltCurve_Q86SF2_GALNT7.pdf</t>
  </si>
  <si>
    <t>Melting_Curves/meltCurve_Q86SQ4_2_GPR126.pdf</t>
  </si>
  <si>
    <t>Melting_Curves/meltCurve_Q86T26_TMPRSS11B.pdf</t>
  </si>
  <si>
    <t>Melting_Curves/meltCurve_Q86TU7_SETD3.pdf</t>
  </si>
  <si>
    <t>Melting_Curves/meltCurve_Q86TV2_LGMN.pdf</t>
  </si>
  <si>
    <t>Melting_Curves/meltCurve_Q86UD1_OAF.pdf</t>
  </si>
  <si>
    <t>Melting_Curves/meltCurve_Q86UN2_RTN4RL1.pdf</t>
  </si>
  <si>
    <t>Melting_Curves/meltCurve_Q86UQ4_ABCA13.pdf</t>
  </si>
  <si>
    <t>Melting_Curves/meltCurve_Q86UX7_2_FERMT3.pdf</t>
  </si>
  <si>
    <t>Melting_Curves/meltCurve_Q86UY0_TXNDC5.pdf</t>
  </si>
  <si>
    <t>Melting_Curves/meltCurve_Q86VN1_2_VPS36.pdf</t>
  </si>
  <si>
    <t>Melting_Curves/meltCurve_Q86VP6_2_CAND1.pdf</t>
  </si>
  <si>
    <t>Melting_Curves/meltCurve_Q86VR7_VSIG10L.pdf</t>
  </si>
  <si>
    <t>Melting_Curves/meltCurve_Q86VS8_HOOK3.pdf</t>
  </si>
  <si>
    <t>Melting_Curves/meltCurve_Q86W28_2_NLRP8.pdf</t>
  </si>
  <si>
    <t>Melting_Curves/meltCurve_Q86X76_2_NIT1.pdf</t>
  </si>
  <si>
    <t>Melting_Curves/meltCurve_Q86X91_PTK7.pdf</t>
  </si>
  <si>
    <t>Melting_Curves/meltCurve_Q8IV04_TBC1D10C.pdf</t>
  </si>
  <si>
    <t>Melting_Curves/meltCurve_Q8IWB9_TEX2.pdf</t>
  </si>
  <si>
    <t>Melting_Curves/meltCurve_Q8IWU2_LMTK2.pdf</t>
  </si>
  <si>
    <t>Melting_Curves/meltCurve_Q8IXJ6_2_SIRT2.pdf</t>
  </si>
  <si>
    <t>Melting_Curves/meltCurve_Q8IXK2_2_GALNT12.pdf</t>
  </si>
  <si>
    <t>Melting_Curves/meltCurve_Q8IY92_2_SLX4.pdf</t>
  </si>
  <si>
    <t>Melting_Curves/meltCurve_Q8IYJ3_2_SYTL1.pdf</t>
  </si>
  <si>
    <t>Melting_Curves/meltCurve_Q8IYS5_6_OSCAR.pdf</t>
  </si>
  <si>
    <t>Melting_Curves/meltCurve_Q8IZ21_3_PHACTR4.pdf</t>
  </si>
  <si>
    <t>Melting_Curves/meltCurve_Q8N1G4_LRRC47.pdf</t>
  </si>
  <si>
    <t>Melting_Curves/meltCurve_Q8N271_2_PROM2.pdf</t>
  </si>
  <si>
    <t>Melting_Curves/meltCurve_Q8N292_GAPT.pdf</t>
  </si>
  <si>
    <t>Melting_Curves/meltCurve_Q8N3D4_EHBP1L1.pdf</t>
  </si>
  <si>
    <t>Melting_Curves/meltCurve_Q8N441_FGFRL1.pdf</t>
  </si>
  <si>
    <t>Melting_Curves/meltCurve_Q8N474_SFRP1.pdf</t>
  </si>
  <si>
    <t>Melting_Curves/meltCurve_Q8N4F0_BPIFB2.pdf</t>
  </si>
  <si>
    <t>Melting_Curves/meltCurve_Q8N573_2_OXR1.pdf</t>
  </si>
  <si>
    <t>Melting_Curves/meltCurve_Q8N5W9_FAM101B.pdf</t>
  </si>
  <si>
    <t>Melting_Curves/meltCurve_Q8N6Q3_CD177.pdf</t>
  </si>
  <si>
    <t>Melting_Curves/meltCurve_Q8NBJ4_2_GOLM1.pdf</t>
  </si>
  <si>
    <t>Melting_Curves/meltCurve_Q8NBJ5_COLGALT1.pdf</t>
  </si>
  <si>
    <t>Melting_Curves/meltCurve_Q8NBY1_MST4.pdf</t>
  </si>
  <si>
    <t>Melting_Curves/meltCurve_Q8NC51_4_SERBP1.pdf</t>
  </si>
  <si>
    <t>Melting_Curves/meltCurve_Q8NCL4_GALNT6.pdf</t>
  </si>
  <si>
    <t>Melting_Curves/meltCurve_Q8NCM8_DYNC2H1.pdf</t>
  </si>
  <si>
    <t>Melting_Curves/meltCurve_Q8NCW5_2_APOA1BP.pdf</t>
  </si>
  <si>
    <t>Melting_Curves/meltCurve_Q8NE01_2_CNNM3.pdf</t>
  </si>
  <si>
    <t>Melting_Curves/meltCurve_Q8NE71_2_ABCF1.pdf</t>
  </si>
  <si>
    <t>Melting_Curves/meltCurve_Q8NES3_3_LFNG.pdf</t>
  </si>
  <si>
    <t>Melting_Curves/meltCurve_Q8NFT8_DNER.pdf</t>
  </si>
  <si>
    <t>Melting_Curves/meltCurve_Q8NFU4_FDCSP.pdf</t>
  </si>
  <si>
    <t>Melting_Curves/meltCurve_Q8NFZ8_CADM4.pdf</t>
  </si>
  <si>
    <t>Melting_Curves/meltCurve_Q8NHG7_SVIP.pdf</t>
  </si>
  <si>
    <t>Melting_Curves/meltCurve_Q8NI22_2_MCFD2.pdf</t>
  </si>
  <si>
    <t>Melting_Curves/meltCurve_Q8TAX7_MUC7.pdf</t>
  </si>
  <si>
    <t>Melting_Curves/meltCurve_Q8TD08_2_MAPK15.pdf</t>
  </si>
  <si>
    <t>Melting_Curves/meltCurve_Q8TD16_BICD2.pdf</t>
  </si>
  <si>
    <t>Melting_Curves/meltCurve_Q8TD55_2_PLEKHO2.pdf</t>
  </si>
  <si>
    <t>Melting_Curves/meltCurve_Q8TDL5_BPIFB1.pdf</t>
  </si>
  <si>
    <t>Melting_Curves/meltCurve_Q8TDZ2_2_MICAL1.pdf</t>
  </si>
  <si>
    <t>Melting_Curves/meltCurve_Q8WU39_MZB1.pdf</t>
  </si>
  <si>
    <t>Melting_Curves/meltCurve_Q8WU79_3_SMAP2.pdf</t>
  </si>
  <si>
    <t>Melting_Curves/meltCurve_Q8WUJ3_KIAA1199.pdf</t>
  </si>
  <si>
    <t>Melting_Curves/meltCurve_Q8WUM4_PDCD6IP.pdf</t>
  </si>
  <si>
    <t>Melting_Curves/meltCurve_Q8WVC2_RPS21.pdf</t>
  </si>
  <si>
    <t>Melting_Curves/meltCurve_Q8WVQ1_CANT1.pdf</t>
  </si>
  <si>
    <t>Melting_Curves/meltCurve_Q8WVT3_TRAPPC12.pdf</t>
  </si>
  <si>
    <t>Melting_Curves/meltCurve_Q8WVV4_POF1B.pdf</t>
  </si>
  <si>
    <t>Melting_Curves/meltCurve_Q8WW12_2_PCNP.pdf</t>
  </si>
  <si>
    <t>Melting_Curves/meltCurve_Q8WWA0_ITLN1.pdf</t>
  </si>
  <si>
    <t>Melting_Curves/meltCurve_Q8WWX9_SELM.pdf</t>
  </si>
  <si>
    <t>Melting_Curves/meltCurve_Q8WWY7_WFDC12.pdf</t>
  </si>
  <si>
    <t>Melting_Curves/meltCurve_Q8WYQ9_ZCCHC14.pdf</t>
  </si>
  <si>
    <t>Melting_Curves/meltCurve_Q8WZA0_LZIC.pdf</t>
  </si>
  <si>
    <t>Melting_Curves/meltCurve_Q92485_2_SMPDL3B.pdf</t>
  </si>
  <si>
    <t>Melting_Curves/meltCurve_Q92598_2_HSPH1.pdf</t>
  </si>
  <si>
    <t>Melting_Curves/meltCurve_Q92619_HMHA1.pdf</t>
  </si>
  <si>
    <t>Melting_Curves/meltCurve_Q92623_TTC9.pdf</t>
  </si>
  <si>
    <t>Melting_Curves/meltCurve_Q92673_SORL1.pdf</t>
  </si>
  <si>
    <t>Melting_Curves/meltCurve_Q92688_2_ANP32B.pdf</t>
  </si>
  <si>
    <t>Melting_Curves/meltCurve_Q92692_2_PVRL2.pdf</t>
  </si>
  <si>
    <t>Melting_Curves/meltCurve_Q92743_HTRA1.pdf</t>
  </si>
  <si>
    <t>Melting_Curves/meltCurve_Q92747_ARPC1A.pdf</t>
  </si>
  <si>
    <t>Melting_Curves/meltCurve_Q92820_GGH.pdf</t>
  </si>
  <si>
    <t>Melting_Curves/meltCurve_Q92835_2_INPP5D.pdf</t>
  </si>
  <si>
    <t>Melting_Curves/meltCurve_Q92876_KLK6.pdf</t>
  </si>
  <si>
    <t>Melting_Curves/meltCurve_Q92882_OSTF1.pdf</t>
  </si>
  <si>
    <t>Melting_Curves/meltCurve_Q92896_GLG1.pdf</t>
  </si>
  <si>
    <t>Melting_Curves/meltCurve_Q92932_4_PTPRN2.pdf</t>
  </si>
  <si>
    <t>Melting_Curves/meltCurve_Q92945_KHSRP.pdf</t>
  </si>
  <si>
    <t>Melting_Curves/meltCurve_Q92954_3_PRG4.pdf</t>
  </si>
  <si>
    <t>Melting_Curves/meltCurve_Q93077_HIST1H2AC.pdf</t>
  </si>
  <si>
    <t>Melting_Curves/meltCurve_Q969E4_TCEAL3.pdf</t>
  </si>
  <si>
    <t>Melting_Curves/meltCurve_Q969H8_C19orf10.pdf</t>
  </si>
  <si>
    <t>Melting_Curves/meltCurve_Q96A65_2_EXOC4.pdf</t>
  </si>
  <si>
    <t>Melting_Curves/meltCurve_Q96BQ1_FAM3D.pdf</t>
  </si>
  <si>
    <t>Melting_Curves/meltCurve_Q96BW5_2_PTER.pdf</t>
  </si>
  <si>
    <t>Melting_Curves/meltCurve_Q96BZ8_LENG1.pdf</t>
  </si>
  <si>
    <t>Melting_Curves/meltCurve_Q96C19_EFHD2.pdf</t>
  </si>
  <si>
    <t>Melting_Curves/meltCurve_Q96C86_DCPS.pdf</t>
  </si>
  <si>
    <t>Melting_Curves/meltCurve_Q96C90_PPP1R14B.pdf</t>
  </si>
  <si>
    <t>Melting_Curves/meltCurve_Q96CG8_3_CTHRC1.pdf</t>
  </si>
  <si>
    <t>Melting_Curves/meltCurve_Q96CN7_ISOC1.pdf</t>
  </si>
  <si>
    <t>Melting_Curves/meltCurve_Q96CT7_CCDC124.pdf</t>
  </si>
  <si>
    <t>Melting_Curves/meltCurve_Q96CX2_KCTD12.pdf</t>
  </si>
  <si>
    <t>Melting_Curves/meltCurve_Q96DA0_ZG16B.pdf</t>
  </si>
  <si>
    <t>Melting_Curves/meltCurve_Q96DD7_SHISA4.pdf</t>
  </si>
  <si>
    <t>Melting_Curves/meltCurve_Q96DR5_BPIFA2.pdf</t>
  </si>
  <si>
    <t>Melting_Curves/meltCurve_Q96F24_2_NRBF2.pdf</t>
  </si>
  <si>
    <t>Melting_Curves/meltCurve_Q96FE7_4_PIK3IP1.pdf</t>
  </si>
  <si>
    <t>Melting_Curves/meltCurve_Q96FQ6_S100A16.pdf</t>
  </si>
  <si>
    <t>Melting_Curves/meltCurve_Q96G03_PGM2.pdf</t>
  </si>
  <si>
    <t>Melting_Curves/meltCurve_Q96GD0_PDXP.pdf</t>
  </si>
  <si>
    <t>Melting_Curves/meltCurve_Q96HC4_PDLIM5.pdf</t>
  </si>
  <si>
    <t>Melting_Curves/meltCurve_Q96HE7_ERO1L.pdf</t>
  </si>
  <si>
    <t>Melting_Curves/meltCurve_Q96HY6_2_DDRGK1.pdf</t>
  </si>
  <si>
    <t>Melting_Curves/meltCurve_Q96I82_2_KAZALD1.pdf</t>
  </si>
  <si>
    <t>Melting_Curves/meltCurve_Q96IY4_CPB2.pdf</t>
  </si>
  <si>
    <t>Melting_Curves/meltCurve_Q96J77_TPD52L3.pdf</t>
  </si>
  <si>
    <t>Melting_Curves/meltCurve_Q96KP4_CNDP2.pdf</t>
  </si>
  <si>
    <t>Melting_Curves/meltCurve_Q96L92_3_SNX27.pdf</t>
  </si>
  <si>
    <t>Melting_Curves/meltCurve_Q96NY8_PVRL4.pdf</t>
  </si>
  <si>
    <t>Melting_Curves/meltCurve_Q96P48_3_ARAP1.pdf</t>
  </si>
  <si>
    <t>Melting_Curves/meltCurve_Q96P63_SERPINB12.pdf</t>
  </si>
  <si>
    <t>Melting_Curves/meltCurve_Q96PD5_PGLYRP2.pdf</t>
  </si>
  <si>
    <t>Melting_Curves/meltCurve_Q96PP8_GBP5.pdf</t>
  </si>
  <si>
    <t>Melting_Curves/meltCurve_Q96QA5_GSDMA.pdf</t>
  </si>
  <si>
    <t>Melting_Curves/meltCurve_Q96QR1_SCGB3A1.pdf</t>
  </si>
  <si>
    <t>Melting_Curves/meltCurve_Q96RF0_3_SNX18.pdf</t>
  </si>
  <si>
    <t>Melting_Curves/meltCurve_Q96RM1_SPRR2F.pdf</t>
  </si>
  <si>
    <t>Melting_Curves/meltCurve_Q96S79_RASL10B.pdf</t>
  </si>
  <si>
    <t>Melting_Curves/meltCurve_Q96SB3_PPP1R9B.pdf</t>
  </si>
  <si>
    <t>Melting_Curves/meltCurve_Q96TA1_2_FAM129B.pdf</t>
  </si>
  <si>
    <t>Melting_Curves/meltCurve_Q99417_MYCBP.pdf</t>
  </si>
  <si>
    <t>Melting_Curves/meltCurve_Q99519_NEU1.pdf</t>
  </si>
  <si>
    <t>Melting_Curves/meltCurve_Q99523_SORT1.pdf</t>
  </si>
  <si>
    <t>Melting_Curves/meltCurve_Q99536_VAT1.pdf</t>
  </si>
  <si>
    <t>Melting_Curves/meltCurve_Q99612_2_KLF6.pdf</t>
  </si>
  <si>
    <t>Melting_Curves/meltCurve_Q99614_TTC1.pdf</t>
  </si>
  <si>
    <t>Melting_Curves/meltCurve_Q99674_CGREF1.pdf</t>
  </si>
  <si>
    <t>Melting_Curves/meltCurve_Q99878_HIST1H2AJ.pdf</t>
  </si>
  <si>
    <t>Melting_Curves/meltCurve_Q99879_HIST1H2BM.pdf</t>
  </si>
  <si>
    <t>Melting_Curves/meltCurve_Q99954_SMR3A.pdf</t>
  </si>
  <si>
    <t>Melting_Curves/meltCurve_Q99961_SH3GL1.pdf</t>
  </si>
  <si>
    <t>Melting_Curves/meltCurve_Q9BPY8_HOPX.pdf</t>
  </si>
  <si>
    <t>Melting_Curves/meltCurve_Q9BQR3_PRSS27.pdf</t>
  </si>
  <si>
    <t>Melting_Curves/meltCurve_Q9BR76_CORO1B.pdf</t>
  </si>
  <si>
    <t>Melting_Curves/meltCurve_Q9BRA2_TXNDC17.pdf</t>
  </si>
  <si>
    <t>Melting_Curves/meltCurve_Q9BRF8_CPPED1.pdf</t>
  </si>
  <si>
    <t>Melting_Curves/meltCurve_Q9BRK5_SDF4.pdf</t>
  </si>
  <si>
    <t>Melting_Curves/meltCurve_Q9BRP8_2_WIBG.pdf</t>
  </si>
  <si>
    <t>Melting_Curves/meltCurve_Q9BS26_ERP44.pdf</t>
  </si>
  <si>
    <t>Melting_Curves/meltCurve_Q9BS40_LXN.pdf</t>
  </si>
  <si>
    <t>Melting_Curves/meltCurve_Q9BSJ8_ESYT1.pdf</t>
  </si>
  <si>
    <t>Melting_Curves/meltCurve_Q9BT09_CNPY3.pdf</t>
  </si>
  <si>
    <t>Melting_Curves/meltCurve_Q9BTY2_FUCA2.pdf</t>
  </si>
  <si>
    <t>Melting_Curves/meltCurve_Q9BUB1_PRKAR2A.pdf</t>
  </si>
  <si>
    <t>Melting_Curves/meltCurve_Q9BUH6_C9orf142.pdf</t>
  </si>
  <si>
    <t>Melting_Curves/meltCurve_Q9BUJ2_3_HNRNPUL1.pdf</t>
  </si>
  <si>
    <t>Melting_Curves/meltCurve_Q9BW04_SARG.pdf</t>
  </si>
  <si>
    <t>Melting_Curves/meltCurve_Q9BW30_TPPP3.pdf</t>
  </si>
  <si>
    <t>Melting_Curves/meltCurve_Q9BWD1_ACAT2.pdf</t>
  </si>
  <si>
    <t>Melting_Curves/meltCurve_Q9BX68_HINT2.pdf</t>
  </si>
  <si>
    <t>Melting_Curves/meltCurve_Q9BXB1_2_LGR4.pdf</t>
  </si>
  <si>
    <t>Melting_Curves/meltCurve_Q9BZG9_3_LYNX1.pdf</t>
  </si>
  <si>
    <t>Melting_Curves/meltCurve_Q9BZM5_ULBP2.pdf</t>
  </si>
  <si>
    <t>Melting_Curves/meltCurve_Q9BZQ8_FAM129A.pdf</t>
  </si>
  <si>
    <t>Melting_Curves/meltCurve_Q9GZN4_PRSS22.pdf</t>
  </si>
  <si>
    <t>Melting_Curves/meltCurve_Q9GZN8_C20orf27.pdf</t>
  </si>
  <si>
    <t>Melting_Curves/meltCurve_Q9GZP4_2_PITHD1.pdf</t>
  </si>
  <si>
    <t>Melting_Curves/meltCurve_Q9GZZ8_LACRT.pdf</t>
  </si>
  <si>
    <t>Melting_Curves/meltCurve_Q9H0E2_TOLLIP.pdf</t>
  </si>
  <si>
    <t>Melting_Curves/meltCurve_Q9H0N0_RAB6C.pdf</t>
  </si>
  <si>
    <t>Melting_Curves/meltCurve_Q9H0P0_3_NT5C3A.pdf</t>
  </si>
  <si>
    <t>Melting_Curves/meltCurve_Q9H0U4_RAB1B.pdf</t>
  </si>
  <si>
    <t>Melting_Curves/meltCurve_Q9H0W9_3_C11orf54.pdf</t>
  </si>
  <si>
    <t>Melting_Curves/meltCurve_Q9H1E1_RNASE7.pdf</t>
  </si>
  <si>
    <t>Melting_Curves/meltCurve_Q9H1E3_2_NUCKS1.pdf</t>
  </si>
  <si>
    <t>Melting_Curves/meltCurve_Q9H1Z4_WDR13.pdf</t>
  </si>
  <si>
    <t>Melting_Curves/meltCurve_Q9H2E6_SEMA6A.pdf</t>
  </si>
  <si>
    <t>Melting_Curves/meltCurve_Q9H2G2_2_SLK.pdf</t>
  </si>
  <si>
    <t>Melting_Curves/meltCurve_Q9H3K6_BOLA2.pdf</t>
  </si>
  <si>
    <t>Melting_Curves/meltCurve_Q9H3N1_TMX1.pdf</t>
  </si>
  <si>
    <t>Melting_Curves/meltCurve_Q9H3P7_ACBD3.pdf</t>
  </si>
  <si>
    <t>Melting_Curves/meltCurve_Q9H3Z4_2_DNAJC5.pdf</t>
  </si>
  <si>
    <t>Melting_Curves/meltCurve_Q9H444_CHMP4B.pdf</t>
  </si>
  <si>
    <t>Melting_Curves/meltCurve_Q9H461_FZD8.pdf</t>
  </si>
  <si>
    <t>Melting_Curves/meltCurve_Q9H4A9_DPEP2.pdf</t>
  </si>
  <si>
    <t>Melting_Curves/meltCurve_Q9H4F8_SMOC1.pdf</t>
  </si>
  <si>
    <t>Melting_Curves/meltCurve_Q9H4M9_EHD1.pdf</t>
  </si>
  <si>
    <t>Melting_Curves/meltCurve_Q9H6S3_EPS8L2.pdf</t>
  </si>
  <si>
    <t>Melting_Curves/meltCurve_Q9H741_C12orf49.pdf</t>
  </si>
  <si>
    <t>Melting_Curves/meltCurve_Q9H8J5_MANSC1.pdf</t>
  </si>
  <si>
    <t>Melting_Curves/meltCurve_Q9H8S9_MOB1A.pdf</t>
  </si>
  <si>
    <t>Melting_Curves/meltCurve_Q9H8Y8_2_GORASP2.pdf</t>
  </si>
  <si>
    <t>Melting_Curves/meltCurve_Q9HB40_2_SCPEP1.pdf</t>
  </si>
  <si>
    <t>Melting_Curves/meltCurve_Q9HBR0_SLC38A10.pdf</t>
  </si>
  <si>
    <t>Melting_Curves/meltCurve_Q9HCY8_S100A14.pdf</t>
  </si>
  <si>
    <t>Melting_Curves/meltCurve_Q9HD89_RETN.pdf</t>
  </si>
  <si>
    <t>Melting_Curves/meltCurve_Q9NP31_4_SH2D2A.pdf</t>
  </si>
  <si>
    <t>Melting_Curves/meltCurve_Q9NP79_VTA1.pdf</t>
  </si>
  <si>
    <t>Melting_Curves/meltCurve_Q9NPA2_MMP25.pdf</t>
  </si>
  <si>
    <t>Melting_Curves/meltCurve_Q9NPY3_CD93.pdf</t>
  </si>
  <si>
    <t>Melting_Curves/meltCurve_Q9NQ38_SPINK5.pdf</t>
  </si>
  <si>
    <t>Melting_Curves/meltCurve_Q9NQ38_3_SPINK5.pdf</t>
  </si>
  <si>
    <t>Melting_Curves/meltCurve_Q9NQ79_2_CRTAC1.pdf</t>
  </si>
  <si>
    <t>Melting_Curves/meltCurve_Q9NQR4_NIT2.pdf</t>
  </si>
  <si>
    <t>Melting_Curves/meltCurve_Q9NR12_2_PDLIM7.pdf</t>
  </si>
  <si>
    <t>Melting_Curves/meltCurve_Q9NR45_NANS.pdf</t>
  </si>
  <si>
    <t>Melting_Curves/meltCurve_Q9NRV9_HEBP1.pdf</t>
  </si>
  <si>
    <t>Melting_Curves/meltCurve_Q9NRX4_2_PHPT1.pdf</t>
  </si>
  <si>
    <t>Melting_Curves/meltCurve_Q9NS68_2_TNFRSF19.pdf</t>
  </si>
  <si>
    <t>Melting_Curves/meltCurve_Q9NS98_SEMA3G.pdf</t>
  </si>
  <si>
    <t>Melting_Curves/meltCurve_Q9NSA3_CTNNBIP1.pdf</t>
  </si>
  <si>
    <t>Melting_Curves/meltCurve_Q9NSC7_ST6GALNAC1.pdf</t>
  </si>
  <si>
    <t>Melting_Curves/meltCurve_Q9NT62_2_ATG3.pdf</t>
  </si>
  <si>
    <t>Melting_Curves/meltCurve_Q9NTX5_3_ECHDC1.pdf</t>
  </si>
  <si>
    <t>Melting_Curves/meltCurve_Q9NUQ9_FAM49B.pdf</t>
  </si>
  <si>
    <t>Melting_Curves/meltCurve_Q9NV96_3_TMEM30A.pdf</t>
  </si>
  <si>
    <t>Melting_Curves/meltCurve_Q9NWB6_2_ARGLU1.pdf</t>
  </si>
  <si>
    <t>Melting_Curves/meltCurve_Q9NX46_ADPRHL2.pdf</t>
  </si>
  <si>
    <t>Melting_Curves/meltCurve_Q9NYL9_TMOD3.pdf</t>
  </si>
  <si>
    <t>Melting_Curves/meltCurve_Q9NYQ8_FAT2.pdf</t>
  </si>
  <si>
    <t>Melting_Curves/meltCurve_Q9NZ08_ERAP1.pdf</t>
  </si>
  <si>
    <t>Melting_Curves/meltCurve_Q9NZ53_PODXL2.pdf</t>
  </si>
  <si>
    <t>Melting_Curves/meltCurve_Q9NZH8_IL36G.pdf</t>
  </si>
  <si>
    <t>Melting_Curves/meltCurve_Q9NZM3_4_ITSN2.pdf</t>
  </si>
  <si>
    <t>Melting_Curves/meltCurve_Q9NZP8_C1RL.pdf</t>
  </si>
  <si>
    <t>Melting_Curves/meltCurve_Q9NZT1_CALML5.pdf</t>
  </si>
  <si>
    <t>Melting_Curves/meltCurve_Q9NZT2_2_OGFR.pdf</t>
  </si>
  <si>
    <t>Melting_Curves/meltCurve_Q9NZV1_CRIM1.pdf</t>
  </si>
  <si>
    <t>Melting_Curves/meltCurve_Q9NZZ3_CHMP5.pdf</t>
  </si>
  <si>
    <t>Melting_Curves/meltCurve_Q9P0G3_KLK14.pdf</t>
  </si>
  <si>
    <t>Melting_Curves/meltCurve_Q9P0L0_VAPA.pdf</t>
  </si>
  <si>
    <t>Melting_Curves/meltCurve_Q9P0S2_COX16.pdf</t>
  </si>
  <si>
    <t>Melting_Curves/meltCurve_Q9P258_RCC2.pdf</t>
  </si>
  <si>
    <t>Melting_Curves/meltCurve_Q9P2D7_5_DNAH1.pdf</t>
  </si>
  <si>
    <t>Melting_Curves/meltCurve_Q9P2E9_2_RRBP1.pdf</t>
  </si>
  <si>
    <t>Melting_Curves/meltCurve_Q9P2L0_2_WDR35.pdf</t>
  </si>
  <si>
    <t>Melting_Curves/meltCurve_Q9P2X0_DPM3.pdf</t>
  </si>
  <si>
    <t>Melting_Curves/meltCurve_Q9UBG3_CRNN.pdf</t>
  </si>
  <si>
    <t>Melting_Curves/meltCurve_Q9UBQ7_GRHPR.pdf</t>
  </si>
  <si>
    <t>Melting_Curves/meltCurve_Q9UBR2_CTSZ.pdf</t>
  </si>
  <si>
    <t>Melting_Curves/meltCurve_Q9UBS3_DNAJB9.pdf</t>
  </si>
  <si>
    <t>Melting_Curves/meltCurve_Q9UBT6_3_POLK.pdf</t>
  </si>
  <si>
    <t>Melting_Curves/meltCurve_Q9UBW5_2_BIN2.pdf</t>
  </si>
  <si>
    <t>Melting_Curves/meltCurve_Q9UDY5_IL13RA1.pdf</t>
  </si>
  <si>
    <t>Melting_Curves/meltCurve_Q9UFH2_4_DNAH17.pdf</t>
  </si>
  <si>
    <t>Melting_Curves/meltCurve_Q9UGI8_2_TES.pdf</t>
  </si>
  <si>
    <t>Melting_Curves/meltCurve_Q9UGM3_5_DMBT1.pdf</t>
  </si>
  <si>
    <t>Melting_Curves/meltCurve_Q9UHA7_IL36A.pdf</t>
  </si>
  <si>
    <t>Melting_Curves/meltCurve_Q9UHD0_IL19.pdf</t>
  </si>
  <si>
    <t>Melting_Curves/meltCurve_Q9UHD8_7_SEPT9.pdf</t>
  </si>
  <si>
    <t>Melting_Curves/meltCurve_Q9UHG2_PCSK1N.pdf</t>
  </si>
  <si>
    <t>Melting_Curves/meltCurve_Q9UHL4_DPP7.pdf</t>
  </si>
  <si>
    <t>Melting_Curves/meltCurve_Q9UHV9_PFDN2.pdf</t>
  </si>
  <si>
    <t>Melting_Curves/meltCurve_Q9UII2_3_ATPIF1.pdf</t>
  </si>
  <si>
    <t>Melting_Curves/meltCurve_Q9UIV8_2_SERPINB13.pdf</t>
  </si>
  <si>
    <t>Melting_Curves/meltCurve_Q9UJ68_2_MSRA.pdf</t>
  </si>
  <si>
    <t>Melting_Curves/meltCurve_Q9UJJ9_GNPTG.pdf</t>
  </si>
  <si>
    <t>Melting_Curves/meltCurve_Q9UJU6_DBNL.pdf</t>
  </si>
  <si>
    <t>Melting_Curves/meltCurve_Q9UKG1_APPL1.pdf</t>
  </si>
  <si>
    <t>Melting_Curves/meltCurve_Q9UKR3_KLK13.pdf</t>
  </si>
  <si>
    <t>Melting_Curves/meltCurve_Q9UKY7_CDV3.pdf</t>
  </si>
  <si>
    <t>Melting_Curves/meltCurve_Q9UL25_RAB21.pdf</t>
  </si>
  <si>
    <t>Melting_Curves/meltCurve_Q9UL46_PSME2.pdf</t>
  </si>
  <si>
    <t>Melting_Curves/meltCurve_Q9UL52_TMPRSS11E.pdf</t>
  </si>
  <si>
    <t>Melting_Curves/meltCurve_Q9ULH1_ASAP1.pdf</t>
  </si>
  <si>
    <t>Melting_Curves/meltCurve_Q9ULZ3_2_PYCARD.pdf</t>
  </si>
  <si>
    <t>Melting_Curves/meltCurve_Q9UM07_PADI4.pdf</t>
  </si>
  <si>
    <t>Melting_Curves/meltCurve_Q9UM21_2_MGAT4A.pdf</t>
  </si>
  <si>
    <t>Melting_Curves/meltCurve_Q9UMX0_2_UBQLN1.pdf</t>
  </si>
  <si>
    <t>Melting_Curves/meltCurve_Q9UMX5_NENF.pdf</t>
  </si>
  <si>
    <t>Melting_Curves/meltCurve_Q9UNF0_2_PACSIN2.pdf</t>
  </si>
  <si>
    <t>Melting_Curves/meltCurve_Q9UNW1_3_MINPP1.pdf</t>
  </si>
  <si>
    <t>Melting_Curves/meltCurve_Q9UPN7_PPP6R1.pdf</t>
  </si>
  <si>
    <t>Melting_Curves/meltCurve_Q9UQ35_SRRM2.pdf</t>
  </si>
  <si>
    <t>Melting_Curves/meltCurve_Q9UQ80_PA2G4.pdf</t>
  </si>
  <si>
    <t>Melting_Curves/meltCurve_Q9Y265_2_RUVBL1.pdf</t>
  </si>
  <si>
    <t>Melting_Curves/meltCurve_Q9Y266_NUDC.pdf</t>
  </si>
  <si>
    <t>Melting_Curves/meltCurve_Q9Y2B0_CNPY2.pdf</t>
  </si>
  <si>
    <t>Melting_Curves/meltCurve_Q9Y2R0_COA3.pdf</t>
  </si>
  <si>
    <t>Melting_Curves/meltCurve_Q9Y2S2_2_CRYL1.pdf</t>
  </si>
  <si>
    <t>Melting_Curves/meltCurve_Q9Y2S6_TMA7.pdf</t>
  </si>
  <si>
    <t>Melting_Curves/meltCurve_Q9Y2W1_THRAP3.pdf</t>
  </si>
  <si>
    <t>Melting_Curves/meltCurve_Q9Y333_LSM2.pdf</t>
  </si>
  <si>
    <t>Melting_Curves/meltCurve_Q9Y3B3_2_TMED7.pdf</t>
  </si>
  <si>
    <t>Melting_Curves/meltCurve_Q9Y3C8_UFC1.pdf</t>
  </si>
  <si>
    <t>Melting_Curves/meltCurve_Q9Y3D6_FIS1.pdf</t>
  </si>
  <si>
    <t>Melting_Curves/meltCurve_Q9Y3E7_2_CHMP3.pdf</t>
  </si>
  <si>
    <t>Melting_Curves/meltCurve_Q9Y3F4_STRAP.pdf</t>
  </si>
  <si>
    <t>Melting_Curves/meltCurve_Q9Y3L3_SH3BP1.pdf</t>
  </si>
  <si>
    <t>Melting_Curves/meltCurve_Q9Y3Q8_TSC22D4.pdf</t>
  </si>
  <si>
    <t>Melting_Curves/meltCurve_Q9Y3R4_NEU2.pdf</t>
  </si>
  <si>
    <t>Melting_Curves/meltCurve_Q9Y446_PKP3.pdf</t>
  </si>
  <si>
    <t>Melting_Curves/meltCurve_Q9Y490_TLN1.pdf</t>
  </si>
  <si>
    <t>Melting_Curves/meltCurve_Q9Y4E8_USP15.pdf</t>
  </si>
  <si>
    <t>Melting_Curves/meltCurve_Q9Y4K1_AIM1.pdf</t>
  </si>
  <si>
    <t>Melting_Curves/meltCurve_Q9Y5F9_2_PCDHGB6.pdf</t>
  </si>
  <si>
    <t>Melting_Curves/meltCurve_Q9Y5G0_2_PCDHGB5.pdf</t>
  </si>
  <si>
    <t>Melting_Curves/meltCurve_Q9Y5H7_2_PCDHA5.pdf</t>
  </si>
  <si>
    <t>Melting_Curves/meltCurve_Q9Y5K6_CD2AP.pdf</t>
  </si>
  <si>
    <t>Melting_Curves/meltCurve_Q9Y5P6_GMPPB.pdf</t>
  </si>
  <si>
    <t>Melting_Curves/meltCurve_Q9Y5Y6_ST14.pdf</t>
  </si>
  <si>
    <t>Melting_Curves/meltCurve_Q9Y5Z4_HEBP2.pdf</t>
  </si>
  <si>
    <t>Melting_Curves/meltCurve_Q9Y613_FHOD1.pdf</t>
  </si>
  <si>
    <t>Melting_Curves/meltCurve_Q9Y653_2_GPR56.pdf</t>
  </si>
  <si>
    <t>Melting_Curves/meltCurve_Q9Y662_HS3ST3B1.pdf</t>
  </si>
  <si>
    <t>Melting_Curves/meltCurve_Q9Y678_COPG1.pdf</t>
  </si>
  <si>
    <t>Melting_Curves/meltCurve_Q9Y6A5_TACC3.pdf</t>
  </si>
  <si>
    <t>Melting_Curves/meltCurve_Q9Y6H1_CHCHD2.pdf</t>
  </si>
  <si>
    <t>Melting_Curves/meltCurve_Q9Y6N5_SQRDL.pdf</t>
  </si>
  <si>
    <t>Melting_Curves/meltCurve_Q9Y6R7_FCGBP.pdf</t>
  </si>
  <si>
    <t>Melting_Curves/meltCurve_Q9Y6W5_WASF2.pdf</t>
  </si>
  <si>
    <t>Melting_Curves/meltCurve_R4GMN6_C1R.pdf</t>
  </si>
  <si>
    <t>Melting_Curves/meltCurve_R4GMX5_BSG.pdf</t>
  </si>
  <si>
    <t>Melting_Curves/meltCurve_R4GN98_S100A6.pdf</t>
  </si>
  <si>
    <t>Melting_Curves/meltCurve_R4GN99_PPIF.pdf</t>
  </si>
  <si>
    <t>Yes</t>
  </si>
  <si>
    <t>No</t>
  </si>
  <si>
    <t>Ig lambda-7 chain C region</t>
  </si>
  <si>
    <t>Isoform 2 of Shootin-1</t>
  </si>
  <si>
    <t>Aconitate hydratase, mitochondrial</t>
  </si>
  <si>
    <t>Regulation of nuclear pre-mRNA domain-containing protein 1B (Fragment)</t>
  </si>
  <si>
    <t>Major prion protein (Fragment)</t>
  </si>
  <si>
    <t>Vascular endothelial growth factor A</t>
  </si>
  <si>
    <t>40S ribosomal protein S6</t>
  </si>
  <si>
    <t>Bcl-2/adenovirus E1B 19 kDa-interacting protein 2-like protein</t>
  </si>
  <si>
    <t>HLA class II histocompatibility antigen, DQ beta 1 chain</t>
  </si>
  <si>
    <t>Rho guanine nucleotide exchange factor 35</t>
  </si>
  <si>
    <t>ADP-ribosyl cyclase 2</t>
  </si>
  <si>
    <t>Coiled-coil domain-containing protein 88B</t>
  </si>
  <si>
    <t>Protein TSSC4</t>
  </si>
  <si>
    <t>Protein PBDC1</t>
  </si>
  <si>
    <t>Phosphoglycolate phosphatase</t>
  </si>
  <si>
    <t>Putative Rab-43-like protein ENSP00000330714</t>
  </si>
  <si>
    <t>ADP-sugar pyrophosphatase</t>
  </si>
  <si>
    <t>Spectrin alpha chain, non-erythrocytic 1</t>
  </si>
  <si>
    <t>Hematological and neurological-expressed 1-like protein</t>
  </si>
  <si>
    <t>Eukaryotic translation initiation factor 1A, Y-chromosomal</t>
  </si>
  <si>
    <t>Aminopeptidase B</t>
  </si>
  <si>
    <t>Non-histone chromosomal protein HMG-14</t>
  </si>
  <si>
    <t>Alpha-endosulfine</t>
  </si>
  <si>
    <t>Allograft inflammatory factor 1-like</t>
  </si>
  <si>
    <t>Extracellular signal-regulated kinase-2 splice variant</t>
  </si>
  <si>
    <t>Alpha-2-macroglobulin-like protein 1</t>
  </si>
  <si>
    <t>Tyrosine-protein kinase HCK</t>
  </si>
  <si>
    <t>TBC1 domain family member 15</t>
  </si>
  <si>
    <t>Protein FAM3B</t>
  </si>
  <si>
    <t>Serine/threonine-protein phosphatase</t>
  </si>
  <si>
    <t>SMT3 suppressor of mif two 3 homolog 3 (Yeast), isoform CRA_d</t>
  </si>
  <si>
    <t>Tubulin alpha-4A chain</t>
  </si>
  <si>
    <t>Leukocyte immunoglobulin-like receptor subfamily B member 1</t>
  </si>
  <si>
    <t>Cysteine--tRNA ligase, cytoplasmic</t>
  </si>
  <si>
    <t>Protein HIDE1</t>
  </si>
  <si>
    <t>Putative neutrophil cytosol factor 1C</t>
  </si>
  <si>
    <t>Fructose-bisphosphate aldolase</t>
  </si>
  <si>
    <t>Glutathione S-transferase P</t>
  </si>
  <si>
    <t>Protein SEC13 homolog</t>
  </si>
  <si>
    <t>Nuclear pore complex protein Nup50 (Fragment)</t>
  </si>
  <si>
    <t>Brain-specific angiogenesis inhibitor 1-associated protein 2-like protein 2 (Fragment)</t>
  </si>
  <si>
    <t>TBC1 domain family member 22A</t>
  </si>
  <si>
    <t>Gamma-parvin (Fragment)</t>
  </si>
  <si>
    <t>HLA class I histocompatibility antigen, Cw-14 alpha chain</t>
  </si>
  <si>
    <t>HLA-B associated transcript 3, isoform CRA_a</t>
  </si>
  <si>
    <t>Valine--tRNA ligase</t>
  </si>
  <si>
    <t>Proteasome subunit beta type</t>
  </si>
  <si>
    <t>Apolipoprotein C-III</t>
  </si>
  <si>
    <t>Archain 1, isoform CRA_a</t>
  </si>
  <si>
    <t>Heme oxygenase 1 (Fragment)</t>
  </si>
  <si>
    <t>X-ray repair complementing defective repair in Chinese hamster cells 6 (Ku autoantigen, 70kDa), isoform CRA_b</t>
  </si>
  <si>
    <t>Syntaxin-12 (Fragment)</t>
  </si>
  <si>
    <t>Capping protein (Actin filament) muscle Z-line, beta, isoform CRA_a</t>
  </si>
  <si>
    <t>Rootletin (Fragment)</t>
  </si>
  <si>
    <t>Rab-like protein 6 (Fragment)</t>
  </si>
  <si>
    <t>Trypsin-3 (Fragment)</t>
  </si>
  <si>
    <t>Guanylate kinase</t>
  </si>
  <si>
    <t>Nebulin-related-anchoring protein</t>
  </si>
  <si>
    <t>Copine-1 (Fragment)</t>
  </si>
  <si>
    <t>Hexokinase-1 (Fragment)</t>
  </si>
  <si>
    <t>UDP-N-acetylhexosamine pyrophosphorylase (Fragment)</t>
  </si>
  <si>
    <t>UPF0587 protein C1orf123</t>
  </si>
  <si>
    <t>Mucin-1 subunit alpha</t>
  </si>
  <si>
    <t>GRIP1-associated protein 1</t>
  </si>
  <si>
    <t>Protein FAM25G</t>
  </si>
  <si>
    <t>Serine/threonine-protein phosphatase 2A 65 kDa regulatory subunit A alpha isoform</t>
  </si>
  <si>
    <t>Eukaryotic translation initiation factor 3 subunit H</t>
  </si>
  <si>
    <t>Coronin</t>
  </si>
  <si>
    <t>Phospholipid transfer protein</t>
  </si>
  <si>
    <t>Superoxide dismutase</t>
  </si>
  <si>
    <t>Dihydropteridine reductase</t>
  </si>
  <si>
    <t>Dedicator of cytokinesis protein 2</t>
  </si>
  <si>
    <t>Phosphatidylinositol transfer protein beta isoform (Fragment)</t>
  </si>
  <si>
    <t>Calponin-2</t>
  </si>
  <si>
    <t>Sorting nexin-2</t>
  </si>
  <si>
    <t>Dynein light chain roadblock-type 1</t>
  </si>
  <si>
    <t>Plastin-3</t>
  </si>
  <si>
    <t>Receptor tyrosine-protein kinase erbB-3</t>
  </si>
  <si>
    <t>Dpy-30-like protein, isoform CRA_b</t>
  </si>
  <si>
    <t>Iduronate 2-sulfatase 14 kDa chain</t>
  </si>
  <si>
    <t>TAR DNA-binding protein 43</t>
  </si>
  <si>
    <t>Sorting nexin-11</t>
  </si>
  <si>
    <t>Citrate synthase</t>
  </si>
  <si>
    <t>Lipolysis-stimulated lipoprotein receptor</t>
  </si>
  <si>
    <t>Epidermal growth factor receptor kinase substrate 8-like protein 1</t>
  </si>
  <si>
    <t>NAD(P)H dehydrogenase [quinone] 1</t>
  </si>
  <si>
    <t>Lactose synthase A protein</t>
  </si>
  <si>
    <t>S-adenosylmethionine synthase</t>
  </si>
  <si>
    <t>Asparagine--tRNA ligase, cytoplasmic</t>
  </si>
  <si>
    <t>Tubulointerstitial nephritis antigen-like</t>
  </si>
  <si>
    <t>Formin-2</t>
  </si>
  <si>
    <t>Cellular nucleic acid-binding protein</t>
  </si>
  <si>
    <t>Gamma-glutamyltransferase 6 light chain</t>
  </si>
  <si>
    <t>T-complex protein 1 subunit zeta</t>
  </si>
  <si>
    <t>T-complex protein 1 subunit theta</t>
  </si>
  <si>
    <t>Alpha/beta hydrolase domain-containing protein 14B</t>
  </si>
  <si>
    <t>6-phosphogluconate dehydrogenase, decarboxylating</t>
  </si>
  <si>
    <t>RalBP1-associated Eps domain-containing protein 2</t>
  </si>
  <si>
    <t>Tyrosine-protein phosphatase non-receptor type 23</t>
  </si>
  <si>
    <t>Target of Nesh-SH3</t>
  </si>
  <si>
    <t>Isocitrate dehydrogenase [NADP], mitochondrial</t>
  </si>
  <si>
    <t>Eukaryotic translation initiation factor 3 subunit J</t>
  </si>
  <si>
    <t>T-complex protein 1 subunit gamma</t>
  </si>
  <si>
    <t>3(2),5-bisphosphate nucleotidase 1</t>
  </si>
  <si>
    <t>Annexin</t>
  </si>
  <si>
    <t>Galactose-3-O-sulfotransferase 4</t>
  </si>
  <si>
    <t>Steroidogenic factor 1</t>
  </si>
  <si>
    <t>Transmembrane protein 40</t>
  </si>
  <si>
    <t>Coatomer protein complex, subunit beta 2 (Beta prime), isoform CRA_b</t>
  </si>
  <si>
    <t>3-ketoacyl-CoA thiolase, peroxisomal</t>
  </si>
  <si>
    <t>Mitogen-activated protein kinase 14</t>
  </si>
  <si>
    <t>Importin-5</t>
  </si>
  <si>
    <t>Uncharacterized protein</t>
  </si>
  <si>
    <t>Histidine--tRNA ligase, cytoplasmic</t>
  </si>
  <si>
    <t>Syndecan</t>
  </si>
  <si>
    <t>Complement factor B</t>
  </si>
  <si>
    <t>Serine/arginine-rich-splicing factor 3</t>
  </si>
  <si>
    <t>Secreted glypican-4</t>
  </si>
  <si>
    <t>Guanine nucleotide binding protein (G protein), alpha inhibiting activity polypeptide 2, isoform CRA_c</t>
  </si>
  <si>
    <t>Protein OS-9</t>
  </si>
  <si>
    <t>Insulin-like growth factor-binding protein 4</t>
  </si>
  <si>
    <t>ATP-citrate synthase</t>
  </si>
  <si>
    <t>Calsyntenin-1</t>
  </si>
  <si>
    <t>Adenosine deaminase CECR1</t>
  </si>
  <si>
    <t>Protein phosphatase 1F</t>
  </si>
  <si>
    <t>Syntaxin-binding protein 4</t>
  </si>
  <si>
    <t>GTP-binding nuclear protein Ran</t>
  </si>
  <si>
    <t>Calcineurin binding protein 1, isoform CRA_c</t>
  </si>
  <si>
    <t>Kinesin-like protein KIF26B</t>
  </si>
  <si>
    <t>Membrane-associated progesterone receptor component 1</t>
  </si>
  <si>
    <t>Reticulocalbin-1</t>
  </si>
  <si>
    <t>V-type proton ATPase catalytic subunit A</t>
  </si>
  <si>
    <t>Protein disulfide-isomerase A6</t>
  </si>
  <si>
    <t>Rho guanine nucleotide exchange factor 6</t>
  </si>
  <si>
    <t>Deoxyribonuclease-2-alpha</t>
  </si>
  <si>
    <t>Dolichyl-diphosphooligosaccharide--protein glycosyltransferase subunit 1</t>
  </si>
  <si>
    <t>Carboxypeptidase A4</t>
  </si>
  <si>
    <t>Junctional adhesion molecule A</t>
  </si>
  <si>
    <t>Caspase recruitment domain-containing protein 8</t>
  </si>
  <si>
    <t>Peptidyl-prolyl cis-trans isomerase FKBP5</t>
  </si>
  <si>
    <t>GDNF family receptor alpha-1</t>
  </si>
  <si>
    <t>Fetuin-B</t>
  </si>
  <si>
    <t>Protein-L-isoaspartate O-methyltransferase</t>
  </si>
  <si>
    <t>Sodium/potassium-transporting ATPase subunit beta-1</t>
  </si>
  <si>
    <t>Delta-aminolevulinic acid dehydratase (Fragment)</t>
  </si>
  <si>
    <t>CapZ-interacting protein</t>
  </si>
  <si>
    <t>Protein phosphatase 1B (Fragment)</t>
  </si>
  <si>
    <t>60S ribosomal protein L31</t>
  </si>
  <si>
    <t>10 kDa heat shock protein, mitochondrial</t>
  </si>
  <si>
    <t>Thymosin alpha-1</t>
  </si>
  <si>
    <t>Vesicle-associated membrane protein 8</t>
  </si>
  <si>
    <t>Immunoglobulin lambda-like polypeptide 5</t>
  </si>
  <si>
    <t>Diaphanous homolog 1 (Drosophila), isoform CRA_a</t>
  </si>
  <si>
    <t>Protein CutA</t>
  </si>
  <si>
    <t>Charged multivesicular body protein 2b</t>
  </si>
  <si>
    <t>Interleukin-1 receptor accessory protein (Fragment)</t>
  </si>
  <si>
    <t>Multiple epidermal growth factor-like domains protein 9</t>
  </si>
  <si>
    <t>ADP-ribosylation factor 5 (Fragment)</t>
  </si>
  <si>
    <t>Inositol polyphosphate 1-phosphatase (Fragment)</t>
  </si>
  <si>
    <t>TBC1 domain family member 5</t>
  </si>
  <si>
    <t>Cyclic AMP-responsive element-binding protein 1 (Fragment)</t>
  </si>
  <si>
    <t>IL-8(9-77)</t>
  </si>
  <si>
    <t>N-alpha-acetyltransferase 50</t>
  </si>
  <si>
    <t>Disintegrin and metalloproteinase domain-containing protein 9</t>
  </si>
  <si>
    <t>Protein FAM107B (Fragment)</t>
  </si>
  <si>
    <t>Zinc finger CCCH-type antiviral protein 1</t>
  </si>
  <si>
    <t>Apolipoprotein B receptor</t>
  </si>
  <si>
    <t>MAP kinase-activated protein kinase 3 (Fragment)</t>
  </si>
  <si>
    <t>Ubiquitin carboxyl-terminal hydrolase 19 (Fragment)</t>
  </si>
  <si>
    <t>Immunoglobulin superfamily member 8 (Fragment)</t>
  </si>
  <si>
    <t>NHL repeat-containing protein 3</t>
  </si>
  <si>
    <t>40S ribosomal protein SA (Fragment)</t>
  </si>
  <si>
    <t>Serine/arginine-rich-splicing factor 7</t>
  </si>
  <si>
    <t>Quinone oxidoreductase-like protein 1 (Fragment)</t>
  </si>
  <si>
    <t>Serotransferrin (Fragment)</t>
  </si>
  <si>
    <t>Nicotinate phosphoribosyltransferase</t>
  </si>
  <si>
    <t>Immunoglobulin lambda-like polypeptide 1 (Fragment)</t>
  </si>
  <si>
    <t>40S ribosomal protein S4, Y isoform 1 (Fragment)</t>
  </si>
  <si>
    <t>Lamin-B receptor (Fragment)</t>
  </si>
  <si>
    <t>Fibrinogen gamma chain</t>
  </si>
  <si>
    <t>Zinc-alpha-2-glycoprotein</t>
  </si>
  <si>
    <t>Apolipoprotein D (Fragment)</t>
  </si>
  <si>
    <t>Receptor-type tyrosine-protein phosphatase zeta</t>
  </si>
  <si>
    <t>Uncharacterized protein KIAA1211-like (Fragment)</t>
  </si>
  <si>
    <t>Thymidine phosphorylase (Fragment)</t>
  </si>
  <si>
    <t>Quinone oxidoreductase (Fragment)</t>
  </si>
  <si>
    <t>Pulmonary surfactant-associated protein A2</t>
  </si>
  <si>
    <t>Sterile alpha motif domain-containing protein 9 (Fragment)</t>
  </si>
  <si>
    <t>Epithelial cell adhesion molecule (Fragment)</t>
  </si>
  <si>
    <t>Phosphoribosylaminoimidazolecarboxamide formyltransferase (Fragment)</t>
  </si>
  <si>
    <t>Zinc finger protein 502 (Fragment)</t>
  </si>
  <si>
    <t>Serpin B7 (Fragment)</t>
  </si>
  <si>
    <t>Septin-5</t>
  </si>
  <si>
    <t>Aldehyde dehydrogenase, dimeric NADP-preferring (Fragment)</t>
  </si>
  <si>
    <t>Probable ATP-dependent RNA helicase DDX17</t>
  </si>
  <si>
    <t>Ubiquitin fusion degradation protein 1 homolog (Fragment)</t>
  </si>
  <si>
    <t>Protein FAM3C (Fragment)</t>
  </si>
  <si>
    <t>Fibrinogen gamma chain (Fragment)</t>
  </si>
  <si>
    <t>Coiled-coil domain-containing protein 58</t>
  </si>
  <si>
    <t>Actin-like protein 6A (Fragment)</t>
  </si>
  <si>
    <t>E3 ubiquitin-protein ligase RNF13 (Fragment)</t>
  </si>
  <si>
    <t>Creatine kinase U-type, mitochondrial (Fragment)</t>
  </si>
  <si>
    <t>PDZ and LIM domain protein 2 (Fragment)</t>
  </si>
  <si>
    <t>Leucine-rich repeat flightless-interacting protein 2 (Fragment)</t>
  </si>
  <si>
    <t>Interleukin-36 receptor antagonist protein (Fragment)</t>
  </si>
  <si>
    <t>Obg-like ATPase 1 (Fragment)</t>
  </si>
  <si>
    <t>Alpha-2-HS-glycoprotein</t>
  </si>
  <si>
    <t>Selenium-binding protein 1 (Fragment)</t>
  </si>
  <si>
    <t>G-protein-coupled receptor 64</t>
  </si>
  <si>
    <t>Ran-specific GTPase-activating protein (Fragment)</t>
  </si>
  <si>
    <t>Caspase-3 subunit p12 (Fragment)</t>
  </si>
  <si>
    <t>Serine/threonine-protein phosphatase 6 regulatory ankyrin repeat subunit B (Fragment)</t>
  </si>
  <si>
    <t>Leucine-rich repeats and immunoglobulin-like domains protein 3</t>
  </si>
  <si>
    <t>Endothelial monocyte-activating polypeptide 2 (Fragment)</t>
  </si>
  <si>
    <t>Ras GTPase-activating-like protein IQGAP2 (Fragment)</t>
  </si>
  <si>
    <t>Glutamate--cysteine ligase catalytic subunit (Fragment)</t>
  </si>
  <si>
    <t>Heterogeneous nuclear ribonucleoprotein A/B</t>
  </si>
  <si>
    <t>FYN-binding protein</t>
  </si>
  <si>
    <t>Heterogeneous nuclear ribonucleoprotein D0 (Fragment)</t>
  </si>
  <si>
    <t>Docking protein 3</t>
  </si>
  <si>
    <t>Guanine nucleotide-binding protein subunit beta-2-like 1</t>
  </si>
  <si>
    <t>Protocadherin-1</t>
  </si>
  <si>
    <t>LEM domain-containing protein 2</t>
  </si>
  <si>
    <t>C-C motif chemokine 28</t>
  </si>
  <si>
    <t>Annexin A5</t>
  </si>
  <si>
    <t>40S ribosomal protein S23</t>
  </si>
  <si>
    <t>Sulfotransferase family cytosolic 1B member 1 (Fragment)</t>
  </si>
  <si>
    <t>Ubiquitin-conjugating enzyme E2 K (Fragment)</t>
  </si>
  <si>
    <t>Ribonuclease T2</t>
  </si>
  <si>
    <t>Selenoprotein P (Fragment)</t>
  </si>
  <si>
    <t>Vitamin D-binding protein</t>
  </si>
  <si>
    <t>Alcohol dehydrogenase class-3</t>
  </si>
  <si>
    <t>Twinfilin-2</t>
  </si>
  <si>
    <t>Protein transport protein Sec31A</t>
  </si>
  <si>
    <t>Vesicular integral-membrane protein VIP36 (Fragment)</t>
  </si>
  <si>
    <t>Nucleotide exchange factor SIL1 (Fragment)</t>
  </si>
  <si>
    <t>28S ribosomal protein S27, mitochondrial</t>
  </si>
  <si>
    <t>Ubiquitin-like modifier-activating enzyme 5</t>
  </si>
  <si>
    <t>Netrin receptor UNC5C (Fragment)</t>
  </si>
  <si>
    <t>NudC domain-containing protein 2</t>
  </si>
  <si>
    <t>Laminin subunit alpha-4 (Fragment)</t>
  </si>
  <si>
    <t>Serine protease inhibitor Kazal-type 7</t>
  </si>
  <si>
    <t>Acyl-protein thioesterase 1 (Fragment)</t>
  </si>
  <si>
    <t>Prefoldin subunit 1</t>
  </si>
  <si>
    <t>Stathmin</t>
  </si>
  <si>
    <t>Transcription elongation factor B polypeptide 1 (Fragment)</t>
  </si>
  <si>
    <t>CMP-N-acetylneuraminate-beta-galactosamide-alpha-2,3-sialyltransferase 1 (Fragment)</t>
  </si>
  <si>
    <t>60S ribosomal protein L30 (Fragment)</t>
  </si>
  <si>
    <t>Tubulin-specific chaperone A</t>
  </si>
  <si>
    <t>Lymphocyte antigen 96</t>
  </si>
  <si>
    <t>Protein LYRIC</t>
  </si>
  <si>
    <t>V-type proton ATPase subunit H</t>
  </si>
  <si>
    <t>Switch-associated protein 70</t>
  </si>
  <si>
    <t>Tyrosine-protein phosphatase non-receptor type 18 (Fragment)</t>
  </si>
  <si>
    <t>AP-3 complex subunit delta-1</t>
  </si>
  <si>
    <t>Protein phosphatase inhibitor 2 (Fragment)</t>
  </si>
  <si>
    <t>Transforming acidic coiled-coil-containing protein 2</t>
  </si>
  <si>
    <t>Zinc finger protein 143</t>
  </si>
  <si>
    <t>Filamin-B</t>
  </si>
  <si>
    <t>Ras-related protein Rab-1A</t>
  </si>
  <si>
    <t>Collagen alpha-3(VI) chain</t>
  </si>
  <si>
    <t>Elastin</t>
  </si>
  <si>
    <t>Nesprin-1</t>
  </si>
  <si>
    <t>Vitamin K-dependent protein C heavy chain (Fragment)</t>
  </si>
  <si>
    <t>60S ribosomal protein L14</t>
  </si>
  <si>
    <t>Target of Myb protein 1</t>
  </si>
  <si>
    <t>Protein PRRC2C</t>
  </si>
  <si>
    <t>Beta-galactosidase</t>
  </si>
  <si>
    <t>Protein YIPF3</t>
  </si>
  <si>
    <t>Apoptotic chromatin condensation inducer in the nucleus</t>
  </si>
  <si>
    <t>Polyadenylate-binding protein 1</t>
  </si>
  <si>
    <t>Kaliocin-1</t>
  </si>
  <si>
    <t>GEM-interacting protein</t>
  </si>
  <si>
    <t>S-phase kinase-associated protein 1 (Fragment)</t>
  </si>
  <si>
    <t>Acid ceramidase</t>
  </si>
  <si>
    <t>Solute carrier family 40 member 1 (Fragment)</t>
  </si>
  <si>
    <t>Tetratricopeptide repeat protein 38</t>
  </si>
  <si>
    <t>Protein NDRG1</t>
  </si>
  <si>
    <t>Ras-related protein Rap-1b (Fragment)</t>
  </si>
  <si>
    <t>Inter-alpha-trypsin inhibitor heavy chain H3</t>
  </si>
  <si>
    <t>Serine/threonine-protein kinase MARK2</t>
  </si>
  <si>
    <t>Calmodulin</t>
  </si>
  <si>
    <t>Rab GDP dissociation inhibitor beta</t>
  </si>
  <si>
    <t>UTP--glucose-1-phosphate uridylyltransferase</t>
  </si>
  <si>
    <t>Band 4.1-like protein 3</t>
  </si>
  <si>
    <t>Latent-transforming growth factor beta-binding protein 4</t>
  </si>
  <si>
    <t>Alpha-adducin</t>
  </si>
  <si>
    <t>Microtubule-associated protein</t>
  </si>
  <si>
    <t>Unconventional myosin-VI</t>
  </si>
  <si>
    <t>Ribulose-phosphate 3-epimerase</t>
  </si>
  <si>
    <t>Eukaryotic translation initiation factor 4B</t>
  </si>
  <si>
    <t>Ribosomal protein L15 (Fragment)</t>
  </si>
  <si>
    <t>Eukaryotic translation initiation factor 4 gamma 1</t>
  </si>
  <si>
    <t>Dynactin subunit 1</t>
  </si>
  <si>
    <t>Basic salivary proline-rich protein 4</t>
  </si>
  <si>
    <t>THO complex subunit 4</t>
  </si>
  <si>
    <t>Hexokinase-2</t>
  </si>
  <si>
    <t>Mucin-5B</t>
  </si>
  <si>
    <t>Sulfatase-modifying factor 2</t>
  </si>
  <si>
    <t>Receptor-type tyrosine-protein phosphatase C</t>
  </si>
  <si>
    <t>Heterogeneous nuclear ribonucleoprotein H</t>
  </si>
  <si>
    <t>DNA-directed RNA polymerase I subunit RPA34</t>
  </si>
  <si>
    <t>Heat shock 70 kDa protein 4L</t>
  </si>
  <si>
    <t>Ladinin-1</t>
  </si>
  <si>
    <t>Signal recognition particle 9 kDa protein</t>
  </si>
  <si>
    <t>Far upstream element-binding protein 1</t>
  </si>
  <si>
    <t>Aldose reductase</t>
  </si>
  <si>
    <t>High mobility group protein B3 (Fragment)</t>
  </si>
  <si>
    <t>Dihydrolipoyl dehydrogenase, mitochondrial</t>
  </si>
  <si>
    <t>Ceruloplasmin</t>
  </si>
  <si>
    <t>Gamma-secretase C-terminal fragment 59</t>
  </si>
  <si>
    <t>AP2-associated protein kinase 1</t>
  </si>
  <si>
    <t>1,4-alpha-glucan-branching enzyme</t>
  </si>
  <si>
    <t>Plasma protease C1 inhibitor</t>
  </si>
  <si>
    <t>Translin</t>
  </si>
  <si>
    <t>Thioredoxin-dependent peroxide reductase, mitochondrial</t>
  </si>
  <si>
    <t>Syndecan-1</t>
  </si>
  <si>
    <t>Cytoplasmic dynein 1 light intermediate chain 1</t>
  </si>
  <si>
    <t>Pantothenate kinase 4</t>
  </si>
  <si>
    <t>Cleavage stimulation factor subunit 2</t>
  </si>
  <si>
    <t>Thioredoxin reductase 1, cytoplasmic</t>
  </si>
  <si>
    <t>S100P-binding protein (Fragment)</t>
  </si>
  <si>
    <t>Bcl-2-associated transcription factor 1</t>
  </si>
  <si>
    <t>60S ribosomal protein L27a</t>
  </si>
  <si>
    <t>Isoaspartyl peptidase/L-asparaginase</t>
  </si>
  <si>
    <t>Mth938 domain-containing protein</t>
  </si>
  <si>
    <t>Alkaline ceramidase 3 (Fragment)</t>
  </si>
  <si>
    <t>Splicing factor 3B subunit 2 (Fragment)</t>
  </si>
  <si>
    <t>Elongation factor 1-delta (Fragment)</t>
  </si>
  <si>
    <t>Serine/threonine-protein phosphatase 6 regulatory subunit 3 (Fragment)</t>
  </si>
  <si>
    <t>Protein phosphatase 1A (Fragment)</t>
  </si>
  <si>
    <t>Torsin-1A-interacting protein 1 (Fragment)</t>
  </si>
  <si>
    <t>Src substrate cortactin (Fragment)</t>
  </si>
  <si>
    <t>GDP-L-fucose synthase (Fragment)</t>
  </si>
  <si>
    <t>Macrophage colony-stimulating factor 1 (Fragment)</t>
  </si>
  <si>
    <t>Cathepsin B heavy chain (Fragment)</t>
  </si>
  <si>
    <t>60S ribosomal protein L8 (Fragment)</t>
  </si>
  <si>
    <t>Poly(U)-binding-splicing factor PUF60 (Fragment)</t>
  </si>
  <si>
    <t>Hypoxia up-regulated protein 1</t>
  </si>
  <si>
    <t>26S proteasome non-ATPase regulatory subunit 13 (Fragment)</t>
  </si>
  <si>
    <t>Protein NEDD8-MDP1 (Fragment)</t>
  </si>
  <si>
    <t>Proadrenomedullin N-20 terminal peptide</t>
  </si>
  <si>
    <t>Puromycin-sensitive aminopeptidase</t>
  </si>
  <si>
    <t>Beta-arrestin-1 (Fragment)</t>
  </si>
  <si>
    <t>LIM domain only protein 7</t>
  </si>
  <si>
    <t>Caspase-4 subunit 1 (Fragment)</t>
  </si>
  <si>
    <t>Uteroglobin</t>
  </si>
  <si>
    <t>Tumor protein D53</t>
  </si>
  <si>
    <t>Nucleosome assembly protein 1-like 4 (Fragment)</t>
  </si>
  <si>
    <t>CD59 glycoprotein</t>
  </si>
  <si>
    <t>Cysteine and glycine-rich protein 1</t>
  </si>
  <si>
    <t>Superoxide dismutase [Cu-Zn] (Fragment)</t>
  </si>
  <si>
    <t>AMP deaminase 3 (Fragment)</t>
  </si>
  <si>
    <t>Acidic leucine-rich nuclear phosphoprotein 32 family member E (Fragment)</t>
  </si>
  <si>
    <t>Midkine (Fragment)</t>
  </si>
  <si>
    <t>Charged multivesicular body protein 4a</t>
  </si>
  <si>
    <t>U4/U6.U5 tri-snRNP-associated protein 1</t>
  </si>
  <si>
    <t>Mitogen-activated protein kinase 3</t>
  </si>
  <si>
    <t>Transmembrane protease serine 13</t>
  </si>
  <si>
    <t>Vascular non-inflammatory molecule 2 (Fragment)</t>
  </si>
  <si>
    <t>NADH-cytochrome b5 reductase 2 (Fragment)</t>
  </si>
  <si>
    <t>Serine protease 23 (Fragment)</t>
  </si>
  <si>
    <t>Putative protein ZNF720</t>
  </si>
  <si>
    <t>Protein NEDD8-MDP1</t>
  </si>
  <si>
    <t>Cathepsin F (Fragment)</t>
  </si>
  <si>
    <t>Myosin-14</t>
  </si>
  <si>
    <t>N-alpha-acetyltransferase 38, NatC auxiliary subunit</t>
  </si>
  <si>
    <t>Nephrocystin-3</t>
  </si>
  <si>
    <t>Extended synaptotagmin-2</t>
  </si>
  <si>
    <t>Junction plakoglobin</t>
  </si>
  <si>
    <t>Serine/threonine-protein kinase WNK1</t>
  </si>
  <si>
    <t>Podocalyxin</t>
  </si>
  <si>
    <t>Oligoribonuclease, mitochondrial</t>
  </si>
  <si>
    <t>CD166 antigen</t>
  </si>
  <si>
    <t>SPARC (Fragment)</t>
  </si>
  <si>
    <t>Polypeptide N-acetylgalactosaminyltransferase 1 soluble form</t>
  </si>
  <si>
    <t>Ribosomal protein S6 kinase alpha-3</t>
  </si>
  <si>
    <t>Ubiquitin thioesterase OTUB1</t>
  </si>
  <si>
    <t>Calcium/calmodulin-dependent protein kinase kinase 2</t>
  </si>
  <si>
    <t>Small proline-rich protein 3</t>
  </si>
  <si>
    <t>T-lymphoma invasion and metastasis-inducing protein 1</t>
  </si>
  <si>
    <t>Paxillin</t>
  </si>
  <si>
    <t>Collagen alpha-1(XXI) chain</t>
  </si>
  <si>
    <t>4F2 cell-surface antigen heavy chain</t>
  </si>
  <si>
    <t>Rho GTPase-activating protein 4</t>
  </si>
  <si>
    <t>Amyloid-like protein 2</t>
  </si>
  <si>
    <t>Tumor protein D52</t>
  </si>
  <si>
    <t>Ras-related protein Rab-35 (Fragment)</t>
  </si>
  <si>
    <t>Abl interactor 1</t>
  </si>
  <si>
    <t>Malectin (Fragment)</t>
  </si>
  <si>
    <t>Flap endonuclease 1 (Fragment)</t>
  </si>
  <si>
    <t>Semaphorin-3C</t>
  </si>
  <si>
    <t>Uveal autoantigen with coiled-coil domains and ankyrin repeats</t>
  </si>
  <si>
    <t>Protein lunapark</t>
  </si>
  <si>
    <t>Rho GDP-dissociation inhibitor 2 (Fragment)</t>
  </si>
  <si>
    <t>Dynactin subunit 2</t>
  </si>
  <si>
    <t>Eukaryotic translation initiation factor 3 subunit A</t>
  </si>
  <si>
    <t>BTB/POZ domain-containing protein KCTD20</t>
  </si>
  <si>
    <t>ADP-ribosylation factor 3</t>
  </si>
  <si>
    <t>40S ribosomal protein S3a</t>
  </si>
  <si>
    <t>Vacuolar protein sorting-associated protein 26A</t>
  </si>
  <si>
    <t>Protein BRICK1</t>
  </si>
  <si>
    <t>Tubulin alpha-1C chain</t>
  </si>
  <si>
    <t>Putative phospholipase B-like 2 45 kDa form</t>
  </si>
  <si>
    <t>Proto-oncogene vav</t>
  </si>
  <si>
    <t>Activin receptor type-1B (Fragment)</t>
  </si>
  <si>
    <t>26S proteasome non-ATPase regulatory subunit 9 (Fragment)</t>
  </si>
  <si>
    <t>Antigen peptide transporter 1</t>
  </si>
  <si>
    <t>Beta-2-microglobulin form pI 5.3</t>
  </si>
  <si>
    <t>Atlastin-3</t>
  </si>
  <si>
    <t>Actin-related protein 2</t>
  </si>
  <si>
    <t>Tumor necrosis factor receptor superfamily member 1A, membrane form (Fragment)</t>
  </si>
  <si>
    <t>Neutral alpha-glucosidase AB</t>
  </si>
  <si>
    <t>WW domain-binding protein 11</t>
  </si>
  <si>
    <t>Basic salivary proline-rich protein 3</t>
  </si>
  <si>
    <t>Methionine-R-sulfoxide reductase B3 (Fragment)</t>
  </si>
  <si>
    <t>Repulsive guidance molecule A</t>
  </si>
  <si>
    <t>Guanylate-binding protein 6</t>
  </si>
  <si>
    <t>EF-hand calcium-binding domain-containing protein 14</t>
  </si>
  <si>
    <t>Oxidized low-density lipoprotein receptor 1, soluble form (Fragment)</t>
  </si>
  <si>
    <t>Parathymosin (Fragment)</t>
  </si>
  <si>
    <t>Tropomyosin alpha-1 chain</t>
  </si>
  <si>
    <t>Noelin (Fragment)</t>
  </si>
  <si>
    <t>Defensin-6</t>
  </si>
  <si>
    <t>Kunitz-type protease inhibitor 1</t>
  </si>
  <si>
    <t>Cell adhesion molecule 1 (Fragment)</t>
  </si>
  <si>
    <t>Signal-induced proliferation-associated protein 1</t>
  </si>
  <si>
    <t>Adaptin ear-binding coat-associated protein 2</t>
  </si>
  <si>
    <t>Tumor necrosis factor receptor superfamily member 14 (Fragment)</t>
  </si>
  <si>
    <t>T-complex protein 1 subunit beta</t>
  </si>
  <si>
    <t>CCR4-NOT transcription complex subunit 2 (Fragment)</t>
  </si>
  <si>
    <t>UPF0160 protein MYG1, mitochondrial</t>
  </si>
  <si>
    <t>Nucleosome assembly protein 1-like 1 (Fragment)</t>
  </si>
  <si>
    <t>Alpha-aminoadipic semialdehyde dehydrogenase</t>
  </si>
  <si>
    <t>Methionine aminopeptidase 2 (Fragment)</t>
  </si>
  <si>
    <t>60S ribosomal protein L18 (Fragment)</t>
  </si>
  <si>
    <t>Protein POC1B-GALNT4</t>
  </si>
  <si>
    <t>Mucin-like protein 1</t>
  </si>
  <si>
    <t>Oxysterol-binding protein-related protein 8 (Fragment)</t>
  </si>
  <si>
    <t>Carboxypeptidase M (Fragment)</t>
  </si>
  <si>
    <t>Density-regulated protein</t>
  </si>
  <si>
    <t>Rho GTPase-activating protein 9 (Fragment)</t>
  </si>
  <si>
    <t>Alpha-lactalbumin</t>
  </si>
  <si>
    <t>60S acidic ribosomal protein P0 (Fragment)</t>
  </si>
  <si>
    <t>SWI/SNF complex subunit SMARCC2</t>
  </si>
  <si>
    <t>Vacuolar protein sorting-associated protein 29</t>
  </si>
  <si>
    <t>Insulin-like growth factor-binding protein 6</t>
  </si>
  <si>
    <t>Nascent polypeptide-associated complex subunit alpha</t>
  </si>
  <si>
    <t>SAP domain-containing ribonucleoprotein</t>
  </si>
  <si>
    <t>Chromatin complexes subunit BAP18</t>
  </si>
  <si>
    <t>Carbonic anhydrase 6 (Fragment)</t>
  </si>
  <si>
    <t>60S ribosomal protein L6 (Fragment)</t>
  </si>
  <si>
    <t>Adenylate kinase 2, mitochondrial</t>
  </si>
  <si>
    <t>Biotinidase</t>
  </si>
  <si>
    <t>Myosin light polypeptide 6</t>
  </si>
  <si>
    <t>Heterogeneous nuclear ribonucleoprotein A1</t>
  </si>
  <si>
    <t>Ubiquitin-associated protein 2-like</t>
  </si>
  <si>
    <t>Golgi integral membrane protein 4</t>
  </si>
  <si>
    <t>Cathepsin D light chain (Fragment)</t>
  </si>
  <si>
    <t>60S ribosomal protein L10</t>
  </si>
  <si>
    <t>WASH complex subunit FAM21A</t>
  </si>
  <si>
    <t>Catenin alpha-1</t>
  </si>
  <si>
    <t>Mannan-binding lectin serine protease 1 heavy chain</t>
  </si>
  <si>
    <t>Ras-related protein Rab-24</t>
  </si>
  <si>
    <t>Cytoplasmic dynein 1 intermediate chain 2</t>
  </si>
  <si>
    <t>Reticulon-4</t>
  </si>
  <si>
    <t>Syntaxin-3</t>
  </si>
  <si>
    <t>Acetylcholinesterase collagenic tail peptide</t>
  </si>
  <si>
    <t>Eukaryotic translation initiation factor 2 subunit 1</t>
  </si>
  <si>
    <t>T-complex protein 1 subunit eta (Fragment)</t>
  </si>
  <si>
    <t>Kallikrein-1</t>
  </si>
  <si>
    <t>Hsc70-interacting protein</t>
  </si>
  <si>
    <t>Aldose 1-epimerase</t>
  </si>
  <si>
    <t>Leukocyte-associated immunoglobulin-like receptor 1</t>
  </si>
  <si>
    <t>Actin-related protein 2/3 complex subunit 4</t>
  </si>
  <si>
    <t>Leukocyte immunoglobulin-like receptor subfamily A member 6</t>
  </si>
  <si>
    <t>Programmed cell death protein 10</t>
  </si>
  <si>
    <t>Mucin-16</t>
  </si>
  <si>
    <t>Kynureninase</t>
  </si>
  <si>
    <t>Ras-related protein Ral-B</t>
  </si>
  <si>
    <t>Disks large-associated protein 4</t>
  </si>
  <si>
    <t>Clathrin light chain A</t>
  </si>
  <si>
    <t>Ubiquitin-conjugating enzyme E2 variant 2</t>
  </si>
  <si>
    <t>Interactor protein for cytohesin exchange factors 1</t>
  </si>
  <si>
    <t>Caspase</t>
  </si>
  <si>
    <t>Dipeptidyl peptidase 3</t>
  </si>
  <si>
    <t>Transmembrane emp24 domain-containing protein 3</t>
  </si>
  <si>
    <t>Septin 7, isoform CRA_a</t>
  </si>
  <si>
    <t>Nuclear pore complex protein Nup107</t>
  </si>
  <si>
    <t>Proteasome subunit alpha type</t>
  </si>
  <si>
    <t>Acylphosphatase</t>
  </si>
  <si>
    <t>V-type proton ATPase subunit D</t>
  </si>
  <si>
    <t>C-1-tetrahydrofolate synthase, cytoplasmic</t>
  </si>
  <si>
    <t>Protein FAM177A1 (Fragment)</t>
  </si>
  <si>
    <t>Protein numb homolog</t>
  </si>
  <si>
    <t>Creatine kinase B-type (Fragment)</t>
  </si>
  <si>
    <t>Glia maturation factor beta (Fragment)</t>
  </si>
  <si>
    <t>Fibulin-5</t>
  </si>
  <si>
    <t>Echinoderm microtubule-associated protein-like 1 (Fragment)</t>
  </si>
  <si>
    <t>Kinectin</t>
  </si>
  <si>
    <t>Latent-transforming growth factor beta-binding protein 2</t>
  </si>
  <si>
    <t>Nesprin-3</t>
  </si>
  <si>
    <t>Heterogeneous nuclear ribonucleoproteins C1/C2</t>
  </si>
  <si>
    <t>Protein NDRG2</t>
  </si>
  <si>
    <t>DNA-(apurinic or apyrimidinic site) lyase (Fragment)</t>
  </si>
  <si>
    <t>Alpha-1-antichymotrypsin</t>
  </si>
  <si>
    <t>Cochlin (Fragment)</t>
  </si>
  <si>
    <t>Complement factor I light chain</t>
  </si>
  <si>
    <t>Cartilage oligomeric matrix protein</t>
  </si>
  <si>
    <t>Thymopentin</t>
  </si>
  <si>
    <t>GTPase IMAP family member 4</t>
  </si>
  <si>
    <t>Transmembrane protease serine 5</t>
  </si>
  <si>
    <t>Protein disulfide isomerase family A, member 3, isoform CRA_b</t>
  </si>
  <si>
    <t>Cordon-bleu protein-like 1</t>
  </si>
  <si>
    <t>Apolipoprotein L1</t>
  </si>
  <si>
    <t>Transforming growth factor-beta-induced protein ig-h3</t>
  </si>
  <si>
    <t>Melanoma inhibitory activity protein 3</t>
  </si>
  <si>
    <t>Corneodesmosin</t>
  </si>
  <si>
    <t>CD44 antigen (Fragment)</t>
  </si>
  <si>
    <t>Aldehyde dehydrogenase 1 family, member A3, isoform CRA_b</t>
  </si>
  <si>
    <t>Eukaryotic translation initiation factor 4 gamma 2</t>
  </si>
  <si>
    <t>Tight junction protein ZO-1 (Fragment)</t>
  </si>
  <si>
    <t>Deoxyuridine 5-triphosphate nucleotidohydrolase, mitochondrial</t>
  </si>
  <si>
    <t>Dyslexia-associated protein KIAA0319-like protein (Fragment)</t>
  </si>
  <si>
    <t>Low affinity immunoglobulin gamma Fc region receptor III-B (Fragment)</t>
  </si>
  <si>
    <t>Adipocyte plasma membrane-associated protein (Fragment)</t>
  </si>
  <si>
    <t>Proteasome inhibitor PI31 subunit (Fragment)</t>
  </si>
  <si>
    <t>26S proteasome non-ATPase regulatory subunit 4 (Fragment)</t>
  </si>
  <si>
    <t>Prostaglandin-H2 D-isomerase (Fragment)</t>
  </si>
  <si>
    <t>Uroporphyrinogen decarboxylase (Fragment)</t>
  </si>
  <si>
    <t>E3 ubiquitin-protein ligase TRIM33 (Fragment)</t>
  </si>
  <si>
    <t>Ubiquitin-fold modifier 1 (Fragment)</t>
  </si>
  <si>
    <t>Serine/threonine-protein kinase 24 12 kDa subunit (Fragment)</t>
  </si>
  <si>
    <t>Renin receptor (Fragment)</t>
  </si>
  <si>
    <t>Low affinity immunoglobulin gamma Fc region receptor III-A (Fragment)</t>
  </si>
  <si>
    <t>Propionyl-CoA carboxylase alpha chain, mitochondrial (Fragment)</t>
  </si>
  <si>
    <t>Dynein heavy chain 8, axonemal</t>
  </si>
  <si>
    <t>Phosphoacetylglucosamine mutase (Fragment)</t>
  </si>
  <si>
    <t>Septin-11 (Fragment)</t>
  </si>
  <si>
    <t>Afadin (Fragment)</t>
  </si>
  <si>
    <t>Rap1 GTPase-GDP dissociation stimulator 1 (Fragment)</t>
  </si>
  <si>
    <t>Programmed cell death protein 6 (Fragment)</t>
  </si>
  <si>
    <t>Epididymis-specific alpha-mannosidase (Fragment)</t>
  </si>
  <si>
    <t>Plasma kallikrein heavy chain (Fragment)</t>
  </si>
  <si>
    <t>Transmembrane protease serine 11A (Fragment)</t>
  </si>
  <si>
    <t>Uncharacterized protein C8orf58 (Fragment)</t>
  </si>
  <si>
    <t>AP-3 complex subunit beta-1 (Fragment)</t>
  </si>
  <si>
    <t>La-related protein 1 (Fragment)</t>
  </si>
  <si>
    <t>Glutathione reductase, mitochondrial (Fragment)</t>
  </si>
  <si>
    <t>RalBP1-associated Eps domain-containing protein 1 (Fragment)</t>
  </si>
  <si>
    <t>EGF-containing fibulin-like extracellular matrix protein 2 (Fragment)</t>
  </si>
  <si>
    <t>Phosphatidylinositol-binding clathrin assembly protein (Fragment)</t>
  </si>
  <si>
    <t>FAD-AMP lyase (cyclizing) (Fragment)</t>
  </si>
  <si>
    <t>Stromal interaction molecule 1 (Fragment)</t>
  </si>
  <si>
    <t>Complement receptor type 1 (Fragment)</t>
  </si>
  <si>
    <t>Chitinase-3-like protein 2 (Fragment)</t>
  </si>
  <si>
    <t>40S ribosomal protein S2 (Fragment)</t>
  </si>
  <si>
    <t>Serpin H1 (Fragment)</t>
  </si>
  <si>
    <t>Ragulator complex protein LAMTOR1 (Fragment)</t>
  </si>
  <si>
    <t>Glycolipid transfer protein (Fragment)</t>
  </si>
  <si>
    <t>Ras-related protein Rab-6A (Fragment)</t>
  </si>
  <si>
    <t>Ryanodine receptor 2</t>
  </si>
  <si>
    <t>ATP synthase subunit beta (Fragment)</t>
  </si>
  <si>
    <t>Coronin-1C (Fragment)</t>
  </si>
  <si>
    <t>Methionine--tRNA ligase, cytoplasmic (Fragment)</t>
  </si>
  <si>
    <t>Polyadenylate-binding protein 2 (Fragment)</t>
  </si>
  <si>
    <t>Sorting nexin-1</t>
  </si>
  <si>
    <t>Calcineurin B homologous protein 1</t>
  </si>
  <si>
    <t>Beta-2-microglobulin form pI 5.3 (Fragment)</t>
  </si>
  <si>
    <t>U2 small nuclear ribonucleoprotein A (Fragment)</t>
  </si>
  <si>
    <t>Annexin (Fragment)</t>
  </si>
  <si>
    <t>Protein CASC4 (Fragment)</t>
  </si>
  <si>
    <t>Acidic leucine-rich nuclear phosphoprotein 32 family member A</t>
  </si>
  <si>
    <t>40S ribosomal protein S17 (Fragment)</t>
  </si>
  <si>
    <t>Proteasome activator complex subunit 1</t>
  </si>
  <si>
    <t>Ras-related protein Rab-8B (Fragment)</t>
  </si>
  <si>
    <t>Aflatoxin B1 aldehyde reductase member 2 (Fragment)</t>
  </si>
  <si>
    <t>Complement decay-accelerating factor (Fragment)</t>
  </si>
  <si>
    <t>60S ribosomal protein L4</t>
  </si>
  <si>
    <t>Synaptosomal-associated protein 23</t>
  </si>
  <si>
    <t>Beta-hexosaminidase</t>
  </si>
  <si>
    <t>Diphosphomevalonate decarboxylase (Fragment)</t>
  </si>
  <si>
    <t>RNA-binding protein FUS</t>
  </si>
  <si>
    <t>Hydroxyacylglutathione hydrolase, mitochondrial (Fragment)</t>
  </si>
  <si>
    <t>cAMP-regulated phosphoprotein 19</t>
  </si>
  <si>
    <t>Adenine phosphoribosyltransferase (Fragment)</t>
  </si>
  <si>
    <t>IST1 homolog (Fragment)</t>
  </si>
  <si>
    <t>HCG2044799</t>
  </si>
  <si>
    <t>RNA-binding motif protein, X chromosome, N-terminally processed</t>
  </si>
  <si>
    <t>Signal-regulatory protein beta-1 isoform 3 (Fragment)</t>
  </si>
  <si>
    <t>Poly(rC)-binding protein 2 (Fragment)</t>
  </si>
  <si>
    <t>Putative N-acetylglucosamine-6-phosphate deacetylase (Fragment)</t>
  </si>
  <si>
    <t>Calcium-regulated heat stable protein 1 (Fragment)</t>
  </si>
  <si>
    <t>Ras-related protein Rab-27A (Fragment)</t>
  </si>
  <si>
    <t>Secretory carrier-associated membrane protein 2 (Fragment)</t>
  </si>
  <si>
    <t>Nuclear pore complex protein Nup93 (Fragment)</t>
  </si>
  <si>
    <t>Membrane-bound transcription factor site-1 protease (Fragment)</t>
  </si>
  <si>
    <t>Prostasin (Fragment)</t>
  </si>
  <si>
    <t>Ly6/PLAUR domain-containing protein 6B</t>
  </si>
  <si>
    <t>Fibroblast growth factor receptor 2 (Fragment)</t>
  </si>
  <si>
    <t>Endostatin (Fragment)</t>
  </si>
  <si>
    <t>WD repeat-containing protein 44 (Fragment)</t>
  </si>
  <si>
    <t>E3 ubiquitin-protein ligase listerin</t>
  </si>
  <si>
    <t>Citron Rho-interacting kinase (Fragment)</t>
  </si>
  <si>
    <t>Epidermal growth factor receptor substrate 15</t>
  </si>
  <si>
    <t>Platelet-derived growth factor subunit A (Fragment)</t>
  </si>
  <si>
    <t>Peptidyl-prolyl cis-trans isomerase (Fragment)</t>
  </si>
  <si>
    <t>Aspartate--tRNA ligase, cytoplasmic (Fragment)</t>
  </si>
  <si>
    <t>Kremen protein 1 (Fragment)</t>
  </si>
  <si>
    <t>Integrin alpha-6 heavy chain (Fragment)</t>
  </si>
  <si>
    <t>Thioredoxin (Fragment)</t>
  </si>
  <si>
    <t>S-formylglutathione hydrolase (Fragment)</t>
  </si>
  <si>
    <t>Serum albumin (Fragment)</t>
  </si>
  <si>
    <t>Carboxy-terminal domain RNA polymerase II polypeptide A small phosphatase 1 (Fragment)</t>
  </si>
  <si>
    <t>Acylamino-acid-releasing enzyme (Fragment)</t>
  </si>
  <si>
    <t>N-acetyl-D-glucosamine kinase (Fragment)</t>
  </si>
  <si>
    <t>Glucosamine (N-acetyl)-6-sulfatase (Sanfilippo disease IIID), isoform CRA_b</t>
  </si>
  <si>
    <t>Protein phosphatase 1 regulatory subunit 7 (Fragment)</t>
  </si>
  <si>
    <t>Protein archease (Fragment)</t>
  </si>
  <si>
    <t>Mitochondrial chaperone BCS1 (Fragment)</t>
  </si>
  <si>
    <t>Rho GTPase-activating protein 25 (Fragment)</t>
  </si>
  <si>
    <t>Serine/threonine-protein phosphatase 4 regulatory subunit 2 (Fragment)</t>
  </si>
  <si>
    <t>Neutrophil gelatinase-associated lipocalin</t>
  </si>
  <si>
    <t>Carcinoembryonic antigen-related cell adhesion molecule 5</t>
  </si>
  <si>
    <t>Vesicle-fusing ATPase</t>
  </si>
  <si>
    <t>Pyrin</t>
  </si>
  <si>
    <t>Serine/threonine-protein kinase SMG1</t>
  </si>
  <si>
    <t>Cadherin-5</t>
  </si>
  <si>
    <t>E3 ubiquitin-protein ligase RNF167 (Fragment)</t>
  </si>
  <si>
    <t>FLYWCH family member 2</t>
  </si>
  <si>
    <t>Arf-GAP with coiled-coil, ANK repeat and PH domain-containing protein 1 (Fragment)</t>
  </si>
  <si>
    <t>Phosphatidylinositol transfer protein alpha isoform (Fragment)</t>
  </si>
  <si>
    <t>Eukaryotic translation initiation factor 5A-1 (Fragment)</t>
  </si>
  <si>
    <t>Profilin-1 (Fragment)</t>
  </si>
  <si>
    <t>Nuclear distribution protein nudE homolog 1</t>
  </si>
  <si>
    <t>Collagen alpha-1(I) chain (Fragment)</t>
  </si>
  <si>
    <t>Glyoxalase domain-containing protein 4 (Fragment)</t>
  </si>
  <si>
    <t>Nuclear protein localization protein 4 homolog</t>
  </si>
  <si>
    <t>Protein phosphatase 4 (Formerly X), catalytic subunit, isoform CRA_b</t>
  </si>
  <si>
    <t>Retinoid-inducible serine carboxypeptidase (Fragment)</t>
  </si>
  <si>
    <t>Fatty acid-binding protein, epidermal</t>
  </si>
  <si>
    <t>Epididymal secretory protein E1</t>
  </si>
  <si>
    <t>Low-density lipoprotein receptor (Fragment)</t>
  </si>
  <si>
    <t>Nodal modulator 3</t>
  </si>
  <si>
    <t>Electron transfer flavoprotein subunit alpha, mitochondrial</t>
  </si>
  <si>
    <t>Tropomyosin alpha-3 chain</t>
  </si>
  <si>
    <t>Cathelicidin antimicrobial peptide</t>
  </si>
  <si>
    <t>Cytochrome b5</t>
  </si>
  <si>
    <t>Protein transport protein Sec16A</t>
  </si>
  <si>
    <t>Fascin</t>
  </si>
  <si>
    <t>Nuclear pore complex protein Nup98-Nup96</t>
  </si>
  <si>
    <t>Cysteine-rich secretory protein 3</t>
  </si>
  <si>
    <t>Nucleoside diphosphate kinase B</t>
  </si>
  <si>
    <t>Signal transducer and activator of transcription 1-alpha/beta</t>
  </si>
  <si>
    <t>D-dopachrome decarboxylase</t>
  </si>
  <si>
    <t>RANBP2-like and GRIP domain-containing protein 8</t>
  </si>
  <si>
    <t>Trans-Golgi network integral membrane protein 2</t>
  </si>
  <si>
    <t>Beta-Ala-His dipeptidase</t>
  </si>
  <si>
    <t>Transmembrane protein 199</t>
  </si>
  <si>
    <t>5(3)-deoxyribonucleotidase, cytosolic type (Fragment)</t>
  </si>
  <si>
    <t>Protein CASC3 (Fragment)</t>
  </si>
  <si>
    <t>Lactoperoxidase (Fragment)</t>
  </si>
  <si>
    <t>Hematological and neurological-expressed 1 protein</t>
  </si>
  <si>
    <t>Core-binding factor subunit beta (Fragment)</t>
  </si>
  <si>
    <t>Cadherin-3</t>
  </si>
  <si>
    <t>60S ribosomal protein L26 (Fragment)</t>
  </si>
  <si>
    <t>NSFL1 cofactor p47</t>
  </si>
  <si>
    <t>LIM domain-containing protein 2</t>
  </si>
  <si>
    <t>Secernin-2</t>
  </si>
  <si>
    <t>Small nuclear ribonucleoprotein Sm D2</t>
  </si>
  <si>
    <t>von Willebrand factor A domain-containing protein 1 (Fragment)</t>
  </si>
  <si>
    <t>RalA-binding protein 1 (Fragment)</t>
  </si>
  <si>
    <t>tRNA-dihydrouridine(16/17) synthase [NAD(P)(+)]-like (Fragment)</t>
  </si>
  <si>
    <t>Ubiquitin carboxyl-terminal hydrolase 14 (Fragment)</t>
  </si>
  <si>
    <t>Ras-related protein Rab-31</t>
  </si>
  <si>
    <t>Myosin regulatory light chain 12A</t>
  </si>
  <si>
    <t>Gamma-soluble NSF attachment protein</t>
  </si>
  <si>
    <t>Ubiquitin (Fragment)</t>
  </si>
  <si>
    <t>Purine nucleoside phosphorylase</t>
  </si>
  <si>
    <t>Actin-binding LIM protein 1</t>
  </si>
  <si>
    <t>Lamin B2, isoform CRA_a</t>
  </si>
  <si>
    <t>PML-RARA regulated adaptor molecule 1, isoform CRA_b</t>
  </si>
  <si>
    <t>Echinoderm microtubule-associated protein-like 2 (Fragment)</t>
  </si>
  <si>
    <t>WW domain-binding protein 2 (Fragment)</t>
  </si>
  <si>
    <t>Tumor necrosis factor ligand superfamily member 13</t>
  </si>
  <si>
    <t>Signal transducer and activator of transcription 5A</t>
  </si>
  <si>
    <t>Polypyrimidine tract-binding protein 1 (Fragment)</t>
  </si>
  <si>
    <t>Thioredoxin-like protein 1 (Fragment)</t>
  </si>
  <si>
    <t>Envoplakin</t>
  </si>
  <si>
    <t>Periplakin</t>
  </si>
  <si>
    <t>Triggering receptor expressed on myeloid cells 1, isoform CRA_b</t>
  </si>
  <si>
    <t>Transmembrane protein C19orf77</t>
  </si>
  <si>
    <t>Flotillin-2 (Fragment)</t>
  </si>
  <si>
    <t>Glucosidase 2 subunit beta</t>
  </si>
  <si>
    <t>Dynamin-2 (Fragment)</t>
  </si>
  <si>
    <t>Tubulin-folding cofactor B</t>
  </si>
  <si>
    <t>Cold-inducible RNA-binding protein (Fragment)</t>
  </si>
  <si>
    <t>Protein DJ-1</t>
  </si>
  <si>
    <t>PDZ domain-containing protein GIPC1 (Fragment)</t>
  </si>
  <si>
    <t>Actin, cytoplasmic 2, N-terminally processed (Fragment)</t>
  </si>
  <si>
    <t>Small glutamine-rich tetratricopeptide repeat-containing protein alpha (Fragment)</t>
  </si>
  <si>
    <t>Keratin, type I cytoskeletal 19 (Fragment)</t>
  </si>
  <si>
    <t>Histone H3</t>
  </si>
  <si>
    <t>RelA-associated inhibitor (Fragment)</t>
  </si>
  <si>
    <t>Splicing factor U2AF 65 kDa subunit</t>
  </si>
  <si>
    <t>UV excision repair protein RAD23 homolog A</t>
  </si>
  <si>
    <t>Ectopic P granules protein 5 homolog (Fragment)</t>
  </si>
  <si>
    <t>Basal cell adhesion molecule (Fragment)</t>
  </si>
  <si>
    <t>Programmed cell death protein 5</t>
  </si>
  <si>
    <t>Uncharacterized protein (Fragment)</t>
  </si>
  <si>
    <t>Complement factor D</t>
  </si>
  <si>
    <t>Truncated apolipoprotein C-I (Fragment)</t>
  </si>
  <si>
    <t>Intercellular adhesion molecule 3</t>
  </si>
  <si>
    <t>Eukaryotic translation initiation factor 3 subunit K</t>
  </si>
  <si>
    <t>Calpain small subunit 1 (Fragment)</t>
  </si>
  <si>
    <t>Coatomer protein complex, subunit epsilon, isoform CRA_g</t>
  </si>
  <si>
    <t>Protein ETHE1, mitochondrial</t>
  </si>
  <si>
    <t>A-kinase anchor protein 8-like (Fragment)</t>
  </si>
  <si>
    <t>Glia maturation factor gamma</t>
  </si>
  <si>
    <t>U1 small nuclear ribonucleoprotein 70 kDa (Fragment)</t>
  </si>
  <si>
    <t>Kallikrein-7 (Fragment)</t>
  </si>
  <si>
    <t>Ly6/PLAUR domain-containing protein 5 (Fragment)</t>
  </si>
  <si>
    <t>Phospholipase D3 (Fragment)</t>
  </si>
  <si>
    <t>Kallikrein-11 (Fragment)</t>
  </si>
  <si>
    <t>Gamma-glutamylcyclotransferase</t>
  </si>
  <si>
    <t>Rho guanine nucleotide exchange factor 1</t>
  </si>
  <si>
    <t>ELAV-like protein 1</t>
  </si>
  <si>
    <t>60S ribosomal protein L18a</t>
  </si>
  <si>
    <t>Napsin-A</t>
  </si>
  <si>
    <t>Endothelial cell-specific molecule 1 (Fragment)</t>
  </si>
  <si>
    <t>Ras-related protein Rab-4B (Fragment)</t>
  </si>
  <si>
    <t>Peptidyl-prolyl cis-trans isomerase FKBP8 (Fragment)</t>
  </si>
  <si>
    <t>Kallikrein 3, (Prostate specific antigen), isoform CRA_d</t>
  </si>
  <si>
    <t>40S ribosomal protein S19 (Fragment)</t>
  </si>
  <si>
    <t>Epidermal growth factor receptor substrate 15-like 1</t>
  </si>
  <si>
    <t>Unconventional myosin-IXb (Fragment)</t>
  </si>
  <si>
    <t>Platelet-activating factor acetylhydrolase IB subunit gamma (Fragment)</t>
  </si>
  <si>
    <t>PDZ and LIM domain protein 1</t>
  </si>
  <si>
    <t>Unconventional myosin-If</t>
  </si>
  <si>
    <t>Copper transport protein ATOX1</t>
  </si>
  <si>
    <t>Isoform 3 of Huntingtin-interacting protein 1</t>
  </si>
  <si>
    <t>Chloride intracellular channel protein 1</t>
  </si>
  <si>
    <t>Sulfhydryl oxidase 1</t>
  </si>
  <si>
    <t>Beta-mannosidase</t>
  </si>
  <si>
    <t>Isoform 2 of Agrin</t>
  </si>
  <si>
    <t>High mobility group nucleosome-binding domain-containing protein 4</t>
  </si>
  <si>
    <t>Ficolin-1</t>
  </si>
  <si>
    <t>Protein CYR61</t>
  </si>
  <si>
    <t>Cocaine esterase</t>
  </si>
  <si>
    <t>Isoform 2 of Lysosomal alpha-mannosidase</t>
  </si>
  <si>
    <t>Isoform 2 of Pyridoxal kinase</t>
  </si>
  <si>
    <t>Immunoglobulin superfamily containing leucine-rich repeat protein</t>
  </si>
  <si>
    <t>Disintegrin and metalloproteinase domain-containing protein 10</t>
  </si>
  <si>
    <t>Isoform 2 of Inositol monophosphatase 2</t>
  </si>
  <si>
    <t>Na(+)/H(+) exchange regulatory cofactor NHE-RF1</t>
  </si>
  <si>
    <t>Tripeptidyl-peptidase 1</t>
  </si>
  <si>
    <t>Tumor necrosis factor receptor superfamily member 10C</t>
  </si>
  <si>
    <t>Isoform 2 of Proteasome subunit alpha type-7</t>
  </si>
  <si>
    <t>Secretory carrier-associated membrane protein 3</t>
  </si>
  <si>
    <t>Tax1-binding protein 3</t>
  </si>
  <si>
    <t>Isoform 5 of Protein phosphatase 1 regulatory subunit 12A</t>
  </si>
  <si>
    <t>Isoform 3 of Heterogeneous nuclear ribonucleoprotein D-like</t>
  </si>
  <si>
    <t>Isoform 2 of Spectrin beta chain, non-erythrocytic 2</t>
  </si>
  <si>
    <t>Plexin-B2</t>
  </si>
  <si>
    <t>Phosphoribosylformylglycinamidine synthase</t>
  </si>
  <si>
    <t>Isoform 2 of Secretory carrier-associated membrane protein 1</t>
  </si>
  <si>
    <t>Actin-related protein 2/3 complex subunit 1B</t>
  </si>
  <si>
    <t>Actin-related protein 2/3 complex subunit 2</t>
  </si>
  <si>
    <t>Actin-related protein 2/3 complex subunit 3</t>
  </si>
  <si>
    <t>Prefoldin subunit 6</t>
  </si>
  <si>
    <t>Isoform 3 of Zinc finger protein 185</t>
  </si>
  <si>
    <t>Isoform 4 of Zinc finger protein 185</t>
  </si>
  <si>
    <t>Chondroadherin</t>
  </si>
  <si>
    <t>Sialic acid-binding Ig-like lectin 5</t>
  </si>
  <si>
    <t>Isoform 2 of Syntaxin-7</t>
  </si>
  <si>
    <t>Actin-related protein 2/3 complex subunit 5</t>
  </si>
  <si>
    <t>Putative pre-mRNA-splicing factor ATP-dependent RNA helicase DHX15</t>
  </si>
  <si>
    <t>D-3-phosphoglycerate dehydrogenase</t>
  </si>
  <si>
    <t>Kallikrein-10</t>
  </si>
  <si>
    <t>26S proteasome non-ATPase regulatory subunit 3</t>
  </si>
  <si>
    <t>Kunitz-type protease inhibitor 2</t>
  </si>
  <si>
    <t>Isoform 2 of Tumor protein D54</t>
  </si>
  <si>
    <t>Isoform 5 of Prominin-1</t>
  </si>
  <si>
    <t>N-acetyllactosaminide beta-1,3-N-acetylglucosaminyltransferase</t>
  </si>
  <si>
    <t>WAS/WASL-interacting protein family member 1</t>
  </si>
  <si>
    <t>Isoform 2 of Trafficking protein particle complex subunit 3</t>
  </si>
  <si>
    <t>ATPase ASNA1</t>
  </si>
  <si>
    <t>Alpha-actinin-4</t>
  </si>
  <si>
    <t>Isoform 2 of Striatin</t>
  </si>
  <si>
    <t>Calumenin</t>
  </si>
  <si>
    <t>Aldo-keto reductase family 1 member B10</t>
  </si>
  <si>
    <t>Mitochondrial import inner membrane translocase subunit Tim8 A</t>
  </si>
  <si>
    <t>Transmembrane protease serine 11D</t>
  </si>
  <si>
    <t>Kallikrein-8</t>
  </si>
  <si>
    <t>Isoform 5 of C-Jun-amino-terminal kinase-interacting protein 4</t>
  </si>
  <si>
    <t>Isoform 3 of Lymphocyte antigen 75</t>
  </si>
  <si>
    <t>Isoform 4 of Heterogeneous nuclear ribonucleoprotein Q</t>
  </si>
  <si>
    <t>Toll-like receptor 2</t>
  </si>
  <si>
    <t>Perilipin-3</t>
  </si>
  <si>
    <t>Isoform 3 of UDP-glucose 6-dehydrogenase</t>
  </si>
  <si>
    <t>General vesicular transport factor p115</t>
  </si>
  <si>
    <t>Isoform 2 of Endothelial differentiation-related factor 1</t>
  </si>
  <si>
    <t>Bromodomain-containing protein 4</t>
  </si>
  <si>
    <t>Cathepsin L2</t>
  </si>
  <si>
    <t>WD repeat-containing protein 1</t>
  </si>
  <si>
    <t>V-type proton ATPase subunit G 1</t>
  </si>
  <si>
    <t>Vacuolar protein sorting-associated protein 4B</t>
  </si>
  <si>
    <t>Isoform 1 of Core histone macro-H2A.1</t>
  </si>
  <si>
    <t>SH3 domain-binding glutamic acid-rich-like protein</t>
  </si>
  <si>
    <t>Vesicle-trafficking protein SEC22b</t>
  </si>
  <si>
    <t>Ceroid-lipofuscinosis neuronal protein 5</t>
  </si>
  <si>
    <t>Splicing factor 3B subunit 1</t>
  </si>
  <si>
    <t>Src kinase-associated phosphoprotein 2</t>
  </si>
  <si>
    <t>Peptidoglycan recognition protein 1</t>
  </si>
  <si>
    <t>Protein CREG1</t>
  </si>
  <si>
    <t>TIP41-like protein</t>
  </si>
  <si>
    <t>Protein XRP2</t>
  </si>
  <si>
    <t>Carbonyl reductase [NADPH] 3</t>
  </si>
  <si>
    <t>Isocitrate dehydrogenase [NADP] cytoplasmic</t>
  </si>
  <si>
    <t>Isoform 3 of Attractin</t>
  </si>
  <si>
    <t>Signal transducing adapter molecule 2</t>
  </si>
  <si>
    <t>DnaJ homolog subfamily C member 8</t>
  </si>
  <si>
    <t>Carboxypeptidase D</t>
  </si>
  <si>
    <t>SAM and SH3 domain-containing protein 3</t>
  </si>
  <si>
    <t>Gamma-synuclein</t>
  </si>
  <si>
    <t>N(G),N(G)-dimethylarginine dimethylaminohydrolase 1</t>
  </si>
  <si>
    <t>Isoform 3 of Contactin-5</t>
  </si>
  <si>
    <t>Serine/threonine-protein kinase 10</t>
  </si>
  <si>
    <t>Proline synthase co-transcribed bacterial homolog protein</t>
  </si>
  <si>
    <t>Endonuclease domain-containing 1 protein</t>
  </si>
  <si>
    <t>Isoform 2 of HAUS augmin-like complex subunit 5</t>
  </si>
  <si>
    <t>SLIT and NTRK-like protein 5</t>
  </si>
  <si>
    <t>Sciellin</t>
  </si>
  <si>
    <t>Isoform 2 of Sciellin</t>
  </si>
  <si>
    <t>Starch-binding domain-containing protein 1</t>
  </si>
  <si>
    <t>Ly6/PLAUR domain-containing protein 3</t>
  </si>
  <si>
    <t>Vesicle-associated membrane protein-associated protein B/C</t>
  </si>
  <si>
    <t>6-phosphogluconolactonase</t>
  </si>
  <si>
    <t>Isoform 2 of Supervillin</t>
  </si>
  <si>
    <t>Formin-like protein 1</t>
  </si>
  <si>
    <t>NAD kinase</t>
  </si>
  <si>
    <t>STAM-binding protein</t>
  </si>
  <si>
    <t>Protein phosphatase 1 regulatory subunit 3D</t>
  </si>
  <si>
    <t>Ras-related protein Rab-3D</t>
  </si>
  <si>
    <t>Serine/threonine-protein kinase OSR1</t>
  </si>
  <si>
    <t>Isoform 7 of Polypyrimidine tract-binding protein 3</t>
  </si>
  <si>
    <t>Isoform B of AP-2 complex subunit alpha-1</t>
  </si>
  <si>
    <t>BAG family molecular chaperone regulator 3</t>
  </si>
  <si>
    <t>Angiopoietin-related protein 1</t>
  </si>
  <si>
    <t>N(G),N(G)-dimethylarginine dimethylaminohydrolase 2</t>
  </si>
  <si>
    <t>Thioredoxin domain-containing protein 12</t>
  </si>
  <si>
    <t>Diphosphoinositol polyphosphate phosphohydrolase 1</t>
  </si>
  <si>
    <t>L-lactate dehydrogenase A chain</t>
  </si>
  <si>
    <t>Retinal dehydrogenase 1</t>
  </si>
  <si>
    <t>Superoxide dismutase [Cu-Zn]</t>
  </si>
  <si>
    <t>Coagulation factor XIII A chain</t>
  </si>
  <si>
    <t>Hypoxanthine-guanine phosphoribosyltransferase</t>
  </si>
  <si>
    <t>Phosphoglycerate kinase 1</t>
  </si>
  <si>
    <t>Prothrombin</t>
  </si>
  <si>
    <t>Haptoglobin</t>
  </si>
  <si>
    <t>Haptoglobin-related protein</t>
  </si>
  <si>
    <t>Plasminogen</t>
  </si>
  <si>
    <t>Coagulation factor XII</t>
  </si>
  <si>
    <t>Adenosine deaminase</t>
  </si>
  <si>
    <t>Carbonic anhydrase 1</t>
  </si>
  <si>
    <t>Carbonic anhydrase 2</t>
  </si>
  <si>
    <t>Antithrombin-III</t>
  </si>
  <si>
    <t>Alpha-1-antitrypsin</t>
  </si>
  <si>
    <t>Angiotensinogen</t>
  </si>
  <si>
    <t>Alpha-2-macroglobulin</t>
  </si>
  <si>
    <t>Complement C3</t>
  </si>
  <si>
    <t>Complement C5</t>
  </si>
  <si>
    <t>Cystatin-C</t>
  </si>
  <si>
    <t>Cystatin-S</t>
  </si>
  <si>
    <t>Cystatin-SN</t>
  </si>
  <si>
    <t>Cystatin-A</t>
  </si>
  <si>
    <t>Isoform LMW of Kininogen-1</t>
  </si>
  <si>
    <t>Isoform 2B of GTPase KRas</t>
  </si>
  <si>
    <t>Isoform 2 of Pro-epidermal growth factor</t>
  </si>
  <si>
    <t>Insulin-like growth factor II</t>
  </si>
  <si>
    <t>Immunoglobulin J chain</t>
  </si>
  <si>
    <t>Ig kappa chain V-I region EU</t>
  </si>
  <si>
    <t>Ig kappa chain V-I region HK101 (Fragment)</t>
  </si>
  <si>
    <t>Ig kappa chain V-I region Ka</t>
  </si>
  <si>
    <t>Ig kappa chain V-I region Kue</t>
  </si>
  <si>
    <t>Ig kappa chain V-I region Wes</t>
  </si>
  <si>
    <t>Ig kappa chain V-I region Mev</t>
  </si>
  <si>
    <t>Ig kappa chain V-I region Ni</t>
  </si>
  <si>
    <t>Ig kappa chain V-II region TEW</t>
  </si>
  <si>
    <t>Ig kappa chain V-III region WOL</t>
  </si>
  <si>
    <t>Ig kappa chain V-III region POM</t>
  </si>
  <si>
    <t>Ig kappa chain V-IV region Len</t>
  </si>
  <si>
    <t>Ig lambda chain V-I region VOR</t>
  </si>
  <si>
    <t>Ig lambda chain V-I region HA</t>
  </si>
  <si>
    <t>Ig lambda chain V-I region NEW</t>
  </si>
  <si>
    <t>Ig lambda chain V-I region NIG-64</t>
  </si>
  <si>
    <t>Ig lambda chain V-III region SH</t>
  </si>
  <si>
    <t>Ig lambda chain V-IV region Hil</t>
  </si>
  <si>
    <t>Ig lambda chain V-V region DEL</t>
  </si>
  <si>
    <t>Ig heavy chain V-I region HG3</t>
  </si>
  <si>
    <t>Ig heavy chain V-III region VH26</t>
  </si>
  <si>
    <t>Ig heavy chain V-III region TIL</t>
  </si>
  <si>
    <t>Ig heavy chain V-III region BRO</t>
  </si>
  <si>
    <t>Ig heavy chain V-III region BUT</t>
  </si>
  <si>
    <t>Ig heavy chain V-III region HIL</t>
  </si>
  <si>
    <t>Ig heavy chain V-III region LAY</t>
  </si>
  <si>
    <t>Ig heavy chain V-III region ZAP</t>
  </si>
  <si>
    <t>Ig heavy chain V-III region TUR</t>
  </si>
  <si>
    <t>Ig heavy chain V-III region JON</t>
  </si>
  <si>
    <t>Ig heavy chain V-III region GAL</t>
  </si>
  <si>
    <t>Ig heavy chain V-II region WAH</t>
  </si>
  <si>
    <t>Polymeric immunoglobulin receptor</t>
  </si>
  <si>
    <t>Ig kappa chain C region</t>
  </si>
  <si>
    <t>Ig gamma-1 chain C region</t>
  </si>
  <si>
    <t>Ig gamma-2 chain C region</t>
  </si>
  <si>
    <t>Ig gamma-3 chain C region</t>
  </si>
  <si>
    <t>Ig gamma-4 chain C region</t>
  </si>
  <si>
    <t>Ig mu chain C region</t>
  </si>
  <si>
    <t>Ig alpha-1 chain C region</t>
  </si>
  <si>
    <t>Ig alpha-2 chain C region</t>
  </si>
  <si>
    <t>Ig delta chain C region</t>
  </si>
  <si>
    <t>Apolipoprotein A-I</t>
  </si>
  <si>
    <t>Apolipoprotein E</t>
  </si>
  <si>
    <t>Apolipoprotein A-II</t>
  </si>
  <si>
    <t>Isoform 2 of Fibrinogen alpha chain</t>
  </si>
  <si>
    <t>Fibrinogen beta chain</t>
  </si>
  <si>
    <t>Complement component C9</t>
  </si>
  <si>
    <t>Beta-2-glycoprotein 1</t>
  </si>
  <si>
    <t>Leucine-rich alpha-2-glycoprotein</t>
  </si>
  <si>
    <t>Isoform 10 of Fibronectin</t>
  </si>
  <si>
    <t>Protein AMBP</t>
  </si>
  <si>
    <t>Alpha-1-acid glycoprotein 1</t>
  </si>
  <si>
    <t>Transthyretin</t>
  </si>
  <si>
    <t>Serotransferrin</t>
  </si>
  <si>
    <t>Hemopexin</t>
  </si>
  <si>
    <t>Basic salivary proline-rich protein 2</t>
  </si>
  <si>
    <t>Submaxillary gland androgen-regulated protein 3B</t>
  </si>
  <si>
    <t>Angiogenin</t>
  </si>
  <si>
    <t>Antileukoproteinase</t>
  </si>
  <si>
    <t>C4b-binding protein alpha chain</t>
  </si>
  <si>
    <t>Vitronectin</t>
  </si>
  <si>
    <t>Catalase</t>
  </si>
  <si>
    <t>Tissue alpha-L-fucosidase</t>
  </si>
  <si>
    <t>Cystatin-B</t>
  </si>
  <si>
    <t>Annexin A1</t>
  </si>
  <si>
    <t>Apolipoprotein B-100</t>
  </si>
  <si>
    <t>Histidine-rich glycoprotein</t>
  </si>
  <si>
    <t>Ig lambda chain V-II region NIG-84</t>
  </si>
  <si>
    <t>Alpha-1B-glycoprotein</t>
  </si>
  <si>
    <t>Keratin, type II cytoskeletal 6B</t>
  </si>
  <si>
    <t>von Willebrand factor</t>
  </si>
  <si>
    <t>Semenogelin-1</t>
  </si>
  <si>
    <t>Glyceraldehyde-3-phosphate dehydrogenase</t>
  </si>
  <si>
    <t>Isoform 3 of Argininosuccinate lyase</t>
  </si>
  <si>
    <t>Ig kappa chain V-III region VG (Fragment)</t>
  </si>
  <si>
    <t>Ig heavy chain V-II region SESS</t>
  </si>
  <si>
    <t>Alpha-amylase 1</t>
  </si>
  <si>
    <t>Heat shock protein beta-1</t>
  </si>
  <si>
    <t>Isoform 3 of Arginase-1</t>
  </si>
  <si>
    <t>Aldehyde dehydrogenase, mitochondrial</t>
  </si>
  <si>
    <t>Integrin beta-2</t>
  </si>
  <si>
    <t>Protein S100-A8</t>
  </si>
  <si>
    <t>Plasminogen activator inhibitor 2</t>
  </si>
  <si>
    <t>ADP/ATP translocase 2</t>
  </si>
  <si>
    <t>Plasma serine protease inhibitor</t>
  </si>
  <si>
    <t>Coagulation factor XIII B chain</t>
  </si>
  <si>
    <t>Isoform H14 of Myeloperoxidase</t>
  </si>
  <si>
    <t>Non-histone chromosomal protein HMG-17</t>
  </si>
  <si>
    <t>Intercellular adhesion molecule 1</t>
  </si>
  <si>
    <t>60S acidic ribosomal protein P2</t>
  </si>
  <si>
    <t>Lupus La protein</t>
  </si>
  <si>
    <t>Thyroxine-binding globulin</t>
  </si>
  <si>
    <t>Heparin cofactor 2</t>
  </si>
  <si>
    <t>Beta-casein</t>
  </si>
  <si>
    <t>Isoform MLC3 of Myosin light chain 1/3, skeletal muscle isoform</t>
  </si>
  <si>
    <t>Alpha-galactosidase A</t>
  </si>
  <si>
    <t>Ig kappa chain V-II region RPMI 6410</t>
  </si>
  <si>
    <t>Ig heavy chain V-II region ARH-77</t>
  </si>
  <si>
    <t>Isoform 2 of Gelsolin</t>
  </si>
  <si>
    <t>Isoform 3 of Progesterone receptor</t>
  </si>
  <si>
    <t>Complement C2</t>
  </si>
  <si>
    <t>Protein S100-A9</t>
  </si>
  <si>
    <t>Apolipoprotein A-IV</t>
  </si>
  <si>
    <t>Alpha-enolase</t>
  </si>
  <si>
    <t>Isoform 2 of Glycogen phosphorylase, liver form</t>
  </si>
  <si>
    <t>Glucose-6-phosphate isomerase</t>
  </si>
  <si>
    <t>Isoform 3 of Nucleophosmin</t>
  </si>
  <si>
    <t>Isoform 2 of Tropomyosin alpha-3 chain</t>
  </si>
  <si>
    <t>Isoform 5 of Tropomyosin alpha-3 chain</t>
  </si>
  <si>
    <t>Acyl-CoA-binding protein</t>
  </si>
  <si>
    <t>L-lactate dehydrogenase B chain</t>
  </si>
  <si>
    <t>Glutathione peroxidase 1</t>
  </si>
  <si>
    <t>Vitamin K-dependent protein S</t>
  </si>
  <si>
    <t>Cathepsin D</t>
  </si>
  <si>
    <t>Complement component C8 alpha chain</t>
  </si>
  <si>
    <t>Complement component C8 gamma chain</t>
  </si>
  <si>
    <t>Calpain-1 catalytic subunit</t>
  </si>
  <si>
    <t>Involucrin</t>
  </si>
  <si>
    <t>Decorin</t>
  </si>
  <si>
    <t>Beta-hexosaminidase subunit beta</t>
  </si>
  <si>
    <t>Cathepsin L1</t>
  </si>
  <si>
    <t>Profilin-1</t>
  </si>
  <si>
    <t>Bisphosphoglycerate mutase</t>
  </si>
  <si>
    <t>Bifunctional glutamate/proline--tRNA ligase</t>
  </si>
  <si>
    <t>Cathepsin B</t>
  </si>
  <si>
    <t>Heat shock protein HSP 90-alpha</t>
  </si>
  <si>
    <t>Isoform 2 of Tyrosine-protein kinase Lyn</t>
  </si>
  <si>
    <t>Isoform Cytoplasmic of Fumarate hydratase, mitochondrial</t>
  </si>
  <si>
    <t>Ribonuclease pancreatic</t>
  </si>
  <si>
    <t>Heat shock 70 kDa protein 1A/1B</t>
  </si>
  <si>
    <t>Beta-microseminoprotein</t>
  </si>
  <si>
    <t>Corticosteroid-binding globulin</t>
  </si>
  <si>
    <t>Heat shock protein HSP 90-beta</t>
  </si>
  <si>
    <t>Isoform 2 of Signal recognition particle receptor subunit alpha</t>
  </si>
  <si>
    <t>Neutrophil elastase</t>
  </si>
  <si>
    <t>Extracellular superoxide dismutase [Cu-Zn]</t>
  </si>
  <si>
    <t>Cathepsin G</t>
  </si>
  <si>
    <t>Matrix Gla protein</t>
  </si>
  <si>
    <t>Pleckstrin</t>
  </si>
  <si>
    <t>Monocyte differentiation antigen CD14</t>
  </si>
  <si>
    <t>Melanotransferrin</t>
  </si>
  <si>
    <t>Complement factor H</t>
  </si>
  <si>
    <t>Vimentin</t>
  </si>
  <si>
    <t>Alpha-2-antiplasmin</t>
  </si>
  <si>
    <t>Guanine nucleotide-binding protein G(k) subunit alpha</t>
  </si>
  <si>
    <t>Cystatin-SA</t>
  </si>
  <si>
    <t>Growth-regulated alpha protein</t>
  </si>
  <si>
    <t>Galectin-1</t>
  </si>
  <si>
    <t>High mobility group protein B1</t>
  </si>
  <si>
    <t>Fructose-1,6-bisphosphatase 1</t>
  </si>
  <si>
    <t>Isoform Non-brain of Clathrin light chain B</t>
  </si>
  <si>
    <t>Inhibin beta B chain</t>
  </si>
  <si>
    <t>Pro-cathepsin H</t>
  </si>
  <si>
    <t>Tumor-associated calcium signal transducer 2</t>
  </si>
  <si>
    <t>Complement C1s subcomponent</t>
  </si>
  <si>
    <t>Furin</t>
  </si>
  <si>
    <t>Leukotriene A-4 hydrolase</t>
  </si>
  <si>
    <t>Complement C4-A</t>
  </si>
  <si>
    <t>Complement C4-B</t>
  </si>
  <si>
    <t>Ig lambda-2 chain C regions</t>
  </si>
  <si>
    <t>Ig lambda-3 chain C regions</t>
  </si>
  <si>
    <t>Chromosome transmission fidelity protein 8 homolog isoform 2</t>
  </si>
  <si>
    <t>Serum amyloid A-1 protein</t>
  </si>
  <si>
    <t>Non-secretory ribonuclease</t>
  </si>
  <si>
    <t>Isoform Short of 60 kDa SS-A/Ro ribonucleoprotein</t>
  </si>
  <si>
    <t>Lysosomal alpha-glucosidase</t>
  </si>
  <si>
    <t>Histone H1.4</t>
  </si>
  <si>
    <t>Isoform 5 of Osteopontin</t>
  </si>
  <si>
    <t>Isoform 2 of Receptor-type tyrosine-protein phosphatase F</t>
  </si>
  <si>
    <t>Thioredoxin</t>
  </si>
  <si>
    <t>Cytochrome c oxidase subunit 5B, mitochondrial</t>
  </si>
  <si>
    <t>Complement component C7</t>
  </si>
  <si>
    <t>cAMP-dependent protein kinase type I-alpha regulatory subunit</t>
  </si>
  <si>
    <t>60 kDa heat shock protein, mitochondrial</t>
  </si>
  <si>
    <t>Isoform 4 of Clusterin</t>
  </si>
  <si>
    <t>78 kDa glucose-regulated protein</t>
  </si>
  <si>
    <t>Laminin subunit gamma-1</t>
  </si>
  <si>
    <t>Heat shock cognate 71 kDa protein</t>
  </si>
  <si>
    <t>Isoform 6 of Protein 4.1</t>
  </si>
  <si>
    <t>Isoform 2 of Uridine 5-monophosphate synthase</t>
  </si>
  <si>
    <t>Integrin alpha-M</t>
  </si>
  <si>
    <t>Glycogen phosphorylase, brain form</t>
  </si>
  <si>
    <t>Lysosome-associated membrane glycoprotein 1</t>
  </si>
  <si>
    <t>Glucose-6-phosphate 1-dehydrogenase</t>
  </si>
  <si>
    <t>Cation-independent mannose-6-phosphate receptor</t>
  </si>
  <si>
    <t>Proliferating cell nuclear antigen</t>
  </si>
  <si>
    <t>Collagen alpha-1(VI) chain</t>
  </si>
  <si>
    <t>Isoform 2C2A of Collagen alpha-2(VI) chain</t>
  </si>
  <si>
    <t>Prolactin-inducible protein</t>
  </si>
  <si>
    <t>Bone morphogenetic protein 3</t>
  </si>
  <si>
    <t>Eosinophil cationic protein</t>
  </si>
  <si>
    <t>Isoform 2 of Alpha-actinin-1</t>
  </si>
  <si>
    <t>Cadherin-1</t>
  </si>
  <si>
    <t>X-ray repair cross-complementing protein 5</t>
  </si>
  <si>
    <t>Gamma-interferon-inducible lysosomal thiol reductase</t>
  </si>
  <si>
    <t>Ribonuclease inhibitor</t>
  </si>
  <si>
    <t>Cytochrome b-245 light chain</t>
  </si>
  <si>
    <t>Elongation factor 2</t>
  </si>
  <si>
    <t>Protein disulfide-isomerase A4</t>
  </si>
  <si>
    <t>Complement component C6</t>
  </si>
  <si>
    <t>Plastin-2</t>
  </si>
  <si>
    <t>Isoform Short of Endothelin-3</t>
  </si>
  <si>
    <t>L-selectin</t>
  </si>
  <si>
    <t>Macrophage migration inhibitory factor</t>
  </si>
  <si>
    <t>Hematopoietic lineage cell-specific protein</t>
  </si>
  <si>
    <t>Isoform 2 of Farnesyl pyrophosphate synthase</t>
  </si>
  <si>
    <t>Alcohol dehydrogenase [NADP(+)]</t>
  </si>
  <si>
    <t>Phospholipase A2, membrane associated</t>
  </si>
  <si>
    <t>Pyruvate kinase isozymes M1/M2</t>
  </si>
  <si>
    <t>Isoform M1 of Pyruvate kinase isozymes M1/M2</t>
  </si>
  <si>
    <t>Endoplasmin</t>
  </si>
  <si>
    <t>Insulin-degrading enzyme</t>
  </si>
  <si>
    <t>Matrix metalloproteinase-9</t>
  </si>
  <si>
    <t>Cytochrome c oxidase subunit 6B1</t>
  </si>
  <si>
    <t>Glutamine synthetase</t>
  </si>
  <si>
    <t>Aminopeptidase N</t>
  </si>
  <si>
    <t>Isoform Gamma of Poliovirus receptor</t>
  </si>
  <si>
    <t>Ras-related C3 botulinum toxin substrate 2</t>
  </si>
  <si>
    <t>Arylsulfatase A</t>
  </si>
  <si>
    <t>Prostatic acid phosphatase</t>
  </si>
  <si>
    <t>Ezrin</t>
  </si>
  <si>
    <t>Folate receptor alpha</t>
  </si>
  <si>
    <t>Histatin-1</t>
  </si>
  <si>
    <t>Histatin-3</t>
  </si>
  <si>
    <t>Nucleoside diphosphate kinase A</t>
  </si>
  <si>
    <t>Arylsulfatase B</t>
  </si>
  <si>
    <t>Desmoplakin</t>
  </si>
  <si>
    <t>Metalloproteinase inhibitor 2</t>
  </si>
  <si>
    <t>Carbonyl reductase [NADPH] 1</t>
  </si>
  <si>
    <t>Isoform Delta13 of Platelet endothelial cell adhesion molecule</t>
  </si>
  <si>
    <t>Serine/threonine-protein phosphatase 2B catalytic subunit beta isoform</t>
  </si>
  <si>
    <t>Cytoplasmic protein NCK1</t>
  </si>
  <si>
    <t>Histone H1.5</t>
  </si>
  <si>
    <t>Cysteine-rich secretory protein 2</t>
  </si>
  <si>
    <t>Isoform 2 of Carboxypeptidase E</t>
  </si>
  <si>
    <t>Isoform 2 of Y-box-binding protein 3</t>
  </si>
  <si>
    <t>Alpha-N-acetylgalactosaminidase</t>
  </si>
  <si>
    <t>Heat shock 70 kDa protein 6</t>
  </si>
  <si>
    <t>Isoform HMG-Y of High mobility group protein HMG-I/HMG-Y</t>
  </si>
  <si>
    <t>Aspartate aminotransferase, cytoplasmic</t>
  </si>
  <si>
    <t>Bactericidal permeability-increasing protein</t>
  </si>
  <si>
    <t>6-phosphofructokinase, liver type</t>
  </si>
  <si>
    <t>Ganglioside GM2 activator</t>
  </si>
  <si>
    <t>Galectin-3</t>
  </si>
  <si>
    <t>Insulin-like growth factor-binding protein 3</t>
  </si>
  <si>
    <t>T-complex protein 1 subunit alpha</t>
  </si>
  <si>
    <t>Insulin-like growth factor-binding protein 2</t>
  </si>
  <si>
    <t>60S ribosomal protein L7</t>
  </si>
  <si>
    <t>Isoform 1 of Vinculin</t>
  </si>
  <si>
    <t>Isoform 4 of Interleukin-1 receptor antagonist protein</t>
  </si>
  <si>
    <t>Phosphoglycerate mutase 1</t>
  </si>
  <si>
    <t>Isoform 2 of Peptidyl-glycine alpha-amidating monooxygenase</t>
  </si>
  <si>
    <t>Isoform 3 of Vascular cell adhesion protein 1</t>
  </si>
  <si>
    <t>Nucleolin</t>
  </si>
  <si>
    <t>TFIIH basal transcription factor complex helicase XPB subunit</t>
  </si>
  <si>
    <t>Isoform 2 of Interferon-induced, double-stranded RNA-activated protein kinase</t>
  </si>
  <si>
    <t>Alpha-1-acid glycoprotein 2</t>
  </si>
  <si>
    <t>Inter-alpha-trypsin inhibitor heavy chain H1</t>
  </si>
  <si>
    <t>Bile salt-activated lipase</t>
  </si>
  <si>
    <t>Isoform 3 of Neutrophil cytosol factor 2</t>
  </si>
  <si>
    <t>Elafin</t>
  </si>
  <si>
    <t>Alpha-amylase 2B</t>
  </si>
  <si>
    <t>Transcobalamin-1</t>
  </si>
  <si>
    <t>Azurocidin</t>
  </si>
  <si>
    <t>Proteasome subunit beta type-1</t>
  </si>
  <si>
    <t>Lamin-B1</t>
  </si>
  <si>
    <t>Ephrin-A1</t>
  </si>
  <si>
    <t>N(4)-(beta-N-acetylglucosaminyl)-L-asparaginase</t>
  </si>
  <si>
    <t>Isoform 3 of Poly(U)-specific endoribonuclease</t>
  </si>
  <si>
    <t>V-type proton ATPase subunit B, brain isoform</t>
  </si>
  <si>
    <t>Isoform 2 of Filamin-A</t>
  </si>
  <si>
    <t>Ephrin type-A receptor 1</t>
  </si>
  <si>
    <t>Isoform Soluble of Catechol O-methyltransferase</t>
  </si>
  <si>
    <t>Lactoperoxidase</t>
  </si>
  <si>
    <t>Trifunctional purine biosynthetic protein adenosine-3</t>
  </si>
  <si>
    <t>Ubiquitin-like modifier-activating enzyme 1</t>
  </si>
  <si>
    <t>Glutathione peroxidase 3</t>
  </si>
  <si>
    <t>Cornifin-B</t>
  </si>
  <si>
    <t>Small proline-rich protein 2E</t>
  </si>
  <si>
    <t>Small proline-rich protein 2D</t>
  </si>
  <si>
    <t>Heterogeneous nuclear ribonucleoproteins A2/B1</t>
  </si>
  <si>
    <t>Isoform 10 of cAMP-dependent protein kinase catalytic subunit beta</t>
  </si>
  <si>
    <t>Protein-glutamine gamma-glutamyltransferase K</t>
  </si>
  <si>
    <t>Carbonic anhydrase 4</t>
  </si>
  <si>
    <t>Carboxypeptidase N subunit 2</t>
  </si>
  <si>
    <t>Vitamin K-dependent protein Z</t>
  </si>
  <si>
    <t>Neutrophil collagenase</t>
  </si>
  <si>
    <t>Ig heavy chain V-I region V35</t>
  </si>
  <si>
    <t>Isoform 3 of Liver carboxylesterase 1</t>
  </si>
  <si>
    <t>Fibulin-1</t>
  </si>
  <si>
    <t>Splicing factor, proline- and glutamine-rich</t>
  </si>
  <si>
    <t>Isoform 2 of Carbonic anhydrase 6</t>
  </si>
  <si>
    <t>Peptidyl-prolyl cis-trans isomerase B</t>
  </si>
  <si>
    <t>NAD-dependent malic enzyme, mitochondrial</t>
  </si>
  <si>
    <t>Tryptophan--tRNA ligase, cytoplasmic</t>
  </si>
  <si>
    <t>40S ribosomal protein S3</t>
  </si>
  <si>
    <t>Isoform 2 of Receptor-type tyrosine-protein phosphatase gamma</t>
  </si>
  <si>
    <t>Adenosylhomocysteinase</t>
  </si>
  <si>
    <t>Cofilin-1</t>
  </si>
  <si>
    <t>Carnitine O-palmitoyltransferase 2, mitochondrial</t>
  </si>
  <si>
    <t>Isoform U10 of Immunoglobulin alpha Fc receptor</t>
  </si>
  <si>
    <t>Myeloblastin</t>
  </si>
  <si>
    <t>Elongation factor 1-beta</t>
  </si>
  <si>
    <t>Insulin-like growth factor-binding protein 5</t>
  </si>
  <si>
    <t>Deoxyribonuclease-1</t>
  </si>
  <si>
    <t>Beta-adrenergic receptor kinase 1</t>
  </si>
  <si>
    <t>3-mercaptopyruvate sulfurtransferase</t>
  </si>
  <si>
    <t>40S ribosomal protein S12</t>
  </si>
  <si>
    <t>DnaJ homolog subfamily B member 1</t>
  </si>
  <si>
    <t>Isoform 2 of ATP synthase subunit alpha, mitochondrial</t>
  </si>
  <si>
    <t>Cathepsin S</t>
  </si>
  <si>
    <t>Proteasome subunit alpha type-1</t>
  </si>
  <si>
    <t>Isoform 2 of Proteasome subunit alpha type-3</t>
  </si>
  <si>
    <t>Protein S100-P</t>
  </si>
  <si>
    <t>Moesin</t>
  </si>
  <si>
    <t>Protein S100-A4</t>
  </si>
  <si>
    <t>Alpha-1,3-mannosyl-glycoprotein 2-beta-N-acetylglucosaminyltransferase</t>
  </si>
  <si>
    <t>High mobility group protein B2</t>
  </si>
  <si>
    <t>Threonine--tRNA ligase, cytoplasmic</t>
  </si>
  <si>
    <t>Elongation factor 1-gamma</t>
  </si>
  <si>
    <t>Peptidyl-prolyl cis-trans isomerase FKBP2</t>
  </si>
  <si>
    <t>Erythrocyte band 7 integral membrane protein</t>
  </si>
  <si>
    <t>Serum paraoxonase/arylesterase 1</t>
  </si>
  <si>
    <t>14-3-3 protein theta</t>
  </si>
  <si>
    <t>G0/G1 switch protein 2</t>
  </si>
  <si>
    <t>Calmodulin-like protein 3</t>
  </si>
  <si>
    <t>Dipeptidyl peptidase 4</t>
  </si>
  <si>
    <t>Calreticulin</t>
  </si>
  <si>
    <t>Calnexin</t>
  </si>
  <si>
    <t>Properdin</t>
  </si>
  <si>
    <t>Proteasome subunit alpha type-5</t>
  </si>
  <si>
    <t>Proteasome subunit beta type-4</t>
  </si>
  <si>
    <t>Proteasome subunit beta type-6</t>
  </si>
  <si>
    <t>Cystatin-D</t>
  </si>
  <si>
    <t>Granulins</t>
  </si>
  <si>
    <t>Isoform 2 of Cytosol aminopeptidase</t>
  </si>
  <si>
    <t>Isoform Short of Tumor necrosis factor receptor superfamily member 8</t>
  </si>
  <si>
    <t>Protein S100-A2</t>
  </si>
  <si>
    <t>Inositol monophosphatase 1</t>
  </si>
  <si>
    <t>Isoform 2 of Connective tissue growth factor</t>
  </si>
  <si>
    <t>Ephrin type-A receptor 2</t>
  </si>
  <si>
    <t>Tyrosine-protein phosphatase non-receptor type 6</t>
  </si>
  <si>
    <t>Isoform 5 of SHC-transforming protein 1</t>
  </si>
  <si>
    <t>Cellular retinoic acid-binding protein 2</t>
  </si>
  <si>
    <t>Collagen alpha-5(IV) chain</t>
  </si>
  <si>
    <t>Transketolase</t>
  </si>
  <si>
    <t>Serpin B3</t>
  </si>
  <si>
    <t>Myristoylated alanine-rich C-kinase substrate</t>
  </si>
  <si>
    <t>Endoplasmic reticulum resident protein 29</t>
  </si>
  <si>
    <t>Peroxiredoxin-6</t>
  </si>
  <si>
    <t>Flavin reductase (NADPH)</t>
  </si>
  <si>
    <t>Isoform Cytoplasmic+peroxisomal of Peroxiredoxin-5, mitochondrial</t>
  </si>
  <si>
    <t>ATP synthase subunit delta, mitochondrial</t>
  </si>
  <si>
    <t>60S ribosomal protein L12</t>
  </si>
  <si>
    <t>Phosphatidylethanolamine-binding protein 1</t>
  </si>
  <si>
    <t>High affinity immunoglobulin epsilon receptor subunit gamma</t>
  </si>
  <si>
    <t>Isoform Short of Glycylpeptide N-tetradecanoyltransferase 1</t>
  </si>
  <si>
    <t>Adenylosuccinate synthetase isozyme 2</t>
  </si>
  <si>
    <t>Alpha-2-macroglobulin receptor-associated protein</t>
  </si>
  <si>
    <t>Isoform 3 of CAP-Gly domain-containing linker protein 1</t>
  </si>
  <si>
    <t>Leukocyte elastase inhibitor</t>
  </si>
  <si>
    <t>Lipocalin-1</t>
  </si>
  <si>
    <t>Coronin-1A</t>
  </si>
  <si>
    <t>Rab GDP dissociation inhibitor alpha</t>
  </si>
  <si>
    <t>Protein S100-A7</t>
  </si>
  <si>
    <t>Isoform 3 of Heterogeneous nuclear ribonucleoprotein H3</t>
  </si>
  <si>
    <t>Caspase-14</t>
  </si>
  <si>
    <t>Isoform Short of 14-3-3 protein beta/alpha</t>
  </si>
  <si>
    <t>14-3-3 protein sigma</t>
  </si>
  <si>
    <t>Stress-induced-phosphoprotein 1</t>
  </si>
  <si>
    <t>Protein S100-A11</t>
  </si>
  <si>
    <t>Carcinoembryonic antigen-related cell adhesion molecule 8</t>
  </si>
  <si>
    <t>Peroxiredoxin-2</t>
  </si>
  <si>
    <t>Cytidine deaminase</t>
  </si>
  <si>
    <t>Interferon-induced guanylate-binding protein 1</t>
  </si>
  <si>
    <t>Desmoglein-3</t>
  </si>
  <si>
    <t>Kinesin-1 heavy chain</t>
  </si>
  <si>
    <t>Lymphocyte-specific protein 1</t>
  </si>
  <si>
    <t>Mannosyl-oligosaccharide 1,2-alpha-mannosidase IA</t>
  </si>
  <si>
    <t>Ribonuclease 4</t>
  </si>
  <si>
    <t>Protein EVI2B</t>
  </si>
  <si>
    <t>Heat shock 70 kDa protein 4</t>
  </si>
  <si>
    <t>Glypican-1</t>
  </si>
  <si>
    <t>Serpin B6</t>
  </si>
  <si>
    <t>Radixin</t>
  </si>
  <si>
    <t>Cornifin-A</t>
  </si>
  <si>
    <t>Small proline-rich protein 2B</t>
  </si>
  <si>
    <t>Small proline-rich protein 2A</t>
  </si>
  <si>
    <t>Myosin-9</t>
  </si>
  <si>
    <t>Isoform 2 of Nuclear pore complex protein Nup214</t>
  </si>
  <si>
    <t>Glutaredoxin-1</t>
  </si>
  <si>
    <t>Insulin-like growth factor-binding protein complex acid labile subunit</t>
  </si>
  <si>
    <t>26S protease regulatory subunit 7</t>
  </si>
  <si>
    <t>Chitinase-3-like protein 1</t>
  </si>
  <si>
    <t>Isoform p18 of 7,8-dihydro-8-oxoguanine triphosphatase</t>
  </si>
  <si>
    <t>Phosphoglucomutase-1</t>
  </si>
  <si>
    <t>Serpin B5</t>
  </si>
  <si>
    <t>Pigment epithelium-derived factor</t>
  </si>
  <si>
    <t>Isoform Short of Complement factor H-related protein 2</t>
  </si>
  <si>
    <t>Transgelin-2</t>
  </si>
  <si>
    <t>Transaldolase</t>
  </si>
  <si>
    <t>Electron transfer flavoprotein subunit beta</t>
  </si>
  <si>
    <t>Stress-70 protein, mitochondrial</t>
  </si>
  <si>
    <t>Isoform 2 of Macrophage-capping protein</t>
  </si>
  <si>
    <t>Interleukin-6 receptor subunit beta</t>
  </si>
  <si>
    <t>Alcohol dehydrogenase class 4 mu/sigma chain</t>
  </si>
  <si>
    <t>Isoform 2 of Malate dehydrogenase, cytoplasmic</t>
  </si>
  <si>
    <t>Malate dehydrogenase, mitochondrial</t>
  </si>
  <si>
    <t>Eukaryotic translation initiation factor 2 subunit 3</t>
  </si>
  <si>
    <t>Myeloid cell nuclear differentiation antigen</t>
  </si>
  <si>
    <t>Ubiquitin-like modifier-activating enzyme 7</t>
  </si>
  <si>
    <t>Tyrosine-protein kinase CSK</t>
  </si>
  <si>
    <t>Glycine--tRNA ligase</t>
  </si>
  <si>
    <t>Wiskott-Aldrich syndrome protein</t>
  </si>
  <si>
    <t>Lysosomal Pro-X carboxypeptidase</t>
  </si>
  <si>
    <t>C-X-C motif chemokine 5</t>
  </si>
  <si>
    <t>Platelet-activating factor acetylhydrolase IB subunit alpha</t>
  </si>
  <si>
    <t>Cell surface glycoprotein MUC18</t>
  </si>
  <si>
    <t>Isoform GRK6B of G protein-coupled receptor kinase 6</t>
  </si>
  <si>
    <t>Isoform Short of Tyrosine-protein kinase SYK</t>
  </si>
  <si>
    <t>Nicotinamide phosphoribosyltransferase</t>
  </si>
  <si>
    <t>Afamin</t>
  </si>
  <si>
    <t>26S protease regulatory subunit 6B</t>
  </si>
  <si>
    <t>Peptidyl-prolyl cis-trans isomerase C</t>
  </si>
  <si>
    <t>Isoform Short of Ubiquitin carboxyl-terminal hydrolase 5</t>
  </si>
  <si>
    <t>Crk-like protein</t>
  </si>
  <si>
    <t>40S ribosomal protein S9</t>
  </si>
  <si>
    <t>40S ribosomal protein S10</t>
  </si>
  <si>
    <t>Ras GTPase-activating-like protein IQGAP1</t>
  </si>
  <si>
    <t>Isoform GN-1 of Glycogenin-1</t>
  </si>
  <si>
    <t>F-actin-capping protein subunit alpha-2</t>
  </si>
  <si>
    <t>60S ribosomal protein L29</t>
  </si>
  <si>
    <t>Galectin-7</t>
  </si>
  <si>
    <t>Prolyl endopeptidase</t>
  </si>
  <si>
    <t>NADP-dependent malic enzyme</t>
  </si>
  <si>
    <t>Glutamate--cysteine ligase regulatory subunit</t>
  </si>
  <si>
    <t>Serpin B4</t>
  </si>
  <si>
    <t>Serpin B10</t>
  </si>
  <si>
    <t>Isoform 4 of Protein PRRC2A</t>
  </si>
  <si>
    <t>Glutathione synthetase</t>
  </si>
  <si>
    <t>Heat shock 70 kDa protein 13</t>
  </si>
  <si>
    <t>MARCKS-related protein</t>
  </si>
  <si>
    <t>MAP kinase-activated protein kinase 2</t>
  </si>
  <si>
    <t>4-trimethylaminobutyraldehyde dehydrogenase</t>
  </si>
  <si>
    <t>Ribose-5-phosphate isomerase</t>
  </si>
  <si>
    <t>Protein ERGIC-53</t>
  </si>
  <si>
    <t>Isoform 3 of Nuclear autoantigenic sperm protein</t>
  </si>
  <si>
    <t>Fatty acid synthase</t>
  </si>
  <si>
    <t>Elongation factor Tu, mitochondrial</t>
  </si>
  <si>
    <t>Transmembrane emp24 domain-containing protein 10</t>
  </si>
  <si>
    <t>Histidine triad nucleotide-binding protein 1</t>
  </si>
  <si>
    <t>Isoform 1 of Retinoic acid receptor responder protein 1</t>
  </si>
  <si>
    <t>Serpin B8</t>
  </si>
  <si>
    <t>Serpin B9</t>
  </si>
  <si>
    <t>Vasodilator-stimulated phosphoprotein</t>
  </si>
  <si>
    <t>Tumor necrosis factor ligand superfamily member 10</t>
  </si>
  <si>
    <t>Ras association domain-containing protein 2</t>
  </si>
  <si>
    <t>Isoform 2 of T-complex protein 1 subunit delta</t>
  </si>
  <si>
    <t>Ras-related protein Rab-7a</t>
  </si>
  <si>
    <t>Ras-related protein Rab-9A</t>
  </si>
  <si>
    <t>B-cell receptor-associated protein 31</t>
  </si>
  <si>
    <t>Thiopurine S-methyltransferase</t>
  </si>
  <si>
    <t>Hepatoma-derived growth factor</t>
  </si>
  <si>
    <t>Lumican</t>
  </si>
  <si>
    <t>Heterogeneous nuclear ribonucleoprotein A3</t>
  </si>
  <si>
    <t>Alpha-(1,3)-fucosyltransferase</t>
  </si>
  <si>
    <t>Rho GDP-dissociation inhibitor 1</t>
  </si>
  <si>
    <t>Rho GDP-dissociation inhibitor 2</t>
  </si>
  <si>
    <t>Heterogeneous nuclear ribonucleoprotein F</t>
  </si>
  <si>
    <t>Hexokinase-3</t>
  </si>
  <si>
    <t>Ephrin-B2</t>
  </si>
  <si>
    <t>F-actin-capping protein subunit alpha-1</t>
  </si>
  <si>
    <t>Biliverdin reductase A</t>
  </si>
  <si>
    <t>Arfaptin-1</t>
  </si>
  <si>
    <t>Succinyl-CoA ligase [ADP/GDP-forming] subunit alpha, mitochondrial</t>
  </si>
  <si>
    <t>Dipeptidyl peptidase 1</t>
  </si>
  <si>
    <t>Activated RNA polymerase II transcriptional coactivator p15</t>
  </si>
  <si>
    <t>Tyrosine--tRNA ligase, cytoplasmic</t>
  </si>
  <si>
    <t>Isoform 2 of Sodium/potassium-transporting ATPase subunit gamma</t>
  </si>
  <si>
    <t>UV excision repair protein RAD23 homolog B</t>
  </si>
  <si>
    <t>Ephrin type-B receptor 3</t>
  </si>
  <si>
    <t>Alpha-N-acetylglucosaminidase</t>
  </si>
  <si>
    <t>Secreted Ly-6/uPAR-related protein 1</t>
  </si>
  <si>
    <t>Transitional endoplasmic reticulum ATPase</t>
  </si>
  <si>
    <t>Mesencephalic astrocyte-derived neurotrophic factor</t>
  </si>
  <si>
    <t>Isoform 3 of Adenosine kinase</t>
  </si>
  <si>
    <t>Laminin subunit beta-2</t>
  </si>
  <si>
    <t>Cyclin-dependent kinase 4 inhibitor D</t>
  </si>
  <si>
    <t>Cadherin-13</t>
  </si>
  <si>
    <t>Eukaryotic translation initiation factor 3 subunit B</t>
  </si>
  <si>
    <t>BH3-interacting domain death agonist</t>
  </si>
  <si>
    <t>Eukaryotic translation initiation factor 6</t>
  </si>
  <si>
    <t>Ras-related protein Rab-25</t>
  </si>
  <si>
    <t>Epiplakin</t>
  </si>
  <si>
    <t>Myotrophin</t>
  </si>
  <si>
    <t>Neutrophil defensin 3</t>
  </si>
  <si>
    <t>Beta-defensin 1</t>
  </si>
  <si>
    <t>Isoform 2 of Triosephosphate isomerase</t>
  </si>
  <si>
    <t>Eukaryotic initiation factor 4A-I</t>
  </si>
  <si>
    <t>40S ribosomal protein S20</t>
  </si>
  <si>
    <t>Cell division control protein 42 homolog</t>
  </si>
  <si>
    <t>Isoform 2 of Destrin</t>
  </si>
  <si>
    <t>Ras-related protein Rab-8A</t>
  </si>
  <si>
    <t>Isoform 2 of Ras-related protein Rab-2A</t>
  </si>
  <si>
    <t>Ras-related protein Rab-5B</t>
  </si>
  <si>
    <t>Ras-related protein Rab-10</t>
  </si>
  <si>
    <t>Ubiquitin-conjugating enzyme E2 D3</t>
  </si>
  <si>
    <t>Ubiquitin-conjugating enzyme E2 N</t>
  </si>
  <si>
    <t>Ras-related protein Rab-14</t>
  </si>
  <si>
    <t>Actin-related protein 3</t>
  </si>
  <si>
    <t>Pterin-4-alpha-carbinolamine dehydratase</t>
  </si>
  <si>
    <t>Transforming protein RhoA</t>
  </si>
  <si>
    <t>Lysozyme C</t>
  </si>
  <si>
    <t>Nuclear transport factor 2</t>
  </si>
  <si>
    <t>14-3-3 protein gamma</t>
  </si>
  <si>
    <t>Serine/threonine-protein phosphatase PP1-alpha catalytic subunit</t>
  </si>
  <si>
    <t>14-3-3 protein epsilon</t>
  </si>
  <si>
    <t>40S ribosomal protein S14</t>
  </si>
  <si>
    <t>40S ribosomal protein S18</t>
  </si>
  <si>
    <t>Thymosin beta-4</t>
  </si>
  <si>
    <t>26S protease regulatory subunit 10B</t>
  </si>
  <si>
    <t>Histone H4</t>
  </si>
  <si>
    <t>40S ribosomal protein S25</t>
  </si>
  <si>
    <t>40S ribosomal protein S28</t>
  </si>
  <si>
    <t>60S ribosomal protein L10a</t>
  </si>
  <si>
    <t>Peptidyl-prolyl cis-trans isomerase A</t>
  </si>
  <si>
    <t>Peptidyl-prolyl cis-trans isomerase FKBP1A</t>
  </si>
  <si>
    <t>Growth factor receptor-bound protein 2</t>
  </si>
  <si>
    <t>Ras-related C3 botulinum toxin substrate 1</t>
  </si>
  <si>
    <t>14-3-3 protein zeta/delta</t>
  </si>
  <si>
    <t>Actin, cytoplasmic 2</t>
  </si>
  <si>
    <t>Actin, gamma-enteric smooth muscle</t>
  </si>
  <si>
    <t>Thymosin beta-10</t>
  </si>
  <si>
    <t>Tropomyosin alpha-4 chain</t>
  </si>
  <si>
    <t>Isoform 2 of Tropomyosin alpha-4 chain</t>
  </si>
  <si>
    <t>Isoform 2 of Ubiquitin-conjugating enzyme E2 L3</t>
  </si>
  <si>
    <t>Tubulin beta-4B chain</t>
  </si>
  <si>
    <t>Hemoglobin subunit beta</t>
  </si>
  <si>
    <t>Hemoglobin subunit alpha</t>
  </si>
  <si>
    <t>Tyrosine-protein phosphatase non-receptor type substrate 1</t>
  </si>
  <si>
    <t>Glutathione S-transferase omega-1</t>
  </si>
  <si>
    <t>Phosphatidylinositol-glycan-specific phospholipase D</t>
  </si>
  <si>
    <t>Nucleobindin-2</t>
  </si>
  <si>
    <t>Ig kappa chain V-I region WAT</t>
  </si>
  <si>
    <t>Ig heavy chain V-III region GAR</t>
  </si>
  <si>
    <t>Protein S100-A12</t>
  </si>
  <si>
    <t>Brain acid soluble protein 1</t>
  </si>
  <si>
    <t>Ig lambda chain V-III region LOI</t>
  </si>
  <si>
    <t>Beta-defensin 103</t>
  </si>
  <si>
    <t>Dermcidin</t>
  </si>
  <si>
    <t>Enhancer of rudimentary homolog</t>
  </si>
  <si>
    <t>Rho-related GTP-binding protein RhoG</t>
  </si>
  <si>
    <t>Basement membrane-specific heparan sulfate proteoglycan core protein</t>
  </si>
  <si>
    <t>Ephrin-B1</t>
  </si>
  <si>
    <t>Isoform 2 of Clathrin heavy chain 1</t>
  </si>
  <si>
    <t>Peptidyl-prolyl cis-trans isomerase FKBP3</t>
  </si>
  <si>
    <t>Isoform Short of Heterogeneous nuclear ribonucleoprotein U</t>
  </si>
  <si>
    <t>Spectrin beta chain, non-erythrocytic 1</t>
  </si>
  <si>
    <t>Isoform 3 of Protein SET</t>
  </si>
  <si>
    <t>Di-N-acetylchitobiase</t>
  </si>
  <si>
    <t>Isoform 2 of Adenylyl cyclase-associated protein 1</t>
  </si>
  <si>
    <t>Hydroxymethylglutaryl-CoA synthase, cytoplasmic</t>
  </si>
  <si>
    <t>Semenogelin-2</t>
  </si>
  <si>
    <t>Desmoglein-1</t>
  </si>
  <si>
    <t>Isoform 2B of Desmocollin-2</t>
  </si>
  <si>
    <t>Beta-1,3-galactosyl-O-glycosyl-glycoprotein beta-1,6-N-acetylglucosaminyltransferase</t>
  </si>
  <si>
    <t>Isoform 2 of Dual specificity mitogen-activated protein kinase kinase 1</t>
  </si>
  <si>
    <t>Peptidyl-prolyl cis-trans isomerase FKBP4</t>
  </si>
  <si>
    <t>Nucleobindin-1</t>
  </si>
  <si>
    <t>Trefoil factor 2</t>
  </si>
  <si>
    <t>Urokinase plasminogen activator surface receptor</t>
  </si>
  <si>
    <t>Complement factor H-related protein 1</t>
  </si>
  <si>
    <t>Isoform PSMA of Glutamate carboxypeptidase 2</t>
  </si>
  <si>
    <t>Isoform 2 of Lactoylglutathione lyase</t>
  </si>
  <si>
    <t>14-3-3 protein eta</t>
  </si>
  <si>
    <t>Tyrosine-protein phosphatase non-receptor type 12</t>
  </si>
  <si>
    <t>Eosinophil lysophospholipase</t>
  </si>
  <si>
    <t>Protein kinase C delta type</t>
  </si>
  <si>
    <t>Isoform 2 of Collagen alpha-1(XIV) chain</t>
  </si>
  <si>
    <t>Fibromodulin</t>
  </si>
  <si>
    <t>Peroxiredoxin-1</t>
  </si>
  <si>
    <t>3-5 exonuclease TREX2 long form</t>
  </si>
  <si>
    <t>Cytoskeleton-associated protein 4</t>
  </si>
  <si>
    <t>Trefoil factor 3</t>
  </si>
  <si>
    <t>Isoform Epsilon of Apoptosis regulator BAX</t>
  </si>
  <si>
    <t>Rho GTPase-activating protein 1</t>
  </si>
  <si>
    <t>Protein-glutamine gamma-glutamyltransferase E</t>
  </si>
  <si>
    <t>Isoform 3 of Serine/threonine-protein phosphatase 2B catalytic subunit alpha isoform</t>
  </si>
  <si>
    <t>Isoform 2 of Epithelial discoidin domain-containing receptor 1</t>
  </si>
  <si>
    <t>Galectin-3-binding protein</t>
  </si>
  <si>
    <t>Isoform 1B of Desmocollin-1</t>
  </si>
  <si>
    <t>Peptidyl-prolyl cis-trans isomerase D</t>
  </si>
  <si>
    <t>Sialic acid-binding Ig-like lectin 14</t>
  </si>
  <si>
    <t>Neuroblast differentiation-associated protein AHNAK</t>
  </si>
  <si>
    <t>Alpha-1,6-mannosyl-glycoprotein 2-beta-N-acetylglucosaminyltransferase</t>
  </si>
  <si>
    <t>Isoform C of AP-1 complex subunit beta-1</t>
  </si>
  <si>
    <t>Secernin-1</t>
  </si>
  <si>
    <t>Isoform 3 of A-kinase anchor protein 13</t>
  </si>
  <si>
    <t>Isoform 2 of EGF-containing fibulin-like extracellular matrix protein 1</t>
  </si>
  <si>
    <t>Follistatin-related protein 1</t>
  </si>
  <si>
    <t>Isoform 5 of Interleukin enhancer-binding factor 3</t>
  </si>
  <si>
    <t>Receptor-type tyrosine-protein phosphatase eta</t>
  </si>
  <si>
    <t>Serine/threonine-protein kinase 4</t>
  </si>
  <si>
    <t>Isoform 2 of Protein flightless-1 homolog</t>
  </si>
  <si>
    <t>PDZK1-interacting protein 1</t>
  </si>
  <si>
    <t>Serine/threonine-protein kinase PAK 1</t>
  </si>
  <si>
    <t>Peroxiredoxin-4</t>
  </si>
  <si>
    <t>Serine/threonine-protein kinase PAK 2</t>
  </si>
  <si>
    <t>Chromobox protein homolog 3</t>
  </si>
  <si>
    <t>DnaJ homolog subfamily C member 3</t>
  </si>
  <si>
    <t>Isoform 3 of Chitotriosidase-1</t>
  </si>
  <si>
    <t>Isoform 2 of Receptor-type tyrosine-protein phosphatase S</t>
  </si>
  <si>
    <t>Isoform 4 of Mesothelin</t>
  </si>
  <si>
    <t>Insulin-like growth factor I (Fragment)</t>
  </si>
  <si>
    <t>28 kDa heat- and acid-stable phosphoprotein</t>
  </si>
  <si>
    <t>Isoform 10 of Disintegrin and metalloproteinase domain-containing protein 15</t>
  </si>
  <si>
    <t>Rho-associated protein kinase 1</t>
  </si>
  <si>
    <t>Ras-related protein Rab-32</t>
  </si>
  <si>
    <t>Isoform 1 of Plakophilin-1</t>
  </si>
  <si>
    <t>Isoform 3 of Pro-interleukin-16</t>
  </si>
  <si>
    <t>Coactosin-like protein</t>
  </si>
  <si>
    <t>Collagen alpha-3(IX) chain</t>
  </si>
  <si>
    <t>Isoform 2 of Interleukin-18</t>
  </si>
  <si>
    <t>Dystroglycan</t>
  </si>
  <si>
    <t>Desmoglein-2</t>
  </si>
  <si>
    <t>Isoform Beta of Tripartite motif-containing protein 29</t>
  </si>
  <si>
    <t>Tubulin--tyrosine ligase-like protein 12</t>
  </si>
  <si>
    <t>Cytoplasmic dynein 1 heavy chain 1</t>
  </si>
  <si>
    <t>Lymphocyte antigen 6D</t>
  </si>
  <si>
    <t>Isoform 2 of Protein-tyrosine kinase 2-beta</t>
  </si>
  <si>
    <t>Fibroleukin</t>
  </si>
  <si>
    <t>Frizzled-2</t>
  </si>
  <si>
    <t>Polypeptide N-acetylgalactosaminyltransferase 3</t>
  </si>
  <si>
    <t>WAP four-disulfide core domain protein 2</t>
  </si>
  <si>
    <t>SPARC-like protein 1</t>
  </si>
  <si>
    <t>Isoform 2 of Hyaluronan-binding protein 2</t>
  </si>
  <si>
    <t>Isoform 3B of Desmocollin-3</t>
  </si>
  <si>
    <t>Inter-alpha-trypsin inhibitor heavy chain H4</t>
  </si>
  <si>
    <t>Isoform 2 of Clathrin interactor 1</t>
  </si>
  <si>
    <t>LDLR chaperone MESD</t>
  </si>
  <si>
    <t>Major vault protein</t>
  </si>
  <si>
    <t>Latent-transforming growth factor beta-binding protein 1</t>
  </si>
  <si>
    <t>LIM and SH3 domain protein 1</t>
  </si>
  <si>
    <t>Isoform 2 of Prostaglandin reductase 1</t>
  </si>
  <si>
    <t>Importin subunit beta-1</t>
  </si>
  <si>
    <t>Calcium-activated chloride channel regulator 4</t>
  </si>
  <si>
    <t>Isoform 2 of 116 kDa U5 small nuclear ribonucleoprotein component</t>
  </si>
  <si>
    <t>Isoform Short of Eukaryotic translation initiation factor 4H</t>
  </si>
  <si>
    <t>Early endosome antigen 1</t>
  </si>
  <si>
    <t>Neutrophil cytosol factor 4</t>
  </si>
  <si>
    <t>Procollagen C-endopeptidase enhancer 1</t>
  </si>
  <si>
    <t>Isoform 7 of Plectin</t>
  </si>
  <si>
    <t>Serum paraoxonase/lactonase 3</t>
  </si>
  <si>
    <t>Inorganic pyrophosphatase</t>
  </si>
  <si>
    <t>Serine/threonine-protein kinase 38</t>
  </si>
  <si>
    <t>Isoform Gamma of Poliovirus receptor-related protein 1</t>
  </si>
  <si>
    <t>Isoform 2 of Non-POU domain-containing octamer-binding protein</t>
  </si>
  <si>
    <t>Poly(rC)-binding protein 1</t>
  </si>
  <si>
    <t>Isoform 3 of Ephrin type-A receptor 7</t>
  </si>
  <si>
    <t>Isoform 2 of Ras suppressor protein 1</t>
  </si>
  <si>
    <t>Isoform 2 of Scaffold attachment factor B1</t>
  </si>
  <si>
    <t>Microtubule-associated protein RP/EB family member 1</t>
  </si>
  <si>
    <t>Cystatin-M</t>
  </si>
  <si>
    <t>Isoform 2 of Syntaxin-binding protein 2</t>
  </si>
  <si>
    <t>Vesicle-associated membrane protein 3</t>
  </si>
  <si>
    <t>Adipogenesis regulatory factor</t>
  </si>
  <si>
    <t>V-type proton ATPase subunit S1</t>
  </si>
  <si>
    <t>Ras-related protein Rab-11B</t>
  </si>
  <si>
    <t>Zyxin</t>
  </si>
  <si>
    <t>Isoform 2 of Insulin-like growth factor-binding protein 7</t>
  </si>
  <si>
    <t>Isoform 2 of Solute carrier family 15 member 2</t>
  </si>
  <si>
    <t>Proline-rich protein 4</t>
  </si>
  <si>
    <t>Isoform 3 of Serine/threonine-protein kinase N1</t>
  </si>
  <si>
    <t>Hsp90 co-chaperone Cdc37</t>
  </si>
  <si>
    <t>Isoform 2 of Dihydropyrimidinase-related protein 2</t>
  </si>
  <si>
    <t>Extracellular matrix protein 1</t>
  </si>
  <si>
    <t>Alpha-mannosidase 2</t>
  </si>
  <si>
    <t>Glutaminyl-peptide cyclotransferase</t>
  </si>
  <si>
    <t>Proto-oncogene c-Rel</t>
  </si>
  <si>
    <t>Apoptosis-inducing factor 1, mitochondrial</t>
  </si>
  <si>
    <t>Transmembrane protein 132A</t>
  </si>
  <si>
    <t>Leucine-rich repeat-containing protein 26</t>
  </si>
  <si>
    <t>Isoform 3 of Leucine-rich repeat flightless-interacting protein 1</t>
  </si>
  <si>
    <t>Isoform 2 of MAP7 domain-containing protein 1</t>
  </si>
  <si>
    <t>KLK12 protein</t>
  </si>
  <si>
    <t>Isoform 3 of Coiled-coil domain-containing protein 40</t>
  </si>
  <si>
    <t>HAL protein</t>
  </si>
  <si>
    <t>Retroviral-like aspartic protease 1</t>
  </si>
  <si>
    <t>Fumarylacetoacetase</t>
  </si>
  <si>
    <t>Putative heat shock protein HSP 90-alpha A4</t>
  </si>
  <si>
    <t>Coagulation factor IX</t>
  </si>
  <si>
    <t>Urotensin-2</t>
  </si>
  <si>
    <t>Metalloproteinase inhibitor 1</t>
  </si>
  <si>
    <t>Tubulin beta chain</t>
  </si>
  <si>
    <t>SH3 domain-containing kinase-binding protein 1 (Fragment)</t>
  </si>
  <si>
    <t>40S ribosomal protein S8</t>
  </si>
  <si>
    <t>Isoform 2 of FYVE, RhoGEF and PH domain-containing protein 3</t>
  </si>
  <si>
    <t>Isoform 3 of Cytochrome c oxidase assembly factor 6 homolog</t>
  </si>
  <si>
    <t>Factor X light chain</t>
  </si>
  <si>
    <t>E3 ubiquitin-protein ligase TRIM32 (Fragment)</t>
  </si>
  <si>
    <t>Double-stranded RNA-binding protein Staufen homolog 1</t>
  </si>
  <si>
    <t>CD164 sialomucin-like 2</t>
  </si>
  <si>
    <t>Lysosomal protective protein 20 kDa chain (Fragment)</t>
  </si>
  <si>
    <t>Sorting nexin-5 (Fragment)</t>
  </si>
  <si>
    <t>RNA-binding protein Raly (Fragment)</t>
  </si>
  <si>
    <t>Mitogen-activated protein kinase 13</t>
  </si>
  <si>
    <t>Isoform 2 of Protein phosphatase 1L</t>
  </si>
  <si>
    <t>Neural proliferation differentiation and control protein 1</t>
  </si>
  <si>
    <t>Chloride intracellular channel protein 3 (Fragment)</t>
  </si>
  <si>
    <t>HLA class I histocompatibility antigen, A-68 alpha chain</t>
  </si>
  <si>
    <t>Apolipoprotein M</t>
  </si>
  <si>
    <t>Heterochromatin protein 1-binding protein 3</t>
  </si>
  <si>
    <t>Allograft inflammatory factor 1 (Fragment)</t>
  </si>
  <si>
    <t>Dynamin-binding protein</t>
  </si>
  <si>
    <t>UMP-CMP kinase</t>
  </si>
  <si>
    <t>Uncharacterized protein C6orf132</t>
  </si>
  <si>
    <t>SH3 domain-binding glutamic acid-rich-like protein 3</t>
  </si>
  <si>
    <t>Isoform 2 of FK506-binding protein 15</t>
  </si>
  <si>
    <t>Nicastrin (Fragment)</t>
  </si>
  <si>
    <t>Xaa-Pro aminopeptidase 1</t>
  </si>
  <si>
    <t>Heterogeneous nuclear ribonucleoprotein K</t>
  </si>
  <si>
    <t>Keratinocyte proline-rich protein</t>
  </si>
  <si>
    <t>Skin-specific protein 32</t>
  </si>
  <si>
    <t>Serine/arginine-rich-splicing factor 11 (Fragment)</t>
  </si>
  <si>
    <t>60S ribosomal protein L7a (Fragment)</t>
  </si>
  <si>
    <t>Inter-alpha-trypsin inhibitor heavy chain H2</t>
  </si>
  <si>
    <t>Bcl-2-like protein 15</t>
  </si>
  <si>
    <t>Ubiquitin carboxyl-terminal hydrolase isozyme L3 (Fragment)</t>
  </si>
  <si>
    <t>Ribosyldihydronicotinamide dehydrogenase [quinone]</t>
  </si>
  <si>
    <t>Replication protein A 32 kDa subunit (Fragment)</t>
  </si>
  <si>
    <t>5-nucleotidase domain-containing protein 1</t>
  </si>
  <si>
    <t>Tyrosine-protein kinase Fgr (Fragment)</t>
  </si>
  <si>
    <t>Putative elongation factor 1-alpha-like 3</t>
  </si>
  <si>
    <t>V-set and immunoglobulin domain-containing protein 8</t>
  </si>
  <si>
    <t>60S ribosomal protein L11 (Fragment)</t>
  </si>
  <si>
    <t>Plasma retinol-binding protein(1-182)</t>
  </si>
  <si>
    <t>Rho guanine nucleotide exchange factor 2</t>
  </si>
  <si>
    <t>Cytoplasmic aconitate hydratase</t>
  </si>
  <si>
    <t>Golgi-associated plant pathogenesis-related protein 1</t>
  </si>
  <si>
    <t>CUGBP Elav-like family member 2</t>
  </si>
  <si>
    <t>Translationally-controlled tumor protein</t>
  </si>
  <si>
    <t>Ras-related protein Rab-18</t>
  </si>
  <si>
    <t>Putative uncharacterized protein DKFZp781M17165</t>
  </si>
  <si>
    <t>Vasorin</t>
  </si>
  <si>
    <t>Putative peptidyl-tRNA hydrolase PTRHD1</t>
  </si>
  <si>
    <t>Uncharacterized protein C4orf40</t>
  </si>
  <si>
    <t>EPHB2 protein</t>
  </si>
  <si>
    <t>Mammaglobin-A</t>
  </si>
  <si>
    <t>Phostensin</t>
  </si>
  <si>
    <t>APOC2 protein</t>
  </si>
  <si>
    <t>Phospholipase B-like 1</t>
  </si>
  <si>
    <t>UPF0762 protein C6orf58</t>
  </si>
  <si>
    <t>ATPase family AAA domain-containing protein 2</t>
  </si>
  <si>
    <t>Protein TMED8</t>
  </si>
  <si>
    <t>Isoform 2 of Type-1 angiotensin II receptor-associated protein</t>
  </si>
  <si>
    <t>Suprabasin</t>
  </si>
  <si>
    <t>Isoform 2 of Suprabasin</t>
  </si>
  <si>
    <t>Serine protease 57</t>
  </si>
  <si>
    <t>Isoform 3 of Protein FAM131A</t>
  </si>
  <si>
    <t>Ly6/PLAUR domain-containing protein 2</t>
  </si>
  <si>
    <t>Isoform 6 of Seizure 6-like protein 2</t>
  </si>
  <si>
    <t>Isoform 4 of Cysteine-rich with EGF-like domain protein 2</t>
  </si>
  <si>
    <t>Prelamin-A/C</t>
  </si>
  <si>
    <t>Rab11 family-interacting protein 1</t>
  </si>
  <si>
    <t>Repetin</t>
  </si>
  <si>
    <t>Solute carrier organic anion transporter family member 4C1</t>
  </si>
  <si>
    <t>F-box only protein 50</t>
  </si>
  <si>
    <t>Protein unc-13 homolog D</t>
  </si>
  <si>
    <t>Charged multivesicular body protein 1b</t>
  </si>
  <si>
    <t>RAS guanyl-releasing protein 2</t>
  </si>
  <si>
    <t>Isoform 2 of Zinc finger FYVE domain-containing protein 16</t>
  </si>
  <si>
    <t>Isoform 2 of SUZ domain-containing protein 1</t>
  </si>
  <si>
    <t>Isoform 4 of Mitochondrial antiviral-signaling protein</t>
  </si>
  <si>
    <t>Vitelline membrane outer layer protein 1 homolog</t>
  </si>
  <si>
    <t>Amyloid beta A4 precursor protein-binding family B member 1-interacting protein</t>
  </si>
  <si>
    <t>Rho GTPase-activating protein 30</t>
  </si>
  <si>
    <t>Ras-related protein Rab-44</t>
  </si>
  <si>
    <t>Isoform 3 of Transmembrane emp24 domain-containing protein 4</t>
  </si>
  <si>
    <t>Polypeptide N-acetylgalactosaminyltransferase 5</t>
  </si>
  <si>
    <t>N-acetylgalactosaminyltransferase 7</t>
  </si>
  <si>
    <t>Isoform 2 of G-protein coupled receptor 126</t>
  </si>
  <si>
    <t>Transmembrane protease serine 11B</t>
  </si>
  <si>
    <t>Histone-lysine N-methyltransferase setd3</t>
  </si>
  <si>
    <t>Full-length cDNA clone CS0DI002YH20 of Placenta of Homo sapiens (human)</t>
  </si>
  <si>
    <t>Out at first protein homolog</t>
  </si>
  <si>
    <t>Reticulon-4 receptor-like 1</t>
  </si>
  <si>
    <t>ATP-binding cassette sub-family A member 13</t>
  </si>
  <si>
    <t>Isoform 2 of Fermitin family homolog 3</t>
  </si>
  <si>
    <t>TXNDC5 protein</t>
  </si>
  <si>
    <t>Isoform 2 of Vacuolar protein-sorting-associated protein 36</t>
  </si>
  <si>
    <t>Isoform 2 of Cullin-associated NEDD8-dissociated protein 1</t>
  </si>
  <si>
    <t>V-set and immunoglobulin domain-containing protein 10-like</t>
  </si>
  <si>
    <t>Protein Hook homolog 3</t>
  </si>
  <si>
    <t>Isoform 2 of NACHT, LRR and PYD domains-containing protein 8</t>
  </si>
  <si>
    <t>Isoform 1 of Nitrilase homolog 1</t>
  </si>
  <si>
    <t>Inactive tyrosine-protein kinase 7</t>
  </si>
  <si>
    <t>Carabin</t>
  </si>
  <si>
    <t>Testis-expressed sequence 2 protein</t>
  </si>
  <si>
    <t>Serine/threonine-protein kinase LMTK2</t>
  </si>
  <si>
    <t>Isoform 2 of NAD-dependent protein deacetylase sirtuin-2</t>
  </si>
  <si>
    <t>Isoform 2 of Polypeptide N-acetylgalactosaminyltransferase 12</t>
  </si>
  <si>
    <t>Isoform 2 of Structure-specific endonuclease subunit SLX4</t>
  </si>
  <si>
    <t>Isoform 2 of Synaptotagmin-like protein 1</t>
  </si>
  <si>
    <t>Isoform 6 of Osteoclast-associated immunoglobulin-like receptor</t>
  </si>
  <si>
    <t>Isoform 3 of Phosphatase and actin regulator 4</t>
  </si>
  <si>
    <t>Leucine-rich repeat-containing protein 47</t>
  </si>
  <si>
    <t>Isoform 2 of Prominin-2</t>
  </si>
  <si>
    <t>Protein GAPT</t>
  </si>
  <si>
    <t>EH domain-binding protein 1-like protein 1</t>
  </si>
  <si>
    <t>Fibroblast growth factor receptor-like 1</t>
  </si>
  <si>
    <t>Secreted frizzled-related protein 1</t>
  </si>
  <si>
    <t>BPI fold-containing family B member 2</t>
  </si>
  <si>
    <t>Isoform 2 of Oxidation resistance protein 1</t>
  </si>
  <si>
    <t>Protein FAM101B</t>
  </si>
  <si>
    <t>CD177 antigen</t>
  </si>
  <si>
    <t>Isoform 2 of Golgi membrane protein 1</t>
  </si>
  <si>
    <t>Procollagen galactosyltransferase 1</t>
  </si>
  <si>
    <t>Serine/threonine-protein kinase MST4</t>
  </si>
  <si>
    <t>Isoform 4 of Plasminogen activator inhibitor 1 RNA-binding protein</t>
  </si>
  <si>
    <t>Polypeptide N-acetylgalactosaminyltransferase 6</t>
  </si>
  <si>
    <t>Cytoplasmic dynein 2 heavy chain 1</t>
  </si>
  <si>
    <t>Isoform 2 of NAD(P)H-hydrate epimerase</t>
  </si>
  <si>
    <t>Isoform 2 of Metal transporter CNNM3</t>
  </si>
  <si>
    <t>Isoform 2 of ATP-binding cassette sub-family F member 1</t>
  </si>
  <si>
    <t>Isoform 3 of Beta-1,3-N-acetylglucosaminyltransferase lunatic fringe</t>
  </si>
  <si>
    <t>Delta and Notch-like epidermal growth factor-related receptor</t>
  </si>
  <si>
    <t>Follicular dendritic cell secreted peptide</t>
  </si>
  <si>
    <t>Cell adhesion molecule 4</t>
  </si>
  <si>
    <t>Small VCP/p97-interacting protein</t>
  </si>
  <si>
    <t>Isoform 2 of Multiple coagulation factor deficiency protein 2</t>
  </si>
  <si>
    <t>Mucin-7</t>
  </si>
  <si>
    <t>Isoform 2 of Mitogen-activated protein kinase 15</t>
  </si>
  <si>
    <t>Protein bicaudal D homolog 2</t>
  </si>
  <si>
    <t>Isoform 2 of Pleckstrin homology domain-containing family O member 2</t>
  </si>
  <si>
    <t>BPI fold-containing family B member 1</t>
  </si>
  <si>
    <t>Isoform 2 of Protein-methionine sulfoxide oxidase MICAL1</t>
  </si>
  <si>
    <t>Marginal zone B- and B1-cell-specific protein</t>
  </si>
  <si>
    <t>Isoform 3 of Stromal membrane-associated protein 2</t>
  </si>
  <si>
    <t>Protein KIAA1199</t>
  </si>
  <si>
    <t>Programmed cell death 6-interacting protein</t>
  </si>
  <si>
    <t>40S ribosomal protein S21</t>
  </si>
  <si>
    <t>Soluble calcium-activated nucleotidase 1</t>
  </si>
  <si>
    <t>Trafficking protein particle complex subunit 12</t>
  </si>
  <si>
    <t>Protein POF1B</t>
  </si>
  <si>
    <t>Isoform 2 of PEST proteolytic signal-containing nuclear protein</t>
  </si>
  <si>
    <t>Intelectin-1</t>
  </si>
  <si>
    <t>Selenoprotein M</t>
  </si>
  <si>
    <t>WAP four-disulfide core domain protein 12</t>
  </si>
  <si>
    <t>Zinc finger CCHC domain-containing protein 14</t>
  </si>
  <si>
    <t>Protein LZIC</t>
  </si>
  <si>
    <t>Isoform 2 of Acid sphingomyelinase-like phosphodiesterase 3b</t>
  </si>
  <si>
    <t>Isoform Beta of Heat shock protein 105 kDa</t>
  </si>
  <si>
    <t>Minor histocompatibility protein HA-1</t>
  </si>
  <si>
    <t>Tetratricopeptide repeat protein 9A</t>
  </si>
  <si>
    <t>Sortilin-related receptor</t>
  </si>
  <si>
    <t>Isoform 2 of Acidic leucine-rich nuclear phosphoprotein 32 family member B</t>
  </si>
  <si>
    <t>Isoform Alpha of Poliovirus receptor-related protein 2</t>
  </si>
  <si>
    <t>Serine protease HTRA1</t>
  </si>
  <si>
    <t>Actin-related protein 2/3 complex subunit 1A</t>
  </si>
  <si>
    <t>Gamma-glutamyl hydrolase</t>
  </si>
  <si>
    <t>Isoform 2 of Phosphatidylinositol 3,4,5-trisphosphate 5-phosphatase 1</t>
  </si>
  <si>
    <t>Kallikrein-6</t>
  </si>
  <si>
    <t>Osteoclast-stimulating factor 1</t>
  </si>
  <si>
    <t>Golgi apparatus protein 1</t>
  </si>
  <si>
    <t>Isoform 4 of Receptor-type tyrosine-protein phosphatase N2</t>
  </si>
  <si>
    <t>Far upstream element-binding protein 2</t>
  </si>
  <si>
    <t>Isoform C of Proteoglycan 4</t>
  </si>
  <si>
    <t>Histone H2A type 1-C</t>
  </si>
  <si>
    <t>Transcription elongation factor A protein-like 3</t>
  </si>
  <si>
    <t>UPF0556 protein C19orf10</t>
  </si>
  <si>
    <t>Isoform 2 of Exocyst complex component 4</t>
  </si>
  <si>
    <t>Protein FAM3D</t>
  </si>
  <si>
    <t>Isoform 2 of Phosphotriesterase-related protein</t>
  </si>
  <si>
    <t>Leukocyte receptor cluster member 1</t>
  </si>
  <si>
    <t>EF-hand domain-containing protein D2</t>
  </si>
  <si>
    <t>m7GpppX diphosphatase</t>
  </si>
  <si>
    <t>Protein phosphatase 1 regulatory subunit 14B</t>
  </si>
  <si>
    <t>Isoform 3 of Collagen triple helix repeat-containing protein 1</t>
  </si>
  <si>
    <t>Isochorismatase domain-containing protein 1</t>
  </si>
  <si>
    <t>Coiled-coil domain-containing protein 124</t>
  </si>
  <si>
    <t>BTB/POZ domain-containing protein KCTD12</t>
  </si>
  <si>
    <t>Zymogen granule protein 16 homolog B</t>
  </si>
  <si>
    <t>Protein shisa-4</t>
  </si>
  <si>
    <t>BPI fold-containing family A member 2</t>
  </si>
  <si>
    <t>Isoform 2 of Nuclear receptor-binding factor 2</t>
  </si>
  <si>
    <t>Isoform 4 of Phosphoinositide-3-kinase-interacting protein 1</t>
  </si>
  <si>
    <t>Protein S100-A16</t>
  </si>
  <si>
    <t>Phosphoglucomutase-2</t>
  </si>
  <si>
    <t>Pyridoxal phosphate phosphatase</t>
  </si>
  <si>
    <t>PDZ and LIM domain protein 5</t>
  </si>
  <si>
    <t>ERO1-like protein alpha</t>
  </si>
  <si>
    <t>Isoform 2 of DDRGK domain-containing protein 1</t>
  </si>
  <si>
    <t>Isoform 2 of Kazal-type serine protease inhibitor domain-containing protein 1</t>
  </si>
  <si>
    <t>Carboxypeptidase B2</t>
  </si>
  <si>
    <t>Tumor protein D55</t>
  </si>
  <si>
    <t>Cytosolic non-specific dipeptidase</t>
  </si>
  <si>
    <t>Isoform 2 of Sorting nexin-27</t>
  </si>
  <si>
    <t>Poliovirus receptor-related protein 4</t>
  </si>
  <si>
    <t>Isoform 3 of Arf-GAP with Rho-GAP domain, ANK repeat and PH domain-containing protein 1</t>
  </si>
  <si>
    <t>Serpin B12</t>
  </si>
  <si>
    <t>N-acetylmuramoyl-L-alanine amidase</t>
  </si>
  <si>
    <t>Guanylate-binding protein 5</t>
  </si>
  <si>
    <t>Gasdermin-A</t>
  </si>
  <si>
    <t>Secretoglobin family 3A member 1</t>
  </si>
  <si>
    <t>Isoform 3 of Sorting nexin-18</t>
  </si>
  <si>
    <t>Small proline-rich protein 2F</t>
  </si>
  <si>
    <t>Ras-like protein family member 10B</t>
  </si>
  <si>
    <t>Neurabin-2</t>
  </si>
  <si>
    <t>Isoform 2 of Niban-like protein 1</t>
  </si>
  <si>
    <t>C-Myc-binding protein</t>
  </si>
  <si>
    <t>Sialidase-1</t>
  </si>
  <si>
    <t>Sortilin</t>
  </si>
  <si>
    <t>Synaptic vesicle membrane protein VAT-1 homolog</t>
  </si>
  <si>
    <t>Isoform 2 of Krueppel-like factor 6</t>
  </si>
  <si>
    <t>Tetratricopeptide repeat protein 1</t>
  </si>
  <si>
    <t>Cell growth regulator with EF hand domain protein 1</t>
  </si>
  <si>
    <t>Histone H2A type 1-J</t>
  </si>
  <si>
    <t>Histone H2B type 1-M</t>
  </si>
  <si>
    <t>Submaxillary gland androgen-regulated protein 3A</t>
  </si>
  <si>
    <t>Endophilin-A2</t>
  </si>
  <si>
    <t>Homeodomain-only protein</t>
  </si>
  <si>
    <t>Serine protease 27</t>
  </si>
  <si>
    <t>Coronin-1B</t>
  </si>
  <si>
    <t>Thioredoxin domain-containing protein 17</t>
  </si>
  <si>
    <t>Calcineurin-like phosphoesterase domain-containing protein 1</t>
  </si>
  <si>
    <t>45 kDa calcium-binding protein</t>
  </si>
  <si>
    <t>Isoform 2 of Partner of Y14 and mago</t>
  </si>
  <si>
    <t>Endoplasmic reticulum resident protein 44</t>
  </si>
  <si>
    <t>Latexin</t>
  </si>
  <si>
    <t>Extended synaptotagmin-1</t>
  </si>
  <si>
    <t>Protein canopy homolog 3</t>
  </si>
  <si>
    <t>Plasma alpha-L-fucosidase</t>
  </si>
  <si>
    <t>PRKAR2A protein</t>
  </si>
  <si>
    <t>Uncharacterized protein C9orf142</t>
  </si>
  <si>
    <t>Isoform 3 of Heterogeneous nuclear ribonucleoprotein U-like protein 1</t>
  </si>
  <si>
    <t>Specifically androgen-regulated gene protein</t>
  </si>
  <si>
    <t>Tubulin polymerization-promoting protein family member 3</t>
  </si>
  <si>
    <t>Acetyl-CoA acetyltransferase, cytosolic</t>
  </si>
  <si>
    <t>Histidine triad nucleotide-binding protein 2, mitochondrial</t>
  </si>
  <si>
    <t>Isoform 2 of Leucine-rich repeat-containing G-protein coupled receptor 4</t>
  </si>
  <si>
    <t>Isoform 3 of Ly-6/neurotoxin-like protein 1</t>
  </si>
  <si>
    <t>NKG2D ligand 2</t>
  </si>
  <si>
    <t>Protein Niban</t>
  </si>
  <si>
    <t>Brain-specific serine protease 4</t>
  </si>
  <si>
    <t>UPF0687 protein C20orf27</t>
  </si>
  <si>
    <t>Isoform 2 of PITH domain-containing protein 1</t>
  </si>
  <si>
    <t>Extracellular glycoprotein lacritin</t>
  </si>
  <si>
    <t>Toll-interacting protein</t>
  </si>
  <si>
    <t>Ras-related protein Rab-6C</t>
  </si>
  <si>
    <t>Isoform 4 of Cytosolic 5-nucleotidase 3A</t>
  </si>
  <si>
    <t>Ras-related protein Rab-1B</t>
  </si>
  <si>
    <t>Isoform 3 of Ester hydrolase C11orf54</t>
  </si>
  <si>
    <t>Ribonuclease 7</t>
  </si>
  <si>
    <t>Isoform 2 of Nuclear ubiquitous casein and cyclin-dependent kinase substrate 1</t>
  </si>
  <si>
    <t>WD repeat-containing protein 13</t>
  </si>
  <si>
    <t>Semaphorin-6A</t>
  </si>
  <si>
    <t>Isoform 2 of STE20-like serine/threonine-protein kinase</t>
  </si>
  <si>
    <t>BolA-like protein 2</t>
  </si>
  <si>
    <t>Thioredoxin-related transmembrane protein 1</t>
  </si>
  <si>
    <t>Golgi resident protein GCP60</t>
  </si>
  <si>
    <t>Isoform 2 of DnaJ homolog subfamily C member 5</t>
  </si>
  <si>
    <t>Charged multivesicular body protein 4b</t>
  </si>
  <si>
    <t>Frizzled-8</t>
  </si>
  <si>
    <t>Dipeptidase 2</t>
  </si>
  <si>
    <t>SPARC-related modular calcium-binding protein 1</t>
  </si>
  <si>
    <t>EH domain-containing protein 1</t>
  </si>
  <si>
    <t>Epidermal growth factor receptor kinase substrate 8-like protein 2</t>
  </si>
  <si>
    <t>UPF0454 protein C12orf49</t>
  </si>
  <si>
    <t>MANSC domain-containing protein 1</t>
  </si>
  <si>
    <t>MOB kinase activator 1A</t>
  </si>
  <si>
    <t>Isoform 2 of Golgi reassembly-stacking protein 2</t>
  </si>
  <si>
    <t>Isoform 2 of Retinoid-inducible serine carboxypeptidase</t>
  </si>
  <si>
    <t>Putative sodium-coupled neutral amino acid transporter 10</t>
  </si>
  <si>
    <t>Protein S100-A14</t>
  </si>
  <si>
    <t>Resistin</t>
  </si>
  <si>
    <t>Isoform 4 of SH2 domain-containing protein 2A</t>
  </si>
  <si>
    <t>Vacuolar protein sorting-associated protein VTA1 homolog</t>
  </si>
  <si>
    <t>Matrix metalloproteinase-25</t>
  </si>
  <si>
    <t>Complement component C1q receptor</t>
  </si>
  <si>
    <t>Serine protease inhibitor Kazal-type 5</t>
  </si>
  <si>
    <t>Isoform long of Serine protease inhibitor Kazal-type 5</t>
  </si>
  <si>
    <t>Isoform 2 of Cartilage acidic protein 1</t>
  </si>
  <si>
    <t>Omega-amidase NIT2</t>
  </si>
  <si>
    <t>Isoform 2 of PDZ and LIM domain protein 7</t>
  </si>
  <si>
    <t>Sialic acid synthase</t>
  </si>
  <si>
    <t>Heme-binding protein 1</t>
  </si>
  <si>
    <t>Isoform 2 of 14 kDa phosphohistidine phosphatase</t>
  </si>
  <si>
    <t>Isoform 2 of Tumor necrosis factor receptor superfamily member 19</t>
  </si>
  <si>
    <t>Semaphorin-3G</t>
  </si>
  <si>
    <t>Beta-catenin-interacting protein 1</t>
  </si>
  <si>
    <t>Alpha-N-acetylgalactosaminide alpha-2,6-sialyltransferase 1</t>
  </si>
  <si>
    <t>Isoform 2 of Ubiquitin-like-conjugating enzyme ATG3</t>
  </si>
  <si>
    <t>Isoform 3 of Ethylmalonyl-CoA decarboxylase</t>
  </si>
  <si>
    <t>Protein FAM49B</t>
  </si>
  <si>
    <t>Isoform 3 of Cell cycle control protein 50A</t>
  </si>
  <si>
    <t>Isoform 2 of Arginine and glutamate-rich protein 1</t>
  </si>
  <si>
    <t>Poly(ADP-ribose) glycohydrolase ARH3</t>
  </si>
  <si>
    <t>Tropomodulin-3</t>
  </si>
  <si>
    <t>Protocadherin Fat 2</t>
  </si>
  <si>
    <t>Endoplasmic reticulum aminopeptidase 1</t>
  </si>
  <si>
    <t>Podocalyxin-like protein 2</t>
  </si>
  <si>
    <t>Interleukin-36 gamma</t>
  </si>
  <si>
    <t>Isoform 4 of Intersectin-2</t>
  </si>
  <si>
    <t>Complement C1r subcomponent-like protein</t>
  </si>
  <si>
    <t>Calmodulin-like protein 5</t>
  </si>
  <si>
    <t>Isoform 2 of Opioid growth factor receptor</t>
  </si>
  <si>
    <t>Cysteine-rich motor neuron 1 protein</t>
  </si>
  <si>
    <t>Charged multivesicular body protein 5</t>
  </si>
  <si>
    <t>Kallikrein-14</t>
  </si>
  <si>
    <t>Vesicle-associated membrane protein-associated protein A</t>
  </si>
  <si>
    <t>Cytochrome c oxidase assembly protein COX16 homolog, mitochondrial</t>
  </si>
  <si>
    <t>Protein RCC2</t>
  </si>
  <si>
    <t>Isoform 5 of Dynein heavy chain 1, axonemal</t>
  </si>
  <si>
    <t>Isoform 1 of Ribosome-binding protein 1</t>
  </si>
  <si>
    <t>Isoform 2 of WD repeat-containing protein 35</t>
  </si>
  <si>
    <t>Dolichol-phosphate mannosyltransferase subunit 3</t>
  </si>
  <si>
    <t>Cornulin</t>
  </si>
  <si>
    <t>Glyoxylate reductase/hydroxypyruvate reductase</t>
  </si>
  <si>
    <t>Cathepsin Z</t>
  </si>
  <si>
    <t>DnaJ homolog subfamily B member 9</t>
  </si>
  <si>
    <t>Isoform 3 of DNA polymerase kappa</t>
  </si>
  <si>
    <t>Isoform 2 of Bridging integrator 2</t>
  </si>
  <si>
    <t>Interleukin-13 receptor soluble form</t>
  </si>
  <si>
    <t>Isoform 4 of Dynein heavy chain 17, axonemal</t>
  </si>
  <si>
    <t>Isoform 2 of Testin</t>
  </si>
  <si>
    <t>Isoform 5 of Deleted in malignant brain tumors 1 protein</t>
  </si>
  <si>
    <t>Interleukin-36 alpha</t>
  </si>
  <si>
    <t>Interleukin-19</t>
  </si>
  <si>
    <t>Isoform 7 of Septin-9</t>
  </si>
  <si>
    <t>ProSAAS</t>
  </si>
  <si>
    <t>Dipeptidyl peptidase 2</t>
  </si>
  <si>
    <t>Prefoldin subunit 2</t>
  </si>
  <si>
    <t>Isoform 3 of ATPase inhibitor, mitochondrial</t>
  </si>
  <si>
    <t>Isoform 2 of Serpin B13</t>
  </si>
  <si>
    <t>Isoform 2 of Mitochondrial peptide methionine sulfoxide reductase</t>
  </si>
  <si>
    <t>N-acetylglucosamine-1-phosphotransferase subunit gamma</t>
  </si>
  <si>
    <t>Drebrin-like protein</t>
  </si>
  <si>
    <t>DCC-interacting protein 13-alpha</t>
  </si>
  <si>
    <t>Kallikrein-13</t>
  </si>
  <si>
    <t>Protein CDV3 homolog</t>
  </si>
  <si>
    <t>Ras-related protein Rab-21</t>
  </si>
  <si>
    <t>Proteasome activator complex subunit 2</t>
  </si>
  <si>
    <t>Transmembrane protease serine 11E</t>
  </si>
  <si>
    <t>Arf-GAP with SH3 domain, ANK repeat and PH domain-containing protein 1</t>
  </si>
  <si>
    <t>Isoform 2 of Apoptosis-associated speck-like protein containing a CARD</t>
  </si>
  <si>
    <t>Protein-arginine deiminase type-4</t>
  </si>
  <si>
    <t>Isoform 2 of Alpha-1,3-mannosyl-glycoprotein 4-beta-N-acetylglucosaminyltransferase A</t>
  </si>
  <si>
    <t>Isoform 2 of Ubiquilin-1</t>
  </si>
  <si>
    <t>Neudesin</t>
  </si>
  <si>
    <t>Isoform 2 of Protein kinase C and casein kinase substrate in neurons protein 2</t>
  </si>
  <si>
    <t>Isoform 3 of Multiple inositol polyphosphate phosphatase 1</t>
  </si>
  <si>
    <t>Serine/threonine-protein phosphatase 6 regulatory subunit 1</t>
  </si>
  <si>
    <t>Serine/arginine repetitive matrix protein 2</t>
  </si>
  <si>
    <t>Proliferation-associated protein 2G4</t>
  </si>
  <si>
    <t>Isoform 2 of RuvB-like 1</t>
  </si>
  <si>
    <t>Nuclear migration protein nudC</t>
  </si>
  <si>
    <t>Protein canopy homolog 2</t>
  </si>
  <si>
    <t>Cytochrome c oxidase assembly protein 3 homolog, mitochondrial</t>
  </si>
  <si>
    <t>Isoform 2 of Lambda-crystallin homolog</t>
  </si>
  <si>
    <t>Translation machinery-associated protein 7</t>
  </si>
  <si>
    <t>Thyroid hormone receptor-associated protein 3</t>
  </si>
  <si>
    <t>U6 snRNA-associated Sm-like protein LSm2</t>
  </si>
  <si>
    <t>Isoform 2 of Transmembrane emp24 domain-containing protein 7</t>
  </si>
  <si>
    <t>Ubiquitin-fold modifier-conjugating enzyme 1</t>
  </si>
  <si>
    <t>Mitochondrial fission 1 protein</t>
  </si>
  <si>
    <t>Isoform 2 of Charged multivesicular body protein 3</t>
  </si>
  <si>
    <t>Serine-threonine kinase receptor-associated protein</t>
  </si>
  <si>
    <t>SH3 domain-binding protein 1</t>
  </si>
  <si>
    <t>TSC22 domain family protein 4</t>
  </si>
  <si>
    <t>Sialidase-2</t>
  </si>
  <si>
    <t>Plakophilin-3</t>
  </si>
  <si>
    <t>Talin-1</t>
  </si>
  <si>
    <t>Ubiquitin carboxyl-terminal hydrolase 15</t>
  </si>
  <si>
    <t>Absent in melanoma 1 protein</t>
  </si>
  <si>
    <t>Isoform 2 of Protocadherin gamma-B6</t>
  </si>
  <si>
    <t>Isoform 2 of Protocadherin gamma-B5</t>
  </si>
  <si>
    <t>Isoform 2 of Protocadherin alpha-5</t>
  </si>
  <si>
    <t>CD2-associated protein</t>
  </si>
  <si>
    <t>Mannose-1-phosphate guanyltransferase beta</t>
  </si>
  <si>
    <t>Suppressor of tumorigenicity 14 protein</t>
  </si>
  <si>
    <t>Heme-binding protein 2</t>
  </si>
  <si>
    <t>FH1/FH2 domain-containing protein 1</t>
  </si>
  <si>
    <t>Isoform 2 of G-protein coupled receptor 56</t>
  </si>
  <si>
    <t>Heparan sulfate glucosamine 3-O-sulfotransferase 3B1</t>
  </si>
  <si>
    <t>Coatomer subunit gamma-1</t>
  </si>
  <si>
    <t>Transforming acidic coiled-coil-containing protein 3</t>
  </si>
  <si>
    <t>Coiled-coil-helix-coiled-coil-helix domain-containing protein 2, mitochondrial</t>
  </si>
  <si>
    <t>Sulfide:quinone oxidoreductase, mitochondrial</t>
  </si>
  <si>
    <t>IgGFc-binding protein</t>
  </si>
  <si>
    <t>Wiskott-Aldrich syndrome protein family member 2</t>
  </si>
  <si>
    <t>Complement C1r subcomponent (Fragment)</t>
  </si>
  <si>
    <t>Basigin (Fragment)</t>
  </si>
  <si>
    <t>Protein S100-A6 (Fragment)</t>
  </si>
  <si>
    <t>Peptidyl-prolyl cis-trans isomerase F, mitochondrial</t>
  </si>
  <si>
    <t>IGLC7</t>
  </si>
  <si>
    <t>KIAA1598</t>
  </si>
  <si>
    <t>ACO2</t>
  </si>
  <si>
    <t>RPRD1B</t>
  </si>
  <si>
    <t>PRNP</t>
  </si>
  <si>
    <t>VEGFA</t>
  </si>
  <si>
    <t>RPS6</t>
  </si>
  <si>
    <t>BNIPL</t>
  </si>
  <si>
    <t>HLA-DQB1</t>
  </si>
  <si>
    <t>ARHGEF35</t>
  </si>
  <si>
    <t>BST1</t>
  </si>
  <si>
    <t>CCDC88B</t>
  </si>
  <si>
    <t>TSSC4</t>
  </si>
  <si>
    <t>PBDC1</t>
  </si>
  <si>
    <t>PGP</t>
  </si>
  <si>
    <t>NUDT5</t>
  </si>
  <si>
    <t>SPTAN1</t>
  </si>
  <si>
    <t>HN1L</t>
  </si>
  <si>
    <t>EIF1AY</t>
  </si>
  <si>
    <t>RNPEP</t>
  </si>
  <si>
    <t>HMGN1</t>
  </si>
  <si>
    <t>ENSA</t>
  </si>
  <si>
    <t>AIF1L</t>
  </si>
  <si>
    <t>MAPK1</t>
  </si>
  <si>
    <t>A2ML1</t>
  </si>
  <si>
    <t>HCK</t>
  </si>
  <si>
    <t>TBC1D15</t>
  </si>
  <si>
    <t>FAM3B</t>
  </si>
  <si>
    <t>PPP5C</t>
  </si>
  <si>
    <t>SUMO3</t>
  </si>
  <si>
    <t>TUBA4A</t>
  </si>
  <si>
    <t>LILRB1</t>
  </si>
  <si>
    <t>CARS</t>
  </si>
  <si>
    <t>HIDE1</t>
  </si>
  <si>
    <t>NCF1C</t>
  </si>
  <si>
    <t>ALDOC</t>
  </si>
  <si>
    <t>GSTP1</t>
  </si>
  <si>
    <t>SEC13</t>
  </si>
  <si>
    <t>NUP50</t>
  </si>
  <si>
    <t>BAIAP2L2</t>
  </si>
  <si>
    <t>TBC1D22A</t>
  </si>
  <si>
    <t>PARVG</t>
  </si>
  <si>
    <t>HLA-C</t>
  </si>
  <si>
    <t>BAG6</t>
  </si>
  <si>
    <t>VARS</t>
  </si>
  <si>
    <t>PSMB9</t>
  </si>
  <si>
    <t>APOC3</t>
  </si>
  <si>
    <t>ARCN1</t>
  </si>
  <si>
    <t>HMOX1</t>
  </si>
  <si>
    <t>XRCC6</t>
  </si>
  <si>
    <t>STX12</t>
  </si>
  <si>
    <t>CAPZB</t>
  </si>
  <si>
    <t>CROCC</t>
  </si>
  <si>
    <t>RABL6</t>
  </si>
  <si>
    <t>PRSS3</t>
  </si>
  <si>
    <t>GUK1</t>
  </si>
  <si>
    <t>NRAP</t>
  </si>
  <si>
    <t>CPN1</t>
  </si>
  <si>
    <t>HK1</t>
  </si>
  <si>
    <t>UAP1</t>
  </si>
  <si>
    <t>C1orf123</t>
  </si>
  <si>
    <t>MUC1</t>
  </si>
  <si>
    <t>GRIPAP1</t>
  </si>
  <si>
    <t>FAM25G</t>
  </si>
  <si>
    <t>PPP2R1A</t>
  </si>
  <si>
    <t>EIF3S3</t>
  </si>
  <si>
    <t>CORO7</t>
  </si>
  <si>
    <t>PLTP</t>
  </si>
  <si>
    <t>SOD2</t>
  </si>
  <si>
    <t>QDPR</t>
  </si>
  <si>
    <t>DOCK2</t>
  </si>
  <si>
    <t>PITPNB</t>
  </si>
  <si>
    <t>CNN2</t>
  </si>
  <si>
    <t>SNX2</t>
  </si>
  <si>
    <t>DYNLRB1</t>
  </si>
  <si>
    <t>PLS3</t>
  </si>
  <si>
    <t>ERBB3</t>
  </si>
  <si>
    <t>LOC84661</t>
  </si>
  <si>
    <t>IDS</t>
  </si>
  <si>
    <t>TARDBP</t>
  </si>
  <si>
    <t>SNX11</t>
  </si>
  <si>
    <t>CS</t>
  </si>
  <si>
    <t>LSR</t>
  </si>
  <si>
    <t>EPS8L1</t>
  </si>
  <si>
    <t>NQO1</t>
  </si>
  <si>
    <t>B4GALT1</t>
  </si>
  <si>
    <t>MAT2A</t>
  </si>
  <si>
    <t>NARS</t>
  </si>
  <si>
    <t>TINAGL1</t>
  </si>
  <si>
    <t>FMN2</t>
  </si>
  <si>
    <t>CNBP</t>
  </si>
  <si>
    <t>GGT6</t>
  </si>
  <si>
    <t>CCT6A</t>
  </si>
  <si>
    <t>CCT8</t>
  </si>
  <si>
    <t>ABHD14B</t>
  </si>
  <si>
    <t>PGD</t>
  </si>
  <si>
    <t>REPS2</t>
  </si>
  <si>
    <t>PTPN23</t>
  </si>
  <si>
    <t>ABI3BP</t>
  </si>
  <si>
    <t>IDH2</t>
  </si>
  <si>
    <t>EIF3J</t>
  </si>
  <si>
    <t>CCT3</t>
  </si>
  <si>
    <t>BPNT1</t>
  </si>
  <si>
    <t>ANXA11</t>
  </si>
  <si>
    <t>GAL3ST4</t>
  </si>
  <si>
    <t>SF1</t>
  </si>
  <si>
    <t>TMEM40</t>
  </si>
  <si>
    <t>COPB2</t>
  </si>
  <si>
    <t>ACAA1</t>
  </si>
  <si>
    <t>MAPK14</t>
  </si>
  <si>
    <t>IPO5</t>
  </si>
  <si>
    <t>DDX3Y</t>
  </si>
  <si>
    <t>HARS</t>
  </si>
  <si>
    <t>SDC4</t>
  </si>
  <si>
    <t>CFB</t>
  </si>
  <si>
    <t>SFRS3</t>
  </si>
  <si>
    <t>GPC4</t>
  </si>
  <si>
    <t>GNAI2</t>
  </si>
  <si>
    <t>OS9</t>
  </si>
  <si>
    <t>IGFBP4</t>
  </si>
  <si>
    <t>ACLY</t>
  </si>
  <si>
    <t>CLSTN1</t>
  </si>
  <si>
    <t>CECR1</t>
  </si>
  <si>
    <t>PPM1F</t>
  </si>
  <si>
    <t>STXBP4</t>
  </si>
  <si>
    <t>RAN</t>
  </si>
  <si>
    <t>CABIN1</t>
  </si>
  <si>
    <t>KIF26B</t>
  </si>
  <si>
    <t>PGRMC1</t>
  </si>
  <si>
    <t>RCN1</t>
  </si>
  <si>
    <t>ATP6V1A</t>
  </si>
  <si>
    <t>PDIA6</t>
  </si>
  <si>
    <t>ARHGEF6</t>
  </si>
  <si>
    <t>DNASE2</t>
  </si>
  <si>
    <t>RPN1</t>
  </si>
  <si>
    <t>CPA4</t>
  </si>
  <si>
    <t>F11R</t>
  </si>
  <si>
    <t>CARD8</t>
  </si>
  <si>
    <t>FKBP5</t>
  </si>
  <si>
    <t>GFRA1</t>
  </si>
  <si>
    <t>FETUB</t>
  </si>
  <si>
    <t>PCMT1</t>
  </si>
  <si>
    <t>ATP1B1</t>
  </si>
  <si>
    <t>ALAD</t>
  </si>
  <si>
    <t>RCSD1</t>
  </si>
  <si>
    <t>PPM1B</t>
  </si>
  <si>
    <t>RPL31</t>
  </si>
  <si>
    <t>HSPE1</t>
  </si>
  <si>
    <t>PTMA</t>
  </si>
  <si>
    <t>VAMP8</t>
  </si>
  <si>
    <t>IGLL5</t>
  </si>
  <si>
    <t>DIAPH1</t>
  </si>
  <si>
    <t>CUTA</t>
  </si>
  <si>
    <t>CHMP2B</t>
  </si>
  <si>
    <t>IL1RAP</t>
  </si>
  <si>
    <t>MEGF9</t>
  </si>
  <si>
    <t>ARF5</t>
  </si>
  <si>
    <t>INPP1</t>
  </si>
  <si>
    <t>TBC1D5</t>
  </si>
  <si>
    <t>CREB1</t>
  </si>
  <si>
    <t>IL8</t>
  </si>
  <si>
    <t>NAA50</t>
  </si>
  <si>
    <t>ADAM9</t>
  </si>
  <si>
    <t>FAM107B</t>
  </si>
  <si>
    <t>ZC3HAV1</t>
  </si>
  <si>
    <t>APOBR</t>
  </si>
  <si>
    <t>MAPKAPK3</t>
  </si>
  <si>
    <t>USP19</t>
  </si>
  <si>
    <t>IGSF8</t>
  </si>
  <si>
    <t>NHLRC3</t>
  </si>
  <si>
    <t>RPSA</t>
  </si>
  <si>
    <t>SRSF7</t>
  </si>
  <si>
    <t>CRYZL1</t>
  </si>
  <si>
    <t>TF</t>
  </si>
  <si>
    <t>NAPRT1</t>
  </si>
  <si>
    <t>IGLL1</t>
  </si>
  <si>
    <t>RPS4Y1</t>
  </si>
  <si>
    <t>LBR</t>
  </si>
  <si>
    <t>FGG</t>
  </si>
  <si>
    <t>AZGP1</t>
  </si>
  <si>
    <t>APOD</t>
  </si>
  <si>
    <t>PTPRZ1</t>
  </si>
  <si>
    <t>KIAA1211L</t>
  </si>
  <si>
    <t>TYMP</t>
  </si>
  <si>
    <t>CRYZ</t>
  </si>
  <si>
    <t>PSAP</t>
  </si>
  <si>
    <t>SAMD9</t>
  </si>
  <si>
    <t>EPCAM</t>
  </si>
  <si>
    <t>ATIC</t>
  </si>
  <si>
    <t>ZNF502</t>
  </si>
  <si>
    <t>SERPINB7</t>
  </si>
  <si>
    <t>SEPT5</t>
  </si>
  <si>
    <t>ALDH3A1</t>
  </si>
  <si>
    <t>DDX17</t>
  </si>
  <si>
    <t>UFD1L</t>
  </si>
  <si>
    <t>FAM3C</t>
  </si>
  <si>
    <t>CCDC58</t>
  </si>
  <si>
    <t>ACTL6A</t>
  </si>
  <si>
    <t>RNF13</t>
  </si>
  <si>
    <t>CKMT1B</t>
  </si>
  <si>
    <t>PDLIM2</t>
  </si>
  <si>
    <t>LRRFIP2</t>
  </si>
  <si>
    <t>IL36RN</t>
  </si>
  <si>
    <t>OLA1</t>
  </si>
  <si>
    <t>AHSG</t>
  </si>
  <si>
    <t>SELENBP1</t>
  </si>
  <si>
    <t>GPR64</t>
  </si>
  <si>
    <t>RANBP1</t>
  </si>
  <si>
    <t>CASP3</t>
  </si>
  <si>
    <t>ANKRD44</t>
  </si>
  <si>
    <t>LRIG3</t>
  </si>
  <si>
    <t>AIMP1</t>
  </si>
  <si>
    <t>IQGAP2</t>
  </si>
  <si>
    <t>GCLC</t>
  </si>
  <si>
    <t>HNRNPAB</t>
  </si>
  <si>
    <t>ANXA3</t>
  </si>
  <si>
    <t>FYB</t>
  </si>
  <si>
    <t>HNRNPD</t>
  </si>
  <si>
    <t>DOK3</t>
  </si>
  <si>
    <t>GNB2L1</t>
  </si>
  <si>
    <t>PCDH1</t>
  </si>
  <si>
    <t>LEMD2</t>
  </si>
  <si>
    <t>CCL28</t>
  </si>
  <si>
    <t>ANXA5</t>
  </si>
  <si>
    <t>RPS23</t>
  </si>
  <si>
    <t>SULT1B1</t>
  </si>
  <si>
    <t>UBE2K</t>
  </si>
  <si>
    <t>RNASET2</t>
  </si>
  <si>
    <t>SEPP1</t>
  </si>
  <si>
    <t>GC</t>
  </si>
  <si>
    <t>ADH5</t>
  </si>
  <si>
    <t>TWF2</t>
  </si>
  <si>
    <t>SEC31A</t>
  </si>
  <si>
    <t>LMAN2</t>
  </si>
  <si>
    <t>SIL1</t>
  </si>
  <si>
    <t>MRPS27</t>
  </si>
  <si>
    <t>UBA5</t>
  </si>
  <si>
    <t>UNC5C</t>
  </si>
  <si>
    <t>NUDCD2</t>
  </si>
  <si>
    <t>LAMA4</t>
  </si>
  <si>
    <t>SPINK7</t>
  </si>
  <si>
    <t>LYPLA1</t>
  </si>
  <si>
    <t>PFDN1</t>
  </si>
  <si>
    <t>STMN2</t>
  </si>
  <si>
    <t>TCEB1</t>
  </si>
  <si>
    <t>ST3GAL1</t>
  </si>
  <si>
    <t>RPL30</t>
  </si>
  <si>
    <t>TBCA</t>
  </si>
  <si>
    <t>LY96</t>
  </si>
  <si>
    <t>MTDH</t>
  </si>
  <si>
    <t>ATP6V1H</t>
  </si>
  <si>
    <t>SWAP70</t>
  </si>
  <si>
    <t>PTPN18</t>
  </si>
  <si>
    <t>ANXA6</t>
  </si>
  <si>
    <t>AP3D1</t>
  </si>
  <si>
    <t>PPP1R2</t>
  </si>
  <si>
    <t>TACC2</t>
  </si>
  <si>
    <t>ZNF143</t>
  </si>
  <si>
    <t>FLNB</t>
  </si>
  <si>
    <t>RAB1A</t>
  </si>
  <si>
    <t>COL6A3</t>
  </si>
  <si>
    <t>ELN</t>
  </si>
  <si>
    <t>SYNE1</t>
  </si>
  <si>
    <t>PROC</t>
  </si>
  <si>
    <t>RPL14</t>
  </si>
  <si>
    <t>TOM1</t>
  </si>
  <si>
    <t>PRRC2C</t>
  </si>
  <si>
    <t>GLB1</t>
  </si>
  <si>
    <t>YIPF3</t>
  </si>
  <si>
    <t>ACIN1</t>
  </si>
  <si>
    <t>PABPC1</t>
  </si>
  <si>
    <t>LTF</t>
  </si>
  <si>
    <t>GMIP</t>
  </si>
  <si>
    <t>SKP1</t>
  </si>
  <si>
    <t>ASAH1</t>
  </si>
  <si>
    <t>SLC40A1</t>
  </si>
  <si>
    <t>TTC38</t>
  </si>
  <si>
    <t>NDRG1</t>
  </si>
  <si>
    <t>RAP1B</t>
  </si>
  <si>
    <t>ITIH3</t>
  </si>
  <si>
    <t>MARK2</t>
  </si>
  <si>
    <t>CALM1</t>
  </si>
  <si>
    <t>GDI2</t>
  </si>
  <si>
    <t>UGP2</t>
  </si>
  <si>
    <t>EPB41L3</t>
  </si>
  <si>
    <t>LTBP4</t>
  </si>
  <si>
    <t>ADD1</t>
  </si>
  <si>
    <t>MAP4</t>
  </si>
  <si>
    <t>MYO6</t>
  </si>
  <si>
    <t>RPE</t>
  </si>
  <si>
    <t>EIF4B</t>
  </si>
  <si>
    <t>RPL15</t>
  </si>
  <si>
    <t>EIF4G1</t>
  </si>
  <si>
    <t>DCTN1</t>
  </si>
  <si>
    <t>PRB4</t>
  </si>
  <si>
    <t>ALYREF</t>
  </si>
  <si>
    <t>HK2</t>
  </si>
  <si>
    <t>MUC5B</t>
  </si>
  <si>
    <t>SUMF2</t>
  </si>
  <si>
    <t>PTPRC</t>
  </si>
  <si>
    <t>HNRNPH1</t>
  </si>
  <si>
    <t>CAST</t>
  </si>
  <si>
    <t>HSPA4L</t>
  </si>
  <si>
    <t>LAD1</t>
  </si>
  <si>
    <t>SRP9</t>
  </si>
  <si>
    <t>FUBP1</t>
  </si>
  <si>
    <t>AKR1B1</t>
  </si>
  <si>
    <t>HMGB3</t>
  </si>
  <si>
    <t>DLD</t>
  </si>
  <si>
    <t>CP</t>
  </si>
  <si>
    <t>APP</t>
  </si>
  <si>
    <t>AAK1</t>
  </si>
  <si>
    <t>GBE1</t>
  </si>
  <si>
    <t>SERPING1</t>
  </si>
  <si>
    <t>TSN</t>
  </si>
  <si>
    <t>PRDX3</t>
  </si>
  <si>
    <t>SDC1</t>
  </si>
  <si>
    <t>DYNC1LI1</t>
  </si>
  <si>
    <t>PANK4</t>
  </si>
  <si>
    <t>CSTF2</t>
  </si>
  <si>
    <t>TXNRD1</t>
  </si>
  <si>
    <t>S100PBP</t>
  </si>
  <si>
    <t>BCLAF1</t>
  </si>
  <si>
    <t>RPL27A</t>
  </si>
  <si>
    <t>ASRGL1</t>
  </si>
  <si>
    <t>AAMDC</t>
  </si>
  <si>
    <t>ACER3</t>
  </si>
  <si>
    <t>SF3B2</t>
  </si>
  <si>
    <t>EEF1D</t>
  </si>
  <si>
    <t>PPP6R3</t>
  </si>
  <si>
    <t>PPM1A</t>
  </si>
  <si>
    <t>TOR1AIP1</t>
  </si>
  <si>
    <t>CTTN</t>
  </si>
  <si>
    <t>TSTA3</t>
  </si>
  <si>
    <t>CSF1</t>
  </si>
  <si>
    <t>CTSB</t>
  </si>
  <si>
    <t>RPL8</t>
  </si>
  <si>
    <t>PUF60</t>
  </si>
  <si>
    <t>HYOU1</t>
  </si>
  <si>
    <t>PSMD13</t>
  </si>
  <si>
    <t>NEDD8-MDP1</t>
  </si>
  <si>
    <t>ADM</t>
  </si>
  <si>
    <t>NPEPPS</t>
  </si>
  <si>
    <t>ARRB1</t>
  </si>
  <si>
    <t>LMO7</t>
  </si>
  <si>
    <t>CASP4</t>
  </si>
  <si>
    <t>SCGB1A1</t>
  </si>
  <si>
    <t>TPD52L1</t>
  </si>
  <si>
    <t>NAP1L4</t>
  </si>
  <si>
    <t>CD59</t>
  </si>
  <si>
    <t>CSRP1</t>
  </si>
  <si>
    <t>CCS</t>
  </si>
  <si>
    <t>AMPD3</t>
  </si>
  <si>
    <t>ANP32E</t>
  </si>
  <si>
    <t>MDK</t>
  </si>
  <si>
    <t>CHMP4A</t>
  </si>
  <si>
    <t>SART1</t>
  </si>
  <si>
    <t>MAPK3</t>
  </si>
  <si>
    <t>TMPRSS13</t>
  </si>
  <si>
    <t>VNN2</t>
  </si>
  <si>
    <t>CYB5R2</t>
  </si>
  <si>
    <t>PRSS23</t>
  </si>
  <si>
    <t>ZNF720</t>
  </si>
  <si>
    <t>CTSF</t>
  </si>
  <si>
    <t>MYH14</t>
  </si>
  <si>
    <t>NAA38</t>
  </si>
  <si>
    <t>NPHP3</t>
  </si>
  <si>
    <t>ESYT2</t>
  </si>
  <si>
    <t>JUP</t>
  </si>
  <si>
    <t>WNK1</t>
  </si>
  <si>
    <t>PODXL</t>
  </si>
  <si>
    <t>REXO2</t>
  </si>
  <si>
    <t>ALCAM</t>
  </si>
  <si>
    <t>SPARC</t>
  </si>
  <si>
    <t>GALNT1</t>
  </si>
  <si>
    <t>RPS6KA3</t>
  </si>
  <si>
    <t>OTUB1</t>
  </si>
  <si>
    <t>CAMKK2</t>
  </si>
  <si>
    <t>SPRR3</t>
  </si>
  <si>
    <t>TIAM1</t>
  </si>
  <si>
    <t>PXN</t>
  </si>
  <si>
    <t>COL21A1</t>
  </si>
  <si>
    <t>SLC3A2</t>
  </si>
  <si>
    <t>ARHGAP4</t>
  </si>
  <si>
    <t>APLP2</t>
  </si>
  <si>
    <t>TPD52</t>
  </si>
  <si>
    <t>RAB35</t>
  </si>
  <si>
    <t>ABI1</t>
  </si>
  <si>
    <t>MLEC</t>
  </si>
  <si>
    <t>FEN1</t>
  </si>
  <si>
    <t>SEMA3C</t>
  </si>
  <si>
    <t>UACA</t>
  </si>
  <si>
    <t>KIAA1715</t>
  </si>
  <si>
    <t>ARHGDIB</t>
  </si>
  <si>
    <t>DCTN2</t>
  </si>
  <si>
    <t>EIF3A</t>
  </si>
  <si>
    <t>KCTD20</t>
  </si>
  <si>
    <t>ARF3</t>
  </si>
  <si>
    <t>RPS3A</t>
  </si>
  <si>
    <t>VPS26A</t>
  </si>
  <si>
    <t>BRK1</t>
  </si>
  <si>
    <t>TUBA1C</t>
  </si>
  <si>
    <t>PLBD2</t>
  </si>
  <si>
    <t>VAV1</t>
  </si>
  <si>
    <t>ACVR1B</t>
  </si>
  <si>
    <t>PSMD9</t>
  </si>
  <si>
    <t>TAP1</t>
  </si>
  <si>
    <t>B2M</t>
  </si>
  <si>
    <t>ATL3</t>
  </si>
  <si>
    <t>ACTR2</t>
  </si>
  <si>
    <t>TNFRSF1A</t>
  </si>
  <si>
    <t>GANAB</t>
  </si>
  <si>
    <t>WBP11</t>
  </si>
  <si>
    <t>PRB3</t>
  </si>
  <si>
    <t>MSRB3</t>
  </si>
  <si>
    <t>RGMA</t>
  </si>
  <si>
    <t>GBP6</t>
  </si>
  <si>
    <t>EFCAB14</t>
  </si>
  <si>
    <t>OLR1</t>
  </si>
  <si>
    <t>PTMS</t>
  </si>
  <si>
    <t>TPM1</t>
  </si>
  <si>
    <t>ANXA8L1</t>
  </si>
  <si>
    <t>OLFM1</t>
  </si>
  <si>
    <t>DEF6</t>
  </si>
  <si>
    <t>SPINT1</t>
  </si>
  <si>
    <t>P4HB</t>
  </si>
  <si>
    <t>CADM1</t>
  </si>
  <si>
    <t>SIPA1</t>
  </si>
  <si>
    <t>NECAP2</t>
  </si>
  <si>
    <t>TNFRSF14</t>
  </si>
  <si>
    <t>CCT2</t>
  </si>
  <si>
    <t>CNOT2</t>
  </si>
  <si>
    <t>C12orf10</t>
  </si>
  <si>
    <t>NAP1L1</t>
  </si>
  <si>
    <t>ALDH7A1</t>
  </si>
  <si>
    <t>METAP2</t>
  </si>
  <si>
    <t>RPL18</t>
  </si>
  <si>
    <t>POC1B-GALNT4</t>
  </si>
  <si>
    <t>MUCL1</t>
  </si>
  <si>
    <t>OSBPL8</t>
  </si>
  <si>
    <t>CPM</t>
  </si>
  <si>
    <t>DENR</t>
  </si>
  <si>
    <t>ARHGAP9</t>
  </si>
  <si>
    <t>LALBA</t>
  </si>
  <si>
    <t>RPLP0</t>
  </si>
  <si>
    <t>SMARCC2</t>
  </si>
  <si>
    <t>VPS29</t>
  </si>
  <si>
    <t>IGFBP6</t>
  </si>
  <si>
    <t>NACA</t>
  </si>
  <si>
    <t>SARNP</t>
  </si>
  <si>
    <t>C17orf49</t>
  </si>
  <si>
    <t>CA6</t>
  </si>
  <si>
    <t>RPL6</t>
  </si>
  <si>
    <t>AK2</t>
  </si>
  <si>
    <t>BTD</t>
  </si>
  <si>
    <t>MYL6</t>
  </si>
  <si>
    <t>HNRNPA1</t>
  </si>
  <si>
    <t>UBAP2L</t>
  </si>
  <si>
    <t>GOLIM4</t>
  </si>
  <si>
    <t>CTSD</t>
  </si>
  <si>
    <t>RPL10</t>
  </si>
  <si>
    <t>FAM21A</t>
  </si>
  <si>
    <t>CTNNA1</t>
  </si>
  <si>
    <t>MASP1</t>
  </si>
  <si>
    <t>RAB24</t>
  </si>
  <si>
    <t>DYNC1I2</t>
  </si>
  <si>
    <t>RTN4</t>
  </si>
  <si>
    <t>STX3</t>
  </si>
  <si>
    <t>COLQ</t>
  </si>
  <si>
    <t>EIF2A</t>
  </si>
  <si>
    <t>CCT7</t>
  </si>
  <si>
    <t>KLK1</t>
  </si>
  <si>
    <t>ST13</t>
  </si>
  <si>
    <t>GALM</t>
  </si>
  <si>
    <t>LAIR1</t>
  </si>
  <si>
    <t>ARPC4</t>
  </si>
  <si>
    <t>LILRA6</t>
  </si>
  <si>
    <t>PDCD10</t>
  </si>
  <si>
    <t>MUC16</t>
  </si>
  <si>
    <t>KYNU</t>
  </si>
  <si>
    <t>RALB</t>
  </si>
  <si>
    <t>DLGAP4</t>
  </si>
  <si>
    <t>CLTA</t>
  </si>
  <si>
    <t>UBE2V2</t>
  </si>
  <si>
    <t>IPCEF1</t>
  </si>
  <si>
    <t>CASP1</t>
  </si>
  <si>
    <t>DPP3</t>
  </si>
  <si>
    <t>TMED3</t>
  </si>
  <si>
    <t>SEPT7</t>
  </si>
  <si>
    <t>NUP107</t>
  </si>
  <si>
    <t>PSMA6</t>
  </si>
  <si>
    <t>ACYP1</t>
  </si>
  <si>
    <t>ATP6V1D</t>
  </si>
  <si>
    <t>MTHFD1</t>
  </si>
  <si>
    <t>FAM177A1</t>
  </si>
  <si>
    <t>NUMB</t>
  </si>
  <si>
    <t>CKB</t>
  </si>
  <si>
    <t>GMFB</t>
  </si>
  <si>
    <t>FBLN5</t>
  </si>
  <si>
    <t>EML1</t>
  </si>
  <si>
    <t>KTN1</t>
  </si>
  <si>
    <t>LTBP2</t>
  </si>
  <si>
    <t>SYNE3</t>
  </si>
  <si>
    <t>HNRNPC</t>
  </si>
  <si>
    <t>NDRG2</t>
  </si>
  <si>
    <t>APEX1</t>
  </si>
  <si>
    <t>SERPINA3</t>
  </si>
  <si>
    <t>COCH</t>
  </si>
  <si>
    <t>CFI</t>
  </si>
  <si>
    <t>COMP</t>
  </si>
  <si>
    <t>TMPO</t>
  </si>
  <si>
    <t>GIMAP4</t>
  </si>
  <si>
    <t>TMPRSS5</t>
  </si>
  <si>
    <t>PDIA3</t>
  </si>
  <si>
    <t>COBLL1</t>
  </si>
  <si>
    <t>APOL1</t>
  </si>
  <si>
    <t>TGFBI</t>
  </si>
  <si>
    <t>MIA3</t>
  </si>
  <si>
    <t>CDSN</t>
  </si>
  <si>
    <t>CD44</t>
  </si>
  <si>
    <t>ALDH1A3</t>
  </si>
  <si>
    <t>EIF4G2</t>
  </si>
  <si>
    <t>TJP1</t>
  </si>
  <si>
    <t>DUT</t>
  </si>
  <si>
    <t>KIAA0319L</t>
  </si>
  <si>
    <t>FCGR3B</t>
  </si>
  <si>
    <t>APMAP</t>
  </si>
  <si>
    <t>PSMF1</t>
  </si>
  <si>
    <t>PSMD4</t>
  </si>
  <si>
    <t>PTGDS</t>
  </si>
  <si>
    <t>UROD</t>
  </si>
  <si>
    <t>TRIM33</t>
  </si>
  <si>
    <t>UFM1</t>
  </si>
  <si>
    <t>STK24</t>
  </si>
  <si>
    <t>ATP6AP2</t>
  </si>
  <si>
    <t>FCGR3A</t>
  </si>
  <si>
    <t>PCCA</t>
  </si>
  <si>
    <t>DNAH8</t>
  </si>
  <si>
    <t>PGM3</t>
  </si>
  <si>
    <t>SEPT11</t>
  </si>
  <si>
    <t>MLLT4</t>
  </si>
  <si>
    <t>RAP1GDS1</t>
  </si>
  <si>
    <t>PDCD6</t>
  </si>
  <si>
    <t>MAN2B2</t>
  </si>
  <si>
    <t>KLKB1</t>
  </si>
  <si>
    <t>TMPRSS11A</t>
  </si>
  <si>
    <t>C8orf58</t>
  </si>
  <si>
    <t>AP3B1</t>
  </si>
  <si>
    <t>LARP1</t>
  </si>
  <si>
    <t>GSR</t>
  </si>
  <si>
    <t>REPS1</t>
  </si>
  <si>
    <t>EFEMP2</t>
  </si>
  <si>
    <t>PICALM</t>
  </si>
  <si>
    <t>DAK</t>
  </si>
  <si>
    <t>STIM1</t>
  </si>
  <si>
    <t>CR1</t>
  </si>
  <si>
    <t>CHI3L2</t>
  </si>
  <si>
    <t>RPS2</t>
  </si>
  <si>
    <t>SERPINH1</t>
  </si>
  <si>
    <t>LAMTOR1</t>
  </si>
  <si>
    <t>GLTP</t>
  </si>
  <si>
    <t>RAB6A</t>
  </si>
  <si>
    <t>RYR2</t>
  </si>
  <si>
    <t>ATP5B</t>
  </si>
  <si>
    <t>CORO1C</t>
  </si>
  <si>
    <t>MARS</t>
  </si>
  <si>
    <t>PABPN1</t>
  </si>
  <si>
    <t>SNX1</t>
  </si>
  <si>
    <t>CHP1</t>
  </si>
  <si>
    <t>SNRPA1</t>
  </si>
  <si>
    <t>ANXA2</t>
  </si>
  <si>
    <t>CASC4</t>
  </si>
  <si>
    <t>ANP32A</t>
  </si>
  <si>
    <t>RPS17L</t>
  </si>
  <si>
    <t>PSME1</t>
  </si>
  <si>
    <t>RAB8B</t>
  </si>
  <si>
    <t>AKR7A2</t>
  </si>
  <si>
    <t>CD55</t>
  </si>
  <si>
    <t>RPL4</t>
  </si>
  <si>
    <t>SNAP23</t>
  </si>
  <si>
    <t>HEXA</t>
  </si>
  <si>
    <t>MVD</t>
  </si>
  <si>
    <t>FUS</t>
  </si>
  <si>
    <t>HAGH</t>
  </si>
  <si>
    <t>ARPP19</t>
  </si>
  <si>
    <t>APRT</t>
  </si>
  <si>
    <t>IST1</t>
  </si>
  <si>
    <t>hCG_2044799</t>
  </si>
  <si>
    <t>RBMX</t>
  </si>
  <si>
    <t>SIRPB1</t>
  </si>
  <si>
    <t>PCBP2</t>
  </si>
  <si>
    <t>AMDHD2</t>
  </si>
  <si>
    <t>CARHSP1</t>
  </si>
  <si>
    <t>RAB27A</t>
  </si>
  <si>
    <t>SCAMP2</t>
  </si>
  <si>
    <t>NUP93</t>
  </si>
  <si>
    <t>MBTPS1</t>
  </si>
  <si>
    <t>PRSS8</t>
  </si>
  <si>
    <t>LYPD6B</t>
  </si>
  <si>
    <t>FGFR2</t>
  </si>
  <si>
    <t>COL18A1</t>
  </si>
  <si>
    <t>WDR44</t>
  </si>
  <si>
    <t>LTN1</t>
  </si>
  <si>
    <t>CIT</t>
  </si>
  <si>
    <t>EPS15</t>
  </si>
  <si>
    <t>PDGFA</t>
  </si>
  <si>
    <t>PPIL3</t>
  </si>
  <si>
    <t>DARS</t>
  </si>
  <si>
    <t>KREMEN1</t>
  </si>
  <si>
    <t>ITGA6</t>
  </si>
  <si>
    <t>ESD</t>
  </si>
  <si>
    <t>ALB</t>
  </si>
  <si>
    <t>CTDSP1</t>
  </si>
  <si>
    <t>APEH</t>
  </si>
  <si>
    <t>NAGK</t>
  </si>
  <si>
    <t>GNS</t>
  </si>
  <si>
    <t>PPP1R7</t>
  </si>
  <si>
    <t>ZBTB8OS</t>
  </si>
  <si>
    <t>BCS1L</t>
  </si>
  <si>
    <t>ARHGAP25</t>
  </si>
  <si>
    <t>PPP4R2</t>
  </si>
  <si>
    <t>LCN2</t>
  </si>
  <si>
    <t>CEACAM5</t>
  </si>
  <si>
    <t>NSF</t>
  </si>
  <si>
    <t>MEFV</t>
  </si>
  <si>
    <t>SMG1</t>
  </si>
  <si>
    <t>CDH5</t>
  </si>
  <si>
    <t>RNF167</t>
  </si>
  <si>
    <t>FLYWCH2</t>
  </si>
  <si>
    <t>ACAP1</t>
  </si>
  <si>
    <t>PITPNA</t>
  </si>
  <si>
    <t>EIF5A</t>
  </si>
  <si>
    <t>PFN1</t>
  </si>
  <si>
    <t>NDE1</t>
  </si>
  <si>
    <t>COL1A1</t>
  </si>
  <si>
    <t>GLOD4</t>
  </si>
  <si>
    <t>NPLOC4</t>
  </si>
  <si>
    <t>PPP4C</t>
  </si>
  <si>
    <t>SCPEP1</t>
  </si>
  <si>
    <t>FABP5</t>
  </si>
  <si>
    <t>NPC2</t>
  </si>
  <si>
    <t>LDLR</t>
  </si>
  <si>
    <t>NOMO3</t>
  </si>
  <si>
    <t>ETFA</t>
  </si>
  <si>
    <t>TPM3</t>
  </si>
  <si>
    <t>CAMP</t>
  </si>
  <si>
    <t>CYB5A</t>
  </si>
  <si>
    <t>SEC16A</t>
  </si>
  <si>
    <t>FSCN1</t>
  </si>
  <si>
    <t>NUP98</t>
  </si>
  <si>
    <t>CRISP3</t>
  </si>
  <si>
    <t>NME2</t>
  </si>
  <si>
    <t>STAT1</t>
  </si>
  <si>
    <t>ALDOA</t>
  </si>
  <si>
    <t>DDT</t>
  </si>
  <si>
    <t>RGPD8</t>
  </si>
  <si>
    <t>TGOLN2</t>
  </si>
  <si>
    <t>CNDP1</t>
  </si>
  <si>
    <t>TMEM199</t>
  </si>
  <si>
    <t>NT5C</t>
  </si>
  <si>
    <t>CASC3</t>
  </si>
  <si>
    <t>LPO</t>
  </si>
  <si>
    <t>HN1</t>
  </si>
  <si>
    <t>CBFB</t>
  </si>
  <si>
    <t>CDH3</t>
  </si>
  <si>
    <t>RPL26</t>
  </si>
  <si>
    <t>NSFL1C</t>
  </si>
  <si>
    <t>LIMD2</t>
  </si>
  <si>
    <t>SCRN2</t>
  </si>
  <si>
    <t>SNRPD1</t>
  </si>
  <si>
    <t>VWA1</t>
  </si>
  <si>
    <t>RALBP1</t>
  </si>
  <si>
    <t>DUS1L</t>
  </si>
  <si>
    <t>USP14</t>
  </si>
  <si>
    <t>RAB31</t>
  </si>
  <si>
    <t>MYL12A</t>
  </si>
  <si>
    <t>NAPG</t>
  </si>
  <si>
    <t>UBB</t>
  </si>
  <si>
    <t>MTAP</t>
  </si>
  <si>
    <t>ABLIM1</t>
  </si>
  <si>
    <t>LMNB2</t>
  </si>
  <si>
    <t>PRAM1</t>
  </si>
  <si>
    <t>EML2</t>
  </si>
  <si>
    <t>WBP2</t>
  </si>
  <si>
    <t>TNFSF13</t>
  </si>
  <si>
    <t>STAT5A</t>
  </si>
  <si>
    <t>PTBP1</t>
  </si>
  <si>
    <t>TXNL1</t>
  </si>
  <si>
    <t>EVPL</t>
  </si>
  <si>
    <t>PPL</t>
  </si>
  <si>
    <t>TREM1</t>
  </si>
  <si>
    <t>C19orf77</t>
  </si>
  <si>
    <t>FLOT2</t>
  </si>
  <si>
    <t>PRKCSH</t>
  </si>
  <si>
    <t>DNM2</t>
  </si>
  <si>
    <t>TBCB</t>
  </si>
  <si>
    <t>CIRBP</t>
  </si>
  <si>
    <t>PARK7</t>
  </si>
  <si>
    <t>GIPC1</t>
  </si>
  <si>
    <t>ACTG1</t>
  </si>
  <si>
    <t>SGTA</t>
  </si>
  <si>
    <t>KRT19</t>
  </si>
  <si>
    <t>H3F3B</t>
  </si>
  <si>
    <t>PPP1R13L</t>
  </si>
  <si>
    <t>U2AF2</t>
  </si>
  <si>
    <t>RAD23A</t>
  </si>
  <si>
    <t>EPG5</t>
  </si>
  <si>
    <t>BCAM</t>
  </si>
  <si>
    <t>PDCD5</t>
  </si>
  <si>
    <t>CFD</t>
  </si>
  <si>
    <t>APOC1</t>
  </si>
  <si>
    <t>ICAM3</t>
  </si>
  <si>
    <t>EIF3K</t>
  </si>
  <si>
    <t>CAPNS1</t>
  </si>
  <si>
    <t>COPE</t>
  </si>
  <si>
    <t>ETHE1</t>
  </si>
  <si>
    <t>AKAP8L</t>
  </si>
  <si>
    <t>GMFG</t>
  </si>
  <si>
    <t>SNRNP70</t>
  </si>
  <si>
    <t>KLK7</t>
  </si>
  <si>
    <t>LYPD5</t>
  </si>
  <si>
    <t>PLD3</t>
  </si>
  <si>
    <t>KLK11</t>
  </si>
  <si>
    <t>GGCT</t>
  </si>
  <si>
    <t>ARHGEF1</t>
  </si>
  <si>
    <t>ELAVL1</t>
  </si>
  <si>
    <t>RPL18A</t>
  </si>
  <si>
    <t>NAPA</t>
  </si>
  <si>
    <t>ESM1</t>
  </si>
  <si>
    <t>RAB4B</t>
  </si>
  <si>
    <t>FKBP8</t>
  </si>
  <si>
    <t>KLK3</t>
  </si>
  <si>
    <t>RPS19</t>
  </si>
  <si>
    <t>EPS15L1</t>
  </si>
  <si>
    <t>MYO9B</t>
  </si>
  <si>
    <t>PAFAH1B3</t>
  </si>
  <si>
    <t>PDLIM1</t>
  </si>
  <si>
    <t>MYO1F</t>
  </si>
  <si>
    <t>ATOX1</t>
  </si>
  <si>
    <t>HIP1</t>
  </si>
  <si>
    <t>CLIC1</t>
  </si>
  <si>
    <t>QSOX1</t>
  </si>
  <si>
    <t>MANBA</t>
  </si>
  <si>
    <t>AGRN</t>
  </si>
  <si>
    <t>HMGN4</t>
  </si>
  <si>
    <t>FCN1</t>
  </si>
  <si>
    <t>CYR61</t>
  </si>
  <si>
    <t>CES2</t>
  </si>
  <si>
    <t>MAN2B1</t>
  </si>
  <si>
    <t>PDXK</t>
  </si>
  <si>
    <t>ISLR</t>
  </si>
  <si>
    <t>ADAM10</t>
  </si>
  <si>
    <t>IMPA2</t>
  </si>
  <si>
    <t>SLC9A3R1</t>
  </si>
  <si>
    <t>TPP1</t>
  </si>
  <si>
    <t>TNFRSF10C</t>
  </si>
  <si>
    <t>PSMA7</t>
  </si>
  <si>
    <t>SCAMP3</t>
  </si>
  <si>
    <t>TAX1BP3</t>
  </si>
  <si>
    <t>PPP1R12A</t>
  </si>
  <si>
    <t>HNRPDL</t>
  </si>
  <si>
    <t>SPTBN2</t>
  </si>
  <si>
    <t>PLXNB2</t>
  </si>
  <si>
    <t>PFAS</t>
  </si>
  <si>
    <t>SCAMP1</t>
  </si>
  <si>
    <t>ARPC1B</t>
  </si>
  <si>
    <t>ARPC2</t>
  </si>
  <si>
    <t>ARPC3</t>
  </si>
  <si>
    <t>PFDN6</t>
  </si>
  <si>
    <t>ZNF185</t>
  </si>
  <si>
    <t>CHAD</t>
  </si>
  <si>
    <t>SIGLEC5</t>
  </si>
  <si>
    <t>STX7</t>
  </si>
  <si>
    <t>ARPC5</t>
  </si>
  <si>
    <t>DHX15</t>
  </si>
  <si>
    <t>PHGDH</t>
  </si>
  <si>
    <t>KLK10</t>
  </si>
  <si>
    <t>PSMD3</t>
  </si>
  <si>
    <t>SPINT2</t>
  </si>
  <si>
    <t>TPD52L2</t>
  </si>
  <si>
    <t>PROM1</t>
  </si>
  <si>
    <t>B3GNT1</t>
  </si>
  <si>
    <t>WIPF1</t>
  </si>
  <si>
    <t>TRAPPC3</t>
  </si>
  <si>
    <t>ASNA1</t>
  </si>
  <si>
    <t>ACTN4</t>
  </si>
  <si>
    <t>STRN</t>
  </si>
  <si>
    <t>CALU</t>
  </si>
  <si>
    <t>AKR1B10</t>
  </si>
  <si>
    <t>TIMM8A</t>
  </si>
  <si>
    <t>TMPRSS11D</t>
  </si>
  <si>
    <t>KLK8</t>
  </si>
  <si>
    <t>SPAG9</t>
  </si>
  <si>
    <t>LY75</t>
  </si>
  <si>
    <t>SYNCRIP</t>
  </si>
  <si>
    <t>TLR2</t>
  </si>
  <si>
    <t>PLIN3</t>
  </si>
  <si>
    <t>UGDH</t>
  </si>
  <si>
    <t>USO1</t>
  </si>
  <si>
    <t>EDF1</t>
  </si>
  <si>
    <t>BRD4</t>
  </si>
  <si>
    <t>CTSL2</t>
  </si>
  <si>
    <t>WDR1</t>
  </si>
  <si>
    <t>ATP6V1G1</t>
  </si>
  <si>
    <t>VPS4B</t>
  </si>
  <si>
    <t>H2AFY</t>
  </si>
  <si>
    <t>SH3BGRL</t>
  </si>
  <si>
    <t>SEC22B</t>
  </si>
  <si>
    <t>CLN5</t>
  </si>
  <si>
    <t>SF3B1</t>
  </si>
  <si>
    <t>SKAP2</t>
  </si>
  <si>
    <t>PGLYRP1</t>
  </si>
  <si>
    <t>CREG1</t>
  </si>
  <si>
    <t>TIPRL</t>
  </si>
  <si>
    <t>RP2</t>
  </si>
  <si>
    <t>CBR3</t>
  </si>
  <si>
    <t>IDH1</t>
  </si>
  <si>
    <t>ATRN</t>
  </si>
  <si>
    <t>STAM2</t>
  </si>
  <si>
    <t>DNAJC8</t>
  </si>
  <si>
    <t>CPD</t>
  </si>
  <si>
    <t>SASH3</t>
  </si>
  <si>
    <t>SNCG</t>
  </si>
  <si>
    <t>DDAH1</t>
  </si>
  <si>
    <t>CNTN5</t>
  </si>
  <si>
    <t>STK10</t>
  </si>
  <si>
    <t>PROSC</t>
  </si>
  <si>
    <t>ENDOD1</t>
  </si>
  <si>
    <t>HAUS5</t>
  </si>
  <si>
    <t>SLITRK5</t>
  </si>
  <si>
    <t>SCEL</t>
  </si>
  <si>
    <t>STBD1</t>
  </si>
  <si>
    <t>LYPD3</t>
  </si>
  <si>
    <t>VAPB</t>
  </si>
  <si>
    <t>PGLS</t>
  </si>
  <si>
    <t>SVIL</t>
  </si>
  <si>
    <t>FMNL1</t>
  </si>
  <si>
    <t>NADK</t>
  </si>
  <si>
    <t>STAMBP</t>
  </si>
  <si>
    <t>PPP1R3D</t>
  </si>
  <si>
    <t>RAB3D</t>
  </si>
  <si>
    <t>OXSR1</t>
  </si>
  <si>
    <t>PTBP3</t>
  </si>
  <si>
    <t>AP2A1</t>
  </si>
  <si>
    <t>BAG3</t>
  </si>
  <si>
    <t>ANGPTL1</t>
  </si>
  <si>
    <t>DDAH2</t>
  </si>
  <si>
    <t>TXNDC12</t>
  </si>
  <si>
    <t>NUDT3</t>
  </si>
  <si>
    <t>LDHA</t>
  </si>
  <si>
    <t>ALDH1A1</t>
  </si>
  <si>
    <t>SOD1</t>
  </si>
  <si>
    <t>F13A1</t>
  </si>
  <si>
    <t>PNP</t>
  </si>
  <si>
    <t>HPRT1</t>
  </si>
  <si>
    <t>PGK1</t>
  </si>
  <si>
    <t>F2</t>
  </si>
  <si>
    <t>HP</t>
  </si>
  <si>
    <t>HPR</t>
  </si>
  <si>
    <t>PLG</t>
  </si>
  <si>
    <t>F12</t>
  </si>
  <si>
    <t>ADA</t>
  </si>
  <si>
    <t>CA1</t>
  </si>
  <si>
    <t>CA2</t>
  </si>
  <si>
    <t>SERPINC1</t>
  </si>
  <si>
    <t>SERPINA1</t>
  </si>
  <si>
    <t>AGT</t>
  </si>
  <si>
    <t>A2M</t>
  </si>
  <si>
    <t>C3</t>
  </si>
  <si>
    <t>C5</t>
  </si>
  <si>
    <t>CST3</t>
  </si>
  <si>
    <t>CST4</t>
  </si>
  <si>
    <t>CST1</t>
  </si>
  <si>
    <t>CSTA</t>
  </si>
  <si>
    <t>KNG1</t>
  </si>
  <si>
    <t>KRAS</t>
  </si>
  <si>
    <t>EGF</t>
  </si>
  <si>
    <t>IGF2</t>
  </si>
  <si>
    <t>IGJ</t>
  </si>
  <si>
    <t>PIGR</t>
  </si>
  <si>
    <t>IGKC</t>
  </si>
  <si>
    <t>IGHG1</t>
  </si>
  <si>
    <t>IGHG2</t>
  </si>
  <si>
    <t>IGHG3</t>
  </si>
  <si>
    <t>IGHG4</t>
  </si>
  <si>
    <t>IGHM</t>
  </si>
  <si>
    <t>IGHA1</t>
  </si>
  <si>
    <t>IGHA2</t>
  </si>
  <si>
    <t>IGHD</t>
  </si>
  <si>
    <t>APOA1</t>
  </si>
  <si>
    <t>APOE</t>
  </si>
  <si>
    <t>APOA2</t>
  </si>
  <si>
    <t>FGA</t>
  </si>
  <si>
    <t>FGB</t>
  </si>
  <si>
    <t>C9</t>
  </si>
  <si>
    <t>APOH</t>
  </si>
  <si>
    <t>LRG1</t>
  </si>
  <si>
    <t>FN1</t>
  </si>
  <si>
    <t>AMBP</t>
  </si>
  <si>
    <t>ORM1</t>
  </si>
  <si>
    <t>TTR</t>
  </si>
  <si>
    <t>HPX</t>
  </si>
  <si>
    <t>PRH1</t>
  </si>
  <si>
    <t>PRB2</t>
  </si>
  <si>
    <t>SMR3B</t>
  </si>
  <si>
    <t>ANG</t>
  </si>
  <si>
    <t>SLPI</t>
  </si>
  <si>
    <t>C4BPA</t>
  </si>
  <si>
    <t>VTN</t>
  </si>
  <si>
    <t>CAT</t>
  </si>
  <si>
    <t>FUCA1</t>
  </si>
  <si>
    <t>CSTB</t>
  </si>
  <si>
    <t>ANXA1</t>
  </si>
  <si>
    <t>APOB</t>
  </si>
  <si>
    <t>HRG</t>
  </si>
  <si>
    <t>A1BG</t>
  </si>
  <si>
    <t>KRT6B</t>
  </si>
  <si>
    <t>VWF</t>
  </si>
  <si>
    <t>SEMG1</t>
  </si>
  <si>
    <t>GAPDH</t>
  </si>
  <si>
    <t>ASL</t>
  </si>
  <si>
    <t>AMY1A</t>
  </si>
  <si>
    <t>HSPB1</t>
  </si>
  <si>
    <t>ARG1</t>
  </si>
  <si>
    <t>ALDH2</t>
  </si>
  <si>
    <t>ITGB2</t>
  </si>
  <si>
    <t>S100A8</t>
  </si>
  <si>
    <t>SERPINB2</t>
  </si>
  <si>
    <t>SLC25A5</t>
  </si>
  <si>
    <t>SERPINA5</t>
  </si>
  <si>
    <t>F13B</t>
  </si>
  <si>
    <t>MPO</t>
  </si>
  <si>
    <t>EIF2S1</t>
  </si>
  <si>
    <t>HMGN2</t>
  </si>
  <si>
    <t>ICAM1</t>
  </si>
  <si>
    <t>RPLP2</t>
  </si>
  <si>
    <t>SSB</t>
  </si>
  <si>
    <t>SERPINA7</t>
  </si>
  <si>
    <t>SERPIND1</t>
  </si>
  <si>
    <t>CSN2</t>
  </si>
  <si>
    <t>MYL1</t>
  </si>
  <si>
    <t>GLA</t>
  </si>
  <si>
    <t>GSN</t>
  </si>
  <si>
    <t>PGR</t>
  </si>
  <si>
    <t>C2</t>
  </si>
  <si>
    <t>S100A9</t>
  </si>
  <si>
    <t>APOA4</t>
  </si>
  <si>
    <t>ENO1</t>
  </si>
  <si>
    <t>PYGL</t>
  </si>
  <si>
    <t>GPI</t>
  </si>
  <si>
    <t>NPM1</t>
  </si>
  <si>
    <t>DBI</t>
  </si>
  <si>
    <t>LDHB</t>
  </si>
  <si>
    <t>GPX1</t>
  </si>
  <si>
    <t>PROS1</t>
  </si>
  <si>
    <t>C8A</t>
  </si>
  <si>
    <t>C8G</t>
  </si>
  <si>
    <t>CAPN1</t>
  </si>
  <si>
    <t>IVL</t>
  </si>
  <si>
    <t>DCN</t>
  </si>
  <si>
    <t>HEXB</t>
  </si>
  <si>
    <t>CTSL1</t>
  </si>
  <si>
    <t>BPGM</t>
  </si>
  <si>
    <t>EPRS</t>
  </si>
  <si>
    <t>HSP90AA1</t>
  </si>
  <si>
    <t>LYN</t>
  </si>
  <si>
    <t>FH</t>
  </si>
  <si>
    <t>RNASE1</t>
  </si>
  <si>
    <t>HSPA1A</t>
  </si>
  <si>
    <t>MSMB</t>
  </si>
  <si>
    <t>SERPINA6</t>
  </si>
  <si>
    <t>HSP90AB1</t>
  </si>
  <si>
    <t>SRPR</t>
  </si>
  <si>
    <t>ELANE</t>
  </si>
  <si>
    <t>SOD3</t>
  </si>
  <si>
    <t>CTSG</t>
  </si>
  <si>
    <t>MGP</t>
  </si>
  <si>
    <t>PLEK</t>
  </si>
  <si>
    <t>CD14</t>
  </si>
  <si>
    <t>MFI2</t>
  </si>
  <si>
    <t>CFH</t>
  </si>
  <si>
    <t>VIM</t>
  </si>
  <si>
    <t>SERPINF2</t>
  </si>
  <si>
    <t>GNAI3</t>
  </si>
  <si>
    <t>CST2</t>
  </si>
  <si>
    <t>CXCL1</t>
  </si>
  <si>
    <t>LGALS1</t>
  </si>
  <si>
    <t>HMGB1</t>
  </si>
  <si>
    <t>FBP1</t>
  </si>
  <si>
    <t>CLTB</t>
  </si>
  <si>
    <t>INHBB</t>
  </si>
  <si>
    <t>CTSH</t>
  </si>
  <si>
    <t>TACSTD2</t>
  </si>
  <si>
    <t>C1S</t>
  </si>
  <si>
    <t>FURIN</t>
  </si>
  <si>
    <t>LTA4H</t>
  </si>
  <si>
    <t>C4A</t>
  </si>
  <si>
    <t>C4B</t>
  </si>
  <si>
    <t>IGLC2</t>
  </si>
  <si>
    <t>IGLC3</t>
  </si>
  <si>
    <t>CHTF8</t>
  </si>
  <si>
    <t>SAA1</t>
  </si>
  <si>
    <t>RNASE2</t>
  </si>
  <si>
    <t>TROVE2</t>
  </si>
  <si>
    <t>GAA</t>
  </si>
  <si>
    <t>HIST1H1E</t>
  </si>
  <si>
    <t>SPP1</t>
  </si>
  <si>
    <t>PTPRF</t>
  </si>
  <si>
    <t>TXN</t>
  </si>
  <si>
    <t>COX5B</t>
  </si>
  <si>
    <t>C7</t>
  </si>
  <si>
    <t>PRKAR1A</t>
  </si>
  <si>
    <t>HSPD1</t>
  </si>
  <si>
    <t>CLU</t>
  </si>
  <si>
    <t>HSPA5</t>
  </si>
  <si>
    <t>LAMC1</t>
  </si>
  <si>
    <t>HSPA8</t>
  </si>
  <si>
    <t>EPB41</t>
  </si>
  <si>
    <t>UMPS</t>
  </si>
  <si>
    <t>ITGAM</t>
  </si>
  <si>
    <t>PYGB</t>
  </si>
  <si>
    <t>LAMP1</t>
  </si>
  <si>
    <t>G6PD</t>
  </si>
  <si>
    <t>IGF2R</t>
  </si>
  <si>
    <t>PCNA</t>
  </si>
  <si>
    <t>COL6A1</t>
  </si>
  <si>
    <t>COL6A2</t>
  </si>
  <si>
    <t>PIP</t>
  </si>
  <si>
    <t>BMP3</t>
  </si>
  <si>
    <t>RNASE3</t>
  </si>
  <si>
    <t>ACTN1</t>
  </si>
  <si>
    <t>CDH1</t>
  </si>
  <si>
    <t>XRCC5</t>
  </si>
  <si>
    <t>IFI30</t>
  </si>
  <si>
    <t>RNH1</t>
  </si>
  <si>
    <t>CYBA</t>
  </si>
  <si>
    <t>EEF2</t>
  </si>
  <si>
    <t>PDIA4</t>
  </si>
  <si>
    <t>C6</t>
  </si>
  <si>
    <t>LCP1</t>
  </si>
  <si>
    <t>EDN3</t>
  </si>
  <si>
    <t>SELL</t>
  </si>
  <si>
    <t>MIF</t>
  </si>
  <si>
    <t>HCLS1</t>
  </si>
  <si>
    <t>FDPS</t>
  </si>
  <si>
    <t>AKR1A1</t>
  </si>
  <si>
    <t>PLA2G2A</t>
  </si>
  <si>
    <t>PKM</t>
  </si>
  <si>
    <t>HSP90B1</t>
  </si>
  <si>
    <t>IDE</t>
  </si>
  <si>
    <t>MMP9</t>
  </si>
  <si>
    <t>COX6B1</t>
  </si>
  <si>
    <t>GLUL</t>
  </si>
  <si>
    <t>ANPEP</t>
  </si>
  <si>
    <t>PVR</t>
  </si>
  <si>
    <t>RAC2</t>
  </si>
  <si>
    <t>ARSA</t>
  </si>
  <si>
    <t>ACPP</t>
  </si>
  <si>
    <t>EZR</t>
  </si>
  <si>
    <t>FOLR1</t>
  </si>
  <si>
    <t>HTN1</t>
  </si>
  <si>
    <t>HTN3</t>
  </si>
  <si>
    <t>NME1</t>
  </si>
  <si>
    <t>ARSB</t>
  </si>
  <si>
    <t>DSP</t>
  </si>
  <si>
    <t>TIMP2</t>
  </si>
  <si>
    <t>CBR1</t>
  </si>
  <si>
    <t>PECAM1</t>
  </si>
  <si>
    <t>PPP3CB</t>
  </si>
  <si>
    <t>NCK1</t>
  </si>
  <si>
    <t>HIST1H1B</t>
  </si>
  <si>
    <t>CRISP2</t>
  </si>
  <si>
    <t>CPE</t>
  </si>
  <si>
    <t>STMN1</t>
  </si>
  <si>
    <t>YBX3</t>
  </si>
  <si>
    <t>NAGA</t>
  </si>
  <si>
    <t>HSPA6</t>
  </si>
  <si>
    <t>HMGA1</t>
  </si>
  <si>
    <t>GOT1</t>
  </si>
  <si>
    <t>BPI</t>
  </si>
  <si>
    <t>PFKL</t>
  </si>
  <si>
    <t>GM2A</t>
  </si>
  <si>
    <t>LGALS3</t>
  </si>
  <si>
    <t>IGFBP3</t>
  </si>
  <si>
    <t>TCP1</t>
  </si>
  <si>
    <t>IGFBP2</t>
  </si>
  <si>
    <t>RPL7</t>
  </si>
  <si>
    <t>VCL</t>
  </si>
  <si>
    <t>IL1RN</t>
  </si>
  <si>
    <t>PGAM1</t>
  </si>
  <si>
    <t>PAM</t>
  </si>
  <si>
    <t>VCAM1</t>
  </si>
  <si>
    <t>NCL</t>
  </si>
  <si>
    <t>ERCC3</t>
  </si>
  <si>
    <t>EIF2AK2</t>
  </si>
  <si>
    <t>ORM2</t>
  </si>
  <si>
    <t>ITIH1</t>
  </si>
  <si>
    <t>CEL</t>
  </si>
  <si>
    <t>NCF2</t>
  </si>
  <si>
    <t>PI3</t>
  </si>
  <si>
    <t>AMY2B</t>
  </si>
  <si>
    <t>TCN1</t>
  </si>
  <si>
    <t>AZU1</t>
  </si>
  <si>
    <t>PSMB1</t>
  </si>
  <si>
    <t>LMNB1</t>
  </si>
  <si>
    <t>EFNA1</t>
  </si>
  <si>
    <t>AGA</t>
  </si>
  <si>
    <t>ENDOU</t>
  </si>
  <si>
    <t>ATP6V1B2</t>
  </si>
  <si>
    <t>FLNA</t>
  </si>
  <si>
    <t>EPHA1</t>
  </si>
  <si>
    <t>COMT</t>
  </si>
  <si>
    <t>GART</t>
  </si>
  <si>
    <t>UBA1</t>
  </si>
  <si>
    <t>GPX3</t>
  </si>
  <si>
    <t>SPRR1B</t>
  </si>
  <si>
    <t>SPRR2E</t>
  </si>
  <si>
    <t>SPRR2D</t>
  </si>
  <si>
    <t>HNRNPA2B1</t>
  </si>
  <si>
    <t>PRKACB</t>
  </si>
  <si>
    <t>TGM1</t>
  </si>
  <si>
    <t>CA4</t>
  </si>
  <si>
    <t>CPN2</t>
  </si>
  <si>
    <t>PROZ</t>
  </si>
  <si>
    <t>MMP8</t>
  </si>
  <si>
    <t>CES1</t>
  </si>
  <si>
    <t>FBLN1</t>
  </si>
  <si>
    <t>SFPQ</t>
  </si>
  <si>
    <t>PPIB</t>
  </si>
  <si>
    <t>ME2</t>
  </si>
  <si>
    <t>WARS</t>
  </si>
  <si>
    <t>RPS3</t>
  </si>
  <si>
    <t>PTPRG</t>
  </si>
  <si>
    <t>AHCY</t>
  </si>
  <si>
    <t>CFL1</t>
  </si>
  <si>
    <t>CPT2</t>
  </si>
  <si>
    <t>FCAR</t>
  </si>
  <si>
    <t>PRTN3</t>
  </si>
  <si>
    <t>EEF1B2</t>
  </si>
  <si>
    <t>IGFBP5</t>
  </si>
  <si>
    <t>DNASE1</t>
  </si>
  <si>
    <t>ADRBK1</t>
  </si>
  <si>
    <t>MPST</t>
  </si>
  <si>
    <t>RPS12</t>
  </si>
  <si>
    <t>DNAJB1</t>
  </si>
  <si>
    <t>ATP5A1</t>
  </si>
  <si>
    <t>CTSS</t>
  </si>
  <si>
    <t>PSMA1</t>
  </si>
  <si>
    <t>PSMA3</t>
  </si>
  <si>
    <t>S100P</t>
  </si>
  <si>
    <t>MSN</t>
  </si>
  <si>
    <t>S100A4</t>
  </si>
  <si>
    <t>MGAT1</t>
  </si>
  <si>
    <t>HMGB2</t>
  </si>
  <si>
    <t>TARS</t>
  </si>
  <si>
    <t>EEF1G</t>
  </si>
  <si>
    <t>FKBP2</t>
  </si>
  <si>
    <t>STOM</t>
  </si>
  <si>
    <t>PON1</t>
  </si>
  <si>
    <t>YWHAQ</t>
  </si>
  <si>
    <t>G0S2</t>
  </si>
  <si>
    <t>CALML3</t>
  </si>
  <si>
    <t>DPP4</t>
  </si>
  <si>
    <t>CALR</t>
  </si>
  <si>
    <t>CANX</t>
  </si>
  <si>
    <t>CFP</t>
  </si>
  <si>
    <t>PSMA5</t>
  </si>
  <si>
    <t>PSMB4</t>
  </si>
  <si>
    <t>PSMB6</t>
  </si>
  <si>
    <t>CST5</t>
  </si>
  <si>
    <t>GRN</t>
  </si>
  <si>
    <t>LAP3</t>
  </si>
  <si>
    <t>TNFRSF8</t>
  </si>
  <si>
    <t>S100A2</t>
  </si>
  <si>
    <t>IMPA1</t>
  </si>
  <si>
    <t>CTGF</t>
  </si>
  <si>
    <t>EPHA2</t>
  </si>
  <si>
    <t>PTPN6</t>
  </si>
  <si>
    <t>SHC1</t>
  </si>
  <si>
    <t>CRABP2</t>
  </si>
  <si>
    <t>COL4A5</t>
  </si>
  <si>
    <t>TKT</t>
  </si>
  <si>
    <t>SERPINB3</t>
  </si>
  <si>
    <t>MARCKS</t>
  </si>
  <si>
    <t>ERP29</t>
  </si>
  <si>
    <t>PRDX6</t>
  </si>
  <si>
    <t>BLVRB</t>
  </si>
  <si>
    <t>PRDX5</t>
  </si>
  <si>
    <t>ATP5D</t>
  </si>
  <si>
    <t>RPL12</t>
  </si>
  <si>
    <t>PEBP1</t>
  </si>
  <si>
    <t>FCER1G</t>
  </si>
  <si>
    <t>NMT1</t>
  </si>
  <si>
    <t>ADSS</t>
  </si>
  <si>
    <t>LRPAP1</t>
  </si>
  <si>
    <t>CLIP1</t>
  </si>
  <si>
    <t>SERPINB1</t>
  </si>
  <si>
    <t>LCN1</t>
  </si>
  <si>
    <t>CORO1A</t>
  </si>
  <si>
    <t>GDI1</t>
  </si>
  <si>
    <t>S100A7</t>
  </si>
  <si>
    <t>HNRNPH3</t>
  </si>
  <si>
    <t>CASP14</t>
  </si>
  <si>
    <t>YWHAB</t>
  </si>
  <si>
    <t>SFN</t>
  </si>
  <si>
    <t>STIP1</t>
  </si>
  <si>
    <t>S100A11</t>
  </si>
  <si>
    <t>CEACAM8</t>
  </si>
  <si>
    <t>PRDX2</t>
  </si>
  <si>
    <t>CDA</t>
  </si>
  <si>
    <t>GBP1</t>
  </si>
  <si>
    <t>DSG3</t>
  </si>
  <si>
    <t>KIF5B</t>
  </si>
  <si>
    <t>LSP1</t>
  </si>
  <si>
    <t>MAN1A1</t>
  </si>
  <si>
    <t>RNASE4</t>
  </si>
  <si>
    <t>EVI2B</t>
  </si>
  <si>
    <t>HSPA4</t>
  </si>
  <si>
    <t>GPC1</t>
  </si>
  <si>
    <t>SERPINB6</t>
  </si>
  <si>
    <t>RDX</t>
  </si>
  <si>
    <t>SPRR1A</t>
  </si>
  <si>
    <t>SPRR2B</t>
  </si>
  <si>
    <t>SPRR2A</t>
  </si>
  <si>
    <t>MYH9</t>
  </si>
  <si>
    <t>NUP214</t>
  </si>
  <si>
    <t>GLRX</t>
  </si>
  <si>
    <t>IGFALS</t>
  </si>
  <si>
    <t>PSMC2</t>
  </si>
  <si>
    <t>CHI3L1</t>
  </si>
  <si>
    <t>NUDT1</t>
  </si>
  <si>
    <t>PGM1</t>
  </si>
  <si>
    <t>SERPINB5</t>
  </si>
  <si>
    <t>SERPINF1</t>
  </si>
  <si>
    <t>CFHR2</t>
  </si>
  <si>
    <t>TAGLN2</t>
  </si>
  <si>
    <t>TALDO1</t>
  </si>
  <si>
    <t>ETFB</t>
  </si>
  <si>
    <t>HSPA9</t>
  </si>
  <si>
    <t>CAPG</t>
  </si>
  <si>
    <t>IL6ST</t>
  </si>
  <si>
    <t>ADH7</t>
  </si>
  <si>
    <t>MDH1</t>
  </si>
  <si>
    <t>MDH2</t>
  </si>
  <si>
    <t>EIF2S3</t>
  </si>
  <si>
    <t>MNDA</t>
  </si>
  <si>
    <t>UBA7</t>
  </si>
  <si>
    <t>CSK</t>
  </si>
  <si>
    <t>GARS</t>
  </si>
  <si>
    <t>WAS</t>
  </si>
  <si>
    <t>PRCP</t>
  </si>
  <si>
    <t>CXCL5</t>
  </si>
  <si>
    <t>PAFAH1B1</t>
  </si>
  <si>
    <t>MCAM</t>
  </si>
  <si>
    <t>GRK6</t>
  </si>
  <si>
    <t>SYK</t>
  </si>
  <si>
    <t>NAMPT</t>
  </si>
  <si>
    <t>AFM</t>
  </si>
  <si>
    <t>PSMC4</t>
  </si>
  <si>
    <t>PPIC</t>
  </si>
  <si>
    <t>USP5</t>
  </si>
  <si>
    <t>CRKL</t>
  </si>
  <si>
    <t>RPS9</t>
  </si>
  <si>
    <t>RPS10</t>
  </si>
  <si>
    <t>IQGAP1</t>
  </si>
  <si>
    <t>GYG1</t>
  </si>
  <si>
    <t>CAPZA2</t>
  </si>
  <si>
    <t>RPL29</t>
  </si>
  <si>
    <t>LGALS7</t>
  </si>
  <si>
    <t>PREP</t>
  </si>
  <si>
    <t>ME1</t>
  </si>
  <si>
    <t>GCLM</t>
  </si>
  <si>
    <t>SERPINB4</t>
  </si>
  <si>
    <t>SERPINB10</t>
  </si>
  <si>
    <t>PRRC2A</t>
  </si>
  <si>
    <t>GSS</t>
  </si>
  <si>
    <t>HSPA13</t>
  </si>
  <si>
    <t>MARCKSL1</t>
  </si>
  <si>
    <t>MAPKAPK2</t>
  </si>
  <si>
    <t>ALDH9A1</t>
  </si>
  <si>
    <t>RPIA</t>
  </si>
  <si>
    <t>LMAN1</t>
  </si>
  <si>
    <t>NASP</t>
  </si>
  <si>
    <t>FASN</t>
  </si>
  <si>
    <t>TUFM</t>
  </si>
  <si>
    <t>TMED10</t>
  </si>
  <si>
    <t>HINT1</t>
  </si>
  <si>
    <t>RARRES1</t>
  </si>
  <si>
    <t>SERPINB8</t>
  </si>
  <si>
    <t>SERPINB9</t>
  </si>
  <si>
    <t>VASP</t>
  </si>
  <si>
    <t>TNFSF10</t>
  </si>
  <si>
    <t>RASSF2</t>
  </si>
  <si>
    <t>CCT4</t>
  </si>
  <si>
    <t>RAB7A</t>
  </si>
  <si>
    <t>RAB9A</t>
  </si>
  <si>
    <t>BCAP31</t>
  </si>
  <si>
    <t>TPMT</t>
  </si>
  <si>
    <t>HDGF</t>
  </si>
  <si>
    <t>LUM</t>
  </si>
  <si>
    <t>HNRNPA3</t>
  </si>
  <si>
    <t>FUT6</t>
  </si>
  <si>
    <t>ARHGDIA</t>
  </si>
  <si>
    <t>HNRNPF</t>
  </si>
  <si>
    <t>HK3</t>
  </si>
  <si>
    <t>EFNB2</t>
  </si>
  <si>
    <t>CAPZA1</t>
  </si>
  <si>
    <t>BLVRA</t>
  </si>
  <si>
    <t>ARFIP1</t>
  </si>
  <si>
    <t>SUCLG1</t>
  </si>
  <si>
    <t>CTSC</t>
  </si>
  <si>
    <t>SUB1</t>
  </si>
  <si>
    <t>YARS</t>
  </si>
  <si>
    <t>FXYD2</t>
  </si>
  <si>
    <t>RAD23B</t>
  </si>
  <si>
    <t>EPHB3</t>
  </si>
  <si>
    <t>NAGLU</t>
  </si>
  <si>
    <t>SLURP1</t>
  </si>
  <si>
    <t>VCP</t>
  </si>
  <si>
    <t>MANF</t>
  </si>
  <si>
    <t>ADK</t>
  </si>
  <si>
    <t>LAMB2</t>
  </si>
  <si>
    <t>CDKN2D</t>
  </si>
  <si>
    <t>CDH13</t>
  </si>
  <si>
    <t>EIF3B</t>
  </si>
  <si>
    <t>BID</t>
  </si>
  <si>
    <t>EIF6</t>
  </si>
  <si>
    <t>RAB25</t>
  </si>
  <si>
    <t>EPPK1</t>
  </si>
  <si>
    <t>MTPN</t>
  </si>
  <si>
    <t>DEFA3</t>
  </si>
  <si>
    <t>DEFB1</t>
  </si>
  <si>
    <t>TPI1</t>
  </si>
  <si>
    <t>EIF4A1</t>
  </si>
  <si>
    <t>RPS20</t>
  </si>
  <si>
    <t>CDC42</t>
  </si>
  <si>
    <t>DSTN</t>
  </si>
  <si>
    <t>RAB8A</t>
  </si>
  <si>
    <t>RAB2A</t>
  </si>
  <si>
    <t>RAB5B</t>
  </si>
  <si>
    <t>RAB10</t>
  </si>
  <si>
    <t>UBE2D3</t>
  </si>
  <si>
    <t>UBE2N</t>
  </si>
  <si>
    <t>RAB14</t>
  </si>
  <si>
    <t>ACTR3</t>
  </si>
  <si>
    <t>PCBD1</t>
  </si>
  <si>
    <t>RHOA</t>
  </si>
  <si>
    <t>LYZ</t>
  </si>
  <si>
    <t>NUTF2</t>
  </si>
  <si>
    <t>YWHAG</t>
  </si>
  <si>
    <t>PPP1CA</t>
  </si>
  <si>
    <t>YWHAE</t>
  </si>
  <si>
    <t>RPS14</t>
  </si>
  <si>
    <t>RPS18</t>
  </si>
  <si>
    <t>TMSB4X</t>
  </si>
  <si>
    <t>PSMC6</t>
  </si>
  <si>
    <t>HIST1H4A</t>
  </si>
  <si>
    <t>RPS25</t>
  </si>
  <si>
    <t>RPS28</t>
  </si>
  <si>
    <t>RPL10A</t>
  </si>
  <si>
    <t>PPIA</t>
  </si>
  <si>
    <t>FKBP1A</t>
  </si>
  <si>
    <t>GRB2</t>
  </si>
  <si>
    <t>RAC1</t>
  </si>
  <si>
    <t>YWHAZ</t>
  </si>
  <si>
    <t>ACTG2</t>
  </si>
  <si>
    <t>TMSB10</t>
  </si>
  <si>
    <t>TPM4</t>
  </si>
  <si>
    <t>UBE2L3</t>
  </si>
  <si>
    <t>TUBB4B</t>
  </si>
  <si>
    <t>HBB</t>
  </si>
  <si>
    <t>HBA1</t>
  </si>
  <si>
    <t>SIRPA</t>
  </si>
  <si>
    <t>GSTO1</t>
  </si>
  <si>
    <t>GPLD1</t>
  </si>
  <si>
    <t>NUCB2</t>
  </si>
  <si>
    <t>S100A12</t>
  </si>
  <si>
    <t>BASP1</t>
  </si>
  <si>
    <t>DEFB103A</t>
  </si>
  <si>
    <t>DCD</t>
  </si>
  <si>
    <t>ERH</t>
  </si>
  <si>
    <t>RHOG</t>
  </si>
  <si>
    <t>HSPG2</t>
  </si>
  <si>
    <t>EFNB1</t>
  </si>
  <si>
    <t>CLTC</t>
  </si>
  <si>
    <t>FKBP3</t>
  </si>
  <si>
    <t>HNRNPU</t>
  </si>
  <si>
    <t>SPTBN1</t>
  </si>
  <si>
    <t>SET</t>
  </si>
  <si>
    <t>CTBS</t>
  </si>
  <si>
    <t>CAP1</t>
  </si>
  <si>
    <t>HMGCS1</t>
  </si>
  <si>
    <t>SEMG2</t>
  </si>
  <si>
    <t>DSG1</t>
  </si>
  <si>
    <t>DSC2</t>
  </si>
  <si>
    <t>GCNT1</t>
  </si>
  <si>
    <t>MAP2K1</t>
  </si>
  <si>
    <t>FKBP4</t>
  </si>
  <si>
    <t>NUCB1</t>
  </si>
  <si>
    <t>TFF2</t>
  </si>
  <si>
    <t>PLAUR</t>
  </si>
  <si>
    <t>CFHR1</t>
  </si>
  <si>
    <t>FOLH1</t>
  </si>
  <si>
    <t>GLO1</t>
  </si>
  <si>
    <t>YWHAH</t>
  </si>
  <si>
    <t>PTPN12</t>
  </si>
  <si>
    <t>CLC</t>
  </si>
  <si>
    <t>PRKCD</t>
  </si>
  <si>
    <t>COL14A1</t>
  </si>
  <si>
    <t>FMOD</t>
  </si>
  <si>
    <t>PRDX1</t>
  </si>
  <si>
    <t>TREX2</t>
  </si>
  <si>
    <t>CKAP4</t>
  </si>
  <si>
    <t>TFF3</t>
  </si>
  <si>
    <t>BAX</t>
  </si>
  <si>
    <t>ARHGAP1</t>
  </si>
  <si>
    <t>TGM3</t>
  </si>
  <si>
    <t>PPP3CA</t>
  </si>
  <si>
    <t>DDR1</t>
  </si>
  <si>
    <t>LGALS3BP</t>
  </si>
  <si>
    <t>DSC1</t>
  </si>
  <si>
    <t>PPID</t>
  </si>
  <si>
    <t>SIGLEC14</t>
  </si>
  <si>
    <t>AHNAK</t>
  </si>
  <si>
    <t>MGAT2</t>
  </si>
  <si>
    <t>AP1B1</t>
  </si>
  <si>
    <t>SCRN1</t>
  </si>
  <si>
    <t>AKAP13</t>
  </si>
  <si>
    <t>EFEMP1</t>
  </si>
  <si>
    <t>FSTL1</t>
  </si>
  <si>
    <t>ILF3</t>
  </si>
  <si>
    <t>PTPRJ</t>
  </si>
  <si>
    <t>STK4</t>
  </si>
  <si>
    <t>FLII</t>
  </si>
  <si>
    <t>PDZK1IP1</t>
  </si>
  <si>
    <t>PAK1</t>
  </si>
  <si>
    <t>PRDX4</t>
  </si>
  <si>
    <t>PAK2</t>
  </si>
  <si>
    <t>CBX3</t>
  </si>
  <si>
    <t>DNAJC3</t>
  </si>
  <si>
    <t>CHIT1</t>
  </si>
  <si>
    <t>PTPRS</t>
  </si>
  <si>
    <t>MSLN</t>
  </si>
  <si>
    <t>IGF-I</t>
  </si>
  <si>
    <t>PDAP1</t>
  </si>
  <si>
    <t>ADAM15</t>
  </si>
  <si>
    <t>ROCK1</t>
  </si>
  <si>
    <t>RAB32</t>
  </si>
  <si>
    <t>PKP1</t>
  </si>
  <si>
    <t>IL16</t>
  </si>
  <si>
    <t>COTL1</t>
  </si>
  <si>
    <t>COL9A3</t>
  </si>
  <si>
    <t>IL18</t>
  </si>
  <si>
    <t>DAG1</t>
  </si>
  <si>
    <t>DSG2</t>
  </si>
  <si>
    <t>TRIM29</t>
  </si>
  <si>
    <t>TTLL12</t>
  </si>
  <si>
    <t>DYNC1H1</t>
  </si>
  <si>
    <t>LY6D</t>
  </si>
  <si>
    <t>PTK2B</t>
  </si>
  <si>
    <t>FGL2</t>
  </si>
  <si>
    <t>FZD2</t>
  </si>
  <si>
    <t>GALNT3</t>
  </si>
  <si>
    <t>WFDC2</t>
  </si>
  <si>
    <t>SPARCL1</t>
  </si>
  <si>
    <t>HABP2</t>
  </si>
  <si>
    <t>DSC3</t>
  </si>
  <si>
    <t>ITIH4</t>
  </si>
  <si>
    <t>CLINT1</t>
  </si>
  <si>
    <t>MESDC2</t>
  </si>
  <si>
    <t>MVP</t>
  </si>
  <si>
    <t>LTBP1</t>
  </si>
  <si>
    <t>LASP1</t>
  </si>
  <si>
    <t>PTGR1</t>
  </si>
  <si>
    <t>KPNB1</t>
  </si>
  <si>
    <t>CLCA4</t>
  </si>
  <si>
    <t>EFTUD2</t>
  </si>
  <si>
    <t>EIF4H</t>
  </si>
  <si>
    <t>EEA1</t>
  </si>
  <si>
    <t>NCF4</t>
  </si>
  <si>
    <t>PCOLCE</t>
  </si>
  <si>
    <t>PLEC</t>
  </si>
  <si>
    <t>PON3</t>
  </si>
  <si>
    <t>PPA1</t>
  </si>
  <si>
    <t>STK38</t>
  </si>
  <si>
    <t>PVRL1</t>
  </si>
  <si>
    <t>NONO</t>
  </si>
  <si>
    <t>PCBP1</t>
  </si>
  <si>
    <t>EPHA7</t>
  </si>
  <si>
    <t>RSU1</t>
  </si>
  <si>
    <t>SAFB</t>
  </si>
  <si>
    <t>MAPRE1</t>
  </si>
  <si>
    <t>CST6</t>
  </si>
  <si>
    <t>STXBP2</t>
  </si>
  <si>
    <t>VAMP3</t>
  </si>
  <si>
    <t>ADIRF</t>
  </si>
  <si>
    <t>ATP6AP1</t>
  </si>
  <si>
    <t>RAB11B</t>
  </si>
  <si>
    <t>ZYX</t>
  </si>
  <si>
    <t>IGFBP7</t>
  </si>
  <si>
    <t>SLC15A2</t>
  </si>
  <si>
    <t>PRR4</t>
  </si>
  <si>
    <t>PKN1</t>
  </si>
  <si>
    <t>CDC37</t>
  </si>
  <si>
    <t>DPYSL2</t>
  </si>
  <si>
    <t>ECM1</t>
  </si>
  <si>
    <t>MAN2A1</t>
  </si>
  <si>
    <t>QPCT</t>
  </si>
  <si>
    <t>REL</t>
  </si>
  <si>
    <t>PDCD8</t>
  </si>
  <si>
    <t>TMEM132A</t>
  </si>
  <si>
    <t>LRRC26</t>
  </si>
  <si>
    <t>LRRFIP1</t>
  </si>
  <si>
    <t>MAP7D1</t>
  </si>
  <si>
    <t>KLK12</t>
  </si>
  <si>
    <t>CCDC40</t>
  </si>
  <si>
    <t>HAL</t>
  </si>
  <si>
    <t>ASPRV1</t>
  </si>
  <si>
    <t>DKFZp686F13224</t>
  </si>
  <si>
    <t>HSP90AA4P</t>
  </si>
  <si>
    <t>F9</t>
  </si>
  <si>
    <t>UTS2</t>
  </si>
  <si>
    <t>TIMP1</t>
  </si>
  <si>
    <t>TUBB</t>
  </si>
  <si>
    <t>SH3KBP1</t>
  </si>
  <si>
    <t>RPS8</t>
  </si>
  <si>
    <t>FGD3</t>
  </si>
  <si>
    <t>COA6</t>
  </si>
  <si>
    <t>F10</t>
  </si>
  <si>
    <t>TRIM32</t>
  </si>
  <si>
    <t>STAU1</t>
  </si>
  <si>
    <t>CD164L2</t>
  </si>
  <si>
    <t>CTSA</t>
  </si>
  <si>
    <t>SNX5</t>
  </si>
  <si>
    <t>RALY</t>
  </si>
  <si>
    <t>MAPK13</t>
  </si>
  <si>
    <t>PPM1L</t>
  </si>
  <si>
    <t>NPDC1</t>
  </si>
  <si>
    <t>CLIC3</t>
  </si>
  <si>
    <t>HLA-A</t>
  </si>
  <si>
    <t>APOM</t>
  </si>
  <si>
    <t>HP1BP3</t>
  </si>
  <si>
    <t>AIF1</t>
  </si>
  <si>
    <t>DNMBP</t>
  </si>
  <si>
    <t>CMPK1</t>
  </si>
  <si>
    <t>C6orf132</t>
  </si>
  <si>
    <t>SH3BGRL3</t>
  </si>
  <si>
    <t>FKBP15</t>
  </si>
  <si>
    <t>NCSTN</t>
  </si>
  <si>
    <t>XPNPEP1</t>
  </si>
  <si>
    <t>HNRNPK</t>
  </si>
  <si>
    <t>KPRP</t>
  </si>
  <si>
    <t>XP32</t>
  </si>
  <si>
    <t>SRSF11</t>
  </si>
  <si>
    <t>RPL7A</t>
  </si>
  <si>
    <t>ITIH2</t>
  </si>
  <si>
    <t>BCL2L15</t>
  </si>
  <si>
    <t>UCHL3</t>
  </si>
  <si>
    <t>NQO2</t>
  </si>
  <si>
    <t>RPA2</t>
  </si>
  <si>
    <t>NT5DC1</t>
  </si>
  <si>
    <t>FGR</t>
  </si>
  <si>
    <t>EEF1A1P5</t>
  </si>
  <si>
    <t>VSIG8</t>
  </si>
  <si>
    <t>RPL11</t>
  </si>
  <si>
    <t>RBP4</t>
  </si>
  <si>
    <t>ARHGEF2</t>
  </si>
  <si>
    <t>ACO1</t>
  </si>
  <si>
    <t>GLIPR2</t>
  </si>
  <si>
    <t>CELF2</t>
  </si>
  <si>
    <t>TPT1</t>
  </si>
  <si>
    <t>RAB18</t>
  </si>
  <si>
    <t>DKFZp781M17165</t>
  </si>
  <si>
    <t>VASN</t>
  </si>
  <si>
    <t>PTRHD1</t>
  </si>
  <si>
    <t>C4orf40</t>
  </si>
  <si>
    <t>EPHB2</t>
  </si>
  <si>
    <t>SCGB2A2</t>
  </si>
  <si>
    <t>PPP1R18</t>
  </si>
  <si>
    <t>APOC2</t>
  </si>
  <si>
    <t>ANXA4</t>
  </si>
  <si>
    <t>PLBD1</t>
  </si>
  <si>
    <t>C6orf58</t>
  </si>
  <si>
    <t>ATAD2</t>
  </si>
  <si>
    <t>TMED8</t>
  </si>
  <si>
    <t>AGTRAP</t>
  </si>
  <si>
    <t>SBSN</t>
  </si>
  <si>
    <t>PRSS57</t>
  </si>
  <si>
    <t>FAM131A</t>
  </si>
  <si>
    <t>LYPD2</t>
  </si>
  <si>
    <t>SEZ6L2</t>
  </si>
  <si>
    <t>CRELD2</t>
  </si>
  <si>
    <t>LMNA</t>
  </si>
  <si>
    <t>RAB11FIP1</t>
  </si>
  <si>
    <t>RPTN</t>
  </si>
  <si>
    <t>SLCO4C1</t>
  </si>
  <si>
    <t>NCCRP1</t>
  </si>
  <si>
    <t>UNC13D</t>
  </si>
  <si>
    <t>CHMP1B</t>
  </si>
  <si>
    <t>RASGRP2</t>
  </si>
  <si>
    <t>ZFYVE16</t>
  </si>
  <si>
    <t>SZRD1</t>
  </si>
  <si>
    <t>MAVS</t>
  </si>
  <si>
    <t>VMO1</t>
  </si>
  <si>
    <t>APBB1IP</t>
  </si>
  <si>
    <t>ARHGAP30</t>
  </si>
  <si>
    <t>RAB44</t>
  </si>
  <si>
    <t>TMED4</t>
  </si>
  <si>
    <t>GALNT5</t>
  </si>
  <si>
    <t>GALNT7</t>
  </si>
  <si>
    <t>GPR126</t>
  </si>
  <si>
    <t>TMPRSS11B</t>
  </si>
  <si>
    <t>SETD3</t>
  </si>
  <si>
    <t>LGMN</t>
  </si>
  <si>
    <t>OAF</t>
  </si>
  <si>
    <t>RTN4RL1</t>
  </si>
  <si>
    <t>ABCA13</t>
  </si>
  <si>
    <t>FERMT3</t>
  </si>
  <si>
    <t>TXNDC5</t>
  </si>
  <si>
    <t>VPS36</t>
  </si>
  <si>
    <t>CAND1</t>
  </si>
  <si>
    <t>VSIG10L</t>
  </si>
  <si>
    <t>HOOK3</t>
  </si>
  <si>
    <t>NLRP8</t>
  </si>
  <si>
    <t>NIT1</t>
  </si>
  <si>
    <t>PTK7</t>
  </si>
  <si>
    <t>TBC1D10C</t>
  </si>
  <si>
    <t>TEX2</t>
  </si>
  <si>
    <t>LMTK2</t>
  </si>
  <si>
    <t>SIRT2</t>
  </si>
  <si>
    <t>GALNT12</t>
  </si>
  <si>
    <t>SLX4</t>
  </si>
  <si>
    <t>SYTL1</t>
  </si>
  <si>
    <t>OSCAR</t>
  </si>
  <si>
    <t>PHACTR4</t>
  </si>
  <si>
    <t>LRRC47</t>
  </si>
  <si>
    <t>PROM2</t>
  </si>
  <si>
    <t>GAPT</t>
  </si>
  <si>
    <t>EHBP1L1</t>
  </si>
  <si>
    <t>FGFRL1</t>
  </si>
  <si>
    <t>SFRP1</t>
  </si>
  <si>
    <t>BPIFB2</t>
  </si>
  <si>
    <t>OXR1</t>
  </si>
  <si>
    <t>FAM101B</t>
  </si>
  <si>
    <t>CD177</t>
  </si>
  <si>
    <t>GOLM1</t>
  </si>
  <si>
    <t>COLGALT1</t>
  </si>
  <si>
    <t>MST4</t>
  </si>
  <si>
    <t>SERBP1</t>
  </si>
  <si>
    <t>GALNT6</t>
  </si>
  <si>
    <t>DYNC2H1</t>
  </si>
  <si>
    <t>APOA1BP</t>
  </si>
  <si>
    <t>CNNM3</t>
  </si>
  <si>
    <t>ABCF1</t>
  </si>
  <si>
    <t>LFNG</t>
  </si>
  <si>
    <t>DNER</t>
  </si>
  <si>
    <t>FDCSP</t>
  </si>
  <si>
    <t>CADM4</t>
  </si>
  <si>
    <t>SVIP</t>
  </si>
  <si>
    <t>MCFD2</t>
  </si>
  <si>
    <t>MUC7</t>
  </si>
  <si>
    <t>MAPK15</t>
  </si>
  <si>
    <t>BICD2</t>
  </si>
  <si>
    <t>PLEKHO2</t>
  </si>
  <si>
    <t>BPIFB1</t>
  </si>
  <si>
    <t>MICAL1</t>
  </si>
  <si>
    <t>MZB1</t>
  </si>
  <si>
    <t>SMAP2</t>
  </si>
  <si>
    <t>KIAA1199</t>
  </si>
  <si>
    <t>PDCD6IP</t>
  </si>
  <si>
    <t>RPS21</t>
  </si>
  <si>
    <t>CANT1</t>
  </si>
  <si>
    <t>TRAPPC12</t>
  </si>
  <si>
    <t>POF1B</t>
  </si>
  <si>
    <t>PCNP</t>
  </si>
  <si>
    <t>ITLN1</t>
  </si>
  <si>
    <t>SELM</t>
  </si>
  <si>
    <t>WFDC12</t>
  </si>
  <si>
    <t>ZCCHC14</t>
  </si>
  <si>
    <t>LZIC</t>
  </si>
  <si>
    <t>SMPDL3B</t>
  </si>
  <si>
    <t>HSPH1</t>
  </si>
  <si>
    <t>HMHA1</t>
  </si>
  <si>
    <t>TTC9</t>
  </si>
  <si>
    <t>SORL1</t>
  </si>
  <si>
    <t>ANP32B</t>
  </si>
  <si>
    <t>PVRL2</t>
  </si>
  <si>
    <t>HTRA1</t>
  </si>
  <si>
    <t>ARPC1A</t>
  </si>
  <si>
    <t>GGH</t>
  </si>
  <si>
    <t>INPP5D</t>
  </si>
  <si>
    <t>KLK6</t>
  </si>
  <si>
    <t>OSTF1</t>
  </si>
  <si>
    <t>GLG1</t>
  </si>
  <si>
    <t>PTPRN2</t>
  </si>
  <si>
    <t>KHSRP</t>
  </si>
  <si>
    <t>PRG4</t>
  </si>
  <si>
    <t>HIST1H2AC</t>
  </si>
  <si>
    <t>TCEAL3</t>
  </si>
  <si>
    <t>C19orf10</t>
  </si>
  <si>
    <t>EXOC4</t>
  </si>
  <si>
    <t>FAM3D</t>
  </si>
  <si>
    <t>PTER</t>
  </si>
  <si>
    <t>LENG1</t>
  </si>
  <si>
    <t>EFHD2</t>
  </si>
  <si>
    <t>DCPS</t>
  </si>
  <si>
    <t>PPP1R14B</t>
  </si>
  <si>
    <t>CTHRC1</t>
  </si>
  <si>
    <t>ISOC1</t>
  </si>
  <si>
    <t>CCDC124</t>
  </si>
  <si>
    <t>KCTD12</t>
  </si>
  <si>
    <t>ZG16B</t>
  </si>
  <si>
    <t>SHISA4</t>
  </si>
  <si>
    <t>BPIFA2</t>
  </si>
  <si>
    <t>NRBF2</t>
  </si>
  <si>
    <t>PIK3IP1</t>
  </si>
  <si>
    <t>S100A16</t>
  </si>
  <si>
    <t>PGM2</t>
  </si>
  <si>
    <t>PDXP</t>
  </si>
  <si>
    <t>PDLIM5</t>
  </si>
  <si>
    <t>ERO1L</t>
  </si>
  <si>
    <t>DDRGK1</t>
  </si>
  <si>
    <t>KAZALD1</t>
  </si>
  <si>
    <t>CPB2</t>
  </si>
  <si>
    <t>TPD52L3</t>
  </si>
  <si>
    <t>CNDP2</t>
  </si>
  <si>
    <t>SNX27</t>
  </si>
  <si>
    <t>PVRL4</t>
  </si>
  <si>
    <t>ARAP1</t>
  </si>
  <si>
    <t>SERPINB12</t>
  </si>
  <si>
    <t>PGLYRP2</t>
  </si>
  <si>
    <t>GBP5</t>
  </si>
  <si>
    <t>GSDMA</t>
  </si>
  <si>
    <t>SCGB3A1</t>
  </si>
  <si>
    <t>SNX18</t>
  </si>
  <si>
    <t>SPRR2F</t>
  </si>
  <si>
    <t>RASL10B</t>
  </si>
  <si>
    <t>PPP1R9B</t>
  </si>
  <si>
    <t>FAM129B</t>
  </si>
  <si>
    <t>MYCBP</t>
  </si>
  <si>
    <t>NEU1</t>
  </si>
  <si>
    <t>SORT1</t>
  </si>
  <si>
    <t>VAT1</t>
  </si>
  <si>
    <t>KLF6</t>
  </si>
  <si>
    <t>TTC1</t>
  </si>
  <si>
    <t>CGREF1</t>
  </si>
  <si>
    <t>HIST1H2AJ</t>
  </si>
  <si>
    <t>HIST1H2BM</t>
  </si>
  <si>
    <t>SMR3A</t>
  </si>
  <si>
    <t>SH3GL1</t>
  </si>
  <si>
    <t>HOPX</t>
  </si>
  <si>
    <t>PRSS27</t>
  </si>
  <si>
    <t>CORO1B</t>
  </si>
  <si>
    <t>TXNDC17</t>
  </si>
  <si>
    <t>CPPED1</t>
  </si>
  <si>
    <t>SDF4</t>
  </si>
  <si>
    <t>WIBG</t>
  </si>
  <si>
    <t>ERP44</t>
  </si>
  <si>
    <t>LXN</t>
  </si>
  <si>
    <t>ESYT1</t>
  </si>
  <si>
    <t>CNPY3</t>
  </si>
  <si>
    <t>FUCA2</t>
  </si>
  <si>
    <t>PRKAR2A</t>
  </si>
  <si>
    <t>C9orf142</t>
  </si>
  <si>
    <t>HNRNPUL1</t>
  </si>
  <si>
    <t>SARG</t>
  </si>
  <si>
    <t>TPPP3</t>
  </si>
  <si>
    <t>ACAT2</t>
  </si>
  <si>
    <t>HINT2</t>
  </si>
  <si>
    <t>LGR4</t>
  </si>
  <si>
    <t>LYNX1</t>
  </si>
  <si>
    <t>ULBP2</t>
  </si>
  <si>
    <t>FAM129A</t>
  </si>
  <si>
    <t>PRSS22</t>
  </si>
  <si>
    <t>C20orf27</t>
  </si>
  <si>
    <t>PITHD1</t>
  </si>
  <si>
    <t>LACRT</t>
  </si>
  <si>
    <t>TOLLIP</t>
  </si>
  <si>
    <t>RAB6C</t>
  </si>
  <si>
    <t>NT5C3A</t>
  </si>
  <si>
    <t>RAB1B</t>
  </si>
  <si>
    <t>C11orf54</t>
  </si>
  <si>
    <t>RNASE7</t>
  </si>
  <si>
    <t>NUCKS1</t>
  </si>
  <si>
    <t>WDR13</t>
  </si>
  <si>
    <t>SEMA6A</t>
  </si>
  <si>
    <t>SLK</t>
  </si>
  <si>
    <t>BOLA2</t>
  </si>
  <si>
    <t>TMX1</t>
  </si>
  <si>
    <t>ACBD3</t>
  </si>
  <si>
    <t>DNAJC5</t>
  </si>
  <si>
    <t>CHMP4B</t>
  </si>
  <si>
    <t>FZD8</t>
  </si>
  <si>
    <t>DPEP2</t>
  </si>
  <si>
    <t>SMOC1</t>
  </si>
  <si>
    <t>EHD1</t>
  </si>
  <si>
    <t>EPS8L2</t>
  </si>
  <si>
    <t>C12orf49</t>
  </si>
  <si>
    <t>MANSC1</t>
  </si>
  <si>
    <t>MOB1A</t>
  </si>
  <si>
    <t>GORASP2</t>
  </si>
  <si>
    <t>SLC38A10</t>
  </si>
  <si>
    <t>S100A14</t>
  </si>
  <si>
    <t>RETN</t>
  </si>
  <si>
    <t>SH2D2A</t>
  </si>
  <si>
    <t>VTA1</t>
  </si>
  <si>
    <t>MMP25</t>
  </si>
  <si>
    <t>CD93</t>
  </si>
  <si>
    <t>SPINK5</t>
  </si>
  <si>
    <t>CRTAC1</t>
  </si>
  <si>
    <t>NIT2</t>
  </si>
  <si>
    <t>PDLIM7</t>
  </si>
  <si>
    <t>NANS</t>
  </si>
  <si>
    <t>HEBP1</t>
  </si>
  <si>
    <t>PHPT1</t>
  </si>
  <si>
    <t>TNFRSF19</t>
  </si>
  <si>
    <t>SEMA3G</t>
  </si>
  <si>
    <t>CTNNBIP1</t>
  </si>
  <si>
    <t>ST6GALNAC1</t>
  </si>
  <si>
    <t>ATG3</t>
  </si>
  <si>
    <t>ECHDC1</t>
  </si>
  <si>
    <t>FAM49B</t>
  </si>
  <si>
    <t>TMEM30A</t>
  </si>
  <si>
    <t>ARGLU1</t>
  </si>
  <si>
    <t>ADPRHL2</t>
  </si>
  <si>
    <t>TMOD3</t>
  </si>
  <si>
    <t>FAT2</t>
  </si>
  <si>
    <t>ERAP1</t>
  </si>
  <si>
    <t>PODXL2</t>
  </si>
  <si>
    <t>IL36G</t>
  </si>
  <si>
    <t>ITSN2</t>
  </si>
  <si>
    <t>C1RL</t>
  </si>
  <si>
    <t>CALML5</t>
  </si>
  <si>
    <t>OGFR</t>
  </si>
  <si>
    <t>CRIM1</t>
  </si>
  <si>
    <t>CHMP5</t>
  </si>
  <si>
    <t>KLK14</t>
  </si>
  <si>
    <t>VAPA</t>
  </si>
  <si>
    <t>COX16</t>
  </si>
  <si>
    <t>RCC2</t>
  </si>
  <si>
    <t>DNAH1</t>
  </si>
  <si>
    <t>RRBP1</t>
  </si>
  <si>
    <t>WDR35</t>
  </si>
  <si>
    <t>DPM3</t>
  </si>
  <si>
    <t>CRNN</t>
  </si>
  <si>
    <t>GRHPR</t>
  </si>
  <si>
    <t>CTSZ</t>
  </si>
  <si>
    <t>DNAJB9</t>
  </si>
  <si>
    <t>POLK</t>
  </si>
  <si>
    <t>BIN2</t>
  </si>
  <si>
    <t>IL13RA1</t>
  </si>
  <si>
    <t>DNAH17</t>
  </si>
  <si>
    <t>TES</t>
  </si>
  <si>
    <t>DMBT1</t>
  </si>
  <si>
    <t>IL36A</t>
  </si>
  <si>
    <t>IL19</t>
  </si>
  <si>
    <t>SEPT9</t>
  </si>
  <si>
    <t>PCSK1N</t>
  </si>
  <si>
    <t>DPP7</t>
  </si>
  <si>
    <t>PFDN2</t>
  </si>
  <si>
    <t>ATPIF1</t>
  </si>
  <si>
    <t>SERPINB13</t>
  </si>
  <si>
    <t>MSRA</t>
  </si>
  <si>
    <t>GNPTG</t>
  </si>
  <si>
    <t>DBNL</t>
  </si>
  <si>
    <t>APPL1</t>
  </si>
  <si>
    <t>KLK13</t>
  </si>
  <si>
    <t>CDV3</t>
  </si>
  <si>
    <t>RAB21</t>
  </si>
  <si>
    <t>PSME2</t>
  </si>
  <si>
    <t>TMPRSS11E</t>
  </si>
  <si>
    <t>ASAP1</t>
  </si>
  <si>
    <t>PYCARD</t>
  </si>
  <si>
    <t>PADI4</t>
  </si>
  <si>
    <t>MGAT4A</t>
  </si>
  <si>
    <t>UBQLN1</t>
  </si>
  <si>
    <t>NENF</t>
  </si>
  <si>
    <t>PACSIN2</t>
  </si>
  <si>
    <t>MINPP1</t>
  </si>
  <si>
    <t>PPP6R1</t>
  </si>
  <si>
    <t>SRRM2</t>
  </si>
  <si>
    <t>PA2G4</t>
  </si>
  <si>
    <t>RUVBL1</t>
  </si>
  <si>
    <t>NUDC</t>
  </si>
  <si>
    <t>CNPY2</t>
  </si>
  <si>
    <t>COA3</t>
  </si>
  <si>
    <t>CRYL1</t>
  </si>
  <si>
    <t>TMA7</t>
  </si>
  <si>
    <t>THRAP3</t>
  </si>
  <si>
    <t>LSM2</t>
  </si>
  <si>
    <t>TMED7</t>
  </si>
  <si>
    <t>UFC1</t>
  </si>
  <si>
    <t>FIS1</t>
  </si>
  <si>
    <t>CHMP3</t>
  </si>
  <si>
    <t>STRAP</t>
  </si>
  <si>
    <t>SH3BP1</t>
  </si>
  <si>
    <t>TSC22D4</t>
  </si>
  <si>
    <t>NEU2</t>
  </si>
  <si>
    <t>PKP3</t>
  </si>
  <si>
    <t>TLN1</t>
  </si>
  <si>
    <t>USP15</t>
  </si>
  <si>
    <t>AIM1</t>
  </si>
  <si>
    <t>PCDHGB6</t>
  </si>
  <si>
    <t>PCDHGB5</t>
  </si>
  <si>
    <t>PCDHA5</t>
  </si>
  <si>
    <t>CD2AP</t>
  </si>
  <si>
    <t>GMPPB</t>
  </si>
  <si>
    <t>ST14</t>
  </si>
  <si>
    <t>HEBP2</t>
  </si>
  <si>
    <t>FHOD1</t>
  </si>
  <si>
    <t>GPR56</t>
  </si>
  <si>
    <t>HS3ST3B1</t>
  </si>
  <si>
    <t>COPG1</t>
  </si>
  <si>
    <t>TACC3</t>
  </si>
  <si>
    <t>CHCHD2</t>
  </si>
  <si>
    <t>SQRDL</t>
  </si>
  <si>
    <t>FCGBP</t>
  </si>
  <si>
    <t>WASF2</t>
  </si>
  <si>
    <t>C1R</t>
  </si>
  <si>
    <t>BSG</t>
  </si>
  <si>
    <t>S100A6</t>
  </si>
  <si>
    <t>PPIF</t>
  </si>
  <si>
    <t>A0M8Q6</t>
  </si>
  <si>
    <t>A0MZ66-2</t>
  </si>
  <si>
    <t>A2A274</t>
  </si>
  <si>
    <t>A2A2M0</t>
  </si>
  <si>
    <t>A2A2V1</t>
  </si>
  <si>
    <t>A2A2V4</t>
  </si>
  <si>
    <t>A2A3R7</t>
  </si>
  <si>
    <t>A2A492</t>
  </si>
  <si>
    <t>A2BF36</t>
  </si>
  <si>
    <t>A5YM69</t>
  </si>
  <si>
    <t>A6NC48</t>
  </si>
  <si>
    <t>A6NC98</t>
  </si>
  <si>
    <t>A6NCC9</t>
  </si>
  <si>
    <t>A6NDF3</t>
  </si>
  <si>
    <t>A6NDG6</t>
  </si>
  <si>
    <t>A6NDJ8</t>
  </si>
  <si>
    <t>A6NFX8</t>
  </si>
  <si>
    <t>A6NG51</t>
  </si>
  <si>
    <t>A6NGP5</t>
  </si>
  <si>
    <t>A6NJH9</t>
  </si>
  <si>
    <t>A6NKB8</t>
  </si>
  <si>
    <t>A6NL93</t>
  </si>
  <si>
    <t>A6NMQ3</t>
  </si>
  <si>
    <t>A6PVM9</t>
  </si>
  <si>
    <t>A8CZ64</t>
  </si>
  <si>
    <t>A8K2U0</t>
  </si>
  <si>
    <t>A8K4G3</t>
  </si>
  <si>
    <t>A8K8E1</t>
  </si>
  <si>
    <t>A8MTF8</t>
  </si>
  <si>
    <t>A8MU39</t>
  </si>
  <si>
    <t>A8MUA9</t>
  </si>
  <si>
    <t>A8MUB1</t>
  </si>
  <si>
    <t>A8MVE2</t>
  </si>
  <si>
    <t>A8MVQ3</t>
  </si>
  <si>
    <t>A8MVS5</t>
  </si>
  <si>
    <t>A8MVU1</t>
  </si>
  <si>
    <t>A8MVZ9</t>
  </si>
  <si>
    <t>A8MX94</t>
  </si>
  <si>
    <t>A8MXL6</t>
  </si>
  <si>
    <t>B0QY21</t>
  </si>
  <si>
    <t>B0QYF0</t>
  </si>
  <si>
    <t>B0QYI1</t>
  </si>
  <si>
    <t>B0QYM9</t>
  </si>
  <si>
    <t>B0S7Z4</t>
  </si>
  <si>
    <t>B0UX83</t>
  </si>
  <si>
    <t>B0V043</t>
  </si>
  <si>
    <t>B0V0T3</t>
  </si>
  <si>
    <t>B0YIW2</t>
  </si>
  <si>
    <t>B0YIW6</t>
  </si>
  <si>
    <t>B1AHA8</t>
  </si>
  <si>
    <t>B1AHC8</t>
  </si>
  <si>
    <t>B1AJQ6</t>
  </si>
  <si>
    <t>B1AK87</t>
  </si>
  <si>
    <t>B1AKD8</t>
  </si>
  <si>
    <t>B1AMX5</t>
  </si>
  <si>
    <t>B1AN99</t>
  </si>
  <si>
    <t>B1ANH5</t>
  </si>
  <si>
    <t>B1ANW7</t>
  </si>
  <si>
    <t>B1AP58</t>
  </si>
  <si>
    <t>B1AR62</t>
  </si>
  <si>
    <t>B1AR80</t>
  </si>
  <si>
    <t>B1ARP7</t>
  </si>
  <si>
    <t>B1AVQ7</t>
  </si>
  <si>
    <t>B1B0M1</t>
  </si>
  <si>
    <t>B3EWG6</t>
  </si>
  <si>
    <t>B3KQV6</t>
  </si>
  <si>
    <t>B3KS98</t>
  </si>
  <si>
    <t>B3KSY4</t>
  </si>
  <si>
    <t>B3KUE5</t>
  </si>
  <si>
    <t>B3KUK2</t>
  </si>
  <si>
    <t>B3KW71</t>
  </si>
  <si>
    <t>B3KXW9</t>
  </si>
  <si>
    <t>B3KYB6</t>
  </si>
  <si>
    <t>B4DDF4</t>
  </si>
  <si>
    <t>B4DEK4</t>
  </si>
  <si>
    <t>B4DFR2</t>
  </si>
  <si>
    <t>B4DGB4</t>
  </si>
  <si>
    <t>B4DGQ7</t>
  </si>
  <si>
    <t>B4DIS3</t>
  </si>
  <si>
    <t>B4DIX1</t>
  </si>
  <si>
    <t>B4DJ45</t>
  </si>
  <si>
    <t>B4DJI7</t>
  </si>
  <si>
    <t>B4DJV2</t>
  </si>
  <si>
    <t>B4DKL4</t>
  </si>
  <si>
    <t>B4DKV7</t>
  </si>
  <si>
    <t>B4DLR8</t>
  </si>
  <si>
    <t>B4DMM8</t>
  </si>
  <si>
    <t>B4DN45</t>
  </si>
  <si>
    <t>B4DN60</t>
  </si>
  <si>
    <t>B4DNS5</t>
  </si>
  <si>
    <t>B4DP05</t>
  </si>
  <si>
    <t>B4DP17</t>
  </si>
  <si>
    <t>B4DPG6</t>
  </si>
  <si>
    <t>B4DPJ8</t>
  </si>
  <si>
    <t>B4DQH4</t>
  </si>
  <si>
    <t>B4DQI4</t>
  </si>
  <si>
    <t>B4DQJ8</t>
  </si>
  <si>
    <t>B4DQQ8</t>
  </si>
  <si>
    <t>B4DST5</t>
  </si>
  <si>
    <t>B4DSV9</t>
  </si>
  <si>
    <t>B4DSZ6</t>
  </si>
  <si>
    <t>B4DUI3</t>
  </si>
  <si>
    <t>B4DUR8</t>
  </si>
  <si>
    <t>B4DUS9</t>
  </si>
  <si>
    <t>B4DVE7</t>
  </si>
  <si>
    <t>B4DWL8</t>
  </si>
  <si>
    <t>B4DX42</t>
  </si>
  <si>
    <t>B4DXI0</t>
  </si>
  <si>
    <t>B4DZI8</t>
  </si>
  <si>
    <t>B4E072</t>
  </si>
  <si>
    <t>B4E0K5</t>
  </si>
  <si>
    <t>B4E0R6</t>
  </si>
  <si>
    <t>B4E132</t>
  </si>
  <si>
    <t>B4E1C5</t>
  </si>
  <si>
    <t>B4E1S6</t>
  </si>
  <si>
    <t>B4E1Z4</t>
  </si>
  <si>
    <t>B4E241</t>
  </si>
  <si>
    <t>B4E2C0</t>
  </si>
  <si>
    <t>B4E2X5</t>
  </si>
  <si>
    <t>B4E321</t>
  </si>
  <si>
    <t>B4E351</t>
  </si>
  <si>
    <t>B4E3P0</t>
  </si>
  <si>
    <t>B4E3Q1</t>
  </si>
  <si>
    <t>B4E3Q4</t>
  </si>
  <si>
    <t>B5MCT7</t>
  </si>
  <si>
    <t>B5MCT9</t>
  </si>
  <si>
    <t>B5MDF5</t>
  </si>
  <si>
    <t>B5MEB3</t>
  </si>
  <si>
    <t>B7WPD9</t>
  </si>
  <si>
    <t>B7Z1L3</t>
  </si>
  <si>
    <t>B7Z1M1</t>
  </si>
  <si>
    <t>B7Z1R5</t>
  </si>
  <si>
    <t>B7Z254</t>
  </si>
  <si>
    <t>B7Z3C7</t>
  </si>
  <si>
    <t>B7Z4K6</t>
  </si>
  <si>
    <t>B7Z4L4</t>
  </si>
  <si>
    <t>B7Z5J4</t>
  </si>
  <si>
    <t>B7Z5W1</t>
  </si>
  <si>
    <t>B7Z7N9</t>
  </si>
  <si>
    <t>B7Z7Z8</t>
  </si>
  <si>
    <t>B7Z856</t>
  </si>
  <si>
    <t>B7Z8T3</t>
  </si>
  <si>
    <t>B7Z972</t>
  </si>
  <si>
    <t>B7Z9S8</t>
  </si>
  <si>
    <t>B7ZBK6</t>
  </si>
  <si>
    <t>B7ZKW8</t>
  </si>
  <si>
    <t>B8ZZF0</t>
  </si>
  <si>
    <t>B8ZZK4</t>
  </si>
  <si>
    <t>B8ZZL8</t>
  </si>
  <si>
    <t>B8ZZQ6</t>
  </si>
  <si>
    <t>B8ZZT4</t>
  </si>
  <si>
    <t>B9A064</t>
  </si>
  <si>
    <t>B9ZVX0</t>
  </si>
  <si>
    <t>C9IZG4</t>
  </si>
  <si>
    <t>C9J0A7</t>
  </si>
  <si>
    <t>C9J1D9</t>
  </si>
  <si>
    <t>C9J1K8</t>
  </si>
  <si>
    <t>C9J1Z8</t>
  </si>
  <si>
    <t>C9J2N5</t>
  </si>
  <si>
    <t>C9J3F6</t>
  </si>
  <si>
    <t>C9J4L5</t>
  </si>
  <si>
    <t>C9J4T6</t>
  </si>
  <si>
    <t>C9J5D1</t>
  </si>
  <si>
    <t>C9J6H5</t>
  </si>
  <si>
    <t>C9J6N5</t>
  </si>
  <si>
    <t>C9J6P4</t>
  </si>
  <si>
    <t>C9J815</t>
  </si>
  <si>
    <t>C9J8E1</t>
  </si>
  <si>
    <t>C9J8M4</t>
  </si>
  <si>
    <t>C9J8Z4</t>
  </si>
  <si>
    <t>C9J973</t>
  </si>
  <si>
    <t>C9J9K3</t>
  </si>
  <si>
    <t>C9JAB2</t>
  </si>
  <si>
    <t>C9JAL0</t>
  </si>
  <si>
    <t>C9JB55</t>
  </si>
  <si>
    <t>C9JC60</t>
  </si>
  <si>
    <t>C9JEE0</t>
  </si>
  <si>
    <t>C9JEH7</t>
  </si>
  <si>
    <t>C9JES9</t>
  </si>
  <si>
    <t>C9JEU5</t>
  </si>
  <si>
    <t>C9JEV0</t>
  </si>
  <si>
    <t>C9JF17</t>
  </si>
  <si>
    <t>C9JFM0</t>
  </si>
  <si>
    <t>C9JFM2</t>
  </si>
  <si>
    <t>C9JGI3</t>
  </si>
  <si>
    <t>C9JH92</t>
  </si>
  <si>
    <t>C9JIZ6</t>
  </si>
  <si>
    <t>C9JKF1</t>
  </si>
  <si>
    <t>C9JKY3</t>
  </si>
  <si>
    <t>C9JLK0</t>
  </si>
  <si>
    <t>C9JLT3</t>
  </si>
  <si>
    <t>C9JM00</t>
  </si>
  <si>
    <t>C9JM82</t>
  </si>
  <si>
    <t>C9JMC5</t>
  </si>
  <si>
    <t>C9JMU5</t>
  </si>
  <si>
    <t>C9JNP9</t>
  </si>
  <si>
    <t>C9JP35</t>
  </si>
  <si>
    <t>C9JPQ9</t>
  </si>
  <si>
    <t>C9JQ41</t>
  </si>
  <si>
    <t>C9JQT2</t>
  </si>
  <si>
    <t>C9JRV0</t>
  </si>
  <si>
    <t>C9JSQ1</t>
  </si>
  <si>
    <t>C9JSR2</t>
  </si>
  <si>
    <t>C9JSU1</t>
  </si>
  <si>
    <t>C9JTH1</t>
  </si>
  <si>
    <t>C9JTK6</t>
  </si>
  <si>
    <t>C9JV77</t>
  </si>
  <si>
    <t>C9JVL0</t>
  </si>
  <si>
    <t>C9JWS0</t>
  </si>
  <si>
    <t>C9JXG8</t>
  </si>
  <si>
    <t>C9JXR7</t>
  </si>
  <si>
    <t>C9JY51</t>
  </si>
  <si>
    <t>C9K080</t>
  </si>
  <si>
    <t>D6R937</t>
  </si>
  <si>
    <t>D6R939</t>
  </si>
  <si>
    <t>D6R959</t>
  </si>
  <si>
    <t>D6R9P3</t>
  </si>
  <si>
    <t>D6RA82</t>
  </si>
  <si>
    <t>D6RAE8</t>
  </si>
  <si>
    <t>D6RAF8</t>
  </si>
  <si>
    <t>D6RAM3</t>
  </si>
  <si>
    <t>D6RAU2</t>
  </si>
  <si>
    <t>D6RAX3</t>
  </si>
  <si>
    <t>D6RBV0</t>
  </si>
  <si>
    <t>D6RC73</t>
  </si>
  <si>
    <t>D6RCN3</t>
  </si>
  <si>
    <t>D6RD47</t>
  </si>
  <si>
    <t>D6RD70</t>
  </si>
  <si>
    <t>D6RDM7</t>
  </si>
  <si>
    <t>D6REQ6</t>
  </si>
  <si>
    <t>D6REX5</t>
  </si>
  <si>
    <t>D6RF35</t>
  </si>
  <si>
    <t>D6RFE4</t>
  </si>
  <si>
    <t>D6RG15</t>
  </si>
  <si>
    <t>D6RHZ5</t>
  </si>
  <si>
    <t>D6RIU4</t>
  </si>
  <si>
    <t>D6RIU8</t>
  </si>
  <si>
    <t>D6RJC7</t>
  </si>
  <si>
    <t>D6RJC9</t>
  </si>
  <si>
    <t>E0CX15</t>
  </si>
  <si>
    <t>E5RFP0</t>
  </si>
  <si>
    <t>E5RFQ2</t>
  </si>
  <si>
    <t>E5RFX6</t>
  </si>
  <si>
    <t>E5RGR0</t>
  </si>
  <si>
    <t>E5RGS4</t>
  </si>
  <si>
    <t>E5RGX5</t>
  </si>
  <si>
    <t>E5RHG8</t>
  </si>
  <si>
    <t>E5RHV6</t>
  </si>
  <si>
    <t>E5RI99</t>
  </si>
  <si>
    <t>E5RIW3</t>
  </si>
  <si>
    <t>E5RJJ7</t>
  </si>
  <si>
    <t>E5RJU9</t>
  </si>
  <si>
    <t>E5RK31</t>
  </si>
  <si>
    <t>E7EMB1</t>
  </si>
  <si>
    <t>E7EMB8</t>
  </si>
  <si>
    <t>E7EMC6</t>
  </si>
  <si>
    <t>E7EMM2</t>
  </si>
  <si>
    <t>E7EMN6</t>
  </si>
  <si>
    <t>E7EMZ9</t>
  </si>
  <si>
    <t>E7EN86</t>
  </si>
  <si>
    <t>E7EN95</t>
  </si>
  <si>
    <t>E7END7</t>
  </si>
  <si>
    <t>E7ENL6</t>
  </si>
  <si>
    <t>E7ENM0</t>
  </si>
  <si>
    <t>E7ENN3</t>
  </si>
  <si>
    <t>E7ENR9</t>
  </si>
  <si>
    <t>E7EPB3</t>
  </si>
  <si>
    <t>E7EPD0</t>
  </si>
  <si>
    <t>E7EPN9</t>
  </si>
  <si>
    <t>E7EQ29</t>
  </si>
  <si>
    <t>E7EQR8</t>
  </si>
  <si>
    <t>E7EQT4</t>
  </si>
  <si>
    <t>E7EQV3</t>
  </si>
  <si>
    <t>E7ER44</t>
  </si>
  <si>
    <t>E7ERB7</t>
  </si>
  <si>
    <t>E7ERH2</t>
  </si>
  <si>
    <t>E7ERV9</t>
  </si>
  <si>
    <t>E7ES28</t>
  </si>
  <si>
    <t>E7ES35</t>
  </si>
  <si>
    <t>E7ESM1</t>
  </si>
  <si>
    <t>E7ESV4</t>
  </si>
  <si>
    <t>E7ET33</t>
  </si>
  <si>
    <t>E7ETN3</t>
  </si>
  <si>
    <t>E7ETY4</t>
  </si>
  <si>
    <t>E7ETZ0</t>
  </si>
  <si>
    <t>E7EU23</t>
  </si>
  <si>
    <t>E7EUC7</t>
  </si>
  <si>
    <t>E7EUF8</t>
  </si>
  <si>
    <t>E7EUU1</t>
  </si>
  <si>
    <t>E7EV99</t>
  </si>
  <si>
    <t>E7EVA0</t>
  </si>
  <si>
    <t>E7EW20</t>
  </si>
  <si>
    <t>E7EW52</t>
  </si>
  <si>
    <t>E7EX17</t>
  </si>
  <si>
    <t>E7EX53</t>
  </si>
  <si>
    <t>E7EX73</t>
  </si>
  <si>
    <t>E7EX90</t>
  </si>
  <si>
    <t>E7EXA8</t>
  </si>
  <si>
    <t>E9PB61</t>
  </si>
  <si>
    <t>E9PB90</t>
  </si>
  <si>
    <t>E9PBJ0</t>
  </si>
  <si>
    <t>E9PBT8</t>
  </si>
  <si>
    <t>E9PC28</t>
  </si>
  <si>
    <t>E9PCY7</t>
  </si>
  <si>
    <t>E9PDE4</t>
  </si>
  <si>
    <t>E9PDE8</t>
  </si>
  <si>
    <t>E9PDI4</t>
  </si>
  <si>
    <t>E9PE20</t>
  </si>
  <si>
    <t>E9PEB5</t>
  </si>
  <si>
    <t>E9PEF9</t>
  </si>
  <si>
    <t>E9PES6</t>
  </si>
  <si>
    <t>E9PEX6</t>
  </si>
  <si>
    <t>E9PFZ2</t>
  </si>
  <si>
    <t>E9PG40</t>
  </si>
  <si>
    <t>E9PG46</t>
  </si>
  <si>
    <t>E9PGM4</t>
  </si>
  <si>
    <t>E9PGN7</t>
  </si>
  <si>
    <t>E9PGT1</t>
  </si>
  <si>
    <t>E9PH29</t>
  </si>
  <si>
    <t>E9PHH3</t>
  </si>
  <si>
    <t>E9PHI6</t>
  </si>
  <si>
    <t>E9PHT6</t>
  </si>
  <si>
    <t>E9PID8</t>
  </si>
  <si>
    <t>E9PIR7</t>
  </si>
  <si>
    <t>E9PIZ7</t>
  </si>
  <si>
    <t>E9PJA7</t>
  </si>
  <si>
    <t>E9PJD9</t>
  </si>
  <si>
    <t>E9PJK6</t>
  </si>
  <si>
    <t>E9PJP1</t>
  </si>
  <si>
    <t>E9PJS5</t>
  </si>
  <si>
    <t>E9PJT3</t>
  </si>
  <si>
    <t>E9PK01</t>
  </si>
  <si>
    <t>E9PK08</t>
  </si>
  <si>
    <t>E9PKB5</t>
  </si>
  <si>
    <t>E9PKD1</t>
  </si>
  <si>
    <t>E9PKG3</t>
  </si>
  <si>
    <t>E9PKL9</t>
  </si>
  <si>
    <t>E9PKP4</t>
  </si>
  <si>
    <t>E9PKX0</t>
  </si>
  <si>
    <t>E9PKZ0</t>
  </si>
  <si>
    <t>E9PL19</t>
  </si>
  <si>
    <t>E9PL22</t>
  </si>
  <si>
    <t>E9PL38</t>
  </si>
  <si>
    <t>E9PL57</t>
  </si>
  <si>
    <t>E9PL83</t>
  </si>
  <si>
    <t>E9PLK3</t>
  </si>
  <si>
    <t>E9PM35</t>
  </si>
  <si>
    <t>E9PMS6</t>
  </si>
  <si>
    <t>E9PMT1</t>
  </si>
  <si>
    <t>E9PN95</t>
  </si>
  <si>
    <t>E9PNK6</t>
  </si>
  <si>
    <t>E9PNW0</t>
  </si>
  <si>
    <t>E9PNW4</t>
  </si>
  <si>
    <t>E9PP21</t>
  </si>
  <si>
    <t>E9PP76</t>
  </si>
  <si>
    <t>E9PPG2</t>
  </si>
  <si>
    <t>E9PPH5</t>
  </si>
  <si>
    <t>E9PPJ5</t>
  </si>
  <si>
    <t>E9PQI5</t>
  </si>
  <si>
    <t>E9PQI8</t>
  </si>
  <si>
    <t>E9PQW4</t>
  </si>
  <si>
    <t>E9PRA0</t>
  </si>
  <si>
    <t>E9PRD9</t>
  </si>
  <si>
    <t>E9PRM4</t>
  </si>
  <si>
    <t>E9PRR2</t>
  </si>
  <si>
    <t>E9PRX5</t>
  </si>
  <si>
    <t>E9PS38</t>
  </si>
  <si>
    <t>E9PSC2</t>
  </si>
  <si>
    <t>F2Z2U8</t>
  </si>
  <si>
    <t>F2Z2Y6</t>
  </si>
  <si>
    <t>F2Z3A8</t>
  </si>
  <si>
    <t>F2Z3K9</t>
  </si>
  <si>
    <t>F5GWP8</t>
  </si>
  <si>
    <t>F5GWT4</t>
  </si>
  <si>
    <t>F5GWY5</t>
  </si>
  <si>
    <t>F5GX07</t>
  </si>
  <si>
    <t>F5GXJ9</t>
  </si>
  <si>
    <t>F5GY03</t>
  </si>
  <si>
    <t>F5GY99</t>
  </si>
  <si>
    <t>F5GYC4</t>
  </si>
  <si>
    <t>F5GYN4</t>
  </si>
  <si>
    <t>F5GZ00</t>
  </si>
  <si>
    <t>F5GZ12</t>
  </si>
  <si>
    <t>F5GZ53</t>
  </si>
  <si>
    <t>F5GZ78</t>
  </si>
  <si>
    <t>F5GZK2</t>
  </si>
  <si>
    <t>F5GZS6</t>
  </si>
  <si>
    <t>F5GZW3</t>
  </si>
  <si>
    <t>F5GZY0</t>
  </si>
  <si>
    <t>F5H0B0</t>
  </si>
  <si>
    <t>F5H157</t>
  </si>
  <si>
    <t>F5H1G9</t>
  </si>
  <si>
    <t>F5H1S8</t>
  </si>
  <si>
    <t>F5H1Y3</t>
  </si>
  <si>
    <t>F5H1Z7</t>
  </si>
  <si>
    <t>F5H2B9</t>
  </si>
  <si>
    <t>F5H2Q7</t>
  </si>
  <si>
    <t>F5H2R5</t>
  </si>
  <si>
    <t>F5H2S7</t>
  </si>
  <si>
    <t>F5H335</t>
  </si>
  <si>
    <t>F5H3T3</t>
  </si>
  <si>
    <t>F5H423</t>
  </si>
  <si>
    <t>F5H4F9</t>
  </si>
  <si>
    <t>F5H4L7</t>
  </si>
  <si>
    <t>F5H577</t>
  </si>
  <si>
    <t>F5H5D3</t>
  </si>
  <si>
    <t>F5H5E2</t>
  </si>
  <si>
    <t>F5H5P4</t>
  </si>
  <si>
    <t>F5H5Q2</t>
  </si>
  <si>
    <t>F5H5V4</t>
  </si>
  <si>
    <t>F5H648</t>
  </si>
  <si>
    <t>F5H6I0</t>
  </si>
  <si>
    <t>F5H6I7</t>
  </si>
  <si>
    <t>F5H6T1</t>
  </si>
  <si>
    <t>F5H6V7</t>
  </si>
  <si>
    <t>F5H6X6</t>
  </si>
  <si>
    <t>F5H721</t>
  </si>
  <si>
    <t>F5H7C1</t>
  </si>
  <si>
    <t>F5H7C4</t>
  </si>
  <si>
    <t>F5H7G2</t>
  </si>
  <si>
    <t>F5H7G9</t>
  </si>
  <si>
    <t>F5H7K3</t>
  </si>
  <si>
    <t>F5H7N8</t>
  </si>
  <si>
    <t>F5H7R9</t>
  </si>
  <si>
    <t>F5H7S3</t>
  </si>
  <si>
    <t>F5H7X5</t>
  </si>
  <si>
    <t>F5H810</t>
  </si>
  <si>
    <t>F5H853</t>
  </si>
  <si>
    <t>F5H877</t>
  </si>
  <si>
    <t>F5H8J2</t>
  </si>
  <si>
    <t>F5H8J9</t>
  </si>
  <si>
    <t>F6RY50</t>
  </si>
  <si>
    <t>F6SKB8</t>
  </si>
  <si>
    <t>F6UPZ7</t>
  </si>
  <si>
    <t>F8VQ14</t>
  </si>
  <si>
    <t>F8VQF4</t>
  </si>
  <si>
    <t>F8VR84</t>
  </si>
  <si>
    <t>F8VRJ2</t>
  </si>
  <si>
    <t>F8VS02</t>
  </si>
  <si>
    <t>F8VSC4</t>
  </si>
  <si>
    <t>F8VUA6</t>
  </si>
  <si>
    <t>F8VUJ3</t>
  </si>
  <si>
    <t>F8VV13</t>
  </si>
  <si>
    <t>F8VVD3</t>
  </si>
  <si>
    <t>F8VVI6</t>
  </si>
  <si>
    <t>F8VVL1</t>
  </si>
  <si>
    <t>F8VW89</t>
  </si>
  <si>
    <t>F8VWU1</t>
  </si>
  <si>
    <t>F8VWV4</t>
  </si>
  <si>
    <t>F8VXC8</t>
  </si>
  <si>
    <t>F8VXU5</t>
  </si>
  <si>
    <t>F8VYK9</t>
  </si>
  <si>
    <t>F8VZJ2</t>
  </si>
  <si>
    <t>F8VZQ9</t>
  </si>
  <si>
    <t>F8W038</t>
  </si>
  <si>
    <t>F8W148</t>
  </si>
  <si>
    <t>F8W181</t>
  </si>
  <si>
    <t>F8W1A4</t>
  </si>
  <si>
    <t>F8W1Q3</t>
  </si>
  <si>
    <t>F8W1R7</t>
  </si>
  <si>
    <t>F8W6I7</t>
  </si>
  <si>
    <t>F8W726</t>
  </si>
  <si>
    <t>F8W785</t>
  </si>
  <si>
    <t>F8W787</t>
  </si>
  <si>
    <t>F8W7C6</t>
  </si>
  <si>
    <t>F8W7U3</t>
  </si>
  <si>
    <t>F8W845</t>
  </si>
  <si>
    <t>F8W876</t>
  </si>
  <si>
    <t>F8W8H5</t>
  </si>
  <si>
    <t>F8W8S0</t>
  </si>
  <si>
    <t>F8W914</t>
  </si>
  <si>
    <t>F8W9Y0</t>
  </si>
  <si>
    <t>F8WA67</t>
  </si>
  <si>
    <t>F8WAE5</t>
  </si>
  <si>
    <t>F8WAM2</t>
  </si>
  <si>
    <t>F8WAM8</t>
  </si>
  <si>
    <t>F8WAQ7</t>
  </si>
  <si>
    <t>F8WB82</t>
  </si>
  <si>
    <t>F8WC07</t>
  </si>
  <si>
    <t>F8WCF6</t>
  </si>
  <si>
    <t>F8WCY4</t>
  </si>
  <si>
    <t>F8WDF3</t>
  </si>
  <si>
    <t>F8WE81</t>
  </si>
  <si>
    <t>F8WEP1</t>
  </si>
  <si>
    <t>F8WEQ6</t>
  </si>
  <si>
    <t>F8WF49</t>
  </si>
  <si>
    <t>F8WF69</t>
  </si>
  <si>
    <t>G3V113</t>
  </si>
  <si>
    <t>G3V132</t>
  </si>
  <si>
    <t>G3V169</t>
  </si>
  <si>
    <t>G3V1D3</t>
  </si>
  <si>
    <t>G3V1J9</t>
  </si>
  <si>
    <t>G3V1Q4</t>
  </si>
  <si>
    <t>G3V1T4</t>
  </si>
  <si>
    <t>G3V295</t>
  </si>
  <si>
    <t>G3V2U7</t>
  </si>
  <si>
    <t>G3V2V6</t>
  </si>
  <si>
    <t>G3V3L6</t>
  </si>
  <si>
    <t>G3V3Z5</t>
  </si>
  <si>
    <t>G3V3Z8</t>
  </si>
  <si>
    <t>G3V461</t>
  </si>
  <si>
    <t>G3V4P8</t>
  </si>
  <si>
    <t>G3V4U0</t>
  </si>
  <si>
    <t>G3V4U5</t>
  </si>
  <si>
    <t>G3V4Y7</t>
  </si>
  <si>
    <t>G3V511</t>
  </si>
  <si>
    <t>G3V533</t>
  </si>
  <si>
    <t>G3V576</t>
  </si>
  <si>
    <t>G3V578</t>
  </si>
  <si>
    <t>G3V5D9</t>
  </si>
  <si>
    <t>G3V5I3</t>
  </si>
  <si>
    <t>G3V5V4</t>
  </si>
  <si>
    <t>G3XAM2</t>
  </si>
  <si>
    <t>G3XAP6</t>
  </si>
  <si>
    <t>G5E972</t>
  </si>
  <si>
    <t>G5E9W9</t>
  </si>
  <si>
    <t>G5EA43</t>
  </si>
  <si>
    <t>G5EA52</t>
  </si>
  <si>
    <t>G8JL86</t>
  </si>
  <si>
    <t>G8JL88</t>
  </si>
  <si>
    <t>G8JLA8</t>
  </si>
  <si>
    <t>G8JLC6</t>
  </si>
  <si>
    <t>G8JLG2</t>
  </si>
  <si>
    <t>H0Y2P0</t>
  </si>
  <si>
    <t>H0Y2X5</t>
  </si>
  <si>
    <t>H0Y3P2</t>
  </si>
  <si>
    <t>H0Y3R8</t>
  </si>
  <si>
    <t>H0Y477</t>
  </si>
  <si>
    <t>H0Y4S8</t>
  </si>
  <si>
    <t>H0Y4U3</t>
  </si>
  <si>
    <t>H0Y512</t>
  </si>
  <si>
    <t>H0Y555</t>
  </si>
  <si>
    <t>H0Y561</t>
  </si>
  <si>
    <t>H0Y5A1</t>
  </si>
  <si>
    <t>H0Y5R6</t>
  </si>
  <si>
    <t>H0Y612</t>
  </si>
  <si>
    <t>H0Y614</t>
  </si>
  <si>
    <t>H0Y630</t>
  </si>
  <si>
    <t>H0Y750</t>
  </si>
  <si>
    <t>H0Y755</t>
  </si>
  <si>
    <t>H0Y798</t>
  </si>
  <si>
    <t>H0Y7V4</t>
  </si>
  <si>
    <t>H0Y8I3</t>
  </si>
  <si>
    <t>H0Y961</t>
  </si>
  <si>
    <t>H0Y9I0</t>
  </si>
  <si>
    <t>H0Y9J0</t>
  </si>
  <si>
    <t>H0Y9X3</t>
  </si>
  <si>
    <t>H0YA68</t>
  </si>
  <si>
    <t>H0YAC1</t>
  </si>
  <si>
    <t>H0YAL9</t>
  </si>
  <si>
    <t>H0YAZ5</t>
  </si>
  <si>
    <t>H0YBD0</t>
  </si>
  <si>
    <t>H0YC33</t>
  </si>
  <si>
    <t>H0YC68</t>
  </si>
  <si>
    <t>H0YCR2</t>
  </si>
  <si>
    <t>H0YCR9</t>
  </si>
  <si>
    <t>H0YCY1</t>
  </si>
  <si>
    <t>H0YCY6</t>
  </si>
  <si>
    <t>H0YDB2</t>
  </si>
  <si>
    <t>H0YDU3</t>
  </si>
  <si>
    <t>H0YE06</t>
  </si>
  <si>
    <t>H0YE91</t>
  </si>
  <si>
    <t>H0YEN5</t>
  </si>
  <si>
    <t>H0YEP8</t>
  </si>
  <si>
    <t>H0YFI1</t>
  </si>
  <si>
    <t>H0YFS9</t>
  </si>
  <si>
    <t>H0YGL6</t>
  </si>
  <si>
    <t>H0YGL9</t>
  </si>
  <si>
    <t>H0YH81</t>
  </si>
  <si>
    <t>H0YHL7</t>
  </si>
  <si>
    <t>H0YIP0</t>
  </si>
  <si>
    <t>H0YJH9</t>
  </si>
  <si>
    <t>H0YK42</t>
  </si>
  <si>
    <t>H0YKE7</t>
  </si>
  <si>
    <t>H0YLF3</t>
  </si>
  <si>
    <t>H0YLR3</t>
  </si>
  <si>
    <t>H0YMD0</t>
  </si>
  <si>
    <t>H0YMR0</t>
  </si>
  <si>
    <t>H0YN26</t>
  </si>
  <si>
    <t>H0YN73</t>
  </si>
  <si>
    <t>H0YNE3</t>
  </si>
  <si>
    <t>H0YNE9</t>
  </si>
  <si>
    <t>H3BLU7</t>
  </si>
  <si>
    <t>H3BLV0</t>
  </si>
  <si>
    <t>H3BM89</t>
  </si>
  <si>
    <t>H3BNE1</t>
  </si>
  <si>
    <t>H3BP20</t>
  </si>
  <si>
    <t>H3BP35</t>
  </si>
  <si>
    <t>H3BPE7</t>
  </si>
  <si>
    <t>H3BPK3</t>
  </si>
  <si>
    <t>H3BQ52</t>
  </si>
  <si>
    <t>H3BQB1</t>
  </si>
  <si>
    <t>H3BQF7</t>
  </si>
  <si>
    <t>H3BQZ7</t>
  </si>
  <si>
    <t>H3BR27</t>
  </si>
  <si>
    <t>H3BRP9</t>
  </si>
  <si>
    <t>H3BRU6</t>
  </si>
  <si>
    <t>H3BTE3</t>
  </si>
  <si>
    <t>H3BTK3</t>
  </si>
  <si>
    <t>H3BUD9</t>
  </si>
  <si>
    <t>H3BV04</t>
  </si>
  <si>
    <t>H3BV11</t>
  </si>
  <si>
    <t>H3BV53</t>
  </si>
  <si>
    <t>H3BVC8</t>
  </si>
  <si>
    <t>H7BXI7</t>
  </si>
  <si>
    <t>H7BXU9</t>
  </si>
  <si>
    <t>H7BXV5</t>
  </si>
  <si>
    <t>H7BY83</t>
  </si>
  <si>
    <t>H7BYG8</t>
  </si>
  <si>
    <t>H7BYJ3</t>
  </si>
  <si>
    <t>H7BYP0</t>
  </si>
  <si>
    <t>H7BYW6</t>
  </si>
  <si>
    <t>H7BZ14</t>
  </si>
  <si>
    <t>H7BZ35</t>
  </si>
  <si>
    <t>H7BZ87</t>
  </si>
  <si>
    <t>H7BZ97</t>
  </si>
  <si>
    <t>H7BZJ3</t>
  </si>
  <si>
    <t>H7BZT4</t>
  </si>
  <si>
    <t>H7BZT7</t>
  </si>
  <si>
    <t>H7C013</t>
  </si>
  <si>
    <t>H7C270</t>
  </si>
  <si>
    <t>H7C393</t>
  </si>
  <si>
    <t>H7C3G9</t>
  </si>
  <si>
    <t>H7C3P4</t>
  </si>
  <si>
    <t>H7C3Q5</t>
  </si>
  <si>
    <t>H7C3R6</t>
  </si>
  <si>
    <t>H7C492</t>
  </si>
  <si>
    <t>H7C4P1</t>
  </si>
  <si>
    <t>H7C559</t>
  </si>
  <si>
    <t>H9KV70</t>
  </si>
  <si>
    <t>H9KVA7</t>
  </si>
  <si>
    <t>I3L097</t>
  </si>
  <si>
    <t>I3L0N3</t>
  </si>
  <si>
    <t>I3L0S7</t>
  </si>
  <si>
    <t>I3L0W2</t>
  </si>
  <si>
    <t>I3L1J2</t>
  </si>
  <si>
    <t>I3L1K4</t>
  </si>
  <si>
    <t>I3L1Y9</t>
  </si>
  <si>
    <t>I3L268</t>
  </si>
  <si>
    <t>I3L2X8</t>
  </si>
  <si>
    <t>I3L397</t>
  </si>
  <si>
    <t>I3L3D5</t>
  </si>
  <si>
    <t>I3L3G9</t>
  </si>
  <si>
    <t>I3L3H7</t>
  </si>
  <si>
    <t>I3L3Q4</t>
  </si>
  <si>
    <t>I3L4U9</t>
  </si>
  <si>
    <t>I3L4X0</t>
  </si>
  <si>
    <t>I3L506</t>
  </si>
  <si>
    <t>I6L8B7</t>
  </si>
  <si>
    <t>J3KMY5</t>
  </si>
  <si>
    <t>J3KMZ9</t>
  </si>
  <si>
    <t>J3KN36</t>
  </si>
  <si>
    <t>J3KN60</t>
  </si>
  <si>
    <t>J3KN67</t>
  </si>
  <si>
    <t>J3KNB4</t>
  </si>
  <si>
    <t>J3KNC7</t>
  </si>
  <si>
    <t>J3KNL6</t>
  </si>
  <si>
    <t>J3KNT0</t>
  </si>
  <si>
    <t>J3KP29</t>
  </si>
  <si>
    <t>J3KPA1</t>
  </si>
  <si>
    <t>J3KPD9</t>
  </si>
  <si>
    <t>J3KPM9</t>
  </si>
  <si>
    <t>J3KPS3</t>
  </si>
  <si>
    <t>J3KQ18</t>
  </si>
  <si>
    <t>J3KQ37</t>
  </si>
  <si>
    <t>J3KQ45</t>
  </si>
  <si>
    <t>J3KRP0</t>
  </si>
  <si>
    <t>J3KRW7</t>
  </si>
  <si>
    <t>J3KSX6</t>
  </si>
  <si>
    <t>J3KSY7</t>
  </si>
  <si>
    <t>J3KT11</t>
  </si>
  <si>
    <t>J3KT51</t>
  </si>
  <si>
    <t>J3KTD8</t>
  </si>
  <si>
    <t>J3KTE9</t>
  </si>
  <si>
    <t>J3KTJ8</t>
  </si>
  <si>
    <t>J3QK90</t>
  </si>
  <si>
    <t>J3QL69</t>
  </si>
  <si>
    <t>J3QL71</t>
  </si>
  <si>
    <t>J3QLI9</t>
  </si>
  <si>
    <t>J3QLP3</t>
  </si>
  <si>
    <t>J3QLT3</t>
  </si>
  <si>
    <t>J3QQL9</t>
  </si>
  <si>
    <t>J3QQT6</t>
  </si>
  <si>
    <t>J3QR51</t>
  </si>
  <si>
    <t>J3QRS3</t>
  </si>
  <si>
    <t>J3QS28</t>
  </si>
  <si>
    <t>J3QS39</t>
  </si>
  <si>
    <t>J3QSA3</t>
  </si>
  <si>
    <t>J3QSB7</t>
  </si>
  <si>
    <t>J3QSX6</t>
  </si>
  <si>
    <t>J9JID7</t>
  </si>
  <si>
    <t>K4DI84</t>
  </si>
  <si>
    <t>K7EII6</t>
  </si>
  <si>
    <t>K7EIN1</t>
  </si>
  <si>
    <t>K7EJ28</t>
  </si>
  <si>
    <t>K7EK35</t>
  </si>
  <si>
    <t>K7EK45</t>
  </si>
  <si>
    <t>K7EKG2</t>
  </si>
  <si>
    <t>K7EKI0</t>
  </si>
  <si>
    <t>K7EKI8</t>
  </si>
  <si>
    <t>K7EKM5</t>
  </si>
  <si>
    <t>K7EKM7</t>
  </si>
  <si>
    <t>K7EKW9</t>
  </si>
  <si>
    <t>K7ELL7</t>
  </si>
  <si>
    <t>K7ELR1</t>
  </si>
  <si>
    <t>K7ELT5</t>
  </si>
  <si>
    <t>K7ELV6</t>
  </si>
  <si>
    <t>K7ELW0</t>
  </si>
  <si>
    <t>K7EM11</t>
  </si>
  <si>
    <t>K7EM38</t>
  </si>
  <si>
    <t>K7EMD6</t>
  </si>
  <si>
    <t>K7EMS3</t>
  </si>
  <si>
    <t>K7EMV3</t>
  </si>
  <si>
    <t>K7EN03</t>
  </si>
  <si>
    <t>K7ENG2</t>
  </si>
  <si>
    <t>K7ENJ0</t>
  </si>
  <si>
    <t>K7ENS1</t>
  </si>
  <si>
    <t>K7ENU8</t>
  </si>
  <si>
    <t>K7EQA1</t>
  </si>
  <si>
    <t>K7EQZ3</t>
  </si>
  <si>
    <t>K7ERG9</t>
  </si>
  <si>
    <t>K7ERI9</t>
  </si>
  <si>
    <t>K7ERN2</t>
  </si>
  <si>
    <t>K7ERU9</t>
  </si>
  <si>
    <t>K7ES31</t>
  </si>
  <si>
    <t>K7ES82</t>
  </si>
  <si>
    <t>M0QXB4</t>
  </si>
  <si>
    <t>M0QXB5</t>
  </si>
  <si>
    <t>M0QXD2</t>
  </si>
  <si>
    <t>M0QYG8</t>
  </si>
  <si>
    <t>M0QYM2</t>
  </si>
  <si>
    <t>M0QYR1</t>
  </si>
  <si>
    <t>M0QYU8</t>
  </si>
  <si>
    <t>M0QYY3</t>
  </si>
  <si>
    <t>M0QZI4</t>
  </si>
  <si>
    <t>M0QZI8</t>
  </si>
  <si>
    <t>M0QZK8</t>
  </si>
  <si>
    <t>M0QZR4</t>
  </si>
  <si>
    <t>M0QZR9</t>
  </si>
  <si>
    <t>M0R0P7</t>
  </si>
  <si>
    <t>M0R0Y2</t>
  </si>
  <si>
    <t>M0R150</t>
  </si>
  <si>
    <t>M0R154</t>
  </si>
  <si>
    <t>M0R1E0</t>
  </si>
  <si>
    <t>M0R1Q0</t>
  </si>
  <si>
    <t>M0R294</t>
  </si>
  <si>
    <t>M0R2L9</t>
  </si>
  <si>
    <t>M0R2S2</t>
  </si>
  <si>
    <t>M0R300</t>
  </si>
  <si>
    <t>M0R389</t>
  </si>
  <si>
    <t>O00151</t>
  </si>
  <si>
    <t>O00160</t>
  </si>
  <si>
    <t>O00244</t>
  </si>
  <si>
    <t>O00291-3</t>
  </si>
  <si>
    <t>O00299</t>
  </si>
  <si>
    <t>O00391</t>
  </si>
  <si>
    <t>O00462</t>
  </si>
  <si>
    <t>O00468-2</t>
  </si>
  <si>
    <t>O00479</t>
  </si>
  <si>
    <t>O00602</t>
  </si>
  <si>
    <t>O00622</t>
  </si>
  <si>
    <t>O00748</t>
  </si>
  <si>
    <t>O00754-2</t>
  </si>
  <si>
    <t>O00764-2</t>
  </si>
  <si>
    <t>O14498</t>
  </si>
  <si>
    <t>O14672</t>
  </si>
  <si>
    <t>O14732-2</t>
  </si>
  <si>
    <t>O14745</t>
  </si>
  <si>
    <t>O14773</t>
  </si>
  <si>
    <t>O14798</t>
  </si>
  <si>
    <t>O14818-2</t>
  </si>
  <si>
    <t>O14828</t>
  </si>
  <si>
    <t>O14907</t>
  </si>
  <si>
    <t>O14974-5</t>
  </si>
  <si>
    <t>O14979-3</t>
  </si>
  <si>
    <t>O15020-2</t>
  </si>
  <si>
    <t>O15031</t>
  </si>
  <si>
    <t>O15067</t>
  </si>
  <si>
    <t>O15117</t>
  </si>
  <si>
    <t>O15126-2</t>
  </si>
  <si>
    <t>O15143</t>
  </si>
  <si>
    <t>O15144</t>
  </si>
  <si>
    <t>O15145</t>
  </si>
  <si>
    <t>O15212</t>
  </si>
  <si>
    <t>O15231-3</t>
  </si>
  <si>
    <t>O15231-4</t>
  </si>
  <si>
    <t>O15335</t>
  </si>
  <si>
    <t>O15389</t>
  </si>
  <si>
    <t>O15400-2</t>
  </si>
  <si>
    <t>O15511</t>
  </si>
  <si>
    <t>O43143</t>
  </si>
  <si>
    <t>O43175</t>
  </si>
  <si>
    <t>O43240</t>
  </si>
  <si>
    <t>O43242</t>
  </si>
  <si>
    <t>O43291</t>
  </si>
  <si>
    <t>O43399-2</t>
  </si>
  <si>
    <t>O43490-5</t>
  </si>
  <si>
    <t>O43505</t>
  </si>
  <si>
    <t>O43516</t>
  </si>
  <si>
    <t>O43617-2</t>
  </si>
  <si>
    <t>O43681</t>
  </si>
  <si>
    <t>O43707</t>
  </si>
  <si>
    <t>O43815-2</t>
  </si>
  <si>
    <t>O43852</t>
  </si>
  <si>
    <t>O60218</t>
  </si>
  <si>
    <t>O60220</t>
  </si>
  <si>
    <t>O60234</t>
  </si>
  <si>
    <t>O60235</t>
  </si>
  <si>
    <t>O60259</t>
  </si>
  <si>
    <t>O60271-5</t>
  </si>
  <si>
    <t>O60449-3</t>
  </si>
  <si>
    <t>O60506-4</t>
  </si>
  <si>
    <t>O60603</t>
  </si>
  <si>
    <t>O60664</t>
  </si>
  <si>
    <t>O60701-3</t>
  </si>
  <si>
    <t>O60763</t>
  </si>
  <si>
    <t>O60869-2</t>
  </si>
  <si>
    <t>O60885</t>
  </si>
  <si>
    <t>O60911</t>
  </si>
  <si>
    <t>O75083</t>
  </si>
  <si>
    <t>O75348</t>
  </si>
  <si>
    <t>O75351</t>
  </si>
  <si>
    <t>O75367-2</t>
  </si>
  <si>
    <t>O75368</t>
  </si>
  <si>
    <t>O75396</t>
  </si>
  <si>
    <t>O75503</t>
  </si>
  <si>
    <t>O75533</t>
  </si>
  <si>
    <t>O75563</t>
  </si>
  <si>
    <t>O75594</t>
  </si>
  <si>
    <t>O75629</t>
  </si>
  <si>
    <t>O75663</t>
  </si>
  <si>
    <t>O75695</t>
  </si>
  <si>
    <t>O75828</t>
  </si>
  <si>
    <t>O75874</t>
  </si>
  <si>
    <t>O75882-3</t>
  </si>
  <si>
    <t>O75886</t>
  </si>
  <si>
    <t>O75937</t>
  </si>
  <si>
    <t>O75976</t>
  </si>
  <si>
    <t>O75995</t>
  </si>
  <si>
    <t>O76070</t>
  </si>
  <si>
    <t>O94760</t>
  </si>
  <si>
    <t>O94779-4</t>
  </si>
  <si>
    <t>O94804</t>
  </si>
  <si>
    <t>O94903</t>
  </si>
  <si>
    <t>O94919</t>
  </si>
  <si>
    <t>O94927-2</t>
  </si>
  <si>
    <t>O94991</t>
  </si>
  <si>
    <t>O95171</t>
  </si>
  <si>
    <t>O95171-2</t>
  </si>
  <si>
    <t>O95210</t>
  </si>
  <si>
    <t>O95274</t>
  </si>
  <si>
    <t>O95292</t>
  </si>
  <si>
    <t>O95336</t>
  </si>
  <si>
    <t>O95425-2</t>
  </si>
  <si>
    <t>O95466</t>
  </si>
  <si>
    <t>O95544</t>
  </si>
  <si>
    <t>O95630</t>
  </si>
  <si>
    <t>O95685</t>
  </si>
  <si>
    <t>O95716</t>
  </si>
  <si>
    <t>O95747</t>
  </si>
  <si>
    <t>O95758-7</t>
  </si>
  <si>
    <t>O95782-2</t>
  </si>
  <si>
    <t>O95817</t>
  </si>
  <si>
    <t>O95841</t>
  </si>
  <si>
    <t>O95865</t>
  </si>
  <si>
    <t>O95881</t>
  </si>
  <si>
    <t>O95989</t>
  </si>
  <si>
    <t>P00338</t>
  </si>
  <si>
    <t>P00352</t>
  </si>
  <si>
    <t>P00441</t>
  </si>
  <si>
    <t>P00488</t>
  </si>
  <si>
    <t>P00491</t>
  </si>
  <si>
    <t>P00492</t>
  </si>
  <si>
    <t>P00558</t>
  </si>
  <si>
    <t>P00734</t>
  </si>
  <si>
    <t>P00738</t>
  </si>
  <si>
    <t>P00739</t>
  </si>
  <si>
    <t>P00747</t>
  </si>
  <si>
    <t>P00748</t>
  </si>
  <si>
    <t>P00813</t>
  </si>
  <si>
    <t>P00915</t>
  </si>
  <si>
    <t>P00918</t>
  </si>
  <si>
    <t>P01008</t>
  </si>
  <si>
    <t>P01009</t>
  </si>
  <si>
    <t>P01019</t>
  </si>
  <si>
    <t>P01023</t>
  </si>
  <si>
    <t>P01024</t>
  </si>
  <si>
    <t>P01031</t>
  </si>
  <si>
    <t>P01034</t>
  </si>
  <si>
    <t>P01036</t>
  </si>
  <si>
    <t>P01037</t>
  </si>
  <si>
    <t>P01040</t>
  </si>
  <si>
    <t>P01042-2</t>
  </si>
  <si>
    <t>P01116-2</t>
  </si>
  <si>
    <t>P01133-2</t>
  </si>
  <si>
    <t>P01344</t>
  </si>
  <si>
    <t>P01591</t>
  </si>
  <si>
    <t>P01598</t>
  </si>
  <si>
    <t>P01601</t>
  </si>
  <si>
    <t>P01603</t>
  </si>
  <si>
    <t>P01604</t>
  </si>
  <si>
    <t>P01611</t>
  </si>
  <si>
    <t>P01612</t>
  </si>
  <si>
    <t>P01613</t>
  </si>
  <si>
    <t>P01617</t>
  </si>
  <si>
    <t>P01623</t>
  </si>
  <si>
    <t>P01624</t>
  </si>
  <si>
    <t>P01625</t>
  </si>
  <si>
    <t>P01699</t>
  </si>
  <si>
    <t>P01700</t>
  </si>
  <si>
    <t>P01701</t>
  </si>
  <si>
    <t>P01702</t>
  </si>
  <si>
    <t>P01714</t>
  </si>
  <si>
    <t>P01717</t>
  </si>
  <si>
    <t>P01719</t>
  </si>
  <si>
    <t>P01743</t>
  </si>
  <si>
    <t>P01764</t>
  </si>
  <si>
    <t>P01765</t>
  </si>
  <si>
    <t>P01766</t>
  </si>
  <si>
    <t>P01767</t>
  </si>
  <si>
    <t>P01771</t>
  </si>
  <si>
    <t>P01775</t>
  </si>
  <si>
    <t>P01778</t>
  </si>
  <si>
    <t>P01779</t>
  </si>
  <si>
    <t>P01780</t>
  </si>
  <si>
    <t>P01781</t>
  </si>
  <si>
    <t>P01824</t>
  </si>
  <si>
    <t>P01833</t>
  </si>
  <si>
    <t>P01834</t>
  </si>
  <si>
    <t>P01857</t>
  </si>
  <si>
    <t>P01859</t>
  </si>
  <si>
    <t>P01860</t>
  </si>
  <si>
    <t>P01861</t>
  </si>
  <si>
    <t>P01871</t>
  </si>
  <si>
    <t>P01876</t>
  </si>
  <si>
    <t>P01877</t>
  </si>
  <si>
    <t>P01880</t>
  </si>
  <si>
    <t>P02647</t>
  </si>
  <si>
    <t>P02649</t>
  </si>
  <si>
    <t>P02652</t>
  </si>
  <si>
    <t>P02671-2</t>
  </si>
  <si>
    <t>P02675</t>
  </si>
  <si>
    <t>P02748</t>
  </si>
  <si>
    <t>P02749</t>
  </si>
  <si>
    <t>P02750</t>
  </si>
  <si>
    <t>P02751-10</t>
  </si>
  <si>
    <t>P02760</t>
  </si>
  <si>
    <t>P02763</t>
  </si>
  <si>
    <t>P02766</t>
  </si>
  <si>
    <t>P02787</t>
  </si>
  <si>
    <t>P02790</t>
  </si>
  <si>
    <t>P02810</t>
  </si>
  <si>
    <t>P02812</t>
  </si>
  <si>
    <t>P02814</t>
  </si>
  <si>
    <t>P03950</t>
  </si>
  <si>
    <t>P03973</t>
  </si>
  <si>
    <t>P04003</t>
  </si>
  <si>
    <t>P04004</t>
  </si>
  <si>
    <t>P04040</t>
  </si>
  <si>
    <t>P04066</t>
  </si>
  <si>
    <t>P04080</t>
  </si>
  <si>
    <t>P04083</t>
  </si>
  <si>
    <t>P04114</t>
  </si>
  <si>
    <t>P04196</t>
  </si>
  <si>
    <t>P04209</t>
  </si>
  <si>
    <t>P04217</t>
  </si>
  <si>
    <t>P04259</t>
  </si>
  <si>
    <t>P04275</t>
  </si>
  <si>
    <t>P04279</t>
  </si>
  <si>
    <t>P04406</t>
  </si>
  <si>
    <t>P04424-3</t>
  </si>
  <si>
    <t>P04433</t>
  </si>
  <si>
    <t>P04438</t>
  </si>
  <si>
    <t>P04745</t>
  </si>
  <si>
    <t>P04792</t>
  </si>
  <si>
    <t>P05089-3</t>
  </si>
  <si>
    <t>P05091</t>
  </si>
  <si>
    <t>P05107</t>
  </si>
  <si>
    <t>P05109</t>
  </si>
  <si>
    <t>P05120</t>
  </si>
  <si>
    <t>P05141</t>
  </si>
  <si>
    <t>P05154</t>
  </si>
  <si>
    <t>P05160</t>
  </si>
  <si>
    <t>P05164-2</t>
  </si>
  <si>
    <t>P05198</t>
  </si>
  <si>
    <t>P05204</t>
  </si>
  <si>
    <t>P05362</t>
  </si>
  <si>
    <t>P05387</t>
  </si>
  <si>
    <t>P05455</t>
  </si>
  <si>
    <t>P05543</t>
  </si>
  <si>
    <t>P05546</t>
  </si>
  <si>
    <t>P05814</t>
  </si>
  <si>
    <t>P05976-2</t>
  </si>
  <si>
    <t>P06280</t>
  </si>
  <si>
    <t>P06310</t>
  </si>
  <si>
    <t>P06331</t>
  </si>
  <si>
    <t>P06396-2</t>
  </si>
  <si>
    <t>P06401-3</t>
  </si>
  <si>
    <t>P06681</t>
  </si>
  <si>
    <t>P06702</t>
  </si>
  <si>
    <t>P06727</t>
  </si>
  <si>
    <t>P06733</t>
  </si>
  <si>
    <t>P06737-2</t>
  </si>
  <si>
    <t>P06744</t>
  </si>
  <si>
    <t>P06748-3</t>
  </si>
  <si>
    <t>P06753-2</t>
  </si>
  <si>
    <t>P06753-5</t>
  </si>
  <si>
    <t>P07108</t>
  </si>
  <si>
    <t>P07195</t>
  </si>
  <si>
    <t>P07203</t>
  </si>
  <si>
    <t>P07225</t>
  </si>
  <si>
    <t>P07339</t>
  </si>
  <si>
    <t>P07357</t>
  </si>
  <si>
    <t>P07360</t>
  </si>
  <si>
    <t>P07384</t>
  </si>
  <si>
    <t>P07476</t>
  </si>
  <si>
    <t>P07585</t>
  </si>
  <si>
    <t>P07686</t>
  </si>
  <si>
    <t>P07711</t>
  </si>
  <si>
    <t>P07737</t>
  </si>
  <si>
    <t>P07738</t>
  </si>
  <si>
    <t>P07814</t>
  </si>
  <si>
    <t>P07858</t>
  </si>
  <si>
    <t>P07900</t>
  </si>
  <si>
    <t>P07948-2</t>
  </si>
  <si>
    <t>P07954-2</t>
  </si>
  <si>
    <t>P07998</t>
  </si>
  <si>
    <t>P08107</t>
  </si>
  <si>
    <t>P08118</t>
  </si>
  <si>
    <t>P08185</t>
  </si>
  <si>
    <t>P08238</t>
  </si>
  <si>
    <t>P08240-2</t>
  </si>
  <si>
    <t>P08246</t>
  </si>
  <si>
    <t>P08294</t>
  </si>
  <si>
    <t>P08311</t>
  </si>
  <si>
    <t>P08493</t>
  </si>
  <si>
    <t>P08567</t>
  </si>
  <si>
    <t>P08571</t>
  </si>
  <si>
    <t>P08582</t>
  </si>
  <si>
    <t>P08603</t>
  </si>
  <si>
    <t>P08670</t>
  </si>
  <si>
    <t>P08697</t>
  </si>
  <si>
    <t>P08754</t>
  </si>
  <si>
    <t>P09228</t>
  </si>
  <si>
    <t>P09341</t>
  </si>
  <si>
    <t>P09382</t>
  </si>
  <si>
    <t>P09429</t>
  </si>
  <si>
    <t>P09467</t>
  </si>
  <si>
    <t>P09497-2</t>
  </si>
  <si>
    <t>P09529</t>
  </si>
  <si>
    <t>P09668</t>
  </si>
  <si>
    <t>P09758</t>
  </si>
  <si>
    <t>P09871</t>
  </si>
  <si>
    <t>P09958</t>
  </si>
  <si>
    <t>P09960</t>
  </si>
  <si>
    <t>P0C0L4</t>
  </si>
  <si>
    <t>P0C0L5</t>
  </si>
  <si>
    <t>P0CG05</t>
  </si>
  <si>
    <t>P0CG06</t>
  </si>
  <si>
    <t>P0CG12</t>
  </si>
  <si>
    <t>P0DJI8</t>
  </si>
  <si>
    <t>P10153</t>
  </si>
  <si>
    <t>P10155-2</t>
  </si>
  <si>
    <t>P10253</t>
  </si>
  <si>
    <t>P10412</t>
  </si>
  <si>
    <t>P10451-5</t>
  </si>
  <si>
    <t>P10586-2</t>
  </si>
  <si>
    <t>P10599</t>
  </si>
  <si>
    <t>P10606</t>
  </si>
  <si>
    <t>P10643</t>
  </si>
  <si>
    <t>P10644</t>
  </si>
  <si>
    <t>P10809</t>
  </si>
  <si>
    <t>P10909-4</t>
  </si>
  <si>
    <t>P11021</t>
  </si>
  <si>
    <t>P11047</t>
  </si>
  <si>
    <t>P11142</t>
  </si>
  <si>
    <t>P11171-6</t>
  </si>
  <si>
    <t>P11172-2</t>
  </si>
  <si>
    <t>P11215</t>
  </si>
  <si>
    <t>P11216</t>
  </si>
  <si>
    <t>P11279</t>
  </si>
  <si>
    <t>P11413</t>
  </si>
  <si>
    <t>P11717</t>
  </si>
  <si>
    <t>P12004</t>
  </si>
  <si>
    <t>P12109</t>
  </si>
  <si>
    <t>P12110-3</t>
  </si>
  <si>
    <t>P12273</t>
  </si>
  <si>
    <t>P12645</t>
  </si>
  <si>
    <t>P12724</t>
  </si>
  <si>
    <t>P12814-2</t>
  </si>
  <si>
    <t>P12830</t>
  </si>
  <si>
    <t>P13010</t>
  </si>
  <si>
    <t>P13284</t>
  </si>
  <si>
    <t>P13489</t>
  </si>
  <si>
    <t>P13498</t>
  </si>
  <si>
    <t>P13639</t>
  </si>
  <si>
    <t>P13667</t>
  </si>
  <si>
    <t>P13671</t>
  </si>
  <si>
    <t>P13796</t>
  </si>
  <si>
    <t>P14138-2</t>
  </si>
  <si>
    <t>P14151</t>
  </si>
  <si>
    <t>P14174</t>
  </si>
  <si>
    <t>P14317</t>
  </si>
  <si>
    <t>P14324-2</t>
  </si>
  <si>
    <t>P14550</t>
  </si>
  <si>
    <t>P14555</t>
  </si>
  <si>
    <t>P14618</t>
  </si>
  <si>
    <t>P14618-2</t>
  </si>
  <si>
    <t>P14625</t>
  </si>
  <si>
    <t>P14735</t>
  </si>
  <si>
    <t>P14780</t>
  </si>
  <si>
    <t>P14854</t>
  </si>
  <si>
    <t>P14923</t>
  </si>
  <si>
    <t>P15104</t>
  </si>
  <si>
    <t>P15144</t>
  </si>
  <si>
    <t>P15151-3</t>
  </si>
  <si>
    <t>P15153</t>
  </si>
  <si>
    <t>P15289</t>
  </si>
  <si>
    <t>P15309</t>
  </si>
  <si>
    <t>P15311</t>
  </si>
  <si>
    <t>P15328</t>
  </si>
  <si>
    <t>P15515</t>
  </si>
  <si>
    <t>P15516</t>
  </si>
  <si>
    <t>P15531</t>
  </si>
  <si>
    <t>P15848</t>
  </si>
  <si>
    <t>P15924</t>
  </si>
  <si>
    <t>P16035</t>
  </si>
  <si>
    <t>P16152</t>
  </si>
  <si>
    <t>P16284-3</t>
  </si>
  <si>
    <t>P16298</t>
  </si>
  <si>
    <t>P16333</t>
  </si>
  <si>
    <t>P16401</t>
  </si>
  <si>
    <t>P16562</t>
  </si>
  <si>
    <t>P16870-2</t>
  </si>
  <si>
    <t>P16949</t>
  </si>
  <si>
    <t>P16989-2</t>
  </si>
  <si>
    <t>P17050</t>
  </si>
  <si>
    <t>P17066</t>
  </si>
  <si>
    <t>P17096-2</t>
  </si>
  <si>
    <t>P17174</t>
  </si>
  <si>
    <t>P17213</t>
  </si>
  <si>
    <t>P17858</t>
  </si>
  <si>
    <t>P17900</t>
  </si>
  <si>
    <t>P17931</t>
  </si>
  <si>
    <t>P17936</t>
  </si>
  <si>
    <t>P17987</t>
  </si>
  <si>
    <t>P18065</t>
  </si>
  <si>
    <t>P18124</t>
  </si>
  <si>
    <t>P18206-2</t>
  </si>
  <si>
    <t>P18510-4</t>
  </si>
  <si>
    <t>P18669</t>
  </si>
  <si>
    <t>P19021-2</t>
  </si>
  <si>
    <t>P19320-3</t>
  </si>
  <si>
    <t>P19338</t>
  </si>
  <si>
    <t>P19447</t>
  </si>
  <si>
    <t>P19525-2</t>
  </si>
  <si>
    <t>P19652</t>
  </si>
  <si>
    <t>P19827</t>
  </si>
  <si>
    <t>P19835</t>
  </si>
  <si>
    <t>P19878-3</t>
  </si>
  <si>
    <t>P19957</t>
  </si>
  <si>
    <t>P19961</t>
  </si>
  <si>
    <t>P20061</t>
  </si>
  <si>
    <t>P20160</t>
  </si>
  <si>
    <t>P20618</t>
  </si>
  <si>
    <t>P20700</t>
  </si>
  <si>
    <t>P20827</t>
  </si>
  <si>
    <t>P20933</t>
  </si>
  <si>
    <t>P21128-3</t>
  </si>
  <si>
    <t>P21281</t>
  </si>
  <si>
    <t>P21333-2</t>
  </si>
  <si>
    <t>P21709</t>
  </si>
  <si>
    <t>P21964-2</t>
  </si>
  <si>
    <t>P22079</t>
  </si>
  <si>
    <t>P22102</t>
  </si>
  <si>
    <t>P22314</t>
  </si>
  <si>
    <t>P22352</t>
  </si>
  <si>
    <t>P22528</t>
  </si>
  <si>
    <t>P22531</t>
  </si>
  <si>
    <t>P22532</t>
  </si>
  <si>
    <t>P22626</t>
  </si>
  <si>
    <t>P22694-10</t>
  </si>
  <si>
    <t>P22735</t>
  </si>
  <si>
    <t>P22748</t>
  </si>
  <si>
    <t>P22792</t>
  </si>
  <si>
    <t>P22891</t>
  </si>
  <si>
    <t>P22894</t>
  </si>
  <si>
    <t>P23083</t>
  </si>
  <si>
    <t>P23141-3</t>
  </si>
  <si>
    <t>P23142</t>
  </si>
  <si>
    <t>P23246</t>
  </si>
  <si>
    <t>P23280-2</t>
  </si>
  <si>
    <t>P23284</t>
  </si>
  <si>
    <t>P23368</t>
  </si>
  <si>
    <t>P23381</t>
  </si>
  <si>
    <t>P23396</t>
  </si>
  <si>
    <t>P23470-2</t>
  </si>
  <si>
    <t>P23526</t>
  </si>
  <si>
    <t>P23528</t>
  </si>
  <si>
    <t>P23786</t>
  </si>
  <si>
    <t>P24071-9</t>
  </si>
  <si>
    <t>P24158</t>
  </si>
  <si>
    <t>P24534</t>
  </si>
  <si>
    <t>P24593</t>
  </si>
  <si>
    <t>P24855</t>
  </si>
  <si>
    <t>P25098</t>
  </si>
  <si>
    <t>P25311</t>
  </si>
  <si>
    <t>P25325</t>
  </si>
  <si>
    <t>P25398</t>
  </si>
  <si>
    <t>P25685</t>
  </si>
  <si>
    <t>P25705-2</t>
  </si>
  <si>
    <t>P25774</t>
  </si>
  <si>
    <t>P25786</t>
  </si>
  <si>
    <t>P25788-2</t>
  </si>
  <si>
    <t>P25815</t>
  </si>
  <si>
    <t>P26038</t>
  </si>
  <si>
    <t>P26447</t>
  </si>
  <si>
    <t>P26572</t>
  </si>
  <si>
    <t>P26583</t>
  </si>
  <si>
    <t>P26639</t>
  </si>
  <si>
    <t>P26641</t>
  </si>
  <si>
    <t>P26885</t>
  </si>
  <si>
    <t>P27105</t>
  </si>
  <si>
    <t>P27169</t>
  </si>
  <si>
    <t>P27348</t>
  </si>
  <si>
    <t>P27469</t>
  </si>
  <si>
    <t>P27482</t>
  </si>
  <si>
    <t>P27487</t>
  </si>
  <si>
    <t>P27797</t>
  </si>
  <si>
    <t>P27824</t>
  </si>
  <si>
    <t>P27918</t>
  </si>
  <si>
    <t>P28066</t>
  </si>
  <si>
    <t>P28070</t>
  </si>
  <si>
    <t>P28072</t>
  </si>
  <si>
    <t>P28325</t>
  </si>
  <si>
    <t>P28799</t>
  </si>
  <si>
    <t>P28838-2</t>
  </si>
  <si>
    <t>P28908-2</t>
  </si>
  <si>
    <t>P29034</t>
  </si>
  <si>
    <t>P29218</t>
  </si>
  <si>
    <t>P29279-2</t>
  </si>
  <si>
    <t>P29317</t>
  </si>
  <si>
    <t>P29350</t>
  </si>
  <si>
    <t>P29353-5</t>
  </si>
  <si>
    <t>P29373</t>
  </si>
  <si>
    <t>P29400</t>
  </si>
  <si>
    <t>P29401</t>
  </si>
  <si>
    <t>P29508</t>
  </si>
  <si>
    <t>P29966</t>
  </si>
  <si>
    <t>P30040</t>
  </si>
  <si>
    <t>P30041</t>
  </si>
  <si>
    <t>P30043</t>
  </si>
  <si>
    <t>P30044-2</t>
  </si>
  <si>
    <t>P30049</t>
  </si>
  <si>
    <t>P30050</t>
  </si>
  <si>
    <t>P30086</t>
  </si>
  <si>
    <t>P30273</t>
  </si>
  <si>
    <t>P30419-2</t>
  </si>
  <si>
    <t>P30520</t>
  </si>
  <si>
    <t>P30533</t>
  </si>
  <si>
    <t>P30622-2</t>
  </si>
  <si>
    <t>P30740</t>
  </si>
  <si>
    <t>P31025</t>
  </si>
  <si>
    <t>P31146</t>
  </si>
  <si>
    <t>P31150</t>
  </si>
  <si>
    <t>P31151</t>
  </si>
  <si>
    <t>P31942-3</t>
  </si>
  <si>
    <t>P31944</t>
  </si>
  <si>
    <t>P31946-2</t>
  </si>
  <si>
    <t>P31947</t>
  </si>
  <si>
    <t>P31948</t>
  </si>
  <si>
    <t>P31949</t>
  </si>
  <si>
    <t>P31997</t>
  </si>
  <si>
    <t>P32119</t>
  </si>
  <si>
    <t>P32320</t>
  </si>
  <si>
    <t>P32455</t>
  </si>
  <si>
    <t>P32926</t>
  </si>
  <si>
    <t>P33176</t>
  </si>
  <si>
    <t>P33241</t>
  </si>
  <si>
    <t>P33908</t>
  </si>
  <si>
    <t>P34096</t>
  </si>
  <si>
    <t>P34910</t>
  </si>
  <si>
    <t>P34932</t>
  </si>
  <si>
    <t>P35052</t>
  </si>
  <si>
    <t>P35237</t>
  </si>
  <si>
    <t>P35241</t>
  </si>
  <si>
    <t>P35321</t>
  </si>
  <si>
    <t>P35325</t>
  </si>
  <si>
    <t>P35326</t>
  </si>
  <si>
    <t>P35579</t>
  </si>
  <si>
    <t>P35658-2</t>
  </si>
  <si>
    <t>P35754</t>
  </si>
  <si>
    <t>P35858</t>
  </si>
  <si>
    <t>P35998</t>
  </si>
  <si>
    <t>P36222</t>
  </si>
  <si>
    <t>P36639-4</t>
  </si>
  <si>
    <t>P36871</t>
  </si>
  <si>
    <t>P36952</t>
  </si>
  <si>
    <t>P36955</t>
  </si>
  <si>
    <t>P36980-2</t>
  </si>
  <si>
    <t>P37802</t>
  </si>
  <si>
    <t>P37837</t>
  </si>
  <si>
    <t>P38117</t>
  </si>
  <si>
    <t>P38646</t>
  </si>
  <si>
    <t>P40121-2</t>
  </si>
  <si>
    <t>P40189</t>
  </si>
  <si>
    <t>P40394</t>
  </si>
  <si>
    <t>P40925-2</t>
  </si>
  <si>
    <t>P40926</t>
  </si>
  <si>
    <t>P41091</t>
  </si>
  <si>
    <t>P41218</t>
  </si>
  <si>
    <t>P41226</t>
  </si>
  <si>
    <t>P41240</t>
  </si>
  <si>
    <t>P41250</t>
  </si>
  <si>
    <t>P42768</t>
  </si>
  <si>
    <t>P42785</t>
  </si>
  <si>
    <t>P42830</t>
  </si>
  <si>
    <t>P43034</t>
  </si>
  <si>
    <t>P43121</t>
  </si>
  <si>
    <t>P43250-2</t>
  </si>
  <si>
    <t>P43405-2</t>
  </si>
  <si>
    <t>P43490</t>
  </si>
  <si>
    <t>P43652</t>
  </si>
  <si>
    <t>P43686</t>
  </si>
  <si>
    <t>P45877</t>
  </si>
  <si>
    <t>P45974-2</t>
  </si>
  <si>
    <t>P46109</t>
  </si>
  <si>
    <t>P46781</t>
  </si>
  <si>
    <t>P46783</t>
  </si>
  <si>
    <t>P46940</t>
  </si>
  <si>
    <t>P46976-2</t>
  </si>
  <si>
    <t>P47755</t>
  </si>
  <si>
    <t>P47914</t>
  </si>
  <si>
    <t>P47929</t>
  </si>
  <si>
    <t>P48147</t>
  </si>
  <si>
    <t>P48163</t>
  </si>
  <si>
    <t>P48507</t>
  </si>
  <si>
    <t>P48594</t>
  </si>
  <si>
    <t>P48595</t>
  </si>
  <si>
    <t>P48634-4</t>
  </si>
  <si>
    <t>P48637</t>
  </si>
  <si>
    <t>P48723</t>
  </si>
  <si>
    <t>P49006</t>
  </si>
  <si>
    <t>P49137</t>
  </si>
  <si>
    <t>P49189</t>
  </si>
  <si>
    <t>P49247</t>
  </si>
  <si>
    <t>P49257</t>
  </si>
  <si>
    <t>P49321-3</t>
  </si>
  <si>
    <t>P49327</t>
  </si>
  <si>
    <t>P49411</t>
  </si>
  <si>
    <t>P49755</t>
  </si>
  <si>
    <t>P49773</t>
  </si>
  <si>
    <t>P49788-2</t>
  </si>
  <si>
    <t>P50452</t>
  </si>
  <si>
    <t>P50453</t>
  </si>
  <si>
    <t>P50552</t>
  </si>
  <si>
    <t>P50591</t>
  </si>
  <si>
    <t>P50749</t>
  </si>
  <si>
    <t>P50991-2</t>
  </si>
  <si>
    <t>P51149</t>
  </si>
  <si>
    <t>P51151</t>
  </si>
  <si>
    <t>P51572</t>
  </si>
  <si>
    <t>P51580</t>
  </si>
  <si>
    <t>P51858</t>
  </si>
  <si>
    <t>P51884</t>
  </si>
  <si>
    <t>P51991</t>
  </si>
  <si>
    <t>P51993</t>
  </si>
  <si>
    <t>P52565</t>
  </si>
  <si>
    <t>P52566</t>
  </si>
  <si>
    <t>P52597</t>
  </si>
  <si>
    <t>P52790</t>
  </si>
  <si>
    <t>P52799</t>
  </si>
  <si>
    <t>P52907</t>
  </si>
  <si>
    <t>P53004</t>
  </si>
  <si>
    <t>P53367</t>
  </si>
  <si>
    <t>P53597</t>
  </si>
  <si>
    <t>P53634</t>
  </si>
  <si>
    <t>P53999</t>
  </si>
  <si>
    <t>P54577</t>
  </si>
  <si>
    <t>P54710-2</t>
  </si>
  <si>
    <t>P54727</t>
  </si>
  <si>
    <t>P54753</t>
  </si>
  <si>
    <t>P54802</t>
  </si>
  <si>
    <t>P55000</t>
  </si>
  <si>
    <t>P55072</t>
  </si>
  <si>
    <t>P55145</t>
  </si>
  <si>
    <t>P55263-3</t>
  </si>
  <si>
    <t>P55268</t>
  </si>
  <si>
    <t>P55273</t>
  </si>
  <si>
    <t>P55290</t>
  </si>
  <si>
    <t>P55884</t>
  </si>
  <si>
    <t>P55957</t>
  </si>
  <si>
    <t>P56537</t>
  </si>
  <si>
    <t>P57735</t>
  </si>
  <si>
    <t>P58107</t>
  </si>
  <si>
    <t>P58546</t>
  </si>
  <si>
    <t>P59666</t>
  </si>
  <si>
    <t>P60022</t>
  </si>
  <si>
    <t>P60174-1</t>
  </si>
  <si>
    <t>P60842</t>
  </si>
  <si>
    <t>P60866</t>
  </si>
  <si>
    <t>P60953</t>
  </si>
  <si>
    <t>P60981-2</t>
  </si>
  <si>
    <t>P61006</t>
  </si>
  <si>
    <t>P61019-2</t>
  </si>
  <si>
    <t>P61020</t>
  </si>
  <si>
    <t>P61026</t>
  </si>
  <si>
    <t>P61077</t>
  </si>
  <si>
    <t>P61088</t>
  </si>
  <si>
    <t>P61106</t>
  </si>
  <si>
    <t>P61158</t>
  </si>
  <si>
    <t>P61160</t>
  </si>
  <si>
    <t>P61457</t>
  </si>
  <si>
    <t>P61586</t>
  </si>
  <si>
    <t>P61626</t>
  </si>
  <si>
    <t>P61970</t>
  </si>
  <si>
    <t>P61981</t>
  </si>
  <si>
    <t>P62136</t>
  </si>
  <si>
    <t>P62258</t>
  </si>
  <si>
    <t>P62263</t>
  </si>
  <si>
    <t>P62269</t>
  </si>
  <si>
    <t>P62328</t>
  </si>
  <si>
    <t>P62333</t>
  </si>
  <si>
    <t>P62805</t>
  </si>
  <si>
    <t>P62851</t>
  </si>
  <si>
    <t>P62857</t>
  </si>
  <si>
    <t>P62906</t>
  </si>
  <si>
    <t>P62937</t>
  </si>
  <si>
    <t>P62942</t>
  </si>
  <si>
    <t>P62993</t>
  </si>
  <si>
    <t>P63000</t>
  </si>
  <si>
    <t>P63104</t>
  </si>
  <si>
    <t>P63261</t>
  </si>
  <si>
    <t>P63267</t>
  </si>
  <si>
    <t>P63313</t>
  </si>
  <si>
    <t>P67936</t>
  </si>
  <si>
    <t>P67936-2</t>
  </si>
  <si>
    <t>P68036-2</t>
  </si>
  <si>
    <t>P68371</t>
  </si>
  <si>
    <t>P68871</t>
  </si>
  <si>
    <t>P69905</t>
  </si>
  <si>
    <t>P78324</t>
  </si>
  <si>
    <t>P78417</t>
  </si>
  <si>
    <t>P80108</t>
  </si>
  <si>
    <t>P80303</t>
  </si>
  <si>
    <t>P80362</t>
  </si>
  <si>
    <t>P80419</t>
  </si>
  <si>
    <t>P80511</t>
  </si>
  <si>
    <t>P80723</t>
  </si>
  <si>
    <t>P80748</t>
  </si>
  <si>
    <t>P81534</t>
  </si>
  <si>
    <t>P81605</t>
  </si>
  <si>
    <t>P84090</t>
  </si>
  <si>
    <t>P84095</t>
  </si>
  <si>
    <t>P98160</t>
  </si>
  <si>
    <t>P98172</t>
  </si>
  <si>
    <t>Q00610-2</t>
  </si>
  <si>
    <t>Q00688</t>
  </si>
  <si>
    <t>Q00839-2</t>
  </si>
  <si>
    <t>Q01082</t>
  </si>
  <si>
    <t>Q01105-3</t>
  </si>
  <si>
    <t>Q01459</t>
  </si>
  <si>
    <t>Q01469</t>
  </si>
  <si>
    <t>Q01518-2</t>
  </si>
  <si>
    <t>Q01581</t>
  </si>
  <si>
    <t>Q02383</t>
  </si>
  <si>
    <t>Q02413</t>
  </si>
  <si>
    <t>Q02487-2</t>
  </si>
  <si>
    <t>Q02742</t>
  </si>
  <si>
    <t>Q02750-2</t>
  </si>
  <si>
    <t>Q02790</t>
  </si>
  <si>
    <t>Q02818</t>
  </si>
  <si>
    <t>Q03403</t>
  </si>
  <si>
    <t>Q03405</t>
  </si>
  <si>
    <t>Q03591</t>
  </si>
  <si>
    <t>Q04609-6</t>
  </si>
  <si>
    <t>Q04760-2</t>
  </si>
  <si>
    <t>Q04917</t>
  </si>
  <si>
    <t>Q05209</t>
  </si>
  <si>
    <t>Q05315</t>
  </si>
  <si>
    <t>Q05655</t>
  </si>
  <si>
    <t>Q05707-2</t>
  </si>
  <si>
    <t>Q06828</t>
  </si>
  <si>
    <t>Q06830</t>
  </si>
  <si>
    <t>Q06S70</t>
  </si>
  <si>
    <t>Q07065</t>
  </si>
  <si>
    <t>Q07654</t>
  </si>
  <si>
    <t>Q07812-5</t>
  </si>
  <si>
    <t>Q07960</t>
  </si>
  <si>
    <t>Q08188</t>
  </si>
  <si>
    <t>Q08209-3</t>
  </si>
  <si>
    <t>Q08345-2</t>
  </si>
  <si>
    <t>Q08380</t>
  </si>
  <si>
    <t>Q08554-2</t>
  </si>
  <si>
    <t>Q08752</t>
  </si>
  <si>
    <t>Q08ET2</t>
  </si>
  <si>
    <t>Q09666</t>
  </si>
  <si>
    <t>Q10469</t>
  </si>
  <si>
    <t>Q10567-3</t>
  </si>
  <si>
    <t>Q12765</t>
  </si>
  <si>
    <t>Q12802-4</t>
  </si>
  <si>
    <t>Q12805-2</t>
  </si>
  <si>
    <t>Q12841</t>
  </si>
  <si>
    <t>Q12906-5</t>
  </si>
  <si>
    <t>Q12913</t>
  </si>
  <si>
    <t>Q13043</t>
  </si>
  <si>
    <t>Q13045-2</t>
  </si>
  <si>
    <t>Q13113</t>
  </si>
  <si>
    <t>Q13153</t>
  </si>
  <si>
    <t>Q13162</t>
  </si>
  <si>
    <t>Q13177</t>
  </si>
  <si>
    <t>Q13185</t>
  </si>
  <si>
    <t>Q13217</t>
  </si>
  <si>
    <t>Q13231-3</t>
  </si>
  <si>
    <t>Q13332-6</t>
  </si>
  <si>
    <t>Q13421-4</t>
  </si>
  <si>
    <t>Q13429</t>
  </si>
  <si>
    <t>Q13442</t>
  </si>
  <si>
    <t>Q13444-10</t>
  </si>
  <si>
    <t>Q13464</t>
  </si>
  <si>
    <t>Q13637</t>
  </si>
  <si>
    <t>Q13835-2</t>
  </si>
  <si>
    <t>Q14005-3</t>
  </si>
  <si>
    <t>Q14019</t>
  </si>
  <si>
    <t>Q14050</t>
  </si>
  <si>
    <t>Q14116-2</t>
  </si>
  <si>
    <t>Q14118</t>
  </si>
  <si>
    <t>Q14126</t>
  </si>
  <si>
    <t>Q14134-2</t>
  </si>
  <si>
    <t>Q14166</t>
  </si>
  <si>
    <t>Q14204</t>
  </si>
  <si>
    <t>Q14210</t>
  </si>
  <si>
    <t>Q14289-2</t>
  </si>
  <si>
    <t>Q14314</t>
  </si>
  <si>
    <t>Q14332</t>
  </si>
  <si>
    <t>Q14435</t>
  </si>
  <si>
    <t>Q14508</t>
  </si>
  <si>
    <t>Q14515</t>
  </si>
  <si>
    <t>Q14520-2</t>
  </si>
  <si>
    <t>Q14574-2</t>
  </si>
  <si>
    <t>Q14624</t>
  </si>
  <si>
    <t>Q14677-2</t>
  </si>
  <si>
    <t>Q14696</t>
  </si>
  <si>
    <t>Q14764</t>
  </si>
  <si>
    <t>Q14766</t>
  </si>
  <si>
    <t>Q14847</t>
  </si>
  <si>
    <t>Q14914-2</t>
  </si>
  <si>
    <t>Q14974</t>
  </si>
  <si>
    <t>Q14CN2</t>
  </si>
  <si>
    <t>Q15029-2</t>
  </si>
  <si>
    <t>Q15056-2</t>
  </si>
  <si>
    <t>Q15075</t>
  </si>
  <si>
    <t>Q15080</t>
  </si>
  <si>
    <t>Q15113</t>
  </si>
  <si>
    <t>Q15149-7</t>
  </si>
  <si>
    <t>Q15166</t>
  </si>
  <si>
    <t>Q15181</t>
  </si>
  <si>
    <t>Q15208</t>
  </si>
  <si>
    <t>Q15223-3</t>
  </si>
  <si>
    <t>Q15233-2</t>
  </si>
  <si>
    <t>Q15365</t>
  </si>
  <si>
    <t>Q15375-3</t>
  </si>
  <si>
    <t>Q15404-2</t>
  </si>
  <si>
    <t>Q15424-2</t>
  </si>
  <si>
    <t>Q15691</t>
  </si>
  <si>
    <t>Q15828</t>
  </si>
  <si>
    <t>Q15833-2</t>
  </si>
  <si>
    <t>Q15836</t>
  </si>
  <si>
    <t>Q15847</t>
  </si>
  <si>
    <t>Q15904</t>
  </si>
  <si>
    <t>Q15907</t>
  </si>
  <si>
    <t>Q15942</t>
  </si>
  <si>
    <t>Q16270-2</t>
  </si>
  <si>
    <t>Q16348-2</t>
  </si>
  <si>
    <t>Q16378</t>
  </si>
  <si>
    <t>Q16512-3</t>
  </si>
  <si>
    <t>Q16543</t>
  </si>
  <si>
    <t>Q16555-2</t>
  </si>
  <si>
    <t>Q16610</t>
  </si>
  <si>
    <t>Q16706</t>
  </si>
  <si>
    <t>Q16769</t>
  </si>
  <si>
    <t>Q17RU2</t>
  </si>
  <si>
    <t>Q1L6K4</t>
  </si>
  <si>
    <t>Q24JP5</t>
  </si>
  <si>
    <t>Q2I0M4</t>
  </si>
  <si>
    <t>Q32MZ4-3</t>
  </si>
  <si>
    <t>Q3KQU3-2</t>
  </si>
  <si>
    <t>Q49AM7</t>
  </si>
  <si>
    <t>Q4G0X9-3</t>
  </si>
  <si>
    <t>Q4VB95</t>
  </si>
  <si>
    <t>Q53RT3</t>
  </si>
  <si>
    <t>Q53XA7</t>
  </si>
  <si>
    <t>Q58FG1</t>
  </si>
  <si>
    <t>Q5FBE1</t>
  </si>
  <si>
    <t>Q5H8X8</t>
  </si>
  <si>
    <t>Q5H9A7</t>
  </si>
  <si>
    <t>Q5JP53</t>
  </si>
  <si>
    <t>Q5JPT2</t>
  </si>
  <si>
    <t>Q5JR95</t>
  </si>
  <si>
    <t>Q5JSP0-2</t>
  </si>
  <si>
    <t>Q5JTJ3-3</t>
  </si>
  <si>
    <t>Q5JVE8</t>
  </si>
  <si>
    <t>Q5JVY0</t>
  </si>
  <si>
    <t>Q5JW30</t>
  </si>
  <si>
    <t>Q5JXD4</t>
  </si>
  <si>
    <t>Q5JZG9</t>
  </si>
  <si>
    <t>Q5QPE4</t>
  </si>
  <si>
    <t>Q5QPL9</t>
  </si>
  <si>
    <t>Q5R3E4</t>
  </si>
  <si>
    <t>Q5SGD2-2</t>
  </si>
  <si>
    <t>Q5SPY9</t>
  </si>
  <si>
    <t>Q5SQ17</t>
  </si>
  <si>
    <t>Q5SRN7</t>
  </si>
  <si>
    <t>Q5SRP5</t>
  </si>
  <si>
    <t>Q5SSJ5</t>
  </si>
  <si>
    <t>Q5STX8</t>
  </si>
  <si>
    <t>Q5SVK8</t>
  </si>
  <si>
    <t>Q5T0D2</t>
  </si>
  <si>
    <t>Q5T0Z8</t>
  </si>
  <si>
    <t>Q5T123</t>
  </si>
  <si>
    <t>Q5T1M5-2</t>
  </si>
  <si>
    <t>Q5T205</t>
  </si>
  <si>
    <t>Q5T6H7</t>
  </si>
  <si>
    <t>Q5T6W5</t>
  </si>
  <si>
    <t>Q5T749</t>
  </si>
  <si>
    <t>Q5T750</t>
  </si>
  <si>
    <t>Q5T760</t>
  </si>
  <si>
    <t>Q5T8U3</t>
  </si>
  <si>
    <t>Q5T985</t>
  </si>
  <si>
    <t>Q5TBC7</t>
  </si>
  <si>
    <t>Q5TBK7</t>
  </si>
  <si>
    <t>Q5TD07</t>
  </si>
  <si>
    <t>Q5TEJ0</t>
  </si>
  <si>
    <t>Q5TFE4</t>
  </si>
  <si>
    <t>Q5TGY6</t>
  </si>
  <si>
    <t>Q5VTE0</t>
  </si>
  <si>
    <t>Q5VU13</t>
  </si>
  <si>
    <t>Q5VVC9</t>
  </si>
  <si>
    <t>Q5VY30</t>
  </si>
  <si>
    <t>Q5VY93</t>
  </si>
  <si>
    <t>Q5VZA6</t>
  </si>
  <si>
    <t>Q5VZR0</t>
  </si>
  <si>
    <t>Q5VZZ6</t>
  </si>
  <si>
    <t>Q5W0H4</t>
  </si>
  <si>
    <t>Q5W0J0</t>
  </si>
  <si>
    <t>Q68CR8</t>
  </si>
  <si>
    <t>Q6EMK4</t>
  </si>
  <si>
    <t>Q6GMV3</t>
  </si>
  <si>
    <t>Q6MZM9</t>
  </si>
  <si>
    <t>Q6NVW1</t>
  </si>
  <si>
    <t>Q6NX70</t>
  </si>
  <si>
    <t>Q6NYC8</t>
  </si>
  <si>
    <t>Q6P163</t>
  </si>
  <si>
    <t>Q6P452</t>
  </si>
  <si>
    <t>Q6P4A8</t>
  </si>
  <si>
    <t>Q6P5S2</t>
  </si>
  <si>
    <t>Q6PL18</t>
  </si>
  <si>
    <t>Q6PL24</t>
  </si>
  <si>
    <t>Q6RW13-2</t>
  </si>
  <si>
    <t>Q6UWP8</t>
  </si>
  <si>
    <t>Q6UWP8-2</t>
  </si>
  <si>
    <t>Q6UWY2</t>
  </si>
  <si>
    <t>Q6UXB0-3</t>
  </si>
  <si>
    <t>Q6UXB3</t>
  </si>
  <si>
    <t>Q6UXD5-6</t>
  </si>
  <si>
    <t>Q6UXH1-4</t>
  </si>
  <si>
    <t>Q6UYC3</t>
  </si>
  <si>
    <t>Q6WKZ4</t>
  </si>
  <si>
    <t>Q6XPR3</t>
  </si>
  <si>
    <t>Q6ZQN7</t>
  </si>
  <si>
    <t>Q6ZVX7</t>
  </si>
  <si>
    <t>Q70J99</t>
  </si>
  <si>
    <t>Q7LBR1</t>
  </si>
  <si>
    <t>Q7LDG7</t>
  </si>
  <si>
    <t>Q7Z3T8-3</t>
  </si>
  <si>
    <t>Q7Z422-2</t>
  </si>
  <si>
    <t>Q7Z434-4</t>
  </si>
  <si>
    <t>Q7Z5L0</t>
  </si>
  <si>
    <t>Q7Z5R6</t>
  </si>
  <si>
    <t>Q7Z6I6</t>
  </si>
  <si>
    <t>Q7Z6P3</t>
  </si>
  <si>
    <t>Q7Z7H5-3</t>
  </si>
  <si>
    <t>Q7Z7M9</t>
  </si>
  <si>
    <t>Q86SF2</t>
  </si>
  <si>
    <t>Q86SQ4-2</t>
  </si>
  <si>
    <t>Q86T26</t>
  </si>
  <si>
    <t>Q86TU7</t>
  </si>
  <si>
    <t>Q86TV2</t>
  </si>
  <si>
    <t>Q86UD1</t>
  </si>
  <si>
    <t>Q86UN2</t>
  </si>
  <si>
    <t>Q86UQ4</t>
  </si>
  <si>
    <t>Q86UX7-2</t>
  </si>
  <si>
    <t>Q86UY0</t>
  </si>
  <si>
    <t>Q86VN1-2</t>
  </si>
  <si>
    <t>Q86VP6-2</t>
  </si>
  <si>
    <t>Q86VR7</t>
  </si>
  <si>
    <t>Q86VS8</t>
  </si>
  <si>
    <t>Q86W28-2</t>
  </si>
  <si>
    <t>Q86X76-2</t>
  </si>
  <si>
    <t>Q86X91</t>
  </si>
  <si>
    <t>Q8IV04</t>
  </si>
  <si>
    <t>Q8IWB9</t>
  </si>
  <si>
    <t>Q8IWU2</t>
  </si>
  <si>
    <t>Q8IXJ6-2</t>
  </si>
  <si>
    <t>Q8IXK2-2</t>
  </si>
  <si>
    <t>Q8IY92-2</t>
  </si>
  <si>
    <t>Q8IYJ3-2</t>
  </si>
  <si>
    <t>Q8IYS5-6</t>
  </si>
  <si>
    <t>Q8IZ21-3</t>
  </si>
  <si>
    <t>Q8N1G4</t>
  </si>
  <si>
    <t>Q8N271-2</t>
  </si>
  <si>
    <t>Q8N292</t>
  </si>
  <si>
    <t>Q8N3D4</t>
  </si>
  <si>
    <t>Q8N441</t>
  </si>
  <si>
    <t>Q8N474</t>
  </si>
  <si>
    <t>Q8N4F0</t>
  </si>
  <si>
    <t>Q8N573-2</t>
  </si>
  <si>
    <t>Q8N5W9</t>
  </si>
  <si>
    <t>Q8N6Q3</t>
  </si>
  <si>
    <t>Q8NBJ4-2</t>
  </si>
  <si>
    <t>Q8NBJ5</t>
  </si>
  <si>
    <t>Q8NBY1</t>
  </si>
  <si>
    <t>Q8NC51-4</t>
  </si>
  <si>
    <t>Q8NCL4</t>
  </si>
  <si>
    <t>Q8NCM8</t>
  </si>
  <si>
    <t>Q8NCW5-2</t>
  </si>
  <si>
    <t>Q8NE01-2</t>
  </si>
  <si>
    <t>Q8NE71-2</t>
  </si>
  <si>
    <t>Q8NES3-3</t>
  </si>
  <si>
    <t>Q8NFT8</t>
  </si>
  <si>
    <t>Q8NFU4</t>
  </si>
  <si>
    <t>Q8NFZ8</t>
  </si>
  <si>
    <t>Q8NHG7</t>
  </si>
  <si>
    <t>Q8NI22-2</t>
  </si>
  <si>
    <t>Q8TAX7</t>
  </si>
  <si>
    <t>Q8TD08-2</t>
  </si>
  <si>
    <t>Q8TD16</t>
  </si>
  <si>
    <t>Q8TD55-2</t>
  </si>
  <si>
    <t>Q8TDL5</t>
  </si>
  <si>
    <t>Q8TDZ2-2</t>
  </si>
  <si>
    <t>Q8WU39</t>
  </si>
  <si>
    <t>Q8WU79-3</t>
  </si>
  <si>
    <t>Q8WUJ3</t>
  </si>
  <si>
    <t>Q8WUM4</t>
  </si>
  <si>
    <t>Q8WVC2</t>
  </si>
  <si>
    <t>Q8WVQ1</t>
  </si>
  <si>
    <t>Q8WVT3</t>
  </si>
  <si>
    <t>Q8WVV4</t>
  </si>
  <si>
    <t>Q8WW12-2</t>
  </si>
  <si>
    <t>Q8WWA0</t>
  </si>
  <si>
    <t>Q8WWX9</t>
  </si>
  <si>
    <t>Q8WWY7</t>
  </si>
  <si>
    <t>Q8WYQ9</t>
  </si>
  <si>
    <t>Q8WZA0</t>
  </si>
  <si>
    <t>Q92485-2</t>
  </si>
  <si>
    <t>Q92598-2</t>
  </si>
  <si>
    <t>Q92619</t>
  </si>
  <si>
    <t>Q92623</t>
  </si>
  <si>
    <t>Q92673</t>
  </si>
  <si>
    <t>Q92688-2</t>
  </si>
  <si>
    <t>Q92692-2</t>
  </si>
  <si>
    <t>Q92743</t>
  </si>
  <si>
    <t>Q92747</t>
  </si>
  <si>
    <t>Q92820</t>
  </si>
  <si>
    <t>Q92835-2</t>
  </si>
  <si>
    <t>Q92876</t>
  </si>
  <si>
    <t>Q92882</t>
  </si>
  <si>
    <t>Q92896</t>
  </si>
  <si>
    <t>Q92932-4</t>
  </si>
  <si>
    <t>Q92945</t>
  </si>
  <si>
    <t>Q92954-3</t>
  </si>
  <si>
    <t>Q93077</t>
  </si>
  <si>
    <t>Q969E4</t>
  </si>
  <si>
    <t>Q969H8</t>
  </si>
  <si>
    <t>Q96A65-2</t>
  </si>
  <si>
    <t>Q96BQ1</t>
  </si>
  <si>
    <t>Q96BW5-2</t>
  </si>
  <si>
    <t>Q96BZ8</t>
  </si>
  <si>
    <t>Q96C19</t>
  </si>
  <si>
    <t>Q96C86</t>
  </si>
  <si>
    <t>Q96C90</t>
  </si>
  <si>
    <t>Q96CG8-3</t>
  </si>
  <si>
    <t>Q96CN7</t>
  </si>
  <si>
    <t>Q96CT7</t>
  </si>
  <si>
    <t>Q96CX2</t>
  </si>
  <si>
    <t>Q96DA0</t>
  </si>
  <si>
    <t>Q96DD7</t>
  </si>
  <si>
    <t>Q96DR5</t>
  </si>
  <si>
    <t>Q96F24-2</t>
  </si>
  <si>
    <t>Q96FE7-4</t>
  </si>
  <si>
    <t>Q96FQ6</t>
  </si>
  <si>
    <t>Q96G03</t>
  </si>
  <si>
    <t>Q96GD0</t>
  </si>
  <si>
    <t>Q96HC4</t>
  </si>
  <si>
    <t>Q96HE7</t>
  </si>
  <si>
    <t>Q96HY6-2</t>
  </si>
  <si>
    <t>Q96I82-2</t>
  </si>
  <si>
    <t>Q96IY4</t>
  </si>
  <si>
    <t>Q96J77</t>
  </si>
  <si>
    <t>Q96KP4</t>
  </si>
  <si>
    <t>Q96L92-3</t>
  </si>
  <si>
    <t>Q96NY8</t>
  </si>
  <si>
    <t>Q96P48-3</t>
  </si>
  <si>
    <t>Q96P63</t>
  </si>
  <si>
    <t>Q96PD5</t>
  </si>
  <si>
    <t>Q96PP8</t>
  </si>
  <si>
    <t>Q96QA5</t>
  </si>
  <si>
    <t>Q96QR1</t>
  </si>
  <si>
    <t>Q96RF0-3</t>
  </si>
  <si>
    <t>Q96RM1</t>
  </si>
  <si>
    <t>Q96S79</t>
  </si>
  <si>
    <t>Q96SB3</t>
  </si>
  <si>
    <t>Q96TA1-2</t>
  </si>
  <si>
    <t>Q99417</t>
  </si>
  <si>
    <t>Q99519</t>
  </si>
  <si>
    <t>Q99523</t>
  </si>
  <si>
    <t>Q99536</t>
  </si>
  <si>
    <t>Q99612-2</t>
  </si>
  <si>
    <t>Q99614</t>
  </si>
  <si>
    <t>Q99674</t>
  </si>
  <si>
    <t>Q99878</t>
  </si>
  <si>
    <t>Q99879</t>
  </si>
  <si>
    <t>Q99954</t>
  </si>
  <si>
    <t>Q99961</t>
  </si>
  <si>
    <t>Q9BPY8</t>
  </si>
  <si>
    <t>Q9BQR3</t>
  </si>
  <si>
    <t>Q9BR76</t>
  </si>
  <si>
    <t>Q9BRA2</t>
  </si>
  <si>
    <t>Q9BRF8</t>
  </si>
  <si>
    <t>Q9BRK5</t>
  </si>
  <si>
    <t>Q9BRP8-2</t>
  </si>
  <si>
    <t>Q9BS26</t>
  </si>
  <si>
    <t>Q9BS40</t>
  </si>
  <si>
    <t>Q9BSJ8</t>
  </si>
  <si>
    <t>Q9BT09</t>
  </si>
  <si>
    <t>Q9BTY2</t>
  </si>
  <si>
    <t>Q9BUB1</t>
  </si>
  <si>
    <t>Q9BUH6</t>
  </si>
  <si>
    <t>Q9BUJ2-3</t>
  </si>
  <si>
    <t>Q9BW04</t>
  </si>
  <si>
    <t>Q9BW30</t>
  </si>
  <si>
    <t>Q9BWD1</t>
  </si>
  <si>
    <t>Q9BX68</t>
  </si>
  <si>
    <t>Q9BXB1-2</t>
  </si>
  <si>
    <t>Q9BZG9-3</t>
  </si>
  <si>
    <t>Q9BZM5</t>
  </si>
  <si>
    <t>Q9BZQ8</t>
  </si>
  <si>
    <t>Q9GZN4</t>
  </si>
  <si>
    <t>Q9GZN8</t>
  </si>
  <si>
    <t>Q9GZP4-2</t>
  </si>
  <si>
    <t>Q9GZZ8</t>
  </si>
  <si>
    <t>Q9H0E2</t>
  </si>
  <si>
    <t>Q9H0N0</t>
  </si>
  <si>
    <t>Q9H0P0-3</t>
  </si>
  <si>
    <t>Q9H0U4</t>
  </si>
  <si>
    <t>Q9H0W9-3</t>
  </si>
  <si>
    <t>Q9H1E1</t>
  </si>
  <si>
    <t>Q9H1E3-2</t>
  </si>
  <si>
    <t>Q9H1Z4</t>
  </si>
  <si>
    <t>Q9H2E6</t>
  </si>
  <si>
    <t>Q9H2G2-2</t>
  </si>
  <si>
    <t>Q9H3K6</t>
  </si>
  <si>
    <t>Q9H3N1</t>
  </si>
  <si>
    <t>Q9H3P7</t>
  </si>
  <si>
    <t>Q9H3Z4-2</t>
  </si>
  <si>
    <t>Q9H444</t>
  </si>
  <si>
    <t>Q9H461</t>
  </si>
  <si>
    <t>Q9H4A9</t>
  </si>
  <si>
    <t>Q9H4F8</t>
  </si>
  <si>
    <t>Q9H4M9</t>
  </si>
  <si>
    <t>Q9H6S3</t>
  </si>
  <si>
    <t>Q9H741</t>
  </si>
  <si>
    <t>Q9H8J5</t>
  </si>
  <si>
    <t>Q9H8S9</t>
  </si>
  <si>
    <t>Q9H8Y8-2</t>
  </si>
  <si>
    <t>Q9HB40-2</t>
  </si>
  <si>
    <t>Q9HBR0</t>
  </si>
  <si>
    <t>Q9HCY8</t>
  </si>
  <si>
    <t>Q9HD89</t>
  </si>
  <si>
    <t>Q9NP31-4</t>
  </si>
  <si>
    <t>Q9NP79</t>
  </si>
  <si>
    <t>Q9NPA2</t>
  </si>
  <si>
    <t>Q9NPY3</t>
  </si>
  <si>
    <t>Q9NQ38</t>
  </si>
  <si>
    <t>Q9NQ38-3</t>
  </si>
  <si>
    <t>Q9NQ79-2</t>
  </si>
  <si>
    <t>Q9NQR4</t>
  </si>
  <si>
    <t>Q9NR12-2</t>
  </si>
  <si>
    <t>Q9NR45</t>
  </si>
  <si>
    <t>Q9NRV9</t>
  </si>
  <si>
    <t>Q9NRX4-2</t>
  </si>
  <si>
    <t>Q9NS68-2</t>
  </si>
  <si>
    <t>Q9NS98</t>
  </si>
  <si>
    <t>Q9NSA3</t>
  </si>
  <si>
    <t>Q9NSC7</t>
  </si>
  <si>
    <t>Q9NT62-2</t>
  </si>
  <si>
    <t>Q9NTX5-3</t>
  </si>
  <si>
    <t>Q9NUQ9</t>
  </si>
  <si>
    <t>Q9NV96-3</t>
  </si>
  <si>
    <t>Q9NWB6-2</t>
  </si>
  <si>
    <t>Q9NX46</t>
  </si>
  <si>
    <t>Q9NYL9</t>
  </si>
  <si>
    <t>Q9NYQ8</t>
  </si>
  <si>
    <t>Q9NZ08</t>
  </si>
  <si>
    <t>Q9NZ53</t>
  </si>
  <si>
    <t>Q9NZH8</t>
  </si>
  <si>
    <t>Q9NZM3-4</t>
  </si>
  <si>
    <t>Q9NZP8</t>
  </si>
  <si>
    <t>Q9NZT1</t>
  </si>
  <si>
    <t>Q9NZT2-2</t>
  </si>
  <si>
    <t>Q9NZV1</t>
  </si>
  <si>
    <t>Q9NZZ3</t>
  </si>
  <si>
    <t>Q9P0G3</t>
  </si>
  <si>
    <t>Q9P0L0</t>
  </si>
  <si>
    <t>Q9P0S2</t>
  </si>
  <si>
    <t>Q9P258</t>
  </si>
  <si>
    <t>Q9P2D7-5</t>
  </si>
  <si>
    <t>Q9P2E9-2</t>
  </si>
  <si>
    <t>Q9P2L0-2</t>
  </si>
  <si>
    <t>Q9P2X0</t>
  </si>
  <si>
    <t>Q9UBG3</t>
  </si>
  <si>
    <t>Q9UBQ7</t>
  </si>
  <si>
    <t>Q9UBR2</t>
  </si>
  <si>
    <t>Q9UBS3</t>
  </si>
  <si>
    <t>Q9UBT6-3</t>
  </si>
  <si>
    <t>Q9UBW5-2</t>
  </si>
  <si>
    <t>Q9UDY5</t>
  </si>
  <si>
    <t>Q9UFH2-4</t>
  </si>
  <si>
    <t>Q9UGI8-2</t>
  </si>
  <si>
    <t>Q9UGM3-5</t>
  </si>
  <si>
    <t>Q9UHA7</t>
  </si>
  <si>
    <t>Q9UHD0</t>
  </si>
  <si>
    <t>Q9UHD8-7</t>
  </si>
  <si>
    <t>Q9UHG2</t>
  </si>
  <si>
    <t>Q9UHL4</t>
  </si>
  <si>
    <t>Q9UHV9</t>
  </si>
  <si>
    <t>Q9UII2-3</t>
  </si>
  <si>
    <t>Q9UIV8-2</t>
  </si>
  <si>
    <t>Q9UJ68-2</t>
  </si>
  <si>
    <t>Q9UJJ9</t>
  </si>
  <si>
    <t>Q9UJU6</t>
  </si>
  <si>
    <t>Q9UKG1</t>
  </si>
  <si>
    <t>Q9UKR3</t>
  </si>
  <si>
    <t>Q9UKY7</t>
  </si>
  <si>
    <t>Q9UL25</t>
  </si>
  <si>
    <t>Q9UL46</t>
  </si>
  <si>
    <t>Q9UL52</t>
  </si>
  <si>
    <t>Q9ULH1</t>
  </si>
  <si>
    <t>Q9ULZ3-2</t>
  </si>
  <si>
    <t>Q9UM07</t>
  </si>
  <si>
    <t>Q9UM21-2</t>
  </si>
  <si>
    <t>Q9UMX0-2</t>
  </si>
  <si>
    <t>Q9UMX5</t>
  </si>
  <si>
    <t>Q9UNF0-2</t>
  </si>
  <si>
    <t>Q9UNW1-3</t>
  </si>
  <si>
    <t>Q9UPN7</t>
  </si>
  <si>
    <t>Q9UQ35</t>
  </si>
  <si>
    <t>Q9UQ80</t>
  </si>
  <si>
    <t>Q9Y265-2</t>
  </si>
  <si>
    <t>Q9Y266</t>
  </si>
  <si>
    <t>Q9Y2B0</t>
  </si>
  <si>
    <t>Q9Y2R0</t>
  </si>
  <si>
    <t>Q9Y2S2-2</t>
  </si>
  <si>
    <t>Q9Y2S6</t>
  </si>
  <si>
    <t>Q9Y2W1</t>
  </si>
  <si>
    <t>Q9Y333</t>
  </si>
  <si>
    <t>Q9Y3B3-2</t>
  </si>
  <si>
    <t>Q9Y3C8</t>
  </si>
  <si>
    <t>Q9Y3D6</t>
  </si>
  <si>
    <t>Q9Y3E7-2</t>
  </si>
  <si>
    <t>Q9Y3F4</t>
  </si>
  <si>
    <t>Q9Y3L3</t>
  </si>
  <si>
    <t>Q9Y3Q8</t>
  </si>
  <si>
    <t>Q9Y3R4</t>
  </si>
  <si>
    <t>Q9Y446</t>
  </si>
  <si>
    <t>Q9Y490</t>
  </si>
  <si>
    <t>Q9Y4E8</t>
  </si>
  <si>
    <t>Q9Y4K1</t>
  </si>
  <si>
    <t>Q9Y5F9-2</t>
  </si>
  <si>
    <t>Q9Y5G0-2</t>
  </si>
  <si>
    <t>Q9Y5H7-2</t>
  </si>
  <si>
    <t>Q9Y5K6</t>
  </si>
  <si>
    <t>Q9Y5P6</t>
  </si>
  <si>
    <t>Q9Y5Y6</t>
  </si>
  <si>
    <t>Q9Y5Z4</t>
  </si>
  <si>
    <t>Q9Y613</t>
  </si>
  <si>
    <t>Q9Y653-2</t>
  </si>
  <si>
    <t>Q9Y662</t>
  </si>
  <si>
    <t>Q9Y678</t>
  </si>
  <si>
    <t>Q9Y6A5</t>
  </si>
  <si>
    <t>Q9Y6H1</t>
  </si>
  <si>
    <t>Q9Y6N5</t>
  </si>
  <si>
    <t>Q9Y6R7</t>
  </si>
  <si>
    <t>Q9Y6W5</t>
  </si>
  <si>
    <t>R4GMN6</t>
  </si>
  <si>
    <t>R4GMX5</t>
  </si>
  <si>
    <t>R4GN98</t>
  </si>
  <si>
    <t>R4GN99</t>
  </si>
  <si>
    <t>FC_TMT126_P014425_saliva</t>
  </si>
  <si>
    <t>FC_TMT127L_P014425_saliva</t>
  </si>
  <si>
    <t>FC_TMT127H_P014425_saliva</t>
  </si>
  <si>
    <t>FC_TMT128L_P014425_saliva</t>
  </si>
  <si>
    <t>FC_TMT128H_P014425_saliva</t>
  </si>
  <si>
    <t>FC_TMT129L_P014425_saliva</t>
  </si>
  <si>
    <t>FC_TMT129H_P014425_saliva</t>
  </si>
  <si>
    <t>FC_TMT130L_P014425_saliva</t>
  </si>
  <si>
    <t>FC_TMT130H_P014425_saliva</t>
  </si>
  <si>
    <t>FC_TMT131L_P014425_saliva</t>
  </si>
  <si>
    <t>a_P014425_saliva</t>
  </si>
  <si>
    <t>b_P014425_saliva</t>
  </si>
  <si>
    <t>meltPoint_P014425_saliva</t>
  </si>
  <si>
    <t>inflPoint_P014425_saliva</t>
  </si>
  <si>
    <t>slope_P014425_saliva</t>
  </si>
  <si>
    <t>plateau_P014425_saliva</t>
  </si>
  <si>
    <t>R_sq_P014425_saliva</t>
  </si>
  <si>
    <t>protein_identified_in_P014425_saliva</t>
  </si>
  <si>
    <t>model_converged_P014425_saliva</t>
  </si>
  <si>
    <t>sufficient_data_for_fit_P014425_saliva</t>
  </si>
  <si>
    <t>Proteinname_P014425_saliva</t>
  </si>
  <si>
    <t>numSpec_P014425_saliva</t>
  </si>
  <si>
    <t>salivary acidic proline-rich phosphoprotein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</si>
</sst>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99"/>
  <sheetViews>
    <sheetView tabSelected="1" workbookViewId="0">
      <selection activeCell="P7" sqref="P7"/>
    </sheetView>
  </sheetViews>
  <sheetFormatPr defaultRowHeight="15" x14ac:dyDescent="0.25"/>
  <sheetData>
    <row r="1" spans="1:28" s="2" customFormat="1" ht="75" x14ac:dyDescent="0.25">
      <c r="A1" s="1" t="s">
        <v>0</v>
      </c>
      <c r="B1" s="1" t="s">
        <v>9898</v>
      </c>
      <c r="C1" s="1" t="s">
        <v>9899</v>
      </c>
      <c r="D1" s="1" t="s">
        <v>9900</v>
      </c>
      <c r="E1" s="1" t="s">
        <v>9901</v>
      </c>
      <c r="F1" s="1" t="s">
        <v>9902</v>
      </c>
      <c r="G1" s="1" t="s">
        <v>9903</v>
      </c>
      <c r="H1" s="1" t="s">
        <v>9904</v>
      </c>
      <c r="I1" s="1" t="s">
        <v>9905</v>
      </c>
      <c r="J1" s="1" t="s">
        <v>9906</v>
      </c>
      <c r="K1" s="1" t="s">
        <v>9907</v>
      </c>
      <c r="L1" s="1" t="s">
        <v>9908</v>
      </c>
      <c r="M1" s="1" t="s">
        <v>9909</v>
      </c>
      <c r="N1" s="1" t="s">
        <v>9910</v>
      </c>
      <c r="O1" s="1" t="s">
        <v>9911</v>
      </c>
      <c r="P1" s="1" t="s">
        <v>9912</v>
      </c>
      <c r="Q1" s="1" t="s">
        <v>9913</v>
      </c>
      <c r="R1" s="1" t="s">
        <v>9914</v>
      </c>
      <c r="S1" s="1" t="s">
        <v>1</v>
      </c>
      <c r="T1" s="1" t="s">
        <v>9915</v>
      </c>
      <c r="U1" s="1" t="s">
        <v>9916</v>
      </c>
      <c r="V1" s="1" t="s">
        <v>9917</v>
      </c>
      <c r="W1" s="1" t="s">
        <v>9918</v>
      </c>
      <c r="X1" s="1" t="s">
        <v>9919</v>
      </c>
      <c r="Y1" s="1" t="s">
        <v>2</v>
      </c>
      <c r="Z1" s="1" t="s">
        <v>3</v>
      </c>
      <c r="AA1" s="1" t="s">
        <v>4</v>
      </c>
      <c r="AB1" s="1" t="s">
        <v>5</v>
      </c>
    </row>
    <row r="2" spans="1:28" x14ac:dyDescent="0.25">
      <c r="A2" t="s">
        <v>6</v>
      </c>
      <c r="B2">
        <v>1</v>
      </c>
      <c r="C2">
        <v>1.1606721845999499</v>
      </c>
      <c r="D2">
        <v>1.0801605216955099</v>
      </c>
      <c r="E2">
        <v>1.03872585904189</v>
      </c>
      <c r="F2">
        <v>1.5101078505141701</v>
      </c>
      <c r="G2">
        <v>1.33388512666165</v>
      </c>
      <c r="H2">
        <v>1.3505894156006999</v>
      </c>
      <c r="I2">
        <v>2.0988211687986</v>
      </c>
      <c r="J2">
        <v>1.4595435164283901</v>
      </c>
      <c r="K2">
        <v>1.55801354401806</v>
      </c>
      <c r="L2">
        <v>12623.872865154</v>
      </c>
      <c r="M2">
        <v>250</v>
      </c>
      <c r="O2">
        <v>50.492274970606999</v>
      </c>
      <c r="P2">
        <v>0.61890673822466102</v>
      </c>
      <c r="Q2">
        <v>1.5</v>
      </c>
      <c r="R2">
        <v>0.53994683440995905</v>
      </c>
      <c r="S2" t="s">
        <v>2004</v>
      </c>
      <c r="T2" t="s">
        <v>4002</v>
      </c>
      <c r="U2" t="s">
        <v>4002</v>
      </c>
      <c r="V2" t="s">
        <v>4002</v>
      </c>
      <c r="W2" t="s">
        <v>4004</v>
      </c>
      <c r="X2">
        <v>4</v>
      </c>
      <c r="Y2" t="s">
        <v>5978</v>
      </c>
      <c r="Z2" t="s">
        <v>7900</v>
      </c>
      <c r="AA2">
        <v>1.325030832922252</v>
      </c>
      <c r="AB2" t="str">
        <f>HYPERLINK("Melting_Curves/meltCurve_A0M8Q6_IGLC7.pdf", "Melting_Curves/meltCurve_A0M8Q6_IGLC7.pdf")</f>
        <v>Melting_Curves/meltCurve_A0M8Q6_IGLC7.pdf</v>
      </c>
    </row>
    <row r="3" spans="1:28" x14ac:dyDescent="0.25">
      <c r="A3" t="s">
        <v>7</v>
      </c>
      <c r="B3">
        <v>1</v>
      </c>
      <c r="C3">
        <v>0.72457765022633802</v>
      </c>
      <c r="D3">
        <v>0.88298470368945803</v>
      </c>
      <c r="E3">
        <v>0.94760200005917306</v>
      </c>
      <c r="F3">
        <v>0.912778484570549</v>
      </c>
      <c r="G3">
        <v>0.89878398769194401</v>
      </c>
      <c r="H3">
        <v>0.76635403414302194</v>
      </c>
      <c r="I3">
        <v>1.3521405958756201</v>
      </c>
      <c r="J3">
        <v>1.29113287375366</v>
      </c>
      <c r="K3">
        <v>0.89502648007337504</v>
      </c>
      <c r="S3" t="s">
        <v>2005</v>
      </c>
      <c r="T3" t="s">
        <v>4002</v>
      </c>
      <c r="U3" t="s">
        <v>4003</v>
      </c>
      <c r="V3" t="s">
        <v>4002</v>
      </c>
      <c r="W3" t="s">
        <v>4005</v>
      </c>
      <c r="X3">
        <v>1</v>
      </c>
      <c r="Y3" t="s">
        <v>5979</v>
      </c>
      <c r="Z3" t="s">
        <v>7901</v>
      </c>
      <c r="AB3" t="str">
        <f>HYPERLINK("Melting_Curves/meltCurve_A0MZ66_2_KIAA1598.pdf", "Melting_Curves/meltCurve_A0MZ66_2_KIAA1598.pdf")</f>
        <v>Melting_Curves/meltCurve_A0MZ66_2_KIAA1598.pdf</v>
      </c>
    </row>
    <row r="4" spans="1:28" x14ac:dyDescent="0.25">
      <c r="A4" t="s">
        <v>8</v>
      </c>
      <c r="B4">
        <v>1</v>
      </c>
      <c r="C4">
        <v>1.0021950684129699</v>
      </c>
      <c r="D4">
        <v>1.11326553010902</v>
      </c>
      <c r="E4">
        <v>1.32845540352674</v>
      </c>
      <c r="F4">
        <v>1.0114875246945201</v>
      </c>
      <c r="G4">
        <v>1.14480134630863</v>
      </c>
      <c r="H4">
        <v>1.07675422550669</v>
      </c>
      <c r="I4">
        <v>1.528499304895</v>
      </c>
      <c r="J4">
        <v>3.1851174361600898</v>
      </c>
      <c r="K4">
        <v>1.67922733591864</v>
      </c>
      <c r="L4">
        <v>15000</v>
      </c>
      <c r="M4">
        <v>244.19447885479599</v>
      </c>
      <c r="O4">
        <v>61.422310712035603</v>
      </c>
      <c r="P4">
        <v>0.49695786103202</v>
      </c>
      <c r="Q4">
        <v>1.5</v>
      </c>
      <c r="R4">
        <v>0.247681342409827</v>
      </c>
      <c r="S4" t="s">
        <v>2006</v>
      </c>
      <c r="T4" t="s">
        <v>4002</v>
      </c>
      <c r="U4" t="s">
        <v>4002</v>
      </c>
      <c r="V4" t="s">
        <v>4002</v>
      </c>
      <c r="W4" t="s">
        <v>4006</v>
      </c>
      <c r="X4">
        <v>1</v>
      </c>
      <c r="Y4" t="s">
        <v>5980</v>
      </c>
      <c r="Z4" t="s">
        <v>7902</v>
      </c>
      <c r="AA4">
        <v>1.142836001077332</v>
      </c>
      <c r="AB4" t="str">
        <f>HYPERLINK("Melting_Curves/meltCurve_A2A274_ACO2.pdf", "Melting_Curves/meltCurve_A2A274_ACO2.pdf")</f>
        <v>Melting_Curves/meltCurve_A2A274_ACO2.pdf</v>
      </c>
    </row>
    <row r="5" spans="1:28" x14ac:dyDescent="0.25">
      <c r="A5" t="s">
        <v>9</v>
      </c>
      <c r="B5">
        <v>1</v>
      </c>
      <c r="C5">
        <v>0.87940490977349195</v>
      </c>
      <c r="D5">
        <v>0.90604719969854697</v>
      </c>
      <c r="E5">
        <v>1.0296428621272</v>
      </c>
      <c r="F5">
        <v>0.90001814299471095</v>
      </c>
      <c r="G5">
        <v>0.95915034960155199</v>
      </c>
      <c r="H5">
        <v>0.78929005066082403</v>
      </c>
      <c r="I5">
        <v>1.1179294656190299</v>
      </c>
      <c r="J5">
        <v>0.98427141920087102</v>
      </c>
      <c r="K5">
        <v>0.87918161137705297</v>
      </c>
      <c r="L5">
        <v>10231.803481815001</v>
      </c>
      <c r="M5">
        <v>250</v>
      </c>
      <c r="O5">
        <v>40.924602970385401</v>
      </c>
      <c r="P5">
        <v>-9.4188037896716301E-2</v>
      </c>
      <c r="Q5">
        <v>0.93832628337365198</v>
      </c>
      <c r="R5">
        <v>4.3743930393900003E-2</v>
      </c>
      <c r="S5" t="s">
        <v>2007</v>
      </c>
      <c r="T5" t="s">
        <v>4002</v>
      </c>
      <c r="U5" t="s">
        <v>4002</v>
      </c>
      <c r="V5" t="s">
        <v>4002</v>
      </c>
      <c r="W5" t="s">
        <v>4007</v>
      </c>
      <c r="X5">
        <v>2</v>
      </c>
      <c r="Y5" t="s">
        <v>5981</v>
      </c>
      <c r="Z5" t="s">
        <v>7903</v>
      </c>
      <c r="AA5">
        <v>0.94023783985914566</v>
      </c>
      <c r="AB5" t="str">
        <f>HYPERLINK("Melting_Curves/meltCurve_A2A2M0_RPRD1B.pdf", "Melting_Curves/meltCurve_A2A2M0_RPRD1B.pdf")</f>
        <v>Melting_Curves/meltCurve_A2A2M0_RPRD1B.pdf</v>
      </c>
    </row>
    <row r="6" spans="1:28" x14ac:dyDescent="0.25">
      <c r="A6" t="s">
        <v>10</v>
      </c>
      <c r="B6">
        <v>1</v>
      </c>
      <c r="C6">
        <v>0.99983035512327501</v>
      </c>
      <c r="D6">
        <v>1.0730038452838699</v>
      </c>
      <c r="E6">
        <v>1.0304795295182101</v>
      </c>
      <c r="F6">
        <v>1.0058244741008799</v>
      </c>
      <c r="G6">
        <v>1.0182085501017899</v>
      </c>
      <c r="H6">
        <v>0.84850712508482196</v>
      </c>
      <c r="I6">
        <v>1.08945939832617</v>
      </c>
      <c r="J6">
        <v>0.79054512553720901</v>
      </c>
      <c r="K6">
        <v>0.94209454874462795</v>
      </c>
      <c r="L6">
        <v>1192.8061428598601</v>
      </c>
      <c r="M6">
        <v>19.169234889973499</v>
      </c>
      <c r="O6">
        <v>61.559710225942602</v>
      </c>
      <c r="P6">
        <v>-8.5058905293633295E-3</v>
      </c>
      <c r="Q6">
        <v>0.89074159616667703</v>
      </c>
      <c r="R6">
        <v>0.247737289760391</v>
      </c>
      <c r="S6" t="s">
        <v>2008</v>
      </c>
      <c r="T6" t="s">
        <v>4002</v>
      </c>
      <c r="U6" t="s">
        <v>4002</v>
      </c>
      <c r="V6" t="s">
        <v>4002</v>
      </c>
      <c r="W6" t="s">
        <v>4008</v>
      </c>
      <c r="X6">
        <v>3</v>
      </c>
      <c r="Y6" t="s">
        <v>5982</v>
      </c>
      <c r="Z6" t="s">
        <v>7904</v>
      </c>
      <c r="AA6">
        <v>0.97186390096486908</v>
      </c>
      <c r="AB6" t="str">
        <f>HYPERLINK("Melting_Curves/meltCurve_A2A2V1_PRNP.pdf", "Melting_Curves/meltCurve_A2A2V1_PRNP.pdf")</f>
        <v>Melting_Curves/meltCurve_A2A2V1_PRNP.pdf</v>
      </c>
    </row>
    <row r="7" spans="1:28" x14ac:dyDescent="0.25">
      <c r="A7" t="s">
        <v>11</v>
      </c>
      <c r="B7">
        <v>1</v>
      </c>
      <c r="C7">
        <v>0.96070679360981104</v>
      </c>
      <c r="D7">
        <v>1.0061319993545299</v>
      </c>
      <c r="E7">
        <v>1.04292399548168</v>
      </c>
      <c r="F7">
        <v>0.99733742133290304</v>
      </c>
      <c r="G7">
        <v>0.95594642568985</v>
      </c>
      <c r="H7">
        <v>0.79548975310634196</v>
      </c>
      <c r="I7">
        <v>1.0303372599645</v>
      </c>
      <c r="J7">
        <v>0.82136517669840203</v>
      </c>
      <c r="K7">
        <v>0.89236727448765496</v>
      </c>
      <c r="L7">
        <v>14277.249881318899</v>
      </c>
      <c r="M7">
        <v>250</v>
      </c>
      <c r="O7">
        <v>57.105349588234503</v>
      </c>
      <c r="P7">
        <v>-0.12598440978573799</v>
      </c>
      <c r="Q7">
        <v>0.88488986930095603</v>
      </c>
      <c r="R7">
        <v>0.45164084464940302</v>
      </c>
      <c r="S7" t="s">
        <v>2009</v>
      </c>
      <c r="T7" t="s">
        <v>4002</v>
      </c>
      <c r="U7" t="s">
        <v>4002</v>
      </c>
      <c r="V7" t="s">
        <v>4002</v>
      </c>
      <c r="W7" t="s">
        <v>4009</v>
      </c>
      <c r="X7">
        <v>1</v>
      </c>
      <c r="Y7" t="s">
        <v>5983</v>
      </c>
      <c r="Z7" t="s">
        <v>7905</v>
      </c>
      <c r="AA7">
        <v>0.95054871197661084</v>
      </c>
      <c r="AB7" t="str">
        <f>HYPERLINK("Melting_Curves/meltCurve_A2A2V4_VEGFA.pdf", "Melting_Curves/meltCurve_A2A2V4_VEGFA.pdf")</f>
        <v>Melting_Curves/meltCurve_A2A2V4_VEGFA.pdf</v>
      </c>
    </row>
    <row r="8" spans="1:28" x14ac:dyDescent="0.25">
      <c r="A8" t="s">
        <v>12</v>
      </c>
      <c r="B8">
        <v>1</v>
      </c>
      <c r="C8">
        <v>0.96829027248341104</v>
      </c>
      <c r="D8">
        <v>1.04468445573909</v>
      </c>
      <c r="E8">
        <v>1.05609205139065</v>
      </c>
      <c r="F8">
        <v>0.91824085839333602</v>
      </c>
      <c r="G8">
        <v>0.941465480728505</v>
      </c>
      <c r="H8">
        <v>0.84194550331780305</v>
      </c>
      <c r="I8">
        <v>1.06358887477058</v>
      </c>
      <c r="J8">
        <v>2.6213468869123302</v>
      </c>
      <c r="K8">
        <v>0.84588451221233896</v>
      </c>
      <c r="L8">
        <v>15000</v>
      </c>
      <c r="M8">
        <v>232.48111448617601</v>
      </c>
      <c r="O8">
        <v>64.516589203066502</v>
      </c>
      <c r="P8">
        <v>0.45042890406102798</v>
      </c>
      <c r="Q8">
        <v>1.5</v>
      </c>
      <c r="R8">
        <v>0.317063923445217</v>
      </c>
      <c r="S8" t="s">
        <v>2010</v>
      </c>
      <c r="T8" t="s">
        <v>4002</v>
      </c>
      <c r="U8" t="s">
        <v>4002</v>
      </c>
      <c r="V8" t="s">
        <v>4002</v>
      </c>
      <c r="W8" t="s">
        <v>4010</v>
      </c>
      <c r="X8">
        <v>1</v>
      </c>
      <c r="Y8" t="s">
        <v>5984</v>
      </c>
      <c r="Z8" t="s">
        <v>7906</v>
      </c>
      <c r="AA8">
        <v>1.091245026834482</v>
      </c>
      <c r="AB8" t="str">
        <f>HYPERLINK("Melting_Curves/meltCurve_A2A3R7_RPS6.pdf", "Melting_Curves/meltCurve_A2A3R7_RPS6.pdf")</f>
        <v>Melting_Curves/meltCurve_A2A3R7_RPS6.pdf</v>
      </c>
    </row>
    <row r="9" spans="1:28" x14ac:dyDescent="0.25">
      <c r="A9" t="s">
        <v>13</v>
      </c>
      <c r="B9">
        <v>1</v>
      </c>
      <c r="C9">
        <v>1.10691969451516</v>
      </c>
      <c r="D9">
        <v>1.1090218313661999</v>
      </c>
      <c r="E9">
        <v>1.05980482912906</v>
      </c>
      <c r="F9">
        <v>1.03415490241456</v>
      </c>
      <c r="G9">
        <v>0.95496798580575504</v>
      </c>
      <c r="H9">
        <v>1.0820990511455699</v>
      </c>
      <c r="I9">
        <v>0.93604875414641697</v>
      </c>
      <c r="J9">
        <v>1.2406657409550299</v>
      </c>
      <c r="K9">
        <v>1.05340199028003</v>
      </c>
      <c r="L9">
        <v>49.116128111038101</v>
      </c>
      <c r="M9">
        <v>1.0000000000000001E-5</v>
      </c>
      <c r="Q9">
        <v>1.2016804749021599</v>
      </c>
      <c r="R9">
        <v>6.11041612174823E-3</v>
      </c>
      <c r="S9" t="s">
        <v>2011</v>
      </c>
      <c r="T9" t="s">
        <v>4002</v>
      </c>
      <c r="U9" t="s">
        <v>4002</v>
      </c>
      <c r="V9" t="s">
        <v>4002</v>
      </c>
      <c r="W9" t="s">
        <v>4011</v>
      </c>
      <c r="X9">
        <v>1</v>
      </c>
      <c r="Y9" t="s">
        <v>5985</v>
      </c>
      <c r="Z9" t="s">
        <v>7907</v>
      </c>
      <c r="AA9">
        <v>1.0578231090912751</v>
      </c>
      <c r="AB9" t="str">
        <f>HYPERLINK("Melting_Curves/meltCurve_A2A492_BNIPL.pdf", "Melting_Curves/meltCurve_A2A492_BNIPL.pdf")</f>
        <v>Melting_Curves/meltCurve_A2A492_BNIPL.pdf</v>
      </c>
    </row>
    <row r="10" spans="1:28" x14ac:dyDescent="0.25">
      <c r="A10" t="s">
        <v>14</v>
      </c>
      <c r="B10">
        <v>1</v>
      </c>
      <c r="C10">
        <v>0.77216688993728999</v>
      </c>
      <c r="D10">
        <v>1.1096938280233799</v>
      </c>
      <c r="E10">
        <v>1.8739588793756199</v>
      </c>
      <c r="F10">
        <v>2.0410817947075199</v>
      </c>
      <c r="G10">
        <v>3.00425184926321</v>
      </c>
      <c r="H10">
        <v>2.2573630768633399</v>
      </c>
      <c r="I10">
        <v>3.1019084784592401</v>
      </c>
      <c r="J10">
        <v>2.0294328926165401</v>
      </c>
      <c r="K10">
        <v>2.6144019259518099</v>
      </c>
      <c r="S10" t="s">
        <v>2012</v>
      </c>
      <c r="T10" t="s">
        <v>4002</v>
      </c>
      <c r="U10" t="s">
        <v>4003</v>
      </c>
      <c r="V10" t="s">
        <v>4002</v>
      </c>
      <c r="W10" t="s">
        <v>4012</v>
      </c>
      <c r="X10">
        <v>1</v>
      </c>
      <c r="Y10" t="s">
        <v>5986</v>
      </c>
      <c r="Z10" t="s">
        <v>7908</v>
      </c>
      <c r="AB10" t="str">
        <f>HYPERLINK("Melting_Curves/meltCurve_A2BF36_HLA_DQB1.pdf", "Melting_Curves/meltCurve_A2BF36_HLA_DQB1.pdf")</f>
        <v>Melting_Curves/meltCurve_A2BF36_HLA_DQB1.pdf</v>
      </c>
    </row>
    <row r="11" spans="1:28" x14ac:dyDescent="0.25">
      <c r="A11" t="s">
        <v>15</v>
      </c>
      <c r="B11">
        <v>1</v>
      </c>
      <c r="C11">
        <v>0.93685051958433296</v>
      </c>
      <c r="D11">
        <v>0.91300752501447102</v>
      </c>
      <c r="E11">
        <v>1.1212547203616401</v>
      </c>
      <c r="F11">
        <v>1.15521376002646</v>
      </c>
      <c r="G11">
        <v>0.98131150252211996</v>
      </c>
      <c r="H11">
        <v>0.77802585517792699</v>
      </c>
      <c r="I11">
        <v>1.3575346619256301</v>
      </c>
      <c r="J11">
        <v>1.01204553598501</v>
      </c>
      <c r="K11">
        <v>1.0328564734419401</v>
      </c>
      <c r="L11">
        <v>11990.476368191599</v>
      </c>
      <c r="M11">
        <v>250</v>
      </c>
      <c r="O11">
        <v>47.9588363596771</v>
      </c>
      <c r="P11">
        <v>8.15879410098512E-2</v>
      </c>
      <c r="Q11">
        <v>1.0626058031449901</v>
      </c>
      <c r="R11">
        <v>8.6695028816986194E-2</v>
      </c>
      <c r="S11" t="s">
        <v>2013</v>
      </c>
      <c r="T11" t="s">
        <v>4002</v>
      </c>
      <c r="U11" t="s">
        <v>4002</v>
      </c>
      <c r="V11" t="s">
        <v>4002</v>
      </c>
      <c r="W11" t="s">
        <v>4013</v>
      </c>
      <c r="X11">
        <v>1</v>
      </c>
      <c r="Y11" t="s">
        <v>5987</v>
      </c>
      <c r="Z11" t="s">
        <v>7909</v>
      </c>
      <c r="AA11">
        <v>1.045985150574867</v>
      </c>
      <c r="AB11" t="str">
        <f>HYPERLINK("Melting_Curves/meltCurve_A5YM69_ARHGEF35.pdf", "Melting_Curves/meltCurve_A5YM69_ARHGEF35.pdf")</f>
        <v>Melting_Curves/meltCurve_A5YM69_ARHGEF35.pdf</v>
      </c>
    </row>
    <row r="12" spans="1:28" x14ac:dyDescent="0.25">
      <c r="A12" t="s">
        <v>16</v>
      </c>
      <c r="B12">
        <v>1</v>
      </c>
      <c r="C12">
        <v>0.98503039513677804</v>
      </c>
      <c r="D12">
        <v>1.0567629179331299</v>
      </c>
      <c r="E12">
        <v>1.00782674772036</v>
      </c>
      <c r="F12">
        <v>1.14984802431611</v>
      </c>
      <c r="G12">
        <v>1.20835866261398</v>
      </c>
      <c r="H12">
        <v>0.94855623100303998</v>
      </c>
      <c r="I12">
        <v>1.28442249240122</v>
      </c>
      <c r="J12">
        <v>0.95820668693009103</v>
      </c>
      <c r="K12">
        <v>0.96405775075987798</v>
      </c>
      <c r="L12">
        <v>1344.05567787371</v>
      </c>
      <c r="M12">
        <v>29.035473762886099</v>
      </c>
      <c r="O12">
        <v>46.0722157835527</v>
      </c>
      <c r="P12">
        <v>1.2233848557684701E-2</v>
      </c>
      <c r="Q12">
        <v>1.0776479600026501</v>
      </c>
      <c r="R12">
        <v>8.2454019874486903E-2</v>
      </c>
      <c r="S12" t="s">
        <v>2014</v>
      </c>
      <c r="T12" t="s">
        <v>4002</v>
      </c>
      <c r="U12" t="s">
        <v>4002</v>
      </c>
      <c r="V12" t="s">
        <v>4002</v>
      </c>
      <c r="W12" t="s">
        <v>4014</v>
      </c>
      <c r="X12">
        <v>2</v>
      </c>
      <c r="Y12" t="s">
        <v>5988</v>
      </c>
      <c r="Z12" t="s">
        <v>7910</v>
      </c>
      <c r="AA12">
        <v>1.0608623826609671</v>
      </c>
      <c r="AB12" t="str">
        <f>HYPERLINK("Melting_Curves/meltCurve_A6NC48_BST1.pdf", "Melting_Curves/meltCurve_A6NC48_BST1.pdf")</f>
        <v>Melting_Curves/meltCurve_A6NC48_BST1.pdf</v>
      </c>
    </row>
    <row r="13" spans="1:28" x14ac:dyDescent="0.25">
      <c r="A13" t="s">
        <v>17</v>
      </c>
      <c r="B13">
        <v>1</v>
      </c>
      <c r="C13">
        <v>0.92419886999249501</v>
      </c>
      <c r="D13">
        <v>0.97085770118523296</v>
      </c>
      <c r="E13">
        <v>0.96939917019499</v>
      </c>
      <c r="F13">
        <v>0.98152055395856597</v>
      </c>
      <c r="G13">
        <v>1.0142171370311099</v>
      </c>
      <c r="H13">
        <v>0.82872881235927998</v>
      </c>
      <c r="I13">
        <v>1.0367606451521501</v>
      </c>
      <c r="J13">
        <v>0.87545844602727296</v>
      </c>
      <c r="K13">
        <v>0.85571871592630899</v>
      </c>
      <c r="L13">
        <v>332.672055679891</v>
      </c>
      <c r="M13">
        <v>2.7816223279460899</v>
      </c>
      <c r="Q13">
        <v>0</v>
      </c>
      <c r="R13">
        <v>0.22583101014281501</v>
      </c>
      <c r="S13" t="s">
        <v>2015</v>
      </c>
      <c r="T13" t="s">
        <v>4002</v>
      </c>
      <c r="U13" t="s">
        <v>4002</v>
      </c>
      <c r="V13" t="s">
        <v>4002</v>
      </c>
      <c r="W13" t="s">
        <v>4015</v>
      </c>
      <c r="X13">
        <v>13</v>
      </c>
      <c r="Y13" t="s">
        <v>5989</v>
      </c>
      <c r="Z13" t="s">
        <v>7911</v>
      </c>
      <c r="AA13">
        <v>0.95418534967071267</v>
      </c>
      <c r="AB13" t="str">
        <f>HYPERLINK("Melting_Curves/meltCurve_A6NC98_CCDC88B.pdf", "Melting_Curves/meltCurve_A6NC98_CCDC88B.pdf")</f>
        <v>Melting_Curves/meltCurve_A6NC98_CCDC88B.pdf</v>
      </c>
    </row>
    <row r="14" spans="1:28" x14ac:dyDescent="0.25">
      <c r="A14" t="s">
        <v>18</v>
      </c>
      <c r="B14">
        <v>1</v>
      </c>
      <c r="C14">
        <v>0.899071051970876</v>
      </c>
      <c r="D14">
        <v>1.2025483304042199</v>
      </c>
      <c r="E14">
        <v>1.03364298267637</v>
      </c>
      <c r="F14">
        <v>0.90949033391915601</v>
      </c>
      <c r="G14">
        <v>1.0987948782324899</v>
      </c>
      <c r="H14">
        <v>0.89499121265377901</v>
      </c>
      <c r="I14">
        <v>1.3071805171980899</v>
      </c>
      <c r="J14">
        <v>1.3400702987697699</v>
      </c>
      <c r="K14">
        <v>1.0645869947275901</v>
      </c>
      <c r="L14">
        <v>7236.6745473556002</v>
      </c>
      <c r="M14">
        <v>115.666691813535</v>
      </c>
      <c r="O14">
        <v>62.546195400044702</v>
      </c>
      <c r="P14">
        <v>0.110370148992635</v>
      </c>
      <c r="Q14">
        <v>1.2387284726300301</v>
      </c>
      <c r="R14">
        <v>0.44913578054305903</v>
      </c>
      <c r="S14" t="s">
        <v>2016</v>
      </c>
      <c r="T14" t="s">
        <v>4002</v>
      </c>
      <c r="U14" t="s">
        <v>4002</v>
      </c>
      <c r="V14" t="s">
        <v>4002</v>
      </c>
      <c r="W14" t="s">
        <v>4016</v>
      </c>
      <c r="X14">
        <v>1</v>
      </c>
      <c r="Y14" t="s">
        <v>5990</v>
      </c>
      <c r="Z14" t="s">
        <v>7912</v>
      </c>
      <c r="AA14">
        <v>1.059043172598769</v>
      </c>
      <c r="AB14" t="str">
        <f>HYPERLINK("Melting_Curves/meltCurve_A6NCC9_TSSC4.pdf", "Melting_Curves/meltCurve_A6NCC9_TSSC4.pdf")</f>
        <v>Melting_Curves/meltCurve_A6NCC9_TSSC4.pdf</v>
      </c>
    </row>
    <row r="15" spans="1:28" x14ac:dyDescent="0.25">
      <c r="A15" t="s">
        <v>19</v>
      </c>
      <c r="B15">
        <v>1</v>
      </c>
      <c r="C15">
        <v>1.0266508875739599</v>
      </c>
      <c r="D15">
        <v>0.96894674556213001</v>
      </c>
      <c r="E15">
        <v>1.1683313609467501</v>
      </c>
      <c r="F15">
        <v>1.0857278106508901</v>
      </c>
      <c r="G15">
        <v>1.02007100591716</v>
      </c>
      <c r="H15">
        <v>0.78153846153846196</v>
      </c>
      <c r="I15">
        <v>1.75252071005917</v>
      </c>
      <c r="J15">
        <v>1.1142721893491101</v>
      </c>
      <c r="K15">
        <v>0.95441420118343201</v>
      </c>
      <c r="L15">
        <v>514.31387874486404</v>
      </c>
      <c r="M15">
        <v>9.6649295279459899</v>
      </c>
      <c r="O15">
        <v>51.086048530212302</v>
      </c>
      <c r="P15">
        <v>7.9827538084813205E-3</v>
      </c>
      <c r="Q15">
        <v>1.16868478380453</v>
      </c>
      <c r="R15">
        <v>5.0882760291314097E-2</v>
      </c>
      <c r="S15" t="s">
        <v>2017</v>
      </c>
      <c r="T15" t="s">
        <v>4002</v>
      </c>
      <c r="U15" t="s">
        <v>4002</v>
      </c>
      <c r="V15" t="s">
        <v>4002</v>
      </c>
      <c r="W15" t="s">
        <v>4017</v>
      </c>
      <c r="X15">
        <v>1</v>
      </c>
      <c r="Y15" t="s">
        <v>5991</v>
      </c>
      <c r="Z15" t="s">
        <v>7913</v>
      </c>
      <c r="AA15">
        <v>1.0885893205191379</v>
      </c>
      <c r="AB15" t="str">
        <f>HYPERLINK("Melting_Curves/meltCurve_A6NDF3_PBDC1.pdf", "Melting_Curves/meltCurve_A6NDF3_PBDC1.pdf")</f>
        <v>Melting_Curves/meltCurve_A6NDF3_PBDC1.pdf</v>
      </c>
    </row>
    <row r="16" spans="1:28" x14ac:dyDescent="0.25">
      <c r="A16" t="s">
        <v>20</v>
      </c>
      <c r="B16">
        <v>1</v>
      </c>
      <c r="C16">
        <v>1.0747685365284401</v>
      </c>
      <c r="D16">
        <v>1.3282502139578301</v>
      </c>
      <c r="E16">
        <v>1.54368629891854</v>
      </c>
      <c r="F16">
        <v>1.44090873725978</v>
      </c>
      <c r="G16">
        <v>1.5190227962343399</v>
      </c>
      <c r="H16">
        <v>1.25324826888664</v>
      </c>
      <c r="I16">
        <v>1.7023263051427699</v>
      </c>
      <c r="J16">
        <v>1.2064887574885199</v>
      </c>
      <c r="K16">
        <v>1.1732669415700601</v>
      </c>
      <c r="L16">
        <v>2071.77609705647</v>
      </c>
      <c r="M16">
        <v>46.704448423012501</v>
      </c>
      <c r="O16">
        <v>44.278195166014498</v>
      </c>
      <c r="P16">
        <v>0.106665581363666</v>
      </c>
      <c r="Q16">
        <v>1.40449712555841</v>
      </c>
      <c r="R16">
        <v>0.471257332254649</v>
      </c>
      <c r="S16" t="s">
        <v>2018</v>
      </c>
      <c r="T16" t="s">
        <v>4002</v>
      </c>
      <c r="U16" t="s">
        <v>4002</v>
      </c>
      <c r="V16" t="s">
        <v>4002</v>
      </c>
      <c r="W16" t="s">
        <v>4018</v>
      </c>
      <c r="X16">
        <v>3</v>
      </c>
      <c r="Y16" t="s">
        <v>5992</v>
      </c>
      <c r="Z16" t="s">
        <v>7914</v>
      </c>
      <c r="AA16">
        <v>1.3447503468007109</v>
      </c>
      <c r="AB16" t="str">
        <f>HYPERLINK("Melting_Curves/meltCurve_A6NDG6_PGP.pdf", "Melting_Curves/meltCurve_A6NDG6_PGP.pdf")</f>
        <v>Melting_Curves/meltCurve_A6NDG6_PGP.pdf</v>
      </c>
    </row>
    <row r="17" spans="1:28" x14ac:dyDescent="0.25">
      <c r="A17" t="s">
        <v>21</v>
      </c>
      <c r="B17">
        <v>1</v>
      </c>
      <c r="C17">
        <v>1.1191068927960199</v>
      </c>
      <c r="D17">
        <v>1.0075462890928899</v>
      </c>
      <c r="E17">
        <v>1.2250661272755601</v>
      </c>
      <c r="F17">
        <v>0.83125875213941203</v>
      </c>
      <c r="G17">
        <v>1.0329080441885801</v>
      </c>
      <c r="H17">
        <v>0.93760697059281195</v>
      </c>
      <c r="I17">
        <v>1.1247082620196001</v>
      </c>
      <c r="J17">
        <v>1.1241247860588099</v>
      </c>
      <c r="K17">
        <v>1.0467947720553901</v>
      </c>
      <c r="L17">
        <v>47.496717414992602</v>
      </c>
      <c r="M17">
        <v>1.0000000000000001E-5</v>
      </c>
      <c r="Q17">
        <v>1.15357814114855</v>
      </c>
      <c r="R17">
        <v>1.8576824685969701E-3</v>
      </c>
      <c r="S17" t="s">
        <v>2019</v>
      </c>
      <c r="T17" t="s">
        <v>4002</v>
      </c>
      <c r="U17" t="s">
        <v>4002</v>
      </c>
      <c r="V17" t="s">
        <v>4002</v>
      </c>
      <c r="W17" t="s">
        <v>4019</v>
      </c>
      <c r="X17">
        <v>1</v>
      </c>
      <c r="Z17" t="s">
        <v>7915</v>
      </c>
      <c r="AA17">
        <v>1.04497292028753</v>
      </c>
      <c r="AB17" t="str">
        <f>HYPERLINK("Melting_Curves/meltCurve_A6NDJ8_.pdf", "Melting_Curves/meltCurve_A6NDJ8_.pdf")</f>
        <v>Melting_Curves/meltCurve_A6NDJ8_.pdf</v>
      </c>
    </row>
    <row r="18" spans="1:28" x14ac:dyDescent="0.25">
      <c r="A18" t="s">
        <v>22</v>
      </c>
      <c r="B18">
        <v>1</v>
      </c>
      <c r="C18">
        <v>0.90728220977399998</v>
      </c>
      <c r="D18">
        <v>0.94412097464058098</v>
      </c>
      <c r="E18">
        <v>1.0074229421341601</v>
      </c>
      <c r="F18">
        <v>0.97317806782747895</v>
      </c>
      <c r="G18">
        <v>1.02472474406027</v>
      </c>
      <c r="H18">
        <v>0.98893457324981404</v>
      </c>
      <c r="I18">
        <v>1.17693644968128</v>
      </c>
      <c r="J18">
        <v>1.02563536521427</v>
      </c>
      <c r="K18">
        <v>0.90780650680206398</v>
      </c>
      <c r="L18">
        <v>13945.652205574999</v>
      </c>
      <c r="M18">
        <v>250</v>
      </c>
      <c r="O18">
        <v>55.779039156397701</v>
      </c>
      <c r="P18">
        <v>2.7823201077295901E-2</v>
      </c>
      <c r="Q18">
        <v>1.0248312227057099</v>
      </c>
      <c r="R18">
        <v>5.3906173045112499E-2</v>
      </c>
      <c r="S18" t="s">
        <v>2020</v>
      </c>
      <c r="T18" t="s">
        <v>4002</v>
      </c>
      <c r="U18" t="s">
        <v>4002</v>
      </c>
      <c r="V18" t="s">
        <v>4002</v>
      </c>
      <c r="W18" t="s">
        <v>4020</v>
      </c>
      <c r="X18">
        <v>5</v>
      </c>
      <c r="Y18" t="s">
        <v>5993</v>
      </c>
      <c r="Z18" t="s">
        <v>7916</v>
      </c>
      <c r="AA18">
        <v>1.0117654093035571</v>
      </c>
      <c r="AB18" t="str">
        <f>HYPERLINK("Melting_Curves/meltCurve_A6NFX8_NUDT5.pdf", "Melting_Curves/meltCurve_A6NFX8_NUDT5.pdf")</f>
        <v>Melting_Curves/meltCurve_A6NFX8_NUDT5.pdf</v>
      </c>
    </row>
    <row r="19" spans="1:28" x14ac:dyDescent="0.25">
      <c r="A19" t="s">
        <v>23</v>
      </c>
      <c r="B19">
        <v>1</v>
      </c>
      <c r="C19">
        <v>0.96213630928656801</v>
      </c>
      <c r="D19">
        <v>1.01062840441079</v>
      </c>
      <c r="E19">
        <v>1.0302245250431801</v>
      </c>
      <c r="F19">
        <v>0.98591736415570597</v>
      </c>
      <c r="G19">
        <v>0.96147203401089398</v>
      </c>
      <c r="H19">
        <v>0.72020725388601003</v>
      </c>
      <c r="I19">
        <v>0.97548824232762099</v>
      </c>
      <c r="J19">
        <v>0.96957619237411996</v>
      </c>
      <c r="K19">
        <v>0.75720738674106502</v>
      </c>
      <c r="L19">
        <v>14307.607362176699</v>
      </c>
      <c r="M19">
        <v>250</v>
      </c>
      <c r="O19">
        <v>57.226767162619304</v>
      </c>
      <c r="P19">
        <v>-0.15768432197823301</v>
      </c>
      <c r="Q19">
        <v>0.85561977671089595</v>
      </c>
      <c r="R19">
        <v>0.439663107214184</v>
      </c>
      <c r="S19" t="s">
        <v>2021</v>
      </c>
      <c r="T19" t="s">
        <v>4002</v>
      </c>
      <c r="U19" t="s">
        <v>4002</v>
      </c>
      <c r="V19" t="s">
        <v>4002</v>
      </c>
      <c r="W19" t="s">
        <v>4021</v>
      </c>
      <c r="X19">
        <v>25</v>
      </c>
      <c r="Y19" t="s">
        <v>5994</v>
      </c>
      <c r="Z19" t="s">
        <v>7917</v>
      </c>
      <c r="AA19">
        <v>0.93855871975154159</v>
      </c>
      <c r="AB19" t="str">
        <f>HYPERLINK("Melting_Curves/meltCurve_A6NG51_SPTAN1.pdf", "Melting_Curves/meltCurve_A6NG51_SPTAN1.pdf")</f>
        <v>Melting_Curves/meltCurve_A6NG51_SPTAN1.pdf</v>
      </c>
    </row>
    <row r="20" spans="1:28" x14ac:dyDescent="0.25">
      <c r="A20" t="s">
        <v>24</v>
      </c>
      <c r="B20">
        <v>1</v>
      </c>
      <c r="C20">
        <v>0.91085288030355305</v>
      </c>
      <c r="D20">
        <v>1.0563879786133199</v>
      </c>
      <c r="E20">
        <v>0.94444204898240802</v>
      </c>
      <c r="F20">
        <v>1.0062090375991699</v>
      </c>
      <c r="G20">
        <v>0.92486633321835099</v>
      </c>
      <c r="H20">
        <v>0.82435753708175197</v>
      </c>
      <c r="I20">
        <v>1.05076103828907</v>
      </c>
      <c r="J20">
        <v>1.0220442393928899</v>
      </c>
      <c r="K20">
        <v>0.89188082097274901</v>
      </c>
      <c r="L20">
        <v>328.43930731369102</v>
      </c>
      <c r="M20">
        <v>6.7202637387580202</v>
      </c>
      <c r="O20">
        <v>45.091242133929399</v>
      </c>
      <c r="P20">
        <v>-2.2205157561710001E-3</v>
      </c>
      <c r="Q20">
        <v>0.940531607293427</v>
      </c>
      <c r="R20">
        <v>3.2722860263255701E-2</v>
      </c>
      <c r="S20" t="s">
        <v>2022</v>
      </c>
      <c r="T20" t="s">
        <v>4002</v>
      </c>
      <c r="U20" t="s">
        <v>4002</v>
      </c>
      <c r="V20" t="s">
        <v>4002</v>
      </c>
      <c r="W20" t="s">
        <v>4022</v>
      </c>
      <c r="X20">
        <v>3</v>
      </c>
      <c r="Y20" t="s">
        <v>5995</v>
      </c>
      <c r="Z20" t="s">
        <v>7918</v>
      </c>
      <c r="AA20">
        <v>0.96295447580894034</v>
      </c>
      <c r="AB20" t="str">
        <f>HYPERLINK("Melting_Curves/meltCurve_A6NGP5_HN1L.pdf", "Melting_Curves/meltCurve_A6NGP5_HN1L.pdf")</f>
        <v>Melting_Curves/meltCurve_A6NGP5_HN1L.pdf</v>
      </c>
    </row>
    <row r="21" spans="1:28" x14ac:dyDescent="0.25">
      <c r="A21" t="s">
        <v>25</v>
      </c>
      <c r="B21">
        <v>1</v>
      </c>
      <c r="C21">
        <v>0.943363844393593</v>
      </c>
      <c r="D21">
        <v>1.06643306636156</v>
      </c>
      <c r="E21">
        <v>1.03983123569794</v>
      </c>
      <c r="F21">
        <v>0.96975114416476005</v>
      </c>
      <c r="G21">
        <v>1.0393306636155599</v>
      </c>
      <c r="H21">
        <v>0.531328661327231</v>
      </c>
      <c r="I21">
        <v>1.18671338672769</v>
      </c>
      <c r="J21">
        <v>0.44010297482837502</v>
      </c>
      <c r="K21">
        <v>0.72761727688787203</v>
      </c>
      <c r="L21">
        <v>943.13701997372095</v>
      </c>
      <c r="M21">
        <v>14.8788267220101</v>
      </c>
      <c r="O21">
        <v>62.275874140095603</v>
      </c>
      <c r="P21">
        <v>-2.5484979590617299E-2</v>
      </c>
      <c r="Q21">
        <v>0.573371231681013</v>
      </c>
      <c r="R21">
        <v>0.31972208580989703</v>
      </c>
      <c r="S21" t="s">
        <v>2023</v>
      </c>
      <c r="T21" t="s">
        <v>4002</v>
      </c>
      <c r="U21" t="s">
        <v>4002</v>
      </c>
      <c r="V21" t="s">
        <v>4002</v>
      </c>
      <c r="W21" t="s">
        <v>4023</v>
      </c>
      <c r="X21">
        <v>1</v>
      </c>
      <c r="Y21" t="s">
        <v>5996</v>
      </c>
      <c r="Z21" t="s">
        <v>7919</v>
      </c>
      <c r="AA21">
        <v>0.90073510452385619</v>
      </c>
      <c r="AB21" t="str">
        <f>HYPERLINK("Melting_Curves/meltCurve_A6NJH9_EIF1AY.pdf", "Melting_Curves/meltCurve_A6NJH9_EIF1AY.pdf")</f>
        <v>Melting_Curves/meltCurve_A6NJH9_EIF1AY.pdf</v>
      </c>
    </row>
    <row r="22" spans="1:28" x14ac:dyDescent="0.25">
      <c r="A22" t="s">
        <v>26</v>
      </c>
      <c r="B22">
        <v>1</v>
      </c>
      <c r="C22">
        <v>1.0200067715226699</v>
      </c>
      <c r="D22">
        <v>1.1432177044538201</v>
      </c>
      <c r="E22">
        <v>1.28609683277417</v>
      </c>
      <c r="F22">
        <v>1.89224045061405</v>
      </c>
      <c r="G22">
        <v>2.0958786050663298</v>
      </c>
      <c r="H22">
        <v>2.49025824125088</v>
      </c>
      <c r="I22">
        <v>3.5984487057157799</v>
      </c>
      <c r="J22">
        <v>3.4771768906399099</v>
      </c>
      <c r="K22">
        <v>3.2780325648681101</v>
      </c>
      <c r="L22">
        <v>1847.2481724432801</v>
      </c>
      <c r="M22">
        <v>38.678540820485203</v>
      </c>
      <c r="O22">
        <v>47.631864223226401</v>
      </c>
      <c r="P22">
        <v>0.10150409056963799</v>
      </c>
      <c r="Q22">
        <v>1.5</v>
      </c>
      <c r="R22">
        <v>-0.34369944078304998</v>
      </c>
      <c r="S22" t="s">
        <v>2024</v>
      </c>
      <c r="T22" t="s">
        <v>4002</v>
      </c>
      <c r="U22" t="s">
        <v>4002</v>
      </c>
      <c r="V22" t="s">
        <v>4002</v>
      </c>
      <c r="W22" t="s">
        <v>4024</v>
      </c>
      <c r="X22">
        <v>11</v>
      </c>
      <c r="Y22" t="s">
        <v>5997</v>
      </c>
      <c r="Z22" t="s">
        <v>7920</v>
      </c>
      <c r="AA22">
        <v>1.3689090910904</v>
      </c>
      <c r="AB22" t="str">
        <f>HYPERLINK("Melting_Curves/meltCurve_A6NKB8_RNPEP.pdf", "Melting_Curves/meltCurve_A6NKB8_RNPEP.pdf")</f>
        <v>Melting_Curves/meltCurve_A6NKB8_RNPEP.pdf</v>
      </c>
    </row>
    <row r="23" spans="1:28" x14ac:dyDescent="0.25">
      <c r="A23" t="s">
        <v>27</v>
      </c>
      <c r="B23">
        <v>1</v>
      </c>
      <c r="C23">
        <v>0.958914668927773</v>
      </c>
      <c r="D23">
        <v>1.12545286363987</v>
      </c>
      <c r="E23">
        <v>1.0759269251522401</v>
      </c>
      <c r="F23">
        <v>0.89235334926385601</v>
      </c>
      <c r="G23">
        <v>1.1163185076697799</v>
      </c>
      <c r="H23">
        <v>0.34684344407615803</v>
      </c>
      <c r="I23">
        <v>1.3877669004856199</v>
      </c>
      <c r="J23">
        <v>0.31643798658752798</v>
      </c>
      <c r="K23">
        <v>0.39875125260155703</v>
      </c>
      <c r="L23">
        <v>15000</v>
      </c>
      <c r="M23">
        <v>228.05482044528799</v>
      </c>
      <c r="N23">
        <v>66.129424283680805</v>
      </c>
      <c r="O23">
        <v>65.768600350001506</v>
      </c>
      <c r="P23">
        <v>-0.56052795802128896</v>
      </c>
      <c r="Q23">
        <v>0.35339863460971599</v>
      </c>
      <c r="R23">
        <v>0.50094983869019005</v>
      </c>
      <c r="S23" t="s">
        <v>2025</v>
      </c>
      <c r="T23" t="s">
        <v>4002</v>
      </c>
      <c r="U23" t="s">
        <v>4002</v>
      </c>
      <c r="V23" t="s">
        <v>4002</v>
      </c>
      <c r="W23" t="s">
        <v>4025</v>
      </c>
      <c r="X23">
        <v>2</v>
      </c>
      <c r="Y23" t="s">
        <v>5998</v>
      </c>
      <c r="Z23" t="s">
        <v>7921</v>
      </c>
      <c r="AA23">
        <v>0.90899776248752273</v>
      </c>
      <c r="AB23" t="str">
        <f>HYPERLINK("Melting_Curves/meltCurve_A6NL93_HMGN1.pdf", "Melting_Curves/meltCurve_A6NL93_HMGN1.pdf")</f>
        <v>Melting_Curves/meltCurve_A6NL93_HMGN1.pdf</v>
      </c>
    </row>
    <row r="24" spans="1:28" x14ac:dyDescent="0.25">
      <c r="A24" t="s">
        <v>28</v>
      </c>
      <c r="B24">
        <v>1</v>
      </c>
      <c r="C24">
        <v>0.84190641028347102</v>
      </c>
      <c r="D24">
        <v>0.847858665597231</v>
      </c>
      <c r="E24">
        <v>0.89258500960381604</v>
      </c>
      <c r="F24">
        <v>0.85556282584376397</v>
      </c>
      <c r="G24">
        <v>0.80133820208117901</v>
      </c>
      <c r="H24">
        <v>0.90239989868501602</v>
      </c>
      <c r="I24">
        <v>0.85896109926757702</v>
      </c>
      <c r="J24">
        <v>0.94345357451928102</v>
      </c>
      <c r="K24">
        <v>0.75830044114232598</v>
      </c>
      <c r="L24">
        <v>10263.2880681077</v>
      </c>
      <c r="M24">
        <v>250</v>
      </c>
      <c r="O24">
        <v>41.050516720898401</v>
      </c>
      <c r="P24">
        <v>-0.21951883824084401</v>
      </c>
      <c r="Q24">
        <v>0.85581818265694898</v>
      </c>
      <c r="R24">
        <v>0.43861321326437702</v>
      </c>
      <c r="S24" t="s">
        <v>2026</v>
      </c>
      <c r="T24" t="s">
        <v>4002</v>
      </c>
      <c r="U24" t="s">
        <v>4002</v>
      </c>
      <c r="V24" t="s">
        <v>4002</v>
      </c>
      <c r="W24" t="s">
        <v>4026</v>
      </c>
      <c r="X24">
        <v>4</v>
      </c>
      <c r="Y24" t="s">
        <v>5999</v>
      </c>
      <c r="Z24" t="s">
        <v>7922</v>
      </c>
      <c r="AA24">
        <v>0.86089111307656407</v>
      </c>
      <c r="AB24" t="str">
        <f>HYPERLINK("Melting_Curves/meltCurve_A6NMQ3_ENSA.pdf", "Melting_Curves/meltCurve_A6NMQ3_ENSA.pdf")</f>
        <v>Melting_Curves/meltCurve_A6NMQ3_ENSA.pdf</v>
      </c>
    </row>
    <row r="25" spans="1:28" x14ac:dyDescent="0.25">
      <c r="A25" t="s">
        <v>29</v>
      </c>
      <c r="B25">
        <v>1</v>
      </c>
      <c r="C25">
        <v>0.89338191611549</v>
      </c>
      <c r="D25">
        <v>1.0260406352726801</v>
      </c>
      <c r="E25">
        <v>0.88377757534951895</v>
      </c>
      <c r="F25">
        <v>0.71713731236880696</v>
      </c>
      <c r="G25">
        <v>0.92263059923165303</v>
      </c>
      <c r="H25">
        <v>0.78052596142421504</v>
      </c>
      <c r="I25">
        <v>0.798962335141986</v>
      </c>
      <c r="J25">
        <v>0.80048714800586196</v>
      </c>
      <c r="K25">
        <v>0.60903402114935201</v>
      </c>
      <c r="L25">
        <v>240.044496730726</v>
      </c>
      <c r="M25">
        <v>2.6041194895858899</v>
      </c>
      <c r="O25">
        <v>63.480726282553498</v>
      </c>
      <c r="P25">
        <v>-1.0725927618134E-2</v>
      </c>
      <c r="Q25">
        <v>0</v>
      </c>
      <c r="R25">
        <v>0.588441650225633</v>
      </c>
      <c r="S25" t="s">
        <v>2027</v>
      </c>
      <c r="T25" t="s">
        <v>4002</v>
      </c>
      <c r="U25" t="s">
        <v>4002</v>
      </c>
      <c r="V25" t="s">
        <v>4002</v>
      </c>
      <c r="W25" t="s">
        <v>4027</v>
      </c>
      <c r="X25">
        <v>1</v>
      </c>
      <c r="Y25" t="s">
        <v>6000</v>
      </c>
      <c r="Z25" t="s">
        <v>7923</v>
      </c>
      <c r="AA25">
        <v>0.84594041846155588</v>
      </c>
      <c r="AB25" t="str">
        <f>HYPERLINK("Melting_Curves/meltCurve_A6PVM9_AIF1L.pdf", "Melting_Curves/meltCurve_A6PVM9_AIF1L.pdf")</f>
        <v>Melting_Curves/meltCurve_A6PVM9_AIF1L.pdf</v>
      </c>
    </row>
    <row r="26" spans="1:28" x14ac:dyDescent="0.25">
      <c r="A26" t="s">
        <v>30</v>
      </c>
      <c r="B26">
        <v>1</v>
      </c>
      <c r="C26">
        <v>1.01176914141311</v>
      </c>
      <c r="D26">
        <v>1.09733232794636</v>
      </c>
      <c r="E26">
        <v>1.23112351994131</v>
      </c>
      <c r="F26">
        <v>1.2597566691801301</v>
      </c>
      <c r="G26">
        <v>1.54965456805723</v>
      </c>
      <c r="H26">
        <v>1.60987588905419</v>
      </c>
      <c r="I26">
        <v>1.9804764719069099</v>
      </c>
      <c r="J26">
        <v>2.0651531516843602</v>
      </c>
      <c r="K26">
        <v>1.7096333734129501</v>
      </c>
      <c r="L26">
        <v>1333.5577874992</v>
      </c>
      <c r="M26">
        <v>26.223352195396799</v>
      </c>
      <c r="O26">
        <v>50.560877873594102</v>
      </c>
      <c r="P26">
        <v>6.4831882874433797E-2</v>
      </c>
      <c r="Q26">
        <v>1.5</v>
      </c>
      <c r="R26">
        <v>0.53464335314624201</v>
      </c>
      <c r="S26" t="s">
        <v>2028</v>
      </c>
      <c r="T26" t="s">
        <v>4002</v>
      </c>
      <c r="U26" t="s">
        <v>4002</v>
      </c>
      <c r="V26" t="s">
        <v>4002</v>
      </c>
      <c r="W26" t="s">
        <v>4028</v>
      </c>
      <c r="X26">
        <v>3</v>
      </c>
      <c r="Y26" t="s">
        <v>6001</v>
      </c>
      <c r="Z26" t="s">
        <v>7924</v>
      </c>
      <c r="AA26">
        <v>1.3150000974823639</v>
      </c>
      <c r="AB26" t="str">
        <f>HYPERLINK("Melting_Curves/meltCurve_A8CZ64_MAPK1.pdf", "Melting_Curves/meltCurve_A8CZ64_MAPK1.pdf")</f>
        <v>Melting_Curves/meltCurve_A8CZ64_MAPK1.pdf</v>
      </c>
    </row>
    <row r="27" spans="1:28" x14ac:dyDescent="0.25">
      <c r="A27" t="s">
        <v>31</v>
      </c>
      <c r="B27">
        <v>1</v>
      </c>
      <c r="C27">
        <v>0.97524429967426696</v>
      </c>
      <c r="D27">
        <v>1.14337258832373</v>
      </c>
      <c r="E27">
        <v>1.2907040841894299</v>
      </c>
      <c r="F27">
        <v>1.3319468804810799</v>
      </c>
      <c r="G27">
        <v>1.5686795289401201</v>
      </c>
      <c r="H27">
        <v>1.41879228263593</v>
      </c>
      <c r="I27">
        <v>1.8465046354297201</v>
      </c>
      <c r="J27">
        <v>1.6178902530694099</v>
      </c>
      <c r="K27">
        <v>1.48644450012528</v>
      </c>
      <c r="L27">
        <v>1046.9806008837299</v>
      </c>
      <c r="M27">
        <v>21.2851769213175</v>
      </c>
      <c r="O27">
        <v>48.760256566638702</v>
      </c>
      <c r="P27">
        <v>5.4567284655590097E-2</v>
      </c>
      <c r="Q27">
        <v>1.5</v>
      </c>
      <c r="R27">
        <v>0.76682409064943902</v>
      </c>
      <c r="S27" t="s">
        <v>2029</v>
      </c>
      <c r="T27" t="s">
        <v>4002</v>
      </c>
      <c r="U27" t="s">
        <v>4002</v>
      </c>
      <c r="V27" t="s">
        <v>4002</v>
      </c>
      <c r="W27" t="s">
        <v>4029</v>
      </c>
      <c r="X27">
        <v>21</v>
      </c>
      <c r="Y27" t="s">
        <v>6002</v>
      </c>
      <c r="Z27" t="s">
        <v>7925</v>
      </c>
      <c r="AA27">
        <v>1.340698680369719</v>
      </c>
      <c r="AB27" t="str">
        <f>HYPERLINK("Melting_Curves/meltCurve_A8K2U0_A2ML1.pdf", "Melting_Curves/meltCurve_A8K2U0_A2ML1.pdf")</f>
        <v>Melting_Curves/meltCurve_A8K2U0_A2ML1.pdf</v>
      </c>
    </row>
    <row r="28" spans="1:28" x14ac:dyDescent="0.25">
      <c r="A28" t="s">
        <v>32</v>
      </c>
      <c r="B28">
        <v>1</v>
      </c>
      <c r="C28">
        <v>1.02117398928859</v>
      </c>
      <c r="D28">
        <v>1.14289776766671</v>
      </c>
      <c r="E28">
        <v>1.2456751504810699</v>
      </c>
      <c r="F28">
        <v>1.0887008862979299</v>
      </c>
      <c r="G28">
        <v>1.3132138963931901</v>
      </c>
      <c r="H28">
        <v>1.2117872884970899</v>
      </c>
      <c r="I28">
        <v>1.8710602398217899</v>
      </c>
      <c r="J28">
        <v>1.66500782027584</v>
      </c>
      <c r="K28">
        <v>1.90056400777288</v>
      </c>
      <c r="L28">
        <v>1066.6328395210101</v>
      </c>
      <c r="M28">
        <v>19.598396600262401</v>
      </c>
      <c r="O28">
        <v>53.867362847009197</v>
      </c>
      <c r="P28">
        <v>4.5479969816158101E-2</v>
      </c>
      <c r="Q28">
        <v>1.5</v>
      </c>
      <c r="R28">
        <v>0.55460537962603096</v>
      </c>
      <c r="S28" t="s">
        <v>2030</v>
      </c>
      <c r="T28" t="s">
        <v>4002</v>
      </c>
      <c r="U28" t="s">
        <v>4002</v>
      </c>
      <c r="V28" t="s">
        <v>4002</v>
      </c>
      <c r="W28" t="s">
        <v>4030</v>
      </c>
      <c r="X28">
        <v>3</v>
      </c>
      <c r="Y28" t="s">
        <v>6003</v>
      </c>
      <c r="Z28" t="s">
        <v>7926</v>
      </c>
      <c r="AA28">
        <v>1.2526309190667499</v>
      </c>
      <c r="AB28" t="str">
        <f>HYPERLINK("Melting_Curves/meltCurve_A8K4G3_HCK.pdf", "Melting_Curves/meltCurve_A8K4G3_HCK.pdf")</f>
        <v>Melting_Curves/meltCurve_A8K4G3_HCK.pdf</v>
      </c>
    </row>
    <row r="29" spans="1:28" x14ac:dyDescent="0.25">
      <c r="A29" t="s">
        <v>33</v>
      </c>
      <c r="B29">
        <v>1</v>
      </c>
      <c r="C29">
        <v>1.09457633661455</v>
      </c>
      <c r="D29">
        <v>1.3179309013703899</v>
      </c>
      <c r="E29">
        <v>1.0595637907739801</v>
      </c>
      <c r="F29">
        <v>1.4167149198996301</v>
      </c>
      <c r="G29">
        <v>0.98722254391044195</v>
      </c>
      <c r="H29">
        <v>0.89955607025670703</v>
      </c>
      <c r="I29">
        <v>1.18876664736537</v>
      </c>
      <c r="J29">
        <v>1.2010808724184501</v>
      </c>
      <c r="K29">
        <v>1.08766647365373</v>
      </c>
      <c r="L29">
        <v>10697.8585755891</v>
      </c>
      <c r="M29">
        <v>250</v>
      </c>
      <c r="O29">
        <v>42.788695959832999</v>
      </c>
      <c r="P29">
        <v>0.21152312082581301</v>
      </c>
      <c r="Q29">
        <v>1.1448127758319999</v>
      </c>
      <c r="R29">
        <v>8.7820581180693899E-2</v>
      </c>
      <c r="S29" t="s">
        <v>2031</v>
      </c>
      <c r="T29" t="s">
        <v>4002</v>
      </c>
      <c r="U29" t="s">
        <v>4002</v>
      </c>
      <c r="V29" t="s">
        <v>4002</v>
      </c>
      <c r="W29" t="s">
        <v>4031</v>
      </c>
      <c r="X29">
        <v>2</v>
      </c>
      <c r="Y29" t="s">
        <v>6004</v>
      </c>
      <c r="Z29" t="s">
        <v>7927</v>
      </c>
      <c r="AA29">
        <v>1.131327388956993</v>
      </c>
      <c r="AB29" t="str">
        <f>HYPERLINK("Melting_Curves/meltCurve_A8K8E1_TBC1D15.pdf", "Melting_Curves/meltCurve_A8K8E1_TBC1D15.pdf")</f>
        <v>Melting_Curves/meltCurve_A8K8E1_TBC1D15.pdf</v>
      </c>
    </row>
    <row r="30" spans="1:28" x14ac:dyDescent="0.25">
      <c r="A30" t="s">
        <v>34</v>
      </c>
      <c r="B30">
        <v>1</v>
      </c>
      <c r="C30">
        <v>1.04205493046695</v>
      </c>
      <c r="D30">
        <v>1.29657554550258</v>
      </c>
      <c r="E30">
        <v>1.46244957403756</v>
      </c>
      <c r="F30">
        <v>1.58244080990862</v>
      </c>
      <c r="G30">
        <v>2.5782005181146799</v>
      </c>
      <c r="H30">
        <v>2.0282514273930601</v>
      </c>
      <c r="I30">
        <v>4.3421103506940399</v>
      </c>
      <c r="J30">
        <v>1.98726623619327</v>
      </c>
      <c r="K30">
        <v>2.8884249055922901</v>
      </c>
      <c r="L30">
        <v>1916.1590532464299</v>
      </c>
      <c r="M30">
        <v>42.0468034376905</v>
      </c>
      <c r="O30">
        <v>45.469329691589799</v>
      </c>
      <c r="P30">
        <v>0.11559130932945701</v>
      </c>
      <c r="Q30">
        <v>1.5</v>
      </c>
      <c r="R30">
        <v>-0.23317083115586801</v>
      </c>
      <c r="S30" t="s">
        <v>2032</v>
      </c>
      <c r="T30" t="s">
        <v>4002</v>
      </c>
      <c r="U30" t="s">
        <v>4002</v>
      </c>
      <c r="V30" t="s">
        <v>4002</v>
      </c>
      <c r="W30" t="s">
        <v>4032</v>
      </c>
      <c r="X30">
        <v>10</v>
      </c>
      <c r="Y30" t="s">
        <v>6005</v>
      </c>
      <c r="Z30" t="s">
        <v>7928</v>
      </c>
      <c r="AA30">
        <v>1.405669707269577</v>
      </c>
      <c r="AB30" t="str">
        <f>HYPERLINK("Melting_Curves/meltCurve_A8MTF8_FAM3B.pdf", "Melting_Curves/meltCurve_A8MTF8_FAM3B.pdf")</f>
        <v>Melting_Curves/meltCurve_A8MTF8_FAM3B.pdf</v>
      </c>
    </row>
    <row r="31" spans="1:28" x14ac:dyDescent="0.25">
      <c r="A31" t="s">
        <v>35</v>
      </c>
      <c r="B31">
        <v>1</v>
      </c>
      <c r="C31">
        <v>1.11077686696247</v>
      </c>
      <c r="D31">
        <v>1.26705271865834</v>
      </c>
      <c r="E31">
        <v>1.41994434834925</v>
      </c>
      <c r="F31">
        <v>1.48176280363992</v>
      </c>
      <c r="G31">
        <v>1.6718056704519799</v>
      </c>
      <c r="H31">
        <v>1.4093404527336999</v>
      </c>
      <c r="I31">
        <v>2.00759569827781</v>
      </c>
      <c r="J31">
        <v>1.9028352259908199</v>
      </c>
      <c r="K31">
        <v>1.74678498909528</v>
      </c>
      <c r="L31">
        <v>1119.28976616417</v>
      </c>
      <c r="M31">
        <v>24.534864532876799</v>
      </c>
      <c r="O31">
        <v>45.320534308084802</v>
      </c>
      <c r="P31">
        <v>6.7671349050339794E-2</v>
      </c>
      <c r="Q31">
        <v>1.5</v>
      </c>
      <c r="R31">
        <v>0.46794616784760201</v>
      </c>
      <c r="S31" t="s">
        <v>2033</v>
      </c>
      <c r="T31" t="s">
        <v>4002</v>
      </c>
      <c r="U31" t="s">
        <v>4002</v>
      </c>
      <c r="V31" t="s">
        <v>4002</v>
      </c>
      <c r="W31" t="s">
        <v>4033</v>
      </c>
      <c r="X31">
        <v>2</v>
      </c>
      <c r="Y31" t="s">
        <v>6006</v>
      </c>
      <c r="Z31" t="s">
        <v>7929</v>
      </c>
      <c r="AA31">
        <v>1.401389331067149</v>
      </c>
      <c r="AB31" t="str">
        <f>HYPERLINK("Melting_Curves/meltCurve_A8MU39_PPP5C.pdf", "Melting_Curves/meltCurve_A8MU39_PPP5C.pdf")</f>
        <v>Melting_Curves/meltCurve_A8MU39_PPP5C.pdf</v>
      </c>
    </row>
    <row r="32" spans="1:28" x14ac:dyDescent="0.25">
      <c r="A32" t="s">
        <v>36</v>
      </c>
      <c r="B32">
        <v>1</v>
      </c>
      <c r="C32">
        <v>1.0148046105288899</v>
      </c>
      <c r="D32">
        <v>1.15053969693271</v>
      </c>
      <c r="E32">
        <v>1.23376985718521</v>
      </c>
      <c r="F32">
        <v>1.1003365476833999</v>
      </c>
      <c r="G32">
        <v>1.15570125725844</v>
      </c>
      <c r="H32">
        <v>1.1278706819886</v>
      </c>
      <c r="I32">
        <v>1.2316424573212199</v>
      </c>
      <c r="J32">
        <v>1.1349852651402901</v>
      </c>
      <c r="K32">
        <v>1.1797478508030099</v>
      </c>
      <c r="L32">
        <v>2986.3954496101501</v>
      </c>
      <c r="M32">
        <v>67.251405616542499</v>
      </c>
      <c r="O32">
        <v>44.367223097459899</v>
      </c>
      <c r="P32">
        <v>6.29769670362091E-2</v>
      </c>
      <c r="Q32">
        <v>1.1661890866719</v>
      </c>
      <c r="R32">
        <v>0.71362762379139999</v>
      </c>
      <c r="S32" t="s">
        <v>2034</v>
      </c>
      <c r="T32" t="s">
        <v>4002</v>
      </c>
      <c r="U32" t="s">
        <v>4002</v>
      </c>
      <c r="V32" t="s">
        <v>4002</v>
      </c>
      <c r="W32" t="s">
        <v>4034</v>
      </c>
      <c r="X32">
        <v>2</v>
      </c>
      <c r="Y32" t="s">
        <v>6007</v>
      </c>
      <c r="Z32" t="s">
        <v>7930</v>
      </c>
      <c r="AA32">
        <v>1.141597776280971</v>
      </c>
      <c r="AB32" t="str">
        <f>HYPERLINK("Melting_Curves/meltCurve_A8MUA9_SUMO3.pdf", "Melting_Curves/meltCurve_A8MUA9_SUMO3.pdf")</f>
        <v>Melting_Curves/meltCurve_A8MUA9_SUMO3.pdf</v>
      </c>
    </row>
    <row r="33" spans="1:28" x14ac:dyDescent="0.25">
      <c r="A33" t="s">
        <v>37</v>
      </c>
      <c r="B33">
        <v>1</v>
      </c>
      <c r="C33">
        <v>1.0065798821742</v>
      </c>
      <c r="D33">
        <v>1.08225945721437</v>
      </c>
      <c r="E33">
        <v>1.0242756118088101</v>
      </c>
      <c r="F33">
        <v>0.89711556327944797</v>
      </c>
      <c r="G33">
        <v>0.94132756227388503</v>
      </c>
      <c r="H33">
        <v>0.83084674995354701</v>
      </c>
      <c r="I33">
        <v>1.1332262189723601</v>
      </c>
      <c r="J33">
        <v>2.5209036954454498</v>
      </c>
      <c r="K33">
        <v>0.91463641232470905</v>
      </c>
      <c r="L33">
        <v>15000</v>
      </c>
      <c r="M33">
        <v>233.36631785116299</v>
      </c>
      <c r="O33">
        <v>64.271900513475799</v>
      </c>
      <c r="P33">
        <v>0.45386531833837801</v>
      </c>
      <c r="Q33">
        <v>1.5</v>
      </c>
      <c r="R33">
        <v>0.34939454041565698</v>
      </c>
      <c r="S33" t="s">
        <v>2035</v>
      </c>
      <c r="T33" t="s">
        <v>4002</v>
      </c>
      <c r="U33" t="s">
        <v>4002</v>
      </c>
      <c r="V33" t="s">
        <v>4002</v>
      </c>
      <c r="W33" t="s">
        <v>4035</v>
      </c>
      <c r="X33">
        <v>10</v>
      </c>
      <c r="Y33" t="s">
        <v>6008</v>
      </c>
      <c r="Z33" t="s">
        <v>7931</v>
      </c>
      <c r="AA33">
        <v>1.0953248020964339</v>
      </c>
      <c r="AB33" t="str">
        <f>HYPERLINK("Melting_Curves/meltCurve_A8MUB1_TUBA4A.pdf", "Melting_Curves/meltCurve_A8MUB1_TUBA4A.pdf")</f>
        <v>Melting_Curves/meltCurve_A8MUB1_TUBA4A.pdf</v>
      </c>
    </row>
    <row r="34" spans="1:28" x14ac:dyDescent="0.25">
      <c r="A34" t="s">
        <v>38</v>
      </c>
      <c r="B34">
        <v>1</v>
      </c>
      <c r="C34">
        <v>0.81053664921465995</v>
      </c>
      <c r="D34">
        <v>0.78544938917975604</v>
      </c>
      <c r="E34">
        <v>1.07951570680628</v>
      </c>
      <c r="F34">
        <v>0.93731820826061696</v>
      </c>
      <c r="G34">
        <v>1.11431064572426</v>
      </c>
      <c r="H34">
        <v>0.80381035485747498</v>
      </c>
      <c r="I34">
        <v>1.4148851076207101</v>
      </c>
      <c r="J34">
        <v>1.4442626527050599</v>
      </c>
      <c r="K34">
        <v>1.3200261780104701</v>
      </c>
      <c r="L34">
        <v>15000</v>
      </c>
      <c r="M34">
        <v>239.085223565246</v>
      </c>
      <c r="O34">
        <v>62.734744732252999</v>
      </c>
      <c r="P34">
        <v>0.37547085258837298</v>
      </c>
      <c r="Q34">
        <v>1.3940865554364801</v>
      </c>
      <c r="R34">
        <v>0.73019572608358796</v>
      </c>
      <c r="S34" t="s">
        <v>2036</v>
      </c>
      <c r="T34" t="s">
        <v>4002</v>
      </c>
      <c r="U34" t="s">
        <v>4002</v>
      </c>
      <c r="V34" t="s">
        <v>4002</v>
      </c>
      <c r="W34" t="s">
        <v>4036</v>
      </c>
      <c r="X34">
        <v>2</v>
      </c>
      <c r="Y34" t="s">
        <v>6009</v>
      </c>
      <c r="Z34" t="s">
        <v>7932</v>
      </c>
      <c r="AA34">
        <v>1.095332871099685</v>
      </c>
      <c r="AB34" t="str">
        <f>HYPERLINK("Melting_Curves/meltCurve_A8MVE2_LILRB1.pdf", "Melting_Curves/meltCurve_A8MVE2_LILRB1.pdf")</f>
        <v>Melting_Curves/meltCurve_A8MVE2_LILRB1.pdf</v>
      </c>
    </row>
    <row r="35" spans="1:28" x14ac:dyDescent="0.25">
      <c r="A35" t="s">
        <v>39</v>
      </c>
      <c r="B35">
        <v>1</v>
      </c>
      <c r="C35">
        <v>0.914846396449013</v>
      </c>
      <c r="D35">
        <v>1.19340614414204</v>
      </c>
      <c r="E35">
        <v>1.2879628548066799</v>
      </c>
      <c r="F35">
        <v>1.0133162013783401</v>
      </c>
      <c r="G35">
        <v>1.13739633220418</v>
      </c>
      <c r="H35">
        <v>0.97728069150800101</v>
      </c>
      <c r="I35">
        <v>1.2135848615815901</v>
      </c>
      <c r="J35">
        <v>1.3989896040182199</v>
      </c>
      <c r="K35">
        <v>1.14040415839271</v>
      </c>
      <c r="L35">
        <v>214.72546326345</v>
      </c>
      <c r="M35">
        <v>2.8459993096285099</v>
      </c>
      <c r="O35">
        <v>54.242734927482601</v>
      </c>
      <c r="P35">
        <v>6.7938746411636899E-3</v>
      </c>
      <c r="Q35">
        <v>1.5</v>
      </c>
      <c r="R35">
        <v>0.21114469343051201</v>
      </c>
      <c r="S35" t="s">
        <v>2037</v>
      </c>
      <c r="T35" t="s">
        <v>4002</v>
      </c>
      <c r="U35" t="s">
        <v>4002</v>
      </c>
      <c r="V35" t="s">
        <v>4002</v>
      </c>
      <c r="W35" t="s">
        <v>4037</v>
      </c>
      <c r="X35">
        <v>1</v>
      </c>
      <c r="Y35" t="s">
        <v>6010</v>
      </c>
      <c r="Z35" t="s">
        <v>7933</v>
      </c>
      <c r="AA35">
        <v>1.1288530269845449</v>
      </c>
      <c r="AB35" t="str">
        <f>HYPERLINK("Melting_Curves/meltCurve_A8MVQ3_CARS.pdf", "Melting_Curves/meltCurve_A8MVQ3_CARS.pdf")</f>
        <v>Melting_Curves/meltCurve_A8MVQ3_CARS.pdf</v>
      </c>
    </row>
    <row r="36" spans="1:28" x14ac:dyDescent="0.25">
      <c r="A36" t="s">
        <v>40</v>
      </c>
      <c r="B36">
        <v>1</v>
      </c>
      <c r="C36">
        <v>1.0922155510640801</v>
      </c>
      <c r="D36">
        <v>0.871938532873618</v>
      </c>
      <c r="E36">
        <v>1.3620705029128499</v>
      </c>
      <c r="F36">
        <v>0.92254190940435099</v>
      </c>
      <c r="G36">
        <v>1.0845618832481301</v>
      </c>
      <c r="H36">
        <v>0.87614433479966702</v>
      </c>
      <c r="I36">
        <v>1.4055700867911101</v>
      </c>
      <c r="J36">
        <v>0.93643740340030901</v>
      </c>
      <c r="K36">
        <v>1.09651052193556</v>
      </c>
      <c r="L36">
        <v>11963.7967841383</v>
      </c>
      <c r="M36">
        <v>250</v>
      </c>
      <c r="O36">
        <v>47.852124732152397</v>
      </c>
      <c r="P36">
        <v>0.127593158338421</v>
      </c>
      <c r="Q36">
        <v>1.09768965950922</v>
      </c>
      <c r="R36">
        <v>7.7458787106608404E-2</v>
      </c>
      <c r="S36" t="s">
        <v>2038</v>
      </c>
      <c r="T36" t="s">
        <v>4002</v>
      </c>
      <c r="U36" t="s">
        <v>4002</v>
      </c>
      <c r="V36" t="s">
        <v>4002</v>
      </c>
      <c r="W36" t="s">
        <v>4038</v>
      </c>
      <c r="X36">
        <v>1</v>
      </c>
      <c r="Y36" t="s">
        <v>6011</v>
      </c>
      <c r="Z36" t="s">
        <v>7934</v>
      </c>
      <c r="AA36">
        <v>1.072102436474184</v>
      </c>
      <c r="AB36" t="str">
        <f>HYPERLINK("Melting_Curves/meltCurve_A8MVS5_HIDE1.pdf", "Melting_Curves/meltCurve_A8MVS5_HIDE1.pdf")</f>
        <v>Melting_Curves/meltCurve_A8MVS5_HIDE1.pdf</v>
      </c>
    </row>
    <row r="37" spans="1:28" x14ac:dyDescent="0.25">
      <c r="A37" t="s">
        <v>41</v>
      </c>
      <c r="B37">
        <v>1</v>
      </c>
      <c r="C37">
        <v>1.00754638315614</v>
      </c>
      <c r="D37">
        <v>1.1585018414286701</v>
      </c>
      <c r="E37">
        <v>1.1962059620596199</v>
      </c>
      <c r="F37">
        <v>1.0554235285942599</v>
      </c>
      <c r="G37">
        <v>1.17099576123966</v>
      </c>
      <c r="H37">
        <v>1.16518657494267</v>
      </c>
      <c r="I37">
        <v>1.4835661177124599</v>
      </c>
      <c r="J37">
        <v>1.3338753387533899</v>
      </c>
      <c r="K37">
        <v>1.3079563616148999</v>
      </c>
      <c r="L37">
        <v>364.28064209406301</v>
      </c>
      <c r="M37">
        <v>6.0922650769468003</v>
      </c>
      <c r="O37">
        <v>54.310996450711201</v>
      </c>
      <c r="P37">
        <v>1.4064713891769699E-2</v>
      </c>
      <c r="Q37">
        <v>1.5</v>
      </c>
      <c r="R37">
        <v>0.6471414225105</v>
      </c>
      <c r="S37" t="s">
        <v>2039</v>
      </c>
      <c r="T37" t="s">
        <v>4002</v>
      </c>
      <c r="U37" t="s">
        <v>4002</v>
      </c>
      <c r="V37" t="s">
        <v>4002</v>
      </c>
      <c r="W37" t="s">
        <v>4039</v>
      </c>
      <c r="X37">
        <v>6</v>
      </c>
      <c r="Y37" t="s">
        <v>6012</v>
      </c>
      <c r="Z37" t="s">
        <v>7935</v>
      </c>
      <c r="AA37">
        <v>1.185180144568589</v>
      </c>
      <c r="AB37" t="str">
        <f>HYPERLINK("Melting_Curves/meltCurve_A8MVU1_NCF1C.pdf", "Melting_Curves/meltCurve_A8MVU1_NCF1C.pdf")</f>
        <v>Melting_Curves/meltCurve_A8MVU1_NCF1C.pdf</v>
      </c>
    </row>
    <row r="38" spans="1:28" x14ac:dyDescent="0.25">
      <c r="A38" t="s">
        <v>42</v>
      </c>
      <c r="B38">
        <v>1</v>
      </c>
      <c r="C38">
        <v>1.03198574242566</v>
      </c>
      <c r="D38">
        <v>1.15401932276522</v>
      </c>
      <c r="E38">
        <v>1.16096051027108</v>
      </c>
      <c r="F38">
        <v>1.0274833505299701</v>
      </c>
      <c r="G38">
        <v>1.0245755557639999</v>
      </c>
      <c r="H38">
        <v>0.94090610636900895</v>
      </c>
      <c r="I38">
        <v>1.17174749085452</v>
      </c>
      <c r="J38">
        <v>1.06856767657818</v>
      </c>
      <c r="K38">
        <v>0.98686802363755699</v>
      </c>
      <c r="L38">
        <v>10728.7471555377</v>
      </c>
      <c r="M38">
        <v>250</v>
      </c>
      <c r="O38">
        <v>42.912242359626198</v>
      </c>
      <c r="P38">
        <v>9.7424126283068901E-2</v>
      </c>
      <c r="Q38">
        <v>1.0668910034024801</v>
      </c>
      <c r="R38">
        <v>8.0682831379165404E-2</v>
      </c>
      <c r="S38" t="s">
        <v>2040</v>
      </c>
      <c r="T38" t="s">
        <v>4002</v>
      </c>
      <c r="U38" t="s">
        <v>4002</v>
      </c>
      <c r="V38" t="s">
        <v>4002</v>
      </c>
      <c r="W38" t="s">
        <v>4040</v>
      </c>
      <c r="X38">
        <v>9</v>
      </c>
      <c r="Y38" t="s">
        <v>6013</v>
      </c>
      <c r="Z38" t="s">
        <v>7936</v>
      </c>
      <c r="AA38">
        <v>1.0603864150319311</v>
      </c>
      <c r="AB38" t="str">
        <f>HYPERLINK("Melting_Curves/meltCurve_A8MVZ9_ALDOC.pdf", "Melting_Curves/meltCurve_A8MVZ9_ALDOC.pdf")</f>
        <v>Melting_Curves/meltCurve_A8MVZ9_ALDOC.pdf</v>
      </c>
    </row>
    <row r="39" spans="1:28" x14ac:dyDescent="0.25">
      <c r="A39" t="s">
        <v>43</v>
      </c>
      <c r="B39">
        <v>1</v>
      </c>
      <c r="C39">
        <v>1.0609667056074801</v>
      </c>
      <c r="D39">
        <v>1.39785338785047</v>
      </c>
      <c r="E39">
        <v>2.01365362149533</v>
      </c>
      <c r="F39">
        <v>2.5791471962616801</v>
      </c>
      <c r="G39">
        <v>3.6018545560747701</v>
      </c>
      <c r="H39">
        <v>4.0926547897196297</v>
      </c>
      <c r="I39">
        <v>5.0001460280373804</v>
      </c>
      <c r="J39">
        <v>4.0525700934579403</v>
      </c>
      <c r="K39">
        <v>4.43932535046729</v>
      </c>
      <c r="L39">
        <v>2579.7740346987498</v>
      </c>
      <c r="M39">
        <v>57.713128800374399</v>
      </c>
      <c r="O39">
        <v>44.6463947847584</v>
      </c>
      <c r="P39">
        <v>0.16158409572662999</v>
      </c>
      <c r="Q39">
        <v>1.5</v>
      </c>
      <c r="R39">
        <v>-0.98345352045200596</v>
      </c>
      <c r="S39" t="s">
        <v>2041</v>
      </c>
      <c r="T39" t="s">
        <v>4002</v>
      </c>
      <c r="U39" t="s">
        <v>4002</v>
      </c>
      <c r="V39" t="s">
        <v>4002</v>
      </c>
      <c r="W39" t="s">
        <v>4041</v>
      </c>
      <c r="X39">
        <v>10</v>
      </c>
      <c r="Y39" t="s">
        <v>6014</v>
      </c>
      <c r="Z39" t="s">
        <v>7937</v>
      </c>
      <c r="AA39">
        <v>1.4209171806309051</v>
      </c>
      <c r="AB39" t="str">
        <f>HYPERLINK("Melting_Curves/meltCurve_A8MX94_GSTP1.pdf", "Melting_Curves/meltCurve_A8MX94_GSTP1.pdf")</f>
        <v>Melting_Curves/meltCurve_A8MX94_GSTP1.pdf</v>
      </c>
    </row>
    <row r="40" spans="1:28" x14ac:dyDescent="0.25">
      <c r="A40" t="s">
        <v>44</v>
      </c>
      <c r="B40">
        <v>1</v>
      </c>
      <c r="C40">
        <v>0.83722474272435499</v>
      </c>
      <c r="D40">
        <v>0.86600918446387098</v>
      </c>
      <c r="E40">
        <v>1.0043294234812401</v>
      </c>
      <c r="F40">
        <v>0.89661945335841498</v>
      </c>
      <c r="G40">
        <v>0.95160174836782097</v>
      </c>
      <c r="H40">
        <v>0.98315259488768403</v>
      </c>
      <c r="I40">
        <v>1.0122966692486399</v>
      </c>
      <c r="J40">
        <v>1.55845413300874</v>
      </c>
      <c r="K40">
        <v>0.96677547858802704</v>
      </c>
      <c r="L40">
        <v>15000</v>
      </c>
      <c r="M40">
        <v>231.56116827604299</v>
      </c>
      <c r="O40">
        <v>64.772887771420699</v>
      </c>
      <c r="P40">
        <v>0.23463853801040399</v>
      </c>
      <c r="Q40">
        <v>1.2625347131231599</v>
      </c>
      <c r="R40">
        <v>0.37108481248099401</v>
      </c>
      <c r="S40" t="s">
        <v>2042</v>
      </c>
      <c r="T40" t="s">
        <v>4002</v>
      </c>
      <c r="U40" t="s">
        <v>4002</v>
      </c>
      <c r="V40" t="s">
        <v>4002</v>
      </c>
      <c r="W40" t="s">
        <v>4042</v>
      </c>
      <c r="X40">
        <v>1</v>
      </c>
      <c r="Y40" t="s">
        <v>6015</v>
      </c>
      <c r="Z40" t="s">
        <v>7938</v>
      </c>
      <c r="AA40">
        <v>1.045666374042165</v>
      </c>
      <c r="AB40" t="str">
        <f>HYPERLINK("Melting_Curves/meltCurve_A8MXL6_SEC13.pdf", "Melting_Curves/meltCurve_A8MXL6_SEC13.pdf")</f>
        <v>Melting_Curves/meltCurve_A8MXL6_SEC13.pdf</v>
      </c>
    </row>
    <row r="41" spans="1:28" x14ac:dyDescent="0.25">
      <c r="A41" t="s">
        <v>45</v>
      </c>
      <c r="B41">
        <v>1</v>
      </c>
      <c r="C41">
        <v>0.85416971577437595</v>
      </c>
      <c r="D41">
        <v>1.1250475660802599</v>
      </c>
      <c r="E41">
        <v>0.89801832391768899</v>
      </c>
      <c r="F41">
        <v>0.96326435032052204</v>
      </c>
      <c r="G41">
        <v>0.827064367883383</v>
      </c>
      <c r="H41">
        <v>0.75338816848637402</v>
      </c>
      <c r="I41">
        <v>0.92685068641512702</v>
      </c>
      <c r="J41">
        <v>0.85812135936539502</v>
      </c>
      <c r="K41">
        <v>0.84849105757691101</v>
      </c>
      <c r="L41">
        <v>1421.56918400926</v>
      </c>
      <c r="M41">
        <v>27.1466083910252</v>
      </c>
      <c r="O41">
        <v>52.084672792203897</v>
      </c>
      <c r="P41">
        <v>-2.0401478676337698E-2</v>
      </c>
      <c r="Q41">
        <v>0.84342883610386199</v>
      </c>
      <c r="R41">
        <v>0.37005588037514497</v>
      </c>
      <c r="S41" t="s">
        <v>2043</v>
      </c>
      <c r="T41" t="s">
        <v>4002</v>
      </c>
      <c r="U41" t="s">
        <v>4002</v>
      </c>
      <c r="V41" t="s">
        <v>4002</v>
      </c>
      <c r="W41" t="s">
        <v>4043</v>
      </c>
      <c r="X41">
        <v>1</v>
      </c>
      <c r="Y41" t="s">
        <v>6016</v>
      </c>
      <c r="Z41" t="s">
        <v>7939</v>
      </c>
      <c r="AA41">
        <v>0.90919312566768895</v>
      </c>
      <c r="AB41" t="str">
        <f>HYPERLINK("Melting_Curves/meltCurve_B0QY21_NUP50.pdf", "Melting_Curves/meltCurve_B0QY21_NUP50.pdf")</f>
        <v>Melting_Curves/meltCurve_B0QY21_NUP50.pdf</v>
      </c>
    </row>
    <row r="42" spans="1:28" x14ac:dyDescent="0.25">
      <c r="A42" t="s">
        <v>46</v>
      </c>
      <c r="B42">
        <v>1</v>
      </c>
      <c r="C42">
        <v>0.83224064789818697</v>
      </c>
      <c r="D42">
        <v>0.88893173929810998</v>
      </c>
      <c r="E42">
        <v>0.87952178943308901</v>
      </c>
      <c r="F42">
        <v>0.84951793289625899</v>
      </c>
      <c r="G42">
        <v>0.91932124951793304</v>
      </c>
      <c r="H42">
        <v>0.74472040107982995</v>
      </c>
      <c r="I42">
        <v>0.99753181642884703</v>
      </c>
      <c r="J42">
        <v>0.81488623216351697</v>
      </c>
      <c r="K42">
        <v>0.88067875048206701</v>
      </c>
      <c r="L42">
        <v>10249.4648187494</v>
      </c>
      <c r="M42">
        <v>250</v>
      </c>
      <c r="O42">
        <v>40.995235448344197</v>
      </c>
      <c r="P42">
        <v>-0.20203066309040499</v>
      </c>
      <c r="Q42">
        <v>0.86748328577488398</v>
      </c>
      <c r="R42">
        <v>0.28432583060948102</v>
      </c>
      <c r="S42" t="s">
        <v>2044</v>
      </c>
      <c r="T42" t="s">
        <v>4002</v>
      </c>
      <c r="U42" t="s">
        <v>4002</v>
      </c>
      <c r="V42" t="s">
        <v>4002</v>
      </c>
      <c r="W42" t="s">
        <v>4044</v>
      </c>
      <c r="X42">
        <v>1</v>
      </c>
      <c r="Y42" t="s">
        <v>6017</v>
      </c>
      <c r="Z42" t="s">
        <v>7940</v>
      </c>
      <c r="AA42">
        <v>0.87190192553923229</v>
      </c>
      <c r="AB42" t="str">
        <f>HYPERLINK("Melting_Curves/meltCurve_B0QYF0_BAIAP2L2.pdf", "Melting_Curves/meltCurve_B0QYF0_BAIAP2L2.pdf")</f>
        <v>Melting_Curves/meltCurve_B0QYF0_BAIAP2L2.pdf</v>
      </c>
    </row>
    <row r="43" spans="1:28" x14ac:dyDescent="0.25">
      <c r="A43" t="s">
        <v>47</v>
      </c>
      <c r="B43">
        <v>1</v>
      </c>
      <c r="C43">
        <v>2.2539857932123102</v>
      </c>
      <c r="D43">
        <v>2.8015785319652702</v>
      </c>
      <c r="E43">
        <v>5.7477505919494902</v>
      </c>
      <c r="F43">
        <v>7.7314127861089199</v>
      </c>
      <c r="G43">
        <v>8.2628255722178405</v>
      </c>
      <c r="H43">
        <v>8.2383583267561207</v>
      </c>
      <c r="I43">
        <v>10.122336227308599</v>
      </c>
      <c r="J43">
        <v>10.1515390686661</v>
      </c>
      <c r="K43">
        <v>5.7413575374901296</v>
      </c>
      <c r="S43" t="s">
        <v>2045</v>
      </c>
      <c r="T43" t="s">
        <v>4002</v>
      </c>
      <c r="U43" t="s">
        <v>4003</v>
      </c>
      <c r="V43" t="s">
        <v>4002</v>
      </c>
      <c r="W43" t="s">
        <v>4045</v>
      </c>
      <c r="X43">
        <v>1</v>
      </c>
      <c r="Y43" t="s">
        <v>6018</v>
      </c>
      <c r="Z43" t="s">
        <v>7941</v>
      </c>
      <c r="AB43" t="str">
        <f>HYPERLINK("Melting_Curves/meltCurve_B0QYI1_TBC1D22A.pdf", "Melting_Curves/meltCurve_B0QYI1_TBC1D22A.pdf")</f>
        <v>Melting_Curves/meltCurve_B0QYI1_TBC1D22A.pdf</v>
      </c>
    </row>
    <row r="44" spans="1:28" x14ac:dyDescent="0.25">
      <c r="A44" t="s">
        <v>48</v>
      </c>
      <c r="B44">
        <v>1</v>
      </c>
      <c r="C44">
        <v>0.992096023798405</v>
      </c>
      <c r="D44">
        <v>0.97666856915546796</v>
      </c>
      <c r="E44">
        <v>0.95838738131064205</v>
      </c>
      <c r="F44">
        <v>0.97170480291945605</v>
      </c>
      <c r="G44">
        <v>1.02922914612844</v>
      </c>
      <c r="H44">
        <v>1.09412130960411</v>
      </c>
      <c r="I44">
        <v>1.2708106331828599</v>
      </c>
      <c r="J44">
        <v>1.358377004099</v>
      </c>
      <c r="K44">
        <v>1.36060810460229</v>
      </c>
      <c r="L44">
        <v>2641.2146775336901</v>
      </c>
      <c r="M44">
        <v>42.265500371223602</v>
      </c>
      <c r="O44">
        <v>62.351619447297502</v>
      </c>
      <c r="P44">
        <v>6.2896140051325294E-2</v>
      </c>
      <c r="Q44">
        <v>1.3711461889310399</v>
      </c>
      <c r="R44">
        <v>0.98434339950877403</v>
      </c>
      <c r="S44" t="s">
        <v>2046</v>
      </c>
      <c r="T44" t="s">
        <v>4002</v>
      </c>
      <c r="U44" t="s">
        <v>4002</v>
      </c>
      <c r="V44" t="s">
        <v>4002</v>
      </c>
      <c r="W44" t="s">
        <v>4046</v>
      </c>
      <c r="X44">
        <v>1</v>
      </c>
      <c r="Y44" t="s">
        <v>6019</v>
      </c>
      <c r="Z44" t="s">
        <v>7942</v>
      </c>
      <c r="AA44">
        <v>1.091721866758145</v>
      </c>
      <c r="AB44" t="str">
        <f>HYPERLINK("Melting_Curves/meltCurve_B0QYM9_PARVG.pdf", "Melting_Curves/meltCurve_B0QYM9_PARVG.pdf")</f>
        <v>Melting_Curves/meltCurve_B0QYM9_PARVG.pdf</v>
      </c>
    </row>
    <row r="45" spans="1:28" x14ac:dyDescent="0.25">
      <c r="A45" t="s">
        <v>49</v>
      </c>
      <c r="B45">
        <v>1</v>
      </c>
      <c r="C45">
        <v>0.93547575096492697</v>
      </c>
      <c r="D45">
        <v>1.08566873636516</v>
      </c>
      <c r="E45">
        <v>0.99899311965094795</v>
      </c>
      <c r="F45">
        <v>0.96199026682329203</v>
      </c>
      <c r="G45">
        <v>0.99152542372881403</v>
      </c>
      <c r="H45">
        <v>0.74707165631817396</v>
      </c>
      <c r="I45">
        <v>1.0402752139620699</v>
      </c>
      <c r="J45">
        <v>0.79073670078872305</v>
      </c>
      <c r="K45">
        <v>0.81590031884544401</v>
      </c>
      <c r="L45">
        <v>787.45453553355503</v>
      </c>
      <c r="M45">
        <v>12.7970083582555</v>
      </c>
      <c r="O45">
        <v>60.089716890746701</v>
      </c>
      <c r="P45">
        <v>-1.12731857010728E-2</v>
      </c>
      <c r="Q45">
        <v>0.78830198070235802</v>
      </c>
      <c r="R45">
        <v>0.39639172991396798</v>
      </c>
      <c r="S45" t="s">
        <v>2047</v>
      </c>
      <c r="T45" t="s">
        <v>4002</v>
      </c>
      <c r="U45" t="s">
        <v>4002</v>
      </c>
      <c r="V45" t="s">
        <v>4002</v>
      </c>
      <c r="W45" t="s">
        <v>4047</v>
      </c>
      <c r="X45">
        <v>4</v>
      </c>
      <c r="Y45" t="s">
        <v>6020</v>
      </c>
      <c r="Z45" t="s">
        <v>7943</v>
      </c>
      <c r="AA45">
        <v>0.93915175346393154</v>
      </c>
      <c r="AB45" t="str">
        <f>HYPERLINK("Melting_Curves/meltCurve_B0S7Z4_HLA_C.pdf", "Melting_Curves/meltCurve_B0S7Z4_HLA_C.pdf")</f>
        <v>Melting_Curves/meltCurve_B0S7Z4_HLA_C.pdf</v>
      </c>
    </row>
    <row r="46" spans="1:28" x14ac:dyDescent="0.25">
      <c r="A46" t="s">
        <v>50</v>
      </c>
      <c r="B46">
        <v>1</v>
      </c>
      <c r="C46">
        <v>1.12031568774831</v>
      </c>
      <c r="D46">
        <v>0.94282186191345396</v>
      </c>
      <c r="E46">
        <v>1.0228980994309</v>
      </c>
      <c r="F46">
        <v>1.0703317942660799</v>
      </c>
      <c r="G46">
        <v>0.99983893482229103</v>
      </c>
      <c r="H46">
        <v>0.77797165252872302</v>
      </c>
      <c r="I46">
        <v>1.13379147428326</v>
      </c>
      <c r="J46">
        <v>0.96185439707935105</v>
      </c>
      <c r="K46">
        <v>0.992913132180823</v>
      </c>
      <c r="L46">
        <v>14520.068238551899</v>
      </c>
      <c r="M46">
        <v>250</v>
      </c>
      <c r="O46">
        <v>58.076554861097101</v>
      </c>
      <c r="P46">
        <v>-3.5908219158876001E-2</v>
      </c>
      <c r="Q46">
        <v>0.96663318870933401</v>
      </c>
      <c r="R46">
        <v>4.7914635174058098E-2</v>
      </c>
      <c r="S46" t="s">
        <v>2048</v>
      </c>
      <c r="T46" t="s">
        <v>4002</v>
      </c>
      <c r="U46" t="s">
        <v>4002</v>
      </c>
      <c r="V46" t="s">
        <v>4002</v>
      </c>
      <c r="W46" t="s">
        <v>4048</v>
      </c>
      <c r="X46">
        <v>2</v>
      </c>
      <c r="Y46" t="s">
        <v>6021</v>
      </c>
      <c r="Z46" t="s">
        <v>7944</v>
      </c>
      <c r="AA46">
        <v>0.98674595831247103</v>
      </c>
      <c r="AB46" t="str">
        <f>HYPERLINK("Melting_Curves/meltCurve_B0UX83_BAG6.pdf", "Melting_Curves/meltCurve_B0UX83_BAG6.pdf")</f>
        <v>Melting_Curves/meltCurve_B0UX83_BAG6.pdf</v>
      </c>
    </row>
    <row r="47" spans="1:28" x14ac:dyDescent="0.25">
      <c r="A47" t="s">
        <v>51</v>
      </c>
      <c r="B47">
        <v>1</v>
      </c>
      <c r="C47">
        <v>1.02223900320936</v>
      </c>
      <c r="D47">
        <v>1.02937511799132</v>
      </c>
      <c r="E47">
        <v>1.3060600339815001</v>
      </c>
      <c r="F47">
        <v>1.3867094581838799</v>
      </c>
      <c r="G47">
        <v>1.49575231262979</v>
      </c>
      <c r="H47">
        <v>1.18629412875212</v>
      </c>
      <c r="I47">
        <v>1.6831414007929</v>
      </c>
      <c r="J47">
        <v>3.58557674155182</v>
      </c>
      <c r="K47">
        <v>1.3071172361714201</v>
      </c>
      <c r="L47">
        <v>1387.46516486824</v>
      </c>
      <c r="M47">
        <v>27.983524169946399</v>
      </c>
      <c r="O47">
        <v>49.330392492106</v>
      </c>
      <c r="P47">
        <v>7.0909064563268898E-2</v>
      </c>
      <c r="Q47">
        <v>1.5</v>
      </c>
      <c r="R47">
        <v>0.141735376324576</v>
      </c>
      <c r="S47" t="s">
        <v>2049</v>
      </c>
      <c r="T47" t="s">
        <v>4002</v>
      </c>
      <c r="U47" t="s">
        <v>4002</v>
      </c>
      <c r="V47" t="s">
        <v>4002</v>
      </c>
      <c r="W47" t="s">
        <v>4049</v>
      </c>
      <c r="X47">
        <v>2</v>
      </c>
      <c r="Y47" t="s">
        <v>6022</v>
      </c>
      <c r="Z47" t="s">
        <v>7945</v>
      </c>
      <c r="AA47">
        <v>1.3367691799704799</v>
      </c>
      <c r="AB47" t="str">
        <f>HYPERLINK("Melting_Curves/meltCurve_B0V043_VARS.pdf", "Melting_Curves/meltCurve_B0V043_VARS.pdf")</f>
        <v>Melting_Curves/meltCurve_B0V043_VARS.pdf</v>
      </c>
    </row>
    <row r="48" spans="1:28" x14ac:dyDescent="0.25">
      <c r="A48" t="s">
        <v>52</v>
      </c>
      <c r="B48">
        <v>1</v>
      </c>
      <c r="C48">
        <v>1.07038724014563</v>
      </c>
      <c r="D48">
        <v>1.30066667717379</v>
      </c>
      <c r="E48">
        <v>0.88650727355829095</v>
      </c>
      <c r="F48">
        <v>0.53795962111301998</v>
      </c>
      <c r="G48">
        <v>0.31155731374805001</v>
      </c>
      <c r="H48">
        <v>0.29109993853331001</v>
      </c>
      <c r="I48">
        <v>0.29991016406878002</v>
      </c>
      <c r="J48">
        <v>0.437958045044051</v>
      </c>
      <c r="K48">
        <v>0.223187126668663</v>
      </c>
      <c r="L48">
        <v>2327.3048631361098</v>
      </c>
      <c r="M48">
        <v>44.679368259788198</v>
      </c>
      <c r="N48">
        <v>53.245282141198103</v>
      </c>
      <c r="O48">
        <v>51.984990907268603</v>
      </c>
      <c r="P48">
        <v>-0.14814990189037</v>
      </c>
      <c r="Q48">
        <v>0.310503896978303</v>
      </c>
      <c r="R48">
        <v>0.91203478092796897</v>
      </c>
      <c r="S48" t="s">
        <v>2050</v>
      </c>
      <c r="T48" t="s">
        <v>4002</v>
      </c>
      <c r="U48" t="s">
        <v>4002</v>
      </c>
      <c r="V48" t="s">
        <v>4002</v>
      </c>
      <c r="W48" t="s">
        <v>4050</v>
      </c>
      <c r="X48">
        <v>1</v>
      </c>
      <c r="Y48" t="s">
        <v>6023</v>
      </c>
      <c r="Z48" t="s">
        <v>7946</v>
      </c>
      <c r="AA48">
        <v>0.59033479750746365</v>
      </c>
      <c r="AB48" t="str">
        <f>HYPERLINK("Melting_Curves/meltCurve_B0V0T3_PSMB9.pdf", "Melting_Curves/meltCurve_B0V0T3_PSMB9.pdf")</f>
        <v>Melting_Curves/meltCurve_B0V0T3_PSMB9.pdf</v>
      </c>
    </row>
    <row r="49" spans="1:28" x14ac:dyDescent="0.25">
      <c r="A49" t="s">
        <v>53</v>
      </c>
      <c r="B49">
        <v>1</v>
      </c>
      <c r="C49">
        <v>0.90697316829399599</v>
      </c>
      <c r="D49">
        <v>0.96294303067579001</v>
      </c>
      <c r="E49">
        <v>0.86291996617206101</v>
      </c>
      <c r="F49">
        <v>0.768455447066964</v>
      </c>
      <c r="G49">
        <v>0.74496809410317499</v>
      </c>
      <c r="H49">
        <v>0.58095640808795301</v>
      </c>
      <c r="I49">
        <v>0.80264472976089796</v>
      </c>
      <c r="J49">
        <v>0.63598062581686798</v>
      </c>
      <c r="K49">
        <v>0.66047512877681203</v>
      </c>
      <c r="L49">
        <v>667.49435260022699</v>
      </c>
      <c r="M49">
        <v>13.109573866449701</v>
      </c>
      <c r="O49">
        <v>49.775489680892399</v>
      </c>
      <c r="P49">
        <v>-2.2735376261683801E-2</v>
      </c>
      <c r="Q49">
        <v>0.65476489524968595</v>
      </c>
      <c r="R49">
        <v>0.80447697127233997</v>
      </c>
      <c r="S49" t="s">
        <v>2051</v>
      </c>
      <c r="T49" t="s">
        <v>4002</v>
      </c>
      <c r="U49" t="s">
        <v>4002</v>
      </c>
      <c r="V49" t="s">
        <v>4002</v>
      </c>
      <c r="W49" t="s">
        <v>4051</v>
      </c>
      <c r="X49">
        <v>2</v>
      </c>
      <c r="Y49" t="s">
        <v>6024</v>
      </c>
      <c r="Z49" t="s">
        <v>7947</v>
      </c>
      <c r="AA49">
        <v>0.790311989958834</v>
      </c>
      <c r="AB49" t="str">
        <f>HYPERLINK("Melting_Curves/meltCurve_B0YIW2_APOC3.pdf", "Melting_Curves/meltCurve_B0YIW2_APOC3.pdf")</f>
        <v>Melting_Curves/meltCurve_B0YIW2_APOC3.pdf</v>
      </c>
    </row>
    <row r="50" spans="1:28" x14ac:dyDescent="0.25">
      <c r="A50" t="s">
        <v>54</v>
      </c>
      <c r="B50">
        <v>1</v>
      </c>
      <c r="C50">
        <v>0.95715085138700096</v>
      </c>
      <c r="D50">
        <v>1.04154342206944</v>
      </c>
      <c r="E50">
        <v>1.1551682788392399</v>
      </c>
      <c r="F50">
        <v>1.1301995896288</v>
      </c>
      <c r="G50">
        <v>1.32952274362459</v>
      </c>
      <c r="H50">
        <v>0.96876915287659504</v>
      </c>
      <c r="I50">
        <v>1.53806592586671</v>
      </c>
      <c r="J50">
        <v>1.22884856236843</v>
      </c>
      <c r="K50">
        <v>1.28408878940496</v>
      </c>
      <c r="L50">
        <v>700.81082157762705</v>
      </c>
      <c r="M50">
        <v>13.5059928568652</v>
      </c>
      <c r="O50">
        <v>50.790947686018001</v>
      </c>
      <c r="P50">
        <v>1.9691322382684701E-2</v>
      </c>
      <c r="Q50">
        <v>1.29616147183951</v>
      </c>
      <c r="R50">
        <v>0.43507086079913698</v>
      </c>
      <c r="S50" t="s">
        <v>2052</v>
      </c>
      <c r="T50" t="s">
        <v>4002</v>
      </c>
      <c r="U50" t="s">
        <v>4002</v>
      </c>
      <c r="V50" t="s">
        <v>4002</v>
      </c>
      <c r="W50" t="s">
        <v>4052</v>
      </c>
      <c r="X50">
        <v>3</v>
      </c>
      <c r="Y50" t="s">
        <v>6025</v>
      </c>
      <c r="Z50" t="s">
        <v>7948</v>
      </c>
      <c r="AA50">
        <v>1.171024792910673</v>
      </c>
      <c r="AB50" t="str">
        <f>HYPERLINK("Melting_Curves/meltCurve_B0YIW6_ARCN1.pdf", "Melting_Curves/meltCurve_B0YIW6_ARCN1.pdf")</f>
        <v>Melting_Curves/meltCurve_B0YIW6_ARCN1.pdf</v>
      </c>
    </row>
    <row r="51" spans="1:28" x14ac:dyDescent="0.25">
      <c r="A51" t="s">
        <v>55</v>
      </c>
      <c r="B51">
        <v>1</v>
      </c>
      <c r="C51">
        <v>0.86087524493794898</v>
      </c>
      <c r="D51">
        <v>1.08047028086218</v>
      </c>
      <c r="E51">
        <v>0.95658610929675603</v>
      </c>
      <c r="F51">
        <v>0.84036577400391899</v>
      </c>
      <c r="G51">
        <v>0.97779229261920297</v>
      </c>
      <c r="H51">
        <v>0.893881994339212</v>
      </c>
      <c r="I51">
        <v>1.07041149575441</v>
      </c>
      <c r="J51">
        <v>1.02024820378837</v>
      </c>
      <c r="K51">
        <v>0.84519921619856297</v>
      </c>
      <c r="L51">
        <v>10223.522088522101</v>
      </c>
      <c r="M51">
        <v>250</v>
      </c>
      <c r="O51">
        <v>40.891471414659101</v>
      </c>
      <c r="P51">
        <v>-7.7129701832781103E-2</v>
      </c>
      <c r="Q51">
        <v>0.949536848109239</v>
      </c>
      <c r="R51">
        <v>3.1114047548179501E-2</v>
      </c>
      <c r="S51" t="s">
        <v>2053</v>
      </c>
      <c r="T51" t="s">
        <v>4002</v>
      </c>
      <c r="U51" t="s">
        <v>4002</v>
      </c>
      <c r="V51" t="s">
        <v>4002</v>
      </c>
      <c r="W51" t="s">
        <v>4053</v>
      </c>
      <c r="X51">
        <v>2</v>
      </c>
      <c r="Y51" t="s">
        <v>6026</v>
      </c>
      <c r="Z51" t="s">
        <v>7949</v>
      </c>
      <c r="AA51">
        <v>0.95104539604154015</v>
      </c>
      <c r="AB51" t="str">
        <f>HYPERLINK("Melting_Curves/meltCurve_B1AHA8_HMOX1.pdf", "Melting_Curves/meltCurve_B1AHA8_HMOX1.pdf")</f>
        <v>Melting_Curves/meltCurve_B1AHA8_HMOX1.pdf</v>
      </c>
    </row>
    <row r="52" spans="1:28" x14ac:dyDescent="0.25">
      <c r="A52" t="s">
        <v>56</v>
      </c>
      <c r="B52">
        <v>1</v>
      </c>
      <c r="C52">
        <v>0.98491815339341504</v>
      </c>
      <c r="D52">
        <v>1.1243332720250101</v>
      </c>
      <c r="E52">
        <v>1.0418429280853401</v>
      </c>
      <c r="F52">
        <v>1.0388081662681601</v>
      </c>
      <c r="G52">
        <v>1.1775795475446</v>
      </c>
      <c r="H52">
        <v>1.0864447305499401</v>
      </c>
      <c r="I52">
        <v>1.4835387162037901</v>
      </c>
      <c r="J52">
        <v>2.5244620194960499</v>
      </c>
      <c r="K52">
        <v>1.2315615228986601</v>
      </c>
      <c r="L52">
        <v>7568.8311884800196</v>
      </c>
      <c r="M52">
        <v>122.508864597966</v>
      </c>
      <c r="O52">
        <v>61.765456914785801</v>
      </c>
      <c r="P52">
        <v>0.24793163526058501</v>
      </c>
      <c r="Q52">
        <v>1.5</v>
      </c>
      <c r="R52">
        <v>0.39697049798682998</v>
      </c>
      <c r="S52" t="s">
        <v>2054</v>
      </c>
      <c r="T52" t="s">
        <v>4002</v>
      </c>
      <c r="U52" t="s">
        <v>4002</v>
      </c>
      <c r="V52" t="s">
        <v>4002</v>
      </c>
      <c r="W52" t="s">
        <v>4054</v>
      </c>
      <c r="X52">
        <v>3</v>
      </c>
      <c r="Y52" t="s">
        <v>6027</v>
      </c>
      <c r="Z52" t="s">
        <v>7950</v>
      </c>
      <c r="AA52">
        <v>1.1367423156085601</v>
      </c>
      <c r="AB52" t="str">
        <f>HYPERLINK("Melting_Curves/meltCurve_B1AHC8_XRCC6.pdf", "Melting_Curves/meltCurve_B1AHC8_XRCC6.pdf")</f>
        <v>Melting_Curves/meltCurve_B1AHC8_XRCC6.pdf</v>
      </c>
    </row>
    <row r="53" spans="1:28" x14ac:dyDescent="0.25">
      <c r="A53" t="s">
        <v>57</v>
      </c>
      <c r="B53">
        <v>1</v>
      </c>
      <c r="C53">
        <v>1.1264769256268801</v>
      </c>
      <c r="D53">
        <v>1.0147159803944801</v>
      </c>
      <c r="E53">
        <v>1.1499893448251399</v>
      </c>
      <c r="F53">
        <v>0.96849619965429901</v>
      </c>
      <c r="G53">
        <v>1.4351336632491201</v>
      </c>
      <c r="H53">
        <v>1.50699689816021</v>
      </c>
      <c r="I53">
        <v>1.39192100963701</v>
      </c>
      <c r="J53">
        <v>1.5506831150995699</v>
      </c>
      <c r="K53">
        <v>1.51492908389174</v>
      </c>
      <c r="L53">
        <v>14133.1316793144</v>
      </c>
      <c r="M53">
        <v>250</v>
      </c>
      <c r="O53">
        <v>56.528892878568001</v>
      </c>
      <c r="P53">
        <v>0.54301035971378697</v>
      </c>
      <c r="Q53">
        <v>1.4911325315066899</v>
      </c>
      <c r="R53">
        <v>0.89237171684293204</v>
      </c>
      <c r="S53" t="s">
        <v>2055</v>
      </c>
      <c r="T53" t="s">
        <v>4002</v>
      </c>
      <c r="U53" t="s">
        <v>4002</v>
      </c>
      <c r="V53" t="s">
        <v>4002</v>
      </c>
      <c r="W53" t="s">
        <v>4055</v>
      </c>
      <c r="X53">
        <v>1</v>
      </c>
      <c r="Y53" t="s">
        <v>6028</v>
      </c>
      <c r="Z53" t="s">
        <v>7951</v>
      </c>
      <c r="AA53">
        <v>1.2204284144671911</v>
      </c>
      <c r="AB53" t="str">
        <f>HYPERLINK("Melting_Curves/meltCurve_B1AJQ6_STX12.pdf", "Melting_Curves/meltCurve_B1AJQ6_STX12.pdf")</f>
        <v>Melting_Curves/meltCurve_B1AJQ6_STX12.pdf</v>
      </c>
    </row>
    <row r="54" spans="1:28" x14ac:dyDescent="0.25">
      <c r="A54" t="s">
        <v>58</v>
      </c>
      <c r="B54">
        <v>1</v>
      </c>
      <c r="C54">
        <v>1.01738082946137</v>
      </c>
      <c r="D54">
        <v>1.2415246945448299</v>
      </c>
      <c r="E54">
        <v>1.47711237308553</v>
      </c>
      <c r="F54">
        <v>1.49888143176734</v>
      </c>
      <c r="G54">
        <v>1.8086387885045601</v>
      </c>
      <c r="H54">
        <v>1.6640853553605199</v>
      </c>
      <c r="I54">
        <v>2.4106866288074298</v>
      </c>
      <c r="J54">
        <v>2.0628119084494898</v>
      </c>
      <c r="K54">
        <v>1.8546721734641201</v>
      </c>
      <c r="L54">
        <v>2029.9975615190899</v>
      </c>
      <c r="M54">
        <v>44.056540214188701</v>
      </c>
      <c r="O54">
        <v>45.982467809991</v>
      </c>
      <c r="P54">
        <v>0.119764675555098</v>
      </c>
      <c r="Q54">
        <v>1.5</v>
      </c>
      <c r="R54">
        <v>0.24105717760786199</v>
      </c>
      <c r="S54" t="s">
        <v>2056</v>
      </c>
      <c r="T54" t="s">
        <v>4002</v>
      </c>
      <c r="U54" t="s">
        <v>4002</v>
      </c>
      <c r="V54" t="s">
        <v>4002</v>
      </c>
      <c r="W54" t="s">
        <v>4056</v>
      </c>
      <c r="X54">
        <v>14</v>
      </c>
      <c r="Y54" t="s">
        <v>6029</v>
      </c>
      <c r="Z54" t="s">
        <v>7952</v>
      </c>
      <c r="AA54">
        <v>1.397388308089385</v>
      </c>
      <c r="AB54" t="str">
        <f>HYPERLINK("Melting_Curves/meltCurve_B1AK87_CAPZB.pdf", "Melting_Curves/meltCurve_B1AK87_CAPZB.pdf")</f>
        <v>Melting_Curves/meltCurve_B1AK87_CAPZB.pdf</v>
      </c>
    </row>
    <row r="55" spans="1:28" x14ac:dyDescent="0.25">
      <c r="A55" t="s">
        <v>59</v>
      </c>
      <c r="B55">
        <v>1</v>
      </c>
      <c r="C55">
        <v>0.88359109036086003</v>
      </c>
      <c r="D55">
        <v>1.09619686800895</v>
      </c>
      <c r="E55">
        <v>1.14064779690692</v>
      </c>
      <c r="F55">
        <v>1.28635346756152</v>
      </c>
      <c r="G55">
        <v>1.30230522322731</v>
      </c>
      <c r="H55">
        <v>1.4590993094057001</v>
      </c>
      <c r="I55">
        <v>1.62289660538858</v>
      </c>
      <c r="J55">
        <v>1.5830172162241001</v>
      </c>
      <c r="K55">
        <v>1.3651395778620801</v>
      </c>
      <c r="L55">
        <v>914.02281486959396</v>
      </c>
      <c r="M55">
        <v>17.334136188277</v>
      </c>
      <c r="O55">
        <v>52.042873660319202</v>
      </c>
      <c r="P55">
        <v>4.1636652908181297E-2</v>
      </c>
      <c r="Q55">
        <v>1.5</v>
      </c>
      <c r="R55">
        <v>0.86092124211308796</v>
      </c>
      <c r="S55" t="s">
        <v>2057</v>
      </c>
      <c r="T55" t="s">
        <v>4002</v>
      </c>
      <c r="U55" t="s">
        <v>4002</v>
      </c>
      <c r="V55" t="s">
        <v>4002</v>
      </c>
      <c r="W55" t="s">
        <v>4057</v>
      </c>
      <c r="X55">
        <v>1</v>
      </c>
      <c r="Y55" t="s">
        <v>6030</v>
      </c>
      <c r="Z55" t="s">
        <v>7953</v>
      </c>
      <c r="AA55">
        <v>1.2790968929399471</v>
      </c>
      <c r="AB55" t="str">
        <f>HYPERLINK("Melting_Curves/meltCurve_B1AKD8_CROCC.pdf", "Melting_Curves/meltCurve_B1AKD8_CROCC.pdf")</f>
        <v>Melting_Curves/meltCurve_B1AKD8_CROCC.pdf</v>
      </c>
    </row>
    <row r="56" spans="1:28" x14ac:dyDescent="0.25">
      <c r="A56" t="s">
        <v>60</v>
      </c>
      <c r="B56">
        <v>1</v>
      </c>
      <c r="C56">
        <v>1.01667829632366</v>
      </c>
      <c r="D56">
        <v>1.1936543118663501</v>
      </c>
      <c r="E56">
        <v>1.1211262980749499</v>
      </c>
      <c r="F56">
        <v>0.965384668007498</v>
      </c>
      <c r="G56">
        <v>1.0940770841029399</v>
      </c>
      <c r="H56">
        <v>0.65603579197964101</v>
      </c>
      <c r="I56">
        <v>1.06095308459549</v>
      </c>
      <c r="J56">
        <v>0.82164210756748601</v>
      </c>
      <c r="K56">
        <v>0.73862003858309699</v>
      </c>
      <c r="L56">
        <v>762.370995228266</v>
      </c>
      <c r="M56">
        <v>9.7931248109394495</v>
      </c>
      <c r="Q56">
        <v>0</v>
      </c>
      <c r="R56">
        <v>0.35375049254598701</v>
      </c>
      <c r="S56" t="s">
        <v>2058</v>
      </c>
      <c r="T56" t="s">
        <v>4002</v>
      </c>
      <c r="U56" t="s">
        <v>4002</v>
      </c>
      <c r="V56" t="s">
        <v>4002</v>
      </c>
      <c r="W56" t="s">
        <v>4058</v>
      </c>
      <c r="X56">
        <v>1</v>
      </c>
      <c r="Y56" t="s">
        <v>6031</v>
      </c>
      <c r="Z56" t="s">
        <v>7954</v>
      </c>
      <c r="AA56">
        <v>0.94792791430863077</v>
      </c>
      <c r="AB56" t="str">
        <f>HYPERLINK("Melting_Curves/meltCurve_B1AMX5_RABL6.pdf", "Melting_Curves/meltCurve_B1AMX5_RABL6.pdf")</f>
        <v>Melting_Curves/meltCurve_B1AMX5_RABL6.pdf</v>
      </c>
    </row>
    <row r="57" spans="1:28" x14ac:dyDescent="0.25">
      <c r="A57" t="s">
        <v>61</v>
      </c>
      <c r="B57">
        <v>1</v>
      </c>
      <c r="C57">
        <v>0.87880131113884796</v>
      </c>
      <c r="D57">
        <v>0.98953655207810798</v>
      </c>
      <c r="E57">
        <v>1.06952302075192</v>
      </c>
      <c r="F57">
        <v>1.09222298692361</v>
      </c>
      <c r="G57">
        <v>1.08488574194828</v>
      </c>
      <c r="H57">
        <v>1.1692932215054801</v>
      </c>
      <c r="I57">
        <v>1.1661670185589099</v>
      </c>
      <c r="J57">
        <v>1.14485517981499</v>
      </c>
      <c r="K57">
        <v>1.0483861560535199</v>
      </c>
      <c r="L57">
        <v>1657.96717966241</v>
      </c>
      <c r="M57">
        <v>33.020074003725803</v>
      </c>
      <c r="O57">
        <v>50.027799794001503</v>
      </c>
      <c r="P57">
        <v>2.0183572390084701E-2</v>
      </c>
      <c r="Q57">
        <v>1.1223177419248</v>
      </c>
      <c r="R57">
        <v>0.63635689345473001</v>
      </c>
      <c r="S57" t="s">
        <v>2059</v>
      </c>
      <c r="T57" t="s">
        <v>4002</v>
      </c>
      <c r="U57" t="s">
        <v>4002</v>
      </c>
      <c r="V57" t="s">
        <v>4002</v>
      </c>
      <c r="W57" t="s">
        <v>4059</v>
      </c>
      <c r="X57">
        <v>1</v>
      </c>
      <c r="Y57" t="s">
        <v>6032</v>
      </c>
      <c r="Z57" t="s">
        <v>7955</v>
      </c>
      <c r="AA57">
        <v>1.0800598900957901</v>
      </c>
      <c r="AB57" t="str">
        <f>HYPERLINK("Melting_Curves/meltCurve_B1AN99_PRSS3.pdf", "Melting_Curves/meltCurve_B1AN99_PRSS3.pdf")</f>
        <v>Melting_Curves/meltCurve_B1AN99_PRSS3.pdf</v>
      </c>
    </row>
    <row r="58" spans="1:28" x14ac:dyDescent="0.25">
      <c r="A58" t="s">
        <v>62</v>
      </c>
      <c r="B58">
        <v>1</v>
      </c>
      <c r="C58">
        <v>0.90927640685408795</v>
      </c>
      <c r="D58">
        <v>0.90583981671519298</v>
      </c>
      <c r="E58">
        <v>0.77027349529855405</v>
      </c>
      <c r="F58">
        <v>0.70735287098467803</v>
      </c>
      <c r="G58">
        <v>0.63374063290535099</v>
      </c>
      <c r="H58">
        <v>0.39557777671710198</v>
      </c>
      <c r="I58">
        <v>0.82500835282325402</v>
      </c>
      <c r="J58">
        <v>0.47460741730704997</v>
      </c>
      <c r="K58">
        <v>0.67873848503651402</v>
      </c>
      <c r="L58">
        <v>768.58111344537997</v>
      </c>
      <c r="M58">
        <v>15.6918421776522</v>
      </c>
      <c r="O58">
        <v>48.204892274278897</v>
      </c>
      <c r="P58">
        <v>-3.3303821222854302E-2</v>
      </c>
      <c r="Q58">
        <v>0.59080107868405596</v>
      </c>
      <c r="R58">
        <v>0.63975564924525197</v>
      </c>
      <c r="S58" t="s">
        <v>2060</v>
      </c>
      <c r="T58" t="s">
        <v>4002</v>
      </c>
      <c r="U58" t="s">
        <v>4002</v>
      </c>
      <c r="V58" t="s">
        <v>4002</v>
      </c>
      <c r="W58" t="s">
        <v>4060</v>
      </c>
      <c r="X58">
        <v>1</v>
      </c>
      <c r="Y58" t="s">
        <v>6033</v>
      </c>
      <c r="Z58" t="s">
        <v>7956</v>
      </c>
      <c r="AA58">
        <v>0.72256043530886283</v>
      </c>
      <c r="AB58" t="str">
        <f>HYPERLINK("Melting_Curves/meltCurve_B1ANH5_GUK1.pdf", "Melting_Curves/meltCurve_B1ANH5_GUK1.pdf")</f>
        <v>Melting_Curves/meltCurve_B1ANH5_GUK1.pdf</v>
      </c>
    </row>
    <row r="59" spans="1:28" x14ac:dyDescent="0.25">
      <c r="A59" t="s">
        <v>63</v>
      </c>
      <c r="B59">
        <v>1</v>
      </c>
      <c r="C59">
        <v>0.93921899517423102</v>
      </c>
      <c r="D59">
        <v>1.00900020724161</v>
      </c>
      <c r="E59">
        <v>1.05154395002517</v>
      </c>
      <c r="F59">
        <v>0.98134825472955001</v>
      </c>
      <c r="G59">
        <v>0.99635846878053103</v>
      </c>
      <c r="H59">
        <v>0.88652041329899001</v>
      </c>
      <c r="I59">
        <v>1.1872576013263501</v>
      </c>
      <c r="J59">
        <v>1.1935636675844501</v>
      </c>
      <c r="K59">
        <v>0.96707818930041201</v>
      </c>
      <c r="L59">
        <v>4045.4284804746799</v>
      </c>
      <c r="M59">
        <v>64.582233456453807</v>
      </c>
      <c r="O59">
        <v>62.580005202975201</v>
      </c>
      <c r="P59">
        <v>2.8527521839941099E-2</v>
      </c>
      <c r="Q59">
        <v>1.1105722824755</v>
      </c>
      <c r="R59">
        <v>0.31043678020150001</v>
      </c>
      <c r="S59" t="s">
        <v>2061</v>
      </c>
      <c r="T59" t="s">
        <v>4002</v>
      </c>
      <c r="U59" t="s">
        <v>4002</v>
      </c>
      <c r="V59" t="s">
        <v>4002</v>
      </c>
      <c r="W59" t="s">
        <v>4061</v>
      </c>
      <c r="X59">
        <v>2</v>
      </c>
      <c r="Y59" t="s">
        <v>6034</v>
      </c>
      <c r="Z59" t="s">
        <v>7957</v>
      </c>
      <c r="AA59">
        <v>1.0269497013433759</v>
      </c>
      <c r="AB59" t="str">
        <f>HYPERLINK("Melting_Curves/meltCurve_B1ANW7_NRAP.pdf", "Melting_Curves/meltCurve_B1ANW7_NRAP.pdf")</f>
        <v>Melting_Curves/meltCurve_B1ANW7_NRAP.pdf</v>
      </c>
    </row>
    <row r="60" spans="1:28" x14ac:dyDescent="0.25">
      <c r="A60" t="s">
        <v>64</v>
      </c>
      <c r="B60">
        <v>1</v>
      </c>
      <c r="C60">
        <v>0.83894269479399097</v>
      </c>
      <c r="D60">
        <v>1.0568681129080499</v>
      </c>
      <c r="E60">
        <v>1.02565046354874</v>
      </c>
      <c r="F60">
        <v>1.2315903287400201</v>
      </c>
      <c r="G60">
        <v>1.73355724769376</v>
      </c>
      <c r="H60">
        <v>1.9042766109181299</v>
      </c>
      <c r="I60">
        <v>2.4787779797096801</v>
      </c>
      <c r="J60">
        <v>2.8443258414042201</v>
      </c>
      <c r="K60">
        <v>2.3899790655409601</v>
      </c>
      <c r="L60">
        <v>13257.819833452901</v>
      </c>
      <c r="M60">
        <v>250</v>
      </c>
      <c r="O60">
        <v>53.027885676406598</v>
      </c>
      <c r="P60">
        <v>0.58931257834865902</v>
      </c>
      <c r="Q60">
        <v>1.5</v>
      </c>
      <c r="R60">
        <v>0.19545239137178</v>
      </c>
      <c r="S60" t="s">
        <v>2062</v>
      </c>
      <c r="T60" t="s">
        <v>4002</v>
      </c>
      <c r="U60" t="s">
        <v>4002</v>
      </c>
      <c r="V60" t="s">
        <v>4002</v>
      </c>
      <c r="W60" t="s">
        <v>4062</v>
      </c>
      <c r="X60">
        <v>1</v>
      </c>
      <c r="Y60" t="s">
        <v>6035</v>
      </c>
      <c r="Z60" t="s">
        <v>7958</v>
      </c>
      <c r="AA60">
        <v>1.2827654765681991</v>
      </c>
      <c r="AB60" t="str">
        <f>HYPERLINK("Melting_Curves/meltCurve_B1AP58_CPN1.pdf", "Melting_Curves/meltCurve_B1AP58_CPN1.pdf")</f>
        <v>Melting_Curves/meltCurve_B1AP58_CPN1.pdf</v>
      </c>
    </row>
    <row r="61" spans="1:28" x14ac:dyDescent="0.25">
      <c r="A61" t="s">
        <v>65</v>
      </c>
      <c r="B61">
        <v>1</v>
      </c>
      <c r="C61">
        <v>0.84255726823259702</v>
      </c>
      <c r="D61">
        <v>1.0806288813234599</v>
      </c>
      <c r="E61">
        <v>0.98934186440387994</v>
      </c>
      <c r="F61">
        <v>0.83891331497100197</v>
      </c>
      <c r="G61">
        <v>0.84377191931979501</v>
      </c>
      <c r="H61">
        <v>0.76023471849178004</v>
      </c>
      <c r="I61">
        <v>1.1026294629873601</v>
      </c>
      <c r="J61">
        <v>3.2987186286418102</v>
      </c>
      <c r="K61">
        <v>1.0449591979881301</v>
      </c>
      <c r="L61">
        <v>15000</v>
      </c>
      <c r="M61">
        <v>233.03532287203299</v>
      </c>
      <c r="O61">
        <v>64.363198886082202</v>
      </c>
      <c r="P61">
        <v>0.45257884638623602</v>
      </c>
      <c r="Q61">
        <v>1.5</v>
      </c>
      <c r="R61">
        <v>0.299218132985619</v>
      </c>
      <c r="S61" t="s">
        <v>2063</v>
      </c>
      <c r="T61" t="s">
        <v>4002</v>
      </c>
      <c r="U61" t="s">
        <v>4002</v>
      </c>
      <c r="V61" t="s">
        <v>4002</v>
      </c>
      <c r="W61" t="s">
        <v>4063</v>
      </c>
      <c r="X61">
        <v>1</v>
      </c>
      <c r="Y61" t="s">
        <v>6036</v>
      </c>
      <c r="Z61" t="s">
        <v>7959</v>
      </c>
      <c r="AA61">
        <v>1.0938029223878929</v>
      </c>
      <c r="AB61" t="str">
        <f>HYPERLINK("Melting_Curves/meltCurve_B1AR62_HK1.pdf", "Melting_Curves/meltCurve_B1AR62_HK1.pdf")</f>
        <v>Melting_Curves/meltCurve_B1AR62_HK1.pdf</v>
      </c>
    </row>
    <row r="62" spans="1:28" x14ac:dyDescent="0.25">
      <c r="A62" t="s">
        <v>66</v>
      </c>
      <c r="B62">
        <v>1</v>
      </c>
      <c r="C62">
        <v>0.92152722794052999</v>
      </c>
      <c r="D62">
        <v>1.04842966481921</v>
      </c>
      <c r="E62">
        <v>1.2276766077241099</v>
      </c>
      <c r="F62">
        <v>1.05647928213249</v>
      </c>
      <c r="G62">
        <v>0.81177971320489095</v>
      </c>
      <c r="H62">
        <v>0.63930676519750196</v>
      </c>
      <c r="I62">
        <v>1.2002727192750899</v>
      </c>
      <c r="J62">
        <v>0.86192487023840902</v>
      </c>
      <c r="K62">
        <v>0.87094220110847198</v>
      </c>
      <c r="L62">
        <v>2918.2136875797501</v>
      </c>
      <c r="M62">
        <v>53.150843688495499</v>
      </c>
      <c r="O62">
        <v>54.826812156727399</v>
      </c>
      <c r="P62">
        <v>-2.9568951894175601E-2</v>
      </c>
      <c r="Q62">
        <v>0.87799476001631005</v>
      </c>
      <c r="R62">
        <v>0.19856261787829901</v>
      </c>
      <c r="S62" t="s">
        <v>2064</v>
      </c>
      <c r="T62" t="s">
        <v>4002</v>
      </c>
      <c r="U62" t="s">
        <v>4002</v>
      </c>
      <c r="V62" t="s">
        <v>4002</v>
      </c>
      <c r="W62" t="s">
        <v>4064</v>
      </c>
      <c r="X62">
        <v>1</v>
      </c>
      <c r="Y62" t="s">
        <v>6037</v>
      </c>
      <c r="Z62" t="s">
        <v>7960</v>
      </c>
      <c r="AA62">
        <v>0.93886971554925891</v>
      </c>
      <c r="AB62" t="str">
        <f>HYPERLINK("Melting_Curves/meltCurve_B1AR80_UAP1.pdf", "Melting_Curves/meltCurve_B1AR80_UAP1.pdf")</f>
        <v>Melting_Curves/meltCurve_B1AR80_UAP1.pdf</v>
      </c>
    </row>
    <row r="63" spans="1:28" x14ac:dyDescent="0.25">
      <c r="A63" t="s">
        <v>67</v>
      </c>
      <c r="B63">
        <v>1</v>
      </c>
      <c r="C63">
        <v>0.88044601234723496</v>
      </c>
      <c r="D63">
        <v>0.97473856620889499</v>
      </c>
      <c r="E63">
        <v>0.98786695224896104</v>
      </c>
      <c r="F63">
        <v>0.80565704926294601</v>
      </c>
      <c r="G63">
        <v>0.86309688799294404</v>
      </c>
      <c r="H63">
        <v>0.90231825626811102</v>
      </c>
      <c r="I63">
        <v>0.97260929822351005</v>
      </c>
      <c r="J63">
        <v>1.08020662718911</v>
      </c>
      <c r="K63">
        <v>0.98358321784049396</v>
      </c>
      <c r="L63">
        <v>10231.885894683999</v>
      </c>
      <c r="M63">
        <v>250</v>
      </c>
      <c r="O63">
        <v>40.924937832370901</v>
      </c>
      <c r="P63">
        <v>-9.3239260944523894E-2</v>
      </c>
      <c r="Q63">
        <v>0.93894704455556499</v>
      </c>
      <c r="R63">
        <v>5.7449712188488399E-2</v>
      </c>
      <c r="S63" t="s">
        <v>2065</v>
      </c>
      <c r="T63" t="s">
        <v>4002</v>
      </c>
      <c r="U63" t="s">
        <v>4002</v>
      </c>
      <c r="V63" t="s">
        <v>4002</v>
      </c>
      <c r="W63" t="s">
        <v>4065</v>
      </c>
      <c r="X63">
        <v>1</v>
      </c>
      <c r="Y63" t="s">
        <v>6038</v>
      </c>
      <c r="Z63" t="s">
        <v>7961</v>
      </c>
      <c r="AA63">
        <v>0.940840029682669</v>
      </c>
      <c r="AB63" t="str">
        <f>HYPERLINK("Melting_Curves/meltCurve_B1ARP7_C1orf123.pdf", "Melting_Curves/meltCurve_B1ARP7_C1orf123.pdf")</f>
        <v>Melting_Curves/meltCurve_B1ARP7_C1orf123.pdf</v>
      </c>
    </row>
    <row r="64" spans="1:28" x14ac:dyDescent="0.25">
      <c r="A64" t="s">
        <v>68</v>
      </c>
      <c r="B64">
        <v>1</v>
      </c>
      <c r="C64">
        <v>1.0192942371160201</v>
      </c>
      <c r="D64">
        <v>0.95233561817720203</v>
      </c>
      <c r="E64">
        <v>1.0199289159685201</v>
      </c>
      <c r="F64">
        <v>1.0647372429550599</v>
      </c>
      <c r="G64">
        <v>1.0467758314293001</v>
      </c>
      <c r="H64">
        <v>0.85776846915460803</v>
      </c>
      <c r="I64">
        <v>1.00590251332826</v>
      </c>
      <c r="J64">
        <v>0.94827367352119796</v>
      </c>
      <c r="K64">
        <v>0.96686976389946699</v>
      </c>
      <c r="L64">
        <v>3562.6296266350701</v>
      </c>
      <c r="M64">
        <v>60.751966603376502</v>
      </c>
      <c r="O64">
        <v>58.578761319394197</v>
      </c>
      <c r="P64">
        <v>-1.3648995476070999E-2</v>
      </c>
      <c r="Q64">
        <v>0.94735702542149502</v>
      </c>
      <c r="R64">
        <v>0.28698259568857198</v>
      </c>
      <c r="S64" t="s">
        <v>2066</v>
      </c>
      <c r="T64" t="s">
        <v>4002</v>
      </c>
      <c r="U64" t="s">
        <v>4002</v>
      </c>
      <c r="V64" t="s">
        <v>4002</v>
      </c>
      <c r="W64" t="s">
        <v>4066</v>
      </c>
      <c r="X64">
        <v>1</v>
      </c>
      <c r="Y64" t="s">
        <v>6039</v>
      </c>
      <c r="Z64" t="s">
        <v>7962</v>
      </c>
      <c r="AA64">
        <v>0.98016167916570562</v>
      </c>
      <c r="AB64" t="str">
        <f>HYPERLINK("Melting_Curves/meltCurve_B1AVQ7_MUC1.pdf", "Melting_Curves/meltCurve_B1AVQ7_MUC1.pdf")</f>
        <v>Melting_Curves/meltCurve_B1AVQ7_MUC1.pdf</v>
      </c>
    </row>
    <row r="65" spans="1:28" x14ac:dyDescent="0.25">
      <c r="A65" t="s">
        <v>69</v>
      </c>
      <c r="B65">
        <v>1</v>
      </c>
      <c r="C65">
        <v>0.91149265581579997</v>
      </c>
      <c r="D65">
        <v>1.1568082572449401</v>
      </c>
      <c r="E65">
        <v>1.04992060341405</v>
      </c>
      <c r="F65">
        <v>0.82722310440651103</v>
      </c>
      <c r="G65">
        <v>0.96720921000396998</v>
      </c>
      <c r="H65">
        <v>0.51162167526796398</v>
      </c>
      <c r="I65">
        <v>1.0402937673679999</v>
      </c>
      <c r="J65">
        <v>0.54705240174672498</v>
      </c>
      <c r="K65">
        <v>0.56635569670504204</v>
      </c>
      <c r="L65">
        <v>548.83316538930205</v>
      </c>
      <c r="M65">
        <v>7.7278546859866601</v>
      </c>
      <c r="O65">
        <v>66.734177651117406</v>
      </c>
      <c r="P65">
        <v>-2.6481011572532999E-2</v>
      </c>
      <c r="Q65">
        <v>8.6464358905005603E-2</v>
      </c>
      <c r="R65">
        <v>0.48802827153295097</v>
      </c>
      <c r="S65" t="s">
        <v>2067</v>
      </c>
      <c r="T65" t="s">
        <v>4002</v>
      </c>
      <c r="U65" t="s">
        <v>4002</v>
      </c>
      <c r="V65" t="s">
        <v>4002</v>
      </c>
      <c r="W65" t="s">
        <v>4067</v>
      </c>
      <c r="X65">
        <v>3</v>
      </c>
      <c r="Y65" t="s">
        <v>6040</v>
      </c>
      <c r="Z65" t="s">
        <v>7963</v>
      </c>
      <c r="AA65">
        <v>0.86404474919481122</v>
      </c>
      <c r="AB65" t="str">
        <f>HYPERLINK("Melting_Curves/meltCurve_B1B0M1_GRIPAP1.pdf", "Melting_Curves/meltCurve_B1B0M1_GRIPAP1.pdf")</f>
        <v>Melting_Curves/meltCurve_B1B0M1_GRIPAP1.pdf</v>
      </c>
    </row>
    <row r="66" spans="1:28" x14ac:dyDescent="0.25">
      <c r="A66" t="s">
        <v>70</v>
      </c>
      <c r="B66">
        <v>1</v>
      </c>
      <c r="C66">
        <v>1.01004287169284</v>
      </c>
      <c r="D66">
        <v>1.03012861507852</v>
      </c>
      <c r="E66">
        <v>1.00702290437954</v>
      </c>
      <c r="F66">
        <v>0.94219427272081302</v>
      </c>
      <c r="G66">
        <v>1.0166394277458</v>
      </c>
      <c r="H66">
        <v>0.69139486960846996</v>
      </c>
      <c r="I66">
        <v>1.1548355006039901</v>
      </c>
      <c r="J66">
        <v>0.68524834790023403</v>
      </c>
      <c r="K66">
        <v>0.79870437480755097</v>
      </c>
      <c r="L66">
        <v>544.084250996582</v>
      </c>
      <c r="M66">
        <v>6.5523040687825898</v>
      </c>
      <c r="Q66">
        <v>0</v>
      </c>
      <c r="R66">
        <v>0.28971799473677801</v>
      </c>
      <c r="S66" t="s">
        <v>2068</v>
      </c>
      <c r="T66" t="s">
        <v>4002</v>
      </c>
      <c r="U66" t="s">
        <v>4002</v>
      </c>
      <c r="V66" t="s">
        <v>4002</v>
      </c>
      <c r="W66" t="s">
        <v>4068</v>
      </c>
      <c r="X66">
        <v>5</v>
      </c>
      <c r="Y66" t="s">
        <v>6041</v>
      </c>
      <c r="Z66" t="s">
        <v>7964</v>
      </c>
      <c r="AA66">
        <v>0.93801927950597741</v>
      </c>
      <c r="AB66" t="str">
        <f>HYPERLINK("Melting_Curves/meltCurve_B3EWG6_FAM25G.pdf", "Melting_Curves/meltCurve_B3EWG6_FAM25G.pdf")</f>
        <v>Melting_Curves/meltCurve_B3EWG6_FAM25G.pdf</v>
      </c>
    </row>
    <row r="67" spans="1:28" x14ac:dyDescent="0.25">
      <c r="A67" t="s">
        <v>71</v>
      </c>
      <c r="B67">
        <v>1</v>
      </c>
      <c r="C67">
        <v>1.0628220646723201</v>
      </c>
      <c r="D67">
        <v>1.0936192287739901</v>
      </c>
      <c r="E67">
        <v>1.12839356735259</v>
      </c>
      <c r="F67">
        <v>1.1069687013660701</v>
      </c>
      <c r="G67">
        <v>1.2087151997233301</v>
      </c>
      <c r="H67">
        <v>0.72465848175687397</v>
      </c>
      <c r="I67">
        <v>1.57575652775376</v>
      </c>
      <c r="J67">
        <v>1.2299671450804099</v>
      </c>
      <c r="K67">
        <v>1.0553346014179501</v>
      </c>
      <c r="L67">
        <v>299.80448853304699</v>
      </c>
      <c r="M67">
        <v>5.8396551285541403</v>
      </c>
      <c r="O67">
        <v>46.280706298977996</v>
      </c>
      <c r="P67">
        <v>6.8918124442869299E-3</v>
      </c>
      <c r="Q67">
        <v>1.21770096178933</v>
      </c>
      <c r="R67">
        <v>6.4868415504177906E-2</v>
      </c>
      <c r="S67" t="s">
        <v>2069</v>
      </c>
      <c r="T67" t="s">
        <v>4002</v>
      </c>
      <c r="U67" t="s">
        <v>4002</v>
      </c>
      <c r="V67" t="s">
        <v>4002</v>
      </c>
      <c r="W67" t="s">
        <v>4069</v>
      </c>
      <c r="X67">
        <v>3</v>
      </c>
      <c r="Y67" t="s">
        <v>6042</v>
      </c>
      <c r="Z67" t="s">
        <v>7965</v>
      </c>
      <c r="AA67">
        <v>1.1209899344875529</v>
      </c>
      <c r="AB67" t="str">
        <f>HYPERLINK("Melting_Curves/meltCurve_B3KQV6_PPP2R1A.pdf", "Melting_Curves/meltCurve_B3KQV6_PPP2R1A.pdf")</f>
        <v>Melting_Curves/meltCurve_B3KQV6_PPP2R1A.pdf</v>
      </c>
    </row>
    <row r="68" spans="1:28" x14ac:dyDescent="0.25">
      <c r="A68" t="s">
        <v>72</v>
      </c>
      <c r="B68">
        <v>1</v>
      </c>
      <c r="C68">
        <v>0.76516793917114401</v>
      </c>
      <c r="D68">
        <v>0.765419298080246</v>
      </c>
      <c r="E68">
        <v>1.0263612655921099</v>
      </c>
      <c r="F68">
        <v>0.82659377258302702</v>
      </c>
      <c r="G68">
        <v>0.87730543249442305</v>
      </c>
      <c r="H68">
        <v>0.81261193326421</v>
      </c>
      <c r="I68">
        <v>0.90976215163226204</v>
      </c>
      <c r="J68">
        <v>2.1263706915512</v>
      </c>
      <c r="K68">
        <v>0.76639331385301801</v>
      </c>
      <c r="L68">
        <v>11915.787801370099</v>
      </c>
      <c r="M68">
        <v>182.96069931608</v>
      </c>
      <c r="O68">
        <v>65.119800478429596</v>
      </c>
      <c r="P68">
        <v>0.31158201920396</v>
      </c>
      <c r="Q68">
        <v>1.443596004747</v>
      </c>
      <c r="R68">
        <v>0.25639603542508699</v>
      </c>
      <c r="S68" t="s">
        <v>2070</v>
      </c>
      <c r="T68" t="s">
        <v>4002</v>
      </c>
      <c r="U68" t="s">
        <v>4002</v>
      </c>
      <c r="V68" t="s">
        <v>4002</v>
      </c>
      <c r="W68" t="s">
        <v>4070</v>
      </c>
      <c r="X68">
        <v>1</v>
      </c>
      <c r="Y68" t="s">
        <v>6043</v>
      </c>
      <c r="Z68" t="s">
        <v>7966</v>
      </c>
      <c r="AA68">
        <v>1.0719515185332149</v>
      </c>
      <c r="AB68" t="str">
        <f>HYPERLINK("Melting_Curves/meltCurve_B3KS98_EIF3S3.pdf", "Melting_Curves/meltCurve_B3KS98_EIF3S3.pdf")</f>
        <v>Melting_Curves/meltCurve_B3KS98_EIF3S3.pdf</v>
      </c>
    </row>
    <row r="69" spans="1:28" x14ac:dyDescent="0.25">
      <c r="A69" t="s">
        <v>73</v>
      </c>
      <c r="B69">
        <v>1</v>
      </c>
      <c r="C69">
        <v>0.932502831257078</v>
      </c>
      <c r="D69">
        <v>0.97437712344280902</v>
      </c>
      <c r="E69">
        <v>1.0037372593431499</v>
      </c>
      <c r="F69">
        <v>0.97859569648924105</v>
      </c>
      <c r="G69">
        <v>0.98264439411098503</v>
      </c>
      <c r="H69">
        <v>0.73963759909399796</v>
      </c>
      <c r="I69">
        <v>1.11560022650057</v>
      </c>
      <c r="J69">
        <v>0.72100792751981901</v>
      </c>
      <c r="K69">
        <v>0.85532276330690804</v>
      </c>
      <c r="L69">
        <v>375.93400844951401</v>
      </c>
      <c r="M69">
        <v>3.8218319601336899</v>
      </c>
      <c r="Q69">
        <v>0</v>
      </c>
      <c r="R69">
        <v>0.21125343658510201</v>
      </c>
      <c r="S69" t="s">
        <v>2071</v>
      </c>
      <c r="T69" t="s">
        <v>4002</v>
      </c>
      <c r="U69" t="s">
        <v>4002</v>
      </c>
      <c r="V69" t="s">
        <v>4002</v>
      </c>
      <c r="W69" t="s">
        <v>4071</v>
      </c>
      <c r="X69">
        <v>4</v>
      </c>
      <c r="Y69" t="s">
        <v>6044</v>
      </c>
      <c r="Z69" t="s">
        <v>7967</v>
      </c>
      <c r="AA69">
        <v>0.93831514313240005</v>
      </c>
      <c r="AB69" t="str">
        <f>HYPERLINK("Melting_Curves/meltCurve_B3KSY4_CORO7.pdf", "Melting_Curves/meltCurve_B3KSY4_CORO7.pdf")</f>
        <v>Melting_Curves/meltCurve_B3KSY4_CORO7.pdf</v>
      </c>
    </row>
    <row r="70" spans="1:28" x14ac:dyDescent="0.25">
      <c r="A70" t="s">
        <v>74</v>
      </c>
      <c r="B70">
        <v>1</v>
      </c>
      <c r="C70">
        <v>1.00278630609412</v>
      </c>
      <c r="D70">
        <v>1.1455398073768801</v>
      </c>
      <c r="E70">
        <v>1.27339445682803</v>
      </c>
      <c r="F70">
        <v>1.19716532783783</v>
      </c>
      <c r="G70">
        <v>1.46170669134037</v>
      </c>
      <c r="H70">
        <v>0.97316734659544901</v>
      </c>
      <c r="I70">
        <v>1.76388947302015</v>
      </c>
      <c r="J70">
        <v>1.0701518273962201</v>
      </c>
      <c r="K70">
        <v>1.3636076881019501</v>
      </c>
      <c r="L70">
        <v>1058.9162912767399</v>
      </c>
      <c r="M70">
        <v>22.620898461578498</v>
      </c>
      <c r="O70">
        <v>46.450190751529</v>
      </c>
      <c r="P70">
        <v>3.8215871700330001E-2</v>
      </c>
      <c r="Q70">
        <v>1.3138865492907199</v>
      </c>
      <c r="R70">
        <v>0.26325663115507397</v>
      </c>
      <c r="S70" t="s">
        <v>2072</v>
      </c>
      <c r="T70" t="s">
        <v>4002</v>
      </c>
      <c r="U70" t="s">
        <v>4002</v>
      </c>
      <c r="V70" t="s">
        <v>4002</v>
      </c>
      <c r="W70" t="s">
        <v>4072</v>
      </c>
      <c r="X70">
        <v>6</v>
      </c>
      <c r="Y70" t="s">
        <v>6045</v>
      </c>
      <c r="Z70" t="s">
        <v>7968</v>
      </c>
      <c r="AA70">
        <v>1.2391016467760261</v>
      </c>
      <c r="AB70" t="str">
        <f>HYPERLINK("Melting_Curves/meltCurve_B3KUE5_PLTP.pdf", "Melting_Curves/meltCurve_B3KUE5_PLTP.pdf")</f>
        <v>Melting_Curves/meltCurve_B3KUE5_PLTP.pdf</v>
      </c>
    </row>
    <row r="71" spans="1:28" x14ac:dyDescent="0.25">
      <c r="A71" t="s">
        <v>75</v>
      </c>
      <c r="B71">
        <v>1</v>
      </c>
      <c r="C71">
        <v>0.90731750116986398</v>
      </c>
      <c r="D71">
        <v>1.0425391904539101</v>
      </c>
      <c r="E71">
        <v>1.1914044220870399</v>
      </c>
      <c r="F71">
        <v>1.06574637342068</v>
      </c>
      <c r="G71">
        <v>1.2657054281703299</v>
      </c>
      <c r="H71">
        <v>1.18605229293402</v>
      </c>
      <c r="I71">
        <v>1.5006434253626599</v>
      </c>
      <c r="J71">
        <v>2.2981984089845602</v>
      </c>
      <c r="K71">
        <v>0.96203790360318198</v>
      </c>
      <c r="L71">
        <v>1244.6592827015299</v>
      </c>
      <c r="M71">
        <v>21.8161911117163</v>
      </c>
      <c r="O71">
        <v>56.579217253230901</v>
      </c>
      <c r="P71">
        <v>4.81994457383257E-2</v>
      </c>
      <c r="Q71">
        <v>1.5</v>
      </c>
      <c r="R71">
        <v>0.31342311820407998</v>
      </c>
      <c r="S71" t="s">
        <v>2073</v>
      </c>
      <c r="T71" t="s">
        <v>4002</v>
      </c>
      <c r="U71" t="s">
        <v>4002</v>
      </c>
      <c r="V71" t="s">
        <v>4002</v>
      </c>
      <c r="W71" t="s">
        <v>4073</v>
      </c>
      <c r="X71">
        <v>3</v>
      </c>
      <c r="Y71" t="s">
        <v>6046</v>
      </c>
      <c r="Z71" t="s">
        <v>7969</v>
      </c>
      <c r="AA71">
        <v>1.210327723342991</v>
      </c>
      <c r="AB71" t="str">
        <f>HYPERLINK("Melting_Curves/meltCurve_B3KUK2_SOD2.pdf", "Melting_Curves/meltCurve_B3KUK2_SOD2.pdf")</f>
        <v>Melting_Curves/meltCurve_B3KUK2_SOD2.pdf</v>
      </c>
    </row>
    <row r="72" spans="1:28" x14ac:dyDescent="0.25">
      <c r="A72" t="s">
        <v>76</v>
      </c>
      <c r="B72">
        <v>1</v>
      </c>
      <c r="C72">
        <v>0.85947035594952104</v>
      </c>
      <c r="D72">
        <v>1.0943583795874401</v>
      </c>
      <c r="E72">
        <v>1.1575677242978999</v>
      </c>
      <c r="F72">
        <v>1.01828072791539</v>
      </c>
      <c r="G72">
        <v>1.21356971253417</v>
      </c>
      <c r="H72">
        <v>1.29801452517052</v>
      </c>
      <c r="I72">
        <v>1.8792422610664701</v>
      </c>
      <c r="J72">
        <v>2.4278297848838801</v>
      </c>
      <c r="K72">
        <v>2.2575870543727401</v>
      </c>
      <c r="L72">
        <v>2561.7625082191198</v>
      </c>
      <c r="M72">
        <v>44.481479991395098</v>
      </c>
      <c r="O72">
        <v>57.475627112552402</v>
      </c>
      <c r="P72">
        <v>9.67400064836927E-2</v>
      </c>
      <c r="Q72">
        <v>1.5</v>
      </c>
      <c r="R72">
        <v>0.40779056929472701</v>
      </c>
      <c r="S72" t="s">
        <v>2074</v>
      </c>
      <c r="T72" t="s">
        <v>4002</v>
      </c>
      <c r="U72" t="s">
        <v>4002</v>
      </c>
      <c r="V72" t="s">
        <v>4002</v>
      </c>
      <c r="W72" t="s">
        <v>4074</v>
      </c>
      <c r="X72">
        <v>2</v>
      </c>
      <c r="Y72" t="s">
        <v>6047</v>
      </c>
      <c r="Z72" t="s">
        <v>7970</v>
      </c>
      <c r="AA72">
        <v>1.2052109810758189</v>
      </c>
      <c r="AB72" t="str">
        <f>HYPERLINK("Melting_Curves/meltCurve_B3KW71_QDPR.pdf", "Melting_Curves/meltCurve_B3KW71_QDPR.pdf")</f>
        <v>Melting_Curves/meltCurve_B3KW71_QDPR.pdf</v>
      </c>
    </row>
    <row r="73" spans="1:28" x14ac:dyDescent="0.25">
      <c r="A73" t="s">
        <v>77</v>
      </c>
      <c r="B73">
        <v>1</v>
      </c>
      <c r="C73">
        <v>1.0174679487179501</v>
      </c>
      <c r="D73">
        <v>1.0538461538461501</v>
      </c>
      <c r="E73">
        <v>1.04983974358974</v>
      </c>
      <c r="F73">
        <v>0.96634615384615397</v>
      </c>
      <c r="G73">
        <v>1.0670673076923101</v>
      </c>
      <c r="H73">
        <v>0.81033653846153797</v>
      </c>
      <c r="I73">
        <v>1.2100961538461501</v>
      </c>
      <c r="J73">
        <v>0.82772435897435903</v>
      </c>
      <c r="K73">
        <v>0.97652243589743604</v>
      </c>
      <c r="L73">
        <v>15000</v>
      </c>
      <c r="M73">
        <v>228.60933630868999</v>
      </c>
      <c r="O73">
        <v>65.609096868951994</v>
      </c>
      <c r="P73">
        <v>-8.5059035826537205E-2</v>
      </c>
      <c r="Q73">
        <v>0.90235488016600796</v>
      </c>
      <c r="R73">
        <v>0.15507335287422999</v>
      </c>
      <c r="S73" t="s">
        <v>2075</v>
      </c>
      <c r="T73" t="s">
        <v>4002</v>
      </c>
      <c r="U73" t="s">
        <v>4002</v>
      </c>
      <c r="V73" t="s">
        <v>4002</v>
      </c>
      <c r="W73" t="s">
        <v>4075</v>
      </c>
      <c r="X73">
        <v>1</v>
      </c>
      <c r="Y73" t="s">
        <v>6048</v>
      </c>
      <c r="Z73" t="s">
        <v>7971</v>
      </c>
      <c r="AA73">
        <v>0.98573811455935301</v>
      </c>
      <c r="AB73" t="str">
        <f>HYPERLINK("Melting_Curves/meltCurve_B3KXW9_DOCK2.pdf", "Melting_Curves/meltCurve_B3KXW9_DOCK2.pdf")</f>
        <v>Melting_Curves/meltCurve_B3KXW9_DOCK2.pdf</v>
      </c>
    </row>
    <row r="74" spans="1:28" x14ac:dyDescent="0.25">
      <c r="A74" t="s">
        <v>78</v>
      </c>
      <c r="B74">
        <v>1</v>
      </c>
      <c r="C74">
        <v>0.80969554267320398</v>
      </c>
      <c r="D74">
        <v>1.17182540273907</v>
      </c>
      <c r="E74">
        <v>1.3373619659329701</v>
      </c>
      <c r="F74">
        <v>1.55373083170648</v>
      </c>
      <c r="G74">
        <v>1.7550631119324001</v>
      </c>
      <c r="H74">
        <v>2.4708284279391401</v>
      </c>
      <c r="I74">
        <v>1.9073662876473501</v>
      </c>
      <c r="J74">
        <v>2.90374498904669</v>
      </c>
      <c r="K74">
        <v>1.92495119443244</v>
      </c>
      <c r="L74">
        <v>1664.9343958084601</v>
      </c>
      <c r="M74">
        <v>34.869134489998203</v>
      </c>
      <c r="O74">
        <v>47.591856239996297</v>
      </c>
      <c r="P74">
        <v>9.1584101894785303E-2</v>
      </c>
      <c r="Q74">
        <v>1.5</v>
      </c>
      <c r="R74">
        <v>0.122144065299798</v>
      </c>
      <c r="S74" t="s">
        <v>2076</v>
      </c>
      <c r="T74" t="s">
        <v>4002</v>
      </c>
      <c r="U74" t="s">
        <v>4002</v>
      </c>
      <c r="V74" t="s">
        <v>4002</v>
      </c>
      <c r="W74" t="s">
        <v>4076</v>
      </c>
      <c r="X74">
        <v>1</v>
      </c>
      <c r="Y74" t="s">
        <v>6049</v>
      </c>
      <c r="Z74" t="s">
        <v>7972</v>
      </c>
      <c r="AA74">
        <v>1.3686698386105141</v>
      </c>
      <c r="AB74" t="str">
        <f>HYPERLINK("Melting_Curves/meltCurve_B3KYB6_PITPNB.pdf", "Melting_Curves/meltCurve_B3KYB6_PITPNB.pdf")</f>
        <v>Melting_Curves/meltCurve_B3KYB6_PITPNB.pdf</v>
      </c>
    </row>
    <row r="75" spans="1:28" x14ac:dyDescent="0.25">
      <c r="A75" t="s">
        <v>79</v>
      </c>
      <c r="B75">
        <v>1</v>
      </c>
      <c r="C75">
        <v>0.95267640853324997</v>
      </c>
      <c r="D75">
        <v>1.1135422364616701</v>
      </c>
      <c r="E75">
        <v>1.1497851058841899</v>
      </c>
      <c r="F75">
        <v>1.1130733765726299</v>
      </c>
      <c r="G75">
        <v>1.1072907712745199</v>
      </c>
      <c r="H75">
        <v>1.2215675548956799</v>
      </c>
      <c r="I75">
        <v>1.5011487067281399</v>
      </c>
      <c r="J75">
        <v>1.4945221536297599</v>
      </c>
      <c r="K75">
        <v>1.37677580682973</v>
      </c>
      <c r="L75">
        <v>746.54445543640895</v>
      </c>
      <c r="M75">
        <v>12.7100095312238</v>
      </c>
      <c r="O75">
        <v>57.339658247196603</v>
      </c>
      <c r="P75">
        <v>2.7713063874223301E-2</v>
      </c>
      <c r="Q75">
        <v>1.5</v>
      </c>
      <c r="R75">
        <v>0.79964537723489104</v>
      </c>
      <c r="S75" t="s">
        <v>2077</v>
      </c>
      <c r="T75" t="s">
        <v>4002</v>
      </c>
      <c r="U75" t="s">
        <v>4002</v>
      </c>
      <c r="V75" t="s">
        <v>4002</v>
      </c>
      <c r="W75" t="s">
        <v>4077</v>
      </c>
      <c r="X75">
        <v>5</v>
      </c>
      <c r="Y75" t="s">
        <v>6050</v>
      </c>
      <c r="Z75" t="s">
        <v>7973</v>
      </c>
      <c r="AA75">
        <v>1.182686192481998</v>
      </c>
      <c r="AB75" t="str">
        <f>HYPERLINK("Melting_Curves/meltCurve_B4DDF4_CNN2.pdf", "Melting_Curves/meltCurve_B4DDF4_CNN2.pdf")</f>
        <v>Melting_Curves/meltCurve_B4DDF4_CNN2.pdf</v>
      </c>
    </row>
    <row r="76" spans="1:28" x14ac:dyDescent="0.25">
      <c r="A76" t="s">
        <v>80</v>
      </c>
      <c r="B76">
        <v>1</v>
      </c>
      <c r="C76">
        <v>1.1229709894664099</v>
      </c>
      <c r="D76">
        <v>1.0536068900017299</v>
      </c>
      <c r="E76">
        <v>1.1072137800034501</v>
      </c>
      <c r="F76">
        <v>1.15211103436367</v>
      </c>
      <c r="G76">
        <v>1.2409342082541901</v>
      </c>
      <c r="H76">
        <v>1.2737437402866501</v>
      </c>
      <c r="I76">
        <v>1.9869193576238999</v>
      </c>
      <c r="J76">
        <v>2.3431833880158899</v>
      </c>
      <c r="K76">
        <v>1.8304265239164199</v>
      </c>
      <c r="L76">
        <v>1910.6142446850999</v>
      </c>
      <c r="M76">
        <v>33.802016165578102</v>
      </c>
      <c r="O76">
        <v>56.326944295481297</v>
      </c>
      <c r="P76">
        <v>7.5013287725408703E-2</v>
      </c>
      <c r="Q76">
        <v>1.5</v>
      </c>
      <c r="R76">
        <v>0.415494494551371</v>
      </c>
      <c r="S76" t="s">
        <v>2078</v>
      </c>
      <c r="T76" t="s">
        <v>4002</v>
      </c>
      <c r="U76" t="s">
        <v>4002</v>
      </c>
      <c r="V76" t="s">
        <v>4002</v>
      </c>
      <c r="W76" t="s">
        <v>4078</v>
      </c>
      <c r="X76">
        <v>2</v>
      </c>
      <c r="Y76" t="s">
        <v>6051</v>
      </c>
      <c r="Z76" t="s">
        <v>7974</v>
      </c>
      <c r="AA76">
        <v>1.2219281183090369</v>
      </c>
      <c r="AB76" t="str">
        <f>HYPERLINK("Melting_Curves/meltCurve_B4DEK4_SNX2.pdf", "Melting_Curves/meltCurve_B4DEK4_SNX2.pdf")</f>
        <v>Melting_Curves/meltCurve_B4DEK4_SNX2.pdf</v>
      </c>
    </row>
    <row r="77" spans="1:28" x14ac:dyDescent="0.25">
      <c r="A77" t="s">
        <v>81</v>
      </c>
      <c r="B77">
        <v>1</v>
      </c>
      <c r="C77">
        <v>1.04318223132984</v>
      </c>
      <c r="D77">
        <v>1.02201252664805</v>
      </c>
      <c r="E77">
        <v>1.3655698963824801</v>
      </c>
      <c r="F77">
        <v>1.2927401629455799</v>
      </c>
      <c r="G77">
        <v>1.3032506486424</v>
      </c>
      <c r="H77">
        <v>1.5775313579349199</v>
      </c>
      <c r="I77">
        <v>1.41412305200707</v>
      </c>
      <c r="J77">
        <v>1.55880748954735</v>
      </c>
      <c r="K77">
        <v>1.3155789856389699</v>
      </c>
      <c r="L77">
        <v>1042.6118181816601</v>
      </c>
      <c r="M77">
        <v>21.311872509837301</v>
      </c>
      <c r="O77">
        <v>48.497031083442401</v>
      </c>
      <c r="P77">
        <v>4.8096628385436699E-2</v>
      </c>
      <c r="Q77">
        <v>1.4377811659275099</v>
      </c>
      <c r="R77">
        <v>0.785157560458703</v>
      </c>
      <c r="S77" t="s">
        <v>2079</v>
      </c>
      <c r="T77" t="s">
        <v>4002</v>
      </c>
      <c r="U77" t="s">
        <v>4002</v>
      </c>
      <c r="V77" t="s">
        <v>4002</v>
      </c>
      <c r="W77" t="s">
        <v>4079</v>
      </c>
      <c r="X77">
        <v>3</v>
      </c>
      <c r="Y77" t="s">
        <v>6052</v>
      </c>
      <c r="Z77" t="s">
        <v>7975</v>
      </c>
      <c r="AA77">
        <v>1.3022017279746809</v>
      </c>
      <c r="AB77" t="str">
        <f>HYPERLINK("Melting_Curves/meltCurve_B4DFR2_DYNLRB1.pdf", "Melting_Curves/meltCurve_B4DFR2_DYNLRB1.pdf")</f>
        <v>Melting_Curves/meltCurve_B4DFR2_DYNLRB1.pdf</v>
      </c>
    </row>
    <row r="78" spans="1:28" x14ac:dyDescent="0.25">
      <c r="A78" t="s">
        <v>82</v>
      </c>
      <c r="B78">
        <v>1</v>
      </c>
      <c r="C78">
        <v>0.98084002902211598</v>
      </c>
      <c r="D78">
        <v>1.04673098110875</v>
      </c>
      <c r="E78">
        <v>1.0921989627280799</v>
      </c>
      <c r="F78">
        <v>1.0721522048746399</v>
      </c>
      <c r="G78">
        <v>1.1768468008491699</v>
      </c>
      <c r="H78">
        <v>1.1600515948727601</v>
      </c>
      <c r="I78">
        <v>1.3673178727863899</v>
      </c>
      <c r="J78">
        <v>1.9194367559723799</v>
      </c>
      <c r="K78">
        <v>1.2336280332142</v>
      </c>
      <c r="L78">
        <v>3459.0060234052398</v>
      </c>
      <c r="M78">
        <v>55.9139863905678</v>
      </c>
      <c r="O78">
        <v>61.784009323795303</v>
      </c>
      <c r="P78">
        <v>0.11312397801447099</v>
      </c>
      <c r="Q78">
        <v>1.5</v>
      </c>
      <c r="R78">
        <v>0.560219793980966</v>
      </c>
      <c r="S78" t="s">
        <v>2080</v>
      </c>
      <c r="T78" t="s">
        <v>4002</v>
      </c>
      <c r="U78" t="s">
        <v>4002</v>
      </c>
      <c r="V78" t="s">
        <v>4002</v>
      </c>
      <c r="W78" t="s">
        <v>4080</v>
      </c>
      <c r="X78">
        <v>11</v>
      </c>
      <c r="Y78" t="s">
        <v>6053</v>
      </c>
      <c r="Z78" t="s">
        <v>7976</v>
      </c>
      <c r="AA78">
        <v>1.1345641421079971</v>
      </c>
      <c r="AB78" t="str">
        <f>HYPERLINK("Melting_Curves/meltCurve_B4DGB4_PLS3.pdf", "Melting_Curves/meltCurve_B4DGB4_PLS3.pdf")</f>
        <v>Melting_Curves/meltCurve_B4DGB4_PLS3.pdf</v>
      </c>
    </row>
    <row r="79" spans="1:28" x14ac:dyDescent="0.25">
      <c r="A79" t="s">
        <v>83</v>
      </c>
      <c r="B79">
        <v>1</v>
      </c>
      <c r="C79">
        <v>1.0527260638297899</v>
      </c>
      <c r="D79">
        <v>1.24800531914894</v>
      </c>
      <c r="E79">
        <v>1.3994015957446799</v>
      </c>
      <c r="F79">
        <v>1.3442154255319101</v>
      </c>
      <c r="G79">
        <v>1.3569148936170199</v>
      </c>
      <c r="H79">
        <v>1.45166223404255</v>
      </c>
      <c r="I79">
        <v>1.86609042553191</v>
      </c>
      <c r="J79">
        <v>1.6342420212766</v>
      </c>
      <c r="K79">
        <v>1.8809175531914899</v>
      </c>
      <c r="L79">
        <v>817.28465298090305</v>
      </c>
      <c r="M79">
        <v>17.412313453182499</v>
      </c>
      <c r="O79">
        <v>46.331186263955999</v>
      </c>
      <c r="P79">
        <v>4.6980470778361198E-2</v>
      </c>
      <c r="Q79">
        <v>1.5</v>
      </c>
      <c r="R79">
        <v>0.58992732515782398</v>
      </c>
      <c r="S79" t="s">
        <v>2081</v>
      </c>
      <c r="T79" t="s">
        <v>4002</v>
      </c>
      <c r="U79" t="s">
        <v>4002</v>
      </c>
      <c r="V79" t="s">
        <v>4002</v>
      </c>
      <c r="W79" t="s">
        <v>4081</v>
      </c>
      <c r="X79">
        <v>1</v>
      </c>
      <c r="Y79" t="s">
        <v>6054</v>
      </c>
      <c r="Z79" t="s">
        <v>7977</v>
      </c>
      <c r="AA79">
        <v>1.37443462009296</v>
      </c>
      <c r="AB79" t="str">
        <f>HYPERLINK("Melting_Curves/meltCurve_B4DGQ7_ERBB3.pdf", "Melting_Curves/meltCurve_B4DGQ7_ERBB3.pdf")</f>
        <v>Melting_Curves/meltCurve_B4DGQ7_ERBB3.pdf</v>
      </c>
    </row>
    <row r="80" spans="1:28" x14ac:dyDescent="0.25">
      <c r="A80" t="s">
        <v>84</v>
      </c>
      <c r="B80">
        <v>1</v>
      </c>
      <c r="C80">
        <v>0.94329300574521102</v>
      </c>
      <c r="D80">
        <v>0.83250651973568102</v>
      </c>
      <c r="E80">
        <v>0.79366262083570305</v>
      </c>
      <c r="F80">
        <v>0.70017059158022699</v>
      </c>
      <c r="G80">
        <v>0.72411223749485298</v>
      </c>
      <c r="H80">
        <v>0.69462146316594497</v>
      </c>
      <c r="I80">
        <v>0.89011549246063704</v>
      </c>
      <c r="J80">
        <v>1.09686464440479</v>
      </c>
      <c r="K80">
        <v>0.76721112178670203</v>
      </c>
      <c r="L80">
        <v>1955.8116357190499</v>
      </c>
      <c r="M80">
        <v>44.704122549125003</v>
      </c>
      <c r="O80">
        <v>43.6628636587511</v>
      </c>
      <c r="P80">
        <v>-4.86735693559954E-2</v>
      </c>
      <c r="Q80">
        <v>0.80984084034672499</v>
      </c>
      <c r="R80">
        <v>0.25618111030037899</v>
      </c>
      <c r="S80" t="s">
        <v>2082</v>
      </c>
      <c r="T80" t="s">
        <v>4002</v>
      </c>
      <c r="U80" t="s">
        <v>4002</v>
      </c>
      <c r="V80" t="s">
        <v>4002</v>
      </c>
      <c r="W80" t="s">
        <v>4082</v>
      </c>
      <c r="X80">
        <v>1</v>
      </c>
      <c r="Y80" t="s">
        <v>6055</v>
      </c>
      <c r="Z80" t="s">
        <v>7978</v>
      </c>
      <c r="AA80">
        <v>0.83414619675950019</v>
      </c>
      <c r="AB80" t="str">
        <f>HYPERLINK("Melting_Curves/meltCurve_B4DIS3_LOC84661.pdf", "Melting_Curves/meltCurve_B4DIS3_LOC84661.pdf")</f>
        <v>Melting_Curves/meltCurve_B4DIS3_LOC84661.pdf</v>
      </c>
    </row>
    <row r="81" spans="1:28" x14ac:dyDescent="0.25">
      <c r="A81" t="s">
        <v>85</v>
      </c>
      <c r="B81">
        <v>1</v>
      </c>
      <c r="C81">
        <v>1.0487592841078801</v>
      </c>
      <c r="D81">
        <v>1.10917921871752</v>
      </c>
      <c r="E81">
        <v>1.2452894373783401</v>
      </c>
      <c r="F81">
        <v>1.08831478086671</v>
      </c>
      <c r="G81">
        <v>0.99251601685786095</v>
      </c>
      <c r="H81">
        <v>0.83115680456598595</v>
      </c>
      <c r="I81">
        <v>0.93166140645966</v>
      </c>
      <c r="J81">
        <v>0.87717574131120901</v>
      </c>
      <c r="K81">
        <v>0.98100655793472302</v>
      </c>
      <c r="L81">
        <v>14389.9971553921</v>
      </c>
      <c r="M81">
        <v>250</v>
      </c>
      <c r="O81">
        <v>57.5563052522796</v>
      </c>
      <c r="P81">
        <v>-0.102888230435043</v>
      </c>
      <c r="Q81">
        <v>0.90525013789166597</v>
      </c>
      <c r="R81">
        <v>0.26850080678256599</v>
      </c>
      <c r="S81" t="s">
        <v>2083</v>
      </c>
      <c r="T81" t="s">
        <v>4002</v>
      </c>
      <c r="U81" t="s">
        <v>4002</v>
      </c>
      <c r="V81" t="s">
        <v>4002</v>
      </c>
      <c r="W81" t="s">
        <v>4083</v>
      </c>
      <c r="X81">
        <v>1</v>
      </c>
      <c r="Y81" t="s">
        <v>6056</v>
      </c>
      <c r="Z81" t="s">
        <v>7979</v>
      </c>
      <c r="AA81">
        <v>0.96071992591143107</v>
      </c>
      <c r="AB81" t="str">
        <f>HYPERLINK("Melting_Curves/meltCurve_B4DIX1_IDS.pdf", "Melting_Curves/meltCurve_B4DIX1_IDS.pdf")</f>
        <v>Melting_Curves/meltCurve_B4DIX1_IDS.pdf</v>
      </c>
    </row>
    <row r="82" spans="1:28" x14ac:dyDescent="0.25">
      <c r="A82" t="s">
        <v>86</v>
      </c>
      <c r="B82">
        <v>1</v>
      </c>
      <c r="C82">
        <v>0.74037030914200697</v>
      </c>
      <c r="D82">
        <v>0.81492808728715505</v>
      </c>
      <c r="E82">
        <v>0.65403372458257603</v>
      </c>
      <c r="F82">
        <v>0.78616300214911605</v>
      </c>
      <c r="G82">
        <v>0.690527359894197</v>
      </c>
      <c r="H82">
        <v>0.65845594313109601</v>
      </c>
      <c r="I82">
        <v>0.63390643081501097</v>
      </c>
      <c r="J82">
        <v>2.2698793188956898</v>
      </c>
      <c r="K82">
        <v>0.60931558935361196</v>
      </c>
      <c r="L82">
        <v>10230.730855559101</v>
      </c>
      <c r="M82">
        <v>250</v>
      </c>
      <c r="O82">
        <v>40.920305318876203</v>
      </c>
      <c r="P82">
        <v>-0.193875998379158</v>
      </c>
      <c r="Q82">
        <v>0.87306456153293299</v>
      </c>
      <c r="R82">
        <v>6.4498735166309603E-3</v>
      </c>
      <c r="S82" t="s">
        <v>2084</v>
      </c>
      <c r="T82" t="s">
        <v>4002</v>
      </c>
      <c r="U82" t="s">
        <v>4002</v>
      </c>
      <c r="V82" t="s">
        <v>4002</v>
      </c>
      <c r="W82" t="s">
        <v>4084</v>
      </c>
      <c r="X82">
        <v>1</v>
      </c>
      <c r="Y82" t="s">
        <v>6057</v>
      </c>
      <c r="Z82" t="s">
        <v>7980</v>
      </c>
      <c r="AA82">
        <v>0.8769807830149815</v>
      </c>
      <c r="AB82" t="str">
        <f>HYPERLINK("Melting_Curves/meltCurve_B4DJ45_TARDBP.pdf", "Melting_Curves/meltCurve_B4DJ45_TARDBP.pdf")</f>
        <v>Melting_Curves/meltCurve_B4DJ45_TARDBP.pdf</v>
      </c>
    </row>
    <row r="83" spans="1:28" x14ac:dyDescent="0.25">
      <c r="A83" t="s">
        <v>87</v>
      </c>
      <c r="B83">
        <v>1</v>
      </c>
      <c r="C83">
        <v>0.94090285646132699</v>
      </c>
      <c r="D83">
        <v>1.0361082950682801</v>
      </c>
      <c r="E83">
        <v>1.04040193213668</v>
      </c>
      <c r="F83">
        <v>0.99534855984256698</v>
      </c>
      <c r="G83">
        <v>0.91964338958793002</v>
      </c>
      <c r="H83">
        <v>1.0849185997972399</v>
      </c>
      <c r="I83">
        <v>1.2927723776015301</v>
      </c>
      <c r="J83">
        <v>1.2346591925577</v>
      </c>
      <c r="K83">
        <v>0.89898026119625496</v>
      </c>
      <c r="L83">
        <v>15000</v>
      </c>
      <c r="M83">
        <v>246.29658819624399</v>
      </c>
      <c r="O83">
        <v>60.898168099359403</v>
      </c>
      <c r="P83">
        <v>0.143714168017092</v>
      </c>
      <c r="Q83">
        <v>1.1421364316674101</v>
      </c>
      <c r="R83">
        <v>0.31786865336546</v>
      </c>
      <c r="S83" t="s">
        <v>2085</v>
      </c>
      <c r="T83" t="s">
        <v>4002</v>
      </c>
      <c r="U83" t="s">
        <v>4002</v>
      </c>
      <c r="V83" t="s">
        <v>4002</v>
      </c>
      <c r="W83" t="s">
        <v>4085</v>
      </c>
      <c r="X83">
        <v>2</v>
      </c>
      <c r="Y83" t="s">
        <v>6058</v>
      </c>
      <c r="Z83" t="s">
        <v>7981</v>
      </c>
      <c r="AA83">
        <v>1.0430887203475709</v>
      </c>
      <c r="AB83" t="str">
        <f>HYPERLINK("Melting_Curves/meltCurve_B4DJI7_SNX11.pdf", "Melting_Curves/meltCurve_B4DJI7_SNX11.pdf")</f>
        <v>Melting_Curves/meltCurve_B4DJI7_SNX11.pdf</v>
      </c>
    </row>
    <row r="84" spans="1:28" x14ac:dyDescent="0.25">
      <c r="A84" t="s">
        <v>88</v>
      </c>
      <c r="B84">
        <v>1</v>
      </c>
      <c r="C84">
        <v>1.0454079140205199</v>
      </c>
      <c r="D84">
        <v>1.1168905715681501</v>
      </c>
      <c r="E84">
        <v>1.08718856863703</v>
      </c>
      <c r="F84">
        <v>1.0791402051783101</v>
      </c>
      <c r="G84">
        <v>1.2927454811919901</v>
      </c>
      <c r="H84">
        <v>1.4694675134342901</v>
      </c>
      <c r="I84">
        <v>3.3746946751343398</v>
      </c>
      <c r="J84">
        <v>7.1038104543234004</v>
      </c>
      <c r="K84">
        <v>4.2901807523204702</v>
      </c>
      <c r="L84">
        <v>4545.05350351164</v>
      </c>
      <c r="M84">
        <v>80.096923573416205</v>
      </c>
      <c r="O84">
        <v>56.709077749376497</v>
      </c>
      <c r="P84">
        <v>0.17655227628974501</v>
      </c>
      <c r="Q84">
        <v>1.5</v>
      </c>
      <c r="R84">
        <v>-0.13893281271760599</v>
      </c>
      <c r="S84" t="s">
        <v>2086</v>
      </c>
      <c r="T84" t="s">
        <v>4002</v>
      </c>
      <c r="U84" t="s">
        <v>4002</v>
      </c>
      <c r="V84" t="s">
        <v>4002</v>
      </c>
      <c r="W84" t="s">
        <v>4086</v>
      </c>
      <c r="X84">
        <v>5</v>
      </c>
      <c r="Y84" t="s">
        <v>6059</v>
      </c>
      <c r="Z84" t="s">
        <v>7982</v>
      </c>
      <c r="AA84">
        <v>1.2204403076129831</v>
      </c>
      <c r="AB84" t="str">
        <f>HYPERLINK("Melting_Curves/meltCurve_B4DJV2_CS.pdf", "Melting_Curves/meltCurve_B4DJV2_CS.pdf")</f>
        <v>Melting_Curves/meltCurve_B4DJV2_CS.pdf</v>
      </c>
    </row>
    <row r="85" spans="1:28" x14ac:dyDescent="0.25">
      <c r="A85" t="s">
        <v>89</v>
      </c>
      <c r="B85">
        <v>1</v>
      </c>
      <c r="C85">
        <v>0.944776742245097</v>
      </c>
      <c r="D85">
        <v>1.05974405341494</v>
      </c>
      <c r="E85">
        <v>1.05765753234108</v>
      </c>
      <c r="F85">
        <v>1.00598136041174</v>
      </c>
      <c r="G85">
        <v>1.05508415634998</v>
      </c>
      <c r="H85">
        <v>0.74718319655028498</v>
      </c>
      <c r="I85">
        <v>1.1098901098901099</v>
      </c>
      <c r="J85">
        <v>0.70545277507302795</v>
      </c>
      <c r="K85">
        <v>0.86847962164417902</v>
      </c>
      <c r="L85">
        <v>1181.28483283785</v>
      </c>
      <c r="M85">
        <v>18.745076734528499</v>
      </c>
      <c r="O85">
        <v>62.3143594634411</v>
      </c>
      <c r="P85">
        <v>-1.49410516469425E-2</v>
      </c>
      <c r="Q85">
        <v>0.80133394519566703</v>
      </c>
      <c r="R85">
        <v>0.29133558258210002</v>
      </c>
      <c r="S85" t="s">
        <v>2087</v>
      </c>
      <c r="T85" t="s">
        <v>4002</v>
      </c>
      <c r="U85" t="s">
        <v>4002</v>
      </c>
      <c r="V85" t="s">
        <v>4002</v>
      </c>
      <c r="W85" t="s">
        <v>4087</v>
      </c>
      <c r="X85">
        <v>15</v>
      </c>
      <c r="Y85" t="s">
        <v>6060</v>
      </c>
      <c r="Z85" t="s">
        <v>7983</v>
      </c>
      <c r="AA85">
        <v>0.95330254264601588</v>
      </c>
      <c r="AB85" t="str">
        <f>HYPERLINK("Melting_Curves/meltCurve_B4DKL4_LSR.pdf", "Melting_Curves/meltCurve_B4DKL4_LSR.pdf")</f>
        <v>Melting_Curves/meltCurve_B4DKL4_LSR.pdf</v>
      </c>
    </row>
    <row r="86" spans="1:28" x14ac:dyDescent="0.25">
      <c r="A86" t="s">
        <v>90</v>
      </c>
      <c r="B86">
        <v>1</v>
      </c>
      <c r="C86">
        <v>0.86732480410819401</v>
      </c>
      <c r="D86">
        <v>1.10896896719642</v>
      </c>
      <c r="E86">
        <v>1.01635751914649</v>
      </c>
      <c r="F86">
        <v>1.0788879543140499</v>
      </c>
      <c r="G86">
        <v>1.1002257736066201</v>
      </c>
      <c r="H86">
        <v>0.84935145424764302</v>
      </c>
      <c r="I86">
        <v>1.1247067156580599</v>
      </c>
      <c r="J86">
        <v>2.5096285802824401</v>
      </c>
      <c r="K86">
        <v>1.05265837354465</v>
      </c>
      <c r="L86">
        <v>15000</v>
      </c>
      <c r="M86">
        <v>233.27798975784799</v>
      </c>
      <c r="O86">
        <v>64.296238012982499</v>
      </c>
      <c r="P86">
        <v>0.45352183672407498</v>
      </c>
      <c r="Q86">
        <v>1.5</v>
      </c>
      <c r="R86">
        <v>0.37892798179760201</v>
      </c>
      <c r="S86" t="s">
        <v>2088</v>
      </c>
      <c r="T86" t="s">
        <v>4002</v>
      </c>
      <c r="U86" t="s">
        <v>4002</v>
      </c>
      <c r="V86" t="s">
        <v>4002</v>
      </c>
      <c r="W86" t="s">
        <v>4088</v>
      </c>
      <c r="X86">
        <v>2</v>
      </c>
      <c r="Y86" t="s">
        <v>6061</v>
      </c>
      <c r="Z86" t="s">
        <v>7984</v>
      </c>
      <c r="AA86">
        <v>1.094919101463212</v>
      </c>
      <c r="AB86" t="str">
        <f>HYPERLINK("Melting_Curves/meltCurve_B4DKV7_EPS8L1.pdf", "Melting_Curves/meltCurve_B4DKV7_EPS8L1.pdf")</f>
        <v>Melting_Curves/meltCurve_B4DKV7_EPS8L1.pdf</v>
      </c>
    </row>
    <row r="87" spans="1:28" x14ac:dyDescent="0.25">
      <c r="A87" t="s">
        <v>91</v>
      </c>
      <c r="B87">
        <v>1</v>
      </c>
      <c r="C87">
        <v>1.01340301871782</v>
      </c>
      <c r="D87">
        <v>1.02333650085081</v>
      </c>
      <c r="E87">
        <v>1.0064860445073001</v>
      </c>
      <c r="F87">
        <v>0.91985812468232697</v>
      </c>
      <c r="G87">
        <v>0.942343815606285</v>
      </c>
      <c r="H87">
        <v>0.53540253254071701</v>
      </c>
      <c r="I87">
        <v>1.1590904068418399</v>
      </c>
      <c r="J87">
        <v>0.39908510309164402</v>
      </c>
      <c r="K87">
        <v>0.78474508850633096</v>
      </c>
      <c r="L87">
        <v>1128.0297133664301</v>
      </c>
      <c r="M87">
        <v>19.527657748099902</v>
      </c>
      <c r="O87">
        <v>57.170190236817298</v>
      </c>
      <c r="P87">
        <v>-2.5960064805659901E-2</v>
      </c>
      <c r="Q87">
        <v>0.69600271428321803</v>
      </c>
      <c r="R87">
        <v>0.312439530940469</v>
      </c>
      <c r="S87" t="s">
        <v>2089</v>
      </c>
      <c r="T87" t="s">
        <v>4002</v>
      </c>
      <c r="U87" t="s">
        <v>4002</v>
      </c>
      <c r="V87" t="s">
        <v>4002</v>
      </c>
      <c r="W87" t="s">
        <v>4089</v>
      </c>
      <c r="X87">
        <v>1</v>
      </c>
      <c r="Y87" t="s">
        <v>6062</v>
      </c>
      <c r="Z87" t="s">
        <v>7985</v>
      </c>
      <c r="AA87">
        <v>0.87962935972557232</v>
      </c>
      <c r="AB87" t="str">
        <f>HYPERLINK("Melting_Curves/meltCurve_B4DLR8_NQO1.pdf", "Melting_Curves/meltCurve_B4DLR8_NQO1.pdf")</f>
        <v>Melting_Curves/meltCurve_B4DLR8_NQO1.pdf</v>
      </c>
    </row>
    <row r="88" spans="1:28" x14ac:dyDescent="0.25">
      <c r="A88" t="s">
        <v>92</v>
      </c>
      <c r="B88">
        <v>1</v>
      </c>
      <c r="C88">
        <v>1.2611493139288801</v>
      </c>
      <c r="D88">
        <v>1.05495940438706</v>
      </c>
      <c r="E88">
        <v>1.41068438622171</v>
      </c>
      <c r="F88">
        <v>1.1601604869367399</v>
      </c>
      <c r="G88">
        <v>2.5212455639683702</v>
      </c>
      <c r="H88">
        <v>4.3329366792683297</v>
      </c>
      <c r="I88">
        <v>7.9099840987352703</v>
      </c>
      <c r="J88">
        <v>5.6564273754488701</v>
      </c>
      <c r="K88">
        <v>6.7675150851402197</v>
      </c>
      <c r="L88">
        <v>1779.69180535999</v>
      </c>
      <c r="M88">
        <v>36.803930594837098</v>
      </c>
      <c r="O88">
        <v>48.213925076571599</v>
      </c>
      <c r="P88">
        <v>9.5418584528347797E-2</v>
      </c>
      <c r="Q88">
        <v>1.5</v>
      </c>
      <c r="R88">
        <v>-0.51028713750601695</v>
      </c>
      <c r="S88" t="s">
        <v>2090</v>
      </c>
      <c r="T88" t="s">
        <v>4002</v>
      </c>
      <c r="U88" t="s">
        <v>4002</v>
      </c>
      <c r="V88" t="s">
        <v>4002</v>
      </c>
      <c r="W88" t="s">
        <v>4090</v>
      </c>
      <c r="X88">
        <v>1</v>
      </c>
      <c r="Y88" t="s">
        <v>6063</v>
      </c>
      <c r="Z88" t="s">
        <v>7986</v>
      </c>
      <c r="AA88">
        <v>1.3587490135539211</v>
      </c>
      <c r="AB88" t="str">
        <f>HYPERLINK("Melting_Curves/meltCurve_B4DMM8_B4GALT1.pdf", "Melting_Curves/meltCurve_B4DMM8_B4GALT1.pdf")</f>
        <v>Melting_Curves/meltCurve_B4DMM8_B4GALT1.pdf</v>
      </c>
    </row>
    <row r="89" spans="1:28" x14ac:dyDescent="0.25">
      <c r="A89" t="s">
        <v>93</v>
      </c>
      <c r="B89">
        <v>1</v>
      </c>
      <c r="C89">
        <v>1.0623741690408399</v>
      </c>
      <c r="D89">
        <v>1.25242165242165</v>
      </c>
      <c r="E89">
        <v>1.07677113010446</v>
      </c>
      <c r="F89">
        <v>1.3168850902184199</v>
      </c>
      <c r="G89">
        <v>1.61975308641975</v>
      </c>
      <c r="H89">
        <v>1.5299525166191801</v>
      </c>
      <c r="I89">
        <v>2.2104843304843298</v>
      </c>
      <c r="J89">
        <v>5.0142450142450103</v>
      </c>
      <c r="K89">
        <v>1.9720037986704699</v>
      </c>
      <c r="L89">
        <v>2505.4861920492399</v>
      </c>
      <c r="M89">
        <v>48.019845808967197</v>
      </c>
      <c r="O89">
        <v>52.085808830706803</v>
      </c>
      <c r="P89">
        <v>0.115242267685771</v>
      </c>
      <c r="Q89">
        <v>1.5</v>
      </c>
      <c r="R89">
        <v>-2.23890528171551E-2</v>
      </c>
      <c r="S89" t="s">
        <v>2091</v>
      </c>
      <c r="T89" t="s">
        <v>4002</v>
      </c>
      <c r="U89" t="s">
        <v>4002</v>
      </c>
      <c r="V89" t="s">
        <v>4002</v>
      </c>
      <c r="W89" t="s">
        <v>4091</v>
      </c>
      <c r="X89">
        <v>1</v>
      </c>
      <c r="Y89" t="s">
        <v>6064</v>
      </c>
      <c r="Z89" t="s">
        <v>7987</v>
      </c>
      <c r="AA89">
        <v>1.2958176787631099</v>
      </c>
      <c r="AB89" t="str">
        <f>HYPERLINK("Melting_Curves/meltCurve_B4DN45_MAT2A.pdf", "Melting_Curves/meltCurve_B4DN45_MAT2A.pdf")</f>
        <v>Melting_Curves/meltCurve_B4DN45_MAT2A.pdf</v>
      </c>
    </row>
    <row r="90" spans="1:28" x14ac:dyDescent="0.25">
      <c r="A90" t="s">
        <v>94</v>
      </c>
      <c r="B90">
        <v>1</v>
      </c>
      <c r="C90">
        <v>1.25472906223702</v>
      </c>
      <c r="D90">
        <v>1.24993597014379</v>
      </c>
      <c r="E90">
        <v>1.3805934652958201</v>
      </c>
      <c r="F90">
        <v>1.39815594014123</v>
      </c>
      <c r="G90">
        <v>1.68383886429329</v>
      </c>
      <c r="H90">
        <v>1.68841242545095</v>
      </c>
      <c r="I90">
        <v>2.16709963045626</v>
      </c>
      <c r="J90">
        <v>5.8303757637847102</v>
      </c>
      <c r="K90">
        <v>1.7828473162343099</v>
      </c>
      <c r="L90">
        <v>945.25104534801801</v>
      </c>
      <c r="M90">
        <v>21.187534250225099</v>
      </c>
      <c r="O90">
        <v>44.221824056486298</v>
      </c>
      <c r="P90">
        <v>5.9891477322154302E-2</v>
      </c>
      <c r="Q90">
        <v>1.5</v>
      </c>
      <c r="R90">
        <v>-9.0509691176030999E-2</v>
      </c>
      <c r="S90" t="s">
        <v>2092</v>
      </c>
      <c r="T90" t="s">
        <v>4002</v>
      </c>
      <c r="U90" t="s">
        <v>4002</v>
      </c>
      <c r="V90" t="s">
        <v>4002</v>
      </c>
      <c r="W90" t="s">
        <v>4092</v>
      </c>
      <c r="X90">
        <v>2</v>
      </c>
      <c r="Y90" t="s">
        <v>6065</v>
      </c>
      <c r="Z90" t="s">
        <v>7988</v>
      </c>
      <c r="AA90">
        <v>1.4153561421759091</v>
      </c>
      <c r="AB90" t="str">
        <f>HYPERLINK("Melting_Curves/meltCurve_B4DN60_NARS.pdf", "Melting_Curves/meltCurve_B4DN60_NARS.pdf")</f>
        <v>Melting_Curves/meltCurve_B4DN60_NARS.pdf</v>
      </c>
    </row>
    <row r="91" spans="1:28" x14ac:dyDescent="0.25">
      <c r="A91" t="s">
        <v>95</v>
      </c>
      <c r="B91">
        <v>1</v>
      </c>
      <c r="C91">
        <v>1.03739909182644</v>
      </c>
      <c r="D91">
        <v>1.2110242179616599</v>
      </c>
      <c r="E91">
        <v>1.25807265388496</v>
      </c>
      <c r="F91">
        <v>1.33536200807265</v>
      </c>
      <c r="G91">
        <v>1.1952257820383501</v>
      </c>
      <c r="H91">
        <v>0.96433526740665998</v>
      </c>
      <c r="I91">
        <v>1.16618314833502</v>
      </c>
      <c r="J91">
        <v>0.88300958627648796</v>
      </c>
      <c r="K91">
        <v>1.0571392532795201</v>
      </c>
      <c r="L91">
        <v>10765.617947261801</v>
      </c>
      <c r="M91">
        <v>250</v>
      </c>
      <c r="O91">
        <v>43.059716301101098</v>
      </c>
      <c r="P91">
        <v>0.19419831537938501</v>
      </c>
      <c r="Q91">
        <v>1.1337939890074999</v>
      </c>
      <c r="R91">
        <v>0.117557699230373</v>
      </c>
      <c r="S91" t="s">
        <v>2093</v>
      </c>
      <c r="T91" t="s">
        <v>4002</v>
      </c>
      <c r="U91" t="s">
        <v>4002</v>
      </c>
      <c r="V91" t="s">
        <v>4002</v>
      </c>
      <c r="W91" t="s">
        <v>4093</v>
      </c>
      <c r="X91">
        <v>1</v>
      </c>
      <c r="Y91" t="s">
        <v>6066</v>
      </c>
      <c r="Z91" t="s">
        <v>7989</v>
      </c>
      <c r="AA91">
        <v>1.1201258670990291</v>
      </c>
      <c r="AB91" t="str">
        <f>HYPERLINK("Melting_Curves/meltCurve_B4DNS5_TINAGL1.pdf", "Melting_Curves/meltCurve_B4DNS5_TINAGL1.pdf")</f>
        <v>Melting_Curves/meltCurve_B4DNS5_TINAGL1.pdf</v>
      </c>
    </row>
    <row r="92" spans="1:28" x14ac:dyDescent="0.25">
      <c r="A92" t="s">
        <v>96</v>
      </c>
      <c r="B92">
        <v>1</v>
      </c>
      <c r="C92">
        <v>1.5776614759473799</v>
      </c>
      <c r="D92">
        <v>1.60505098563658</v>
      </c>
      <c r="E92">
        <v>0.55103064281764802</v>
      </c>
      <c r="F92">
        <v>9.1138914963930695</v>
      </c>
      <c r="G92">
        <v>1.6080085383260301</v>
      </c>
      <c r="H92">
        <v>0.99051011354430496</v>
      </c>
      <c r="I92">
        <v>1.4463718543855399</v>
      </c>
      <c r="J92">
        <v>4.0706212146540297</v>
      </c>
      <c r="K92">
        <v>1.3901783532861001</v>
      </c>
      <c r="L92">
        <v>10258.3671427839</v>
      </c>
      <c r="M92">
        <v>250</v>
      </c>
      <c r="O92">
        <v>41.030841497594899</v>
      </c>
      <c r="P92">
        <v>0.76162218416247895</v>
      </c>
      <c r="Q92">
        <v>1.5</v>
      </c>
      <c r="R92">
        <v>-0.11392357684002501</v>
      </c>
      <c r="S92" t="s">
        <v>2094</v>
      </c>
      <c r="T92" t="s">
        <v>4002</v>
      </c>
      <c r="U92" t="s">
        <v>4002</v>
      </c>
      <c r="V92" t="s">
        <v>4002</v>
      </c>
      <c r="W92" t="s">
        <v>4094</v>
      </c>
      <c r="X92">
        <v>1</v>
      </c>
      <c r="Y92" t="s">
        <v>6067</v>
      </c>
      <c r="Z92" t="s">
        <v>7990</v>
      </c>
      <c r="AA92">
        <v>1.4827354807840349</v>
      </c>
      <c r="AB92" t="str">
        <f>HYPERLINK("Melting_Curves/meltCurve_B4DP05_FMN2.pdf", "Melting_Curves/meltCurve_B4DP05_FMN2.pdf")</f>
        <v>Melting_Curves/meltCurve_B4DP05_FMN2.pdf</v>
      </c>
    </row>
    <row r="93" spans="1:28" x14ac:dyDescent="0.25">
      <c r="A93" t="s">
        <v>97</v>
      </c>
      <c r="B93">
        <v>1</v>
      </c>
      <c r="C93">
        <v>1.00105235986736</v>
      </c>
      <c r="D93">
        <v>1.01590453308977</v>
      </c>
      <c r="E93">
        <v>1.06208923217441</v>
      </c>
      <c r="F93">
        <v>1.0780334769572899</v>
      </c>
      <c r="G93">
        <v>1.126263328237</v>
      </c>
      <c r="H93">
        <v>0.657903619720827</v>
      </c>
      <c r="I93">
        <v>1.1113317316283799</v>
      </c>
      <c r="J93">
        <v>0.56795663483112602</v>
      </c>
      <c r="K93">
        <v>0.78976629668605902</v>
      </c>
      <c r="L93">
        <v>1408.7559102483499</v>
      </c>
      <c r="M93">
        <v>22.197061475983901</v>
      </c>
      <c r="O93">
        <v>62.957486630903098</v>
      </c>
      <c r="P93">
        <v>-2.7265974790353399E-2</v>
      </c>
      <c r="Q93">
        <v>0.69066885803320399</v>
      </c>
      <c r="R93">
        <v>0.379836668156465</v>
      </c>
      <c r="S93" t="s">
        <v>2095</v>
      </c>
      <c r="T93" t="s">
        <v>4002</v>
      </c>
      <c r="U93" t="s">
        <v>4002</v>
      </c>
      <c r="V93" t="s">
        <v>4002</v>
      </c>
      <c r="W93" t="s">
        <v>4095</v>
      </c>
      <c r="X93">
        <v>2</v>
      </c>
      <c r="Y93" t="s">
        <v>6068</v>
      </c>
      <c r="Z93" t="s">
        <v>7991</v>
      </c>
      <c r="AA93">
        <v>0.93235382214818141</v>
      </c>
      <c r="AB93" t="str">
        <f>HYPERLINK("Melting_Curves/meltCurve_B4DP17_CNBP.pdf", "Melting_Curves/meltCurve_B4DP17_CNBP.pdf")</f>
        <v>Melting_Curves/meltCurve_B4DP17_CNBP.pdf</v>
      </c>
    </row>
    <row r="94" spans="1:28" x14ac:dyDescent="0.25">
      <c r="A94" t="s">
        <v>98</v>
      </c>
      <c r="B94">
        <v>1</v>
      </c>
      <c r="C94">
        <v>1.0239497447978001</v>
      </c>
      <c r="D94">
        <v>1.1053199842952499</v>
      </c>
      <c r="E94">
        <v>1.3813309776207301</v>
      </c>
      <c r="F94">
        <v>1.3515901060070701</v>
      </c>
      <c r="G94">
        <v>1.52807224185316</v>
      </c>
      <c r="H94">
        <v>1.46957204554378</v>
      </c>
      <c r="I94">
        <v>1.729485669415</v>
      </c>
      <c r="J94">
        <v>1.4776207302709099</v>
      </c>
      <c r="K94">
        <v>1.48184138201806</v>
      </c>
      <c r="L94">
        <v>1095.0921081505701</v>
      </c>
      <c r="M94">
        <v>22.627781597858899</v>
      </c>
      <c r="O94">
        <v>48.022692892195899</v>
      </c>
      <c r="P94">
        <v>5.8899860612060997E-2</v>
      </c>
      <c r="Q94">
        <v>1.5</v>
      </c>
      <c r="R94">
        <v>0.87006745274345798</v>
      </c>
      <c r="S94" t="s">
        <v>2096</v>
      </c>
      <c r="T94" t="s">
        <v>4002</v>
      </c>
      <c r="U94" t="s">
        <v>4002</v>
      </c>
      <c r="V94" t="s">
        <v>4002</v>
      </c>
      <c r="W94" t="s">
        <v>4096</v>
      </c>
      <c r="X94">
        <v>2</v>
      </c>
      <c r="Y94" t="s">
        <v>6069</v>
      </c>
      <c r="Z94" t="s">
        <v>7992</v>
      </c>
      <c r="AA94">
        <v>1.3546202491317301</v>
      </c>
      <c r="AB94" t="str">
        <f>HYPERLINK("Melting_Curves/meltCurve_B4DPG6_GGT6.pdf", "Melting_Curves/meltCurve_B4DPG6_GGT6.pdf")</f>
        <v>Melting_Curves/meltCurve_B4DPG6_GGT6.pdf</v>
      </c>
    </row>
    <row r="95" spans="1:28" x14ac:dyDescent="0.25">
      <c r="A95" t="s">
        <v>99</v>
      </c>
      <c r="B95">
        <v>1</v>
      </c>
      <c r="C95">
        <v>0.97297624451505504</v>
      </c>
      <c r="D95">
        <v>1.0571342109245001</v>
      </c>
      <c r="E95">
        <v>1.1224996217279499</v>
      </c>
      <c r="F95">
        <v>1.1171432894537801</v>
      </c>
      <c r="G95">
        <v>1.02190951732486</v>
      </c>
      <c r="H95">
        <v>0.82650930549251</v>
      </c>
      <c r="I95">
        <v>1.1428355273112401</v>
      </c>
      <c r="J95">
        <v>1.99552125888939</v>
      </c>
      <c r="K95">
        <v>1.03640490240581</v>
      </c>
      <c r="L95">
        <v>15000</v>
      </c>
      <c r="M95">
        <v>233.46010787756799</v>
      </c>
      <c r="O95">
        <v>64.246082419694005</v>
      </c>
      <c r="P95">
        <v>0.45423018216419397</v>
      </c>
      <c r="Q95">
        <v>1.5</v>
      </c>
      <c r="R95">
        <v>0.42371551155538401</v>
      </c>
      <c r="S95" t="s">
        <v>2097</v>
      </c>
      <c r="T95" t="s">
        <v>4002</v>
      </c>
      <c r="U95" t="s">
        <v>4002</v>
      </c>
      <c r="V95" t="s">
        <v>4002</v>
      </c>
      <c r="W95" t="s">
        <v>4097</v>
      </c>
      <c r="X95">
        <v>2</v>
      </c>
      <c r="Y95" t="s">
        <v>6070</v>
      </c>
      <c r="Z95" t="s">
        <v>7993</v>
      </c>
      <c r="AA95">
        <v>1.095755253877468</v>
      </c>
      <c r="AB95" t="str">
        <f>HYPERLINK("Melting_Curves/meltCurve_B4DPJ8_CCT6A.pdf", "Melting_Curves/meltCurve_B4DPJ8_CCT6A.pdf")</f>
        <v>Melting_Curves/meltCurve_B4DPJ8_CCT6A.pdf</v>
      </c>
    </row>
    <row r="96" spans="1:28" x14ac:dyDescent="0.25">
      <c r="A96" t="s">
        <v>100</v>
      </c>
      <c r="B96">
        <v>1</v>
      </c>
      <c r="C96">
        <v>0.95458758109360498</v>
      </c>
      <c r="D96">
        <v>0.971825764596849</v>
      </c>
      <c r="E96">
        <v>0.95690454124189095</v>
      </c>
      <c r="F96">
        <v>0.92574606116774805</v>
      </c>
      <c r="G96">
        <v>0.94708063021316002</v>
      </c>
      <c r="H96">
        <v>0.88933271547729398</v>
      </c>
      <c r="I96">
        <v>0.99879518072289197</v>
      </c>
      <c r="J96">
        <v>3.1051899907321601</v>
      </c>
      <c r="K96">
        <v>0.86086190917516203</v>
      </c>
      <c r="L96">
        <v>15000</v>
      </c>
      <c r="M96">
        <v>231.29228865140001</v>
      </c>
      <c r="O96">
        <v>64.848156828163098</v>
      </c>
      <c r="P96">
        <v>0.44583435574924701</v>
      </c>
      <c r="Q96">
        <v>1.5</v>
      </c>
      <c r="R96">
        <v>0.28579403496536099</v>
      </c>
      <c r="S96" t="s">
        <v>2098</v>
      </c>
      <c r="T96" t="s">
        <v>4002</v>
      </c>
      <c r="U96" t="s">
        <v>4002</v>
      </c>
      <c r="V96" t="s">
        <v>4002</v>
      </c>
      <c r="W96" t="s">
        <v>4098</v>
      </c>
      <c r="X96">
        <v>2</v>
      </c>
      <c r="Y96" t="s">
        <v>6071</v>
      </c>
      <c r="Z96" t="s">
        <v>7994</v>
      </c>
      <c r="AA96">
        <v>1.0857167581824769</v>
      </c>
      <c r="AB96" t="str">
        <f>HYPERLINK("Melting_Curves/meltCurve_B4DQH4_CCT8.pdf", "Melting_Curves/meltCurve_B4DQH4_CCT8.pdf")</f>
        <v>Melting_Curves/meltCurve_B4DQH4_CCT8.pdf</v>
      </c>
    </row>
    <row r="97" spans="1:28" x14ac:dyDescent="0.25">
      <c r="A97" t="s">
        <v>101</v>
      </c>
      <c r="B97">
        <v>1</v>
      </c>
      <c r="C97">
        <v>0.92903204416226004</v>
      </c>
      <c r="D97">
        <v>1.36037663909288</v>
      </c>
      <c r="E97">
        <v>1.4991296851947</v>
      </c>
      <c r="F97">
        <v>1.8037895993236399</v>
      </c>
      <c r="G97">
        <v>2.1054987318270002</v>
      </c>
      <c r="H97">
        <v>2.0272532864744801</v>
      </c>
      <c r="I97">
        <v>2.4877741491636698</v>
      </c>
      <c r="J97">
        <v>2.0484723902988899</v>
      </c>
      <c r="K97">
        <v>1.9546441655753199</v>
      </c>
      <c r="L97">
        <v>11456.382752246</v>
      </c>
      <c r="M97">
        <v>250</v>
      </c>
      <c r="O97">
        <v>45.822598385210497</v>
      </c>
      <c r="P97">
        <v>0.68197791207715996</v>
      </c>
      <c r="Q97">
        <v>1.5</v>
      </c>
      <c r="R97">
        <v>4.2764704335474302E-2</v>
      </c>
      <c r="S97" t="s">
        <v>2099</v>
      </c>
      <c r="T97" t="s">
        <v>4002</v>
      </c>
      <c r="U97" t="s">
        <v>4002</v>
      </c>
      <c r="V97" t="s">
        <v>4002</v>
      </c>
      <c r="W97" t="s">
        <v>4099</v>
      </c>
      <c r="X97">
        <v>2</v>
      </c>
      <c r="Y97" t="s">
        <v>6072</v>
      </c>
      <c r="Z97" t="s">
        <v>7995</v>
      </c>
      <c r="AA97">
        <v>1.4028676049700739</v>
      </c>
      <c r="AB97" t="str">
        <f>HYPERLINK("Melting_Curves/meltCurve_B4DQI4_ABHD14B.pdf", "Melting_Curves/meltCurve_B4DQI4_ABHD14B.pdf")</f>
        <v>Melting_Curves/meltCurve_B4DQI4_ABHD14B.pdf</v>
      </c>
    </row>
    <row r="98" spans="1:28" x14ac:dyDescent="0.25">
      <c r="A98" t="s">
        <v>102</v>
      </c>
      <c r="B98">
        <v>1</v>
      </c>
      <c r="C98">
        <v>1.0822893160065401</v>
      </c>
      <c r="D98">
        <v>1.3213368609446701</v>
      </c>
      <c r="E98">
        <v>1.6085129561901801</v>
      </c>
      <c r="F98">
        <v>1.7219282546105401</v>
      </c>
      <c r="G98">
        <v>2.3349544782507201</v>
      </c>
      <c r="H98">
        <v>1.97046922418489</v>
      </c>
      <c r="I98">
        <v>3.5962181931367199</v>
      </c>
      <c r="J98">
        <v>2.62827795502296</v>
      </c>
      <c r="K98">
        <v>3.2410318263170201</v>
      </c>
      <c r="L98">
        <v>1938.2824656426401</v>
      </c>
      <c r="M98">
        <v>42.9430027984166</v>
      </c>
      <c r="O98">
        <v>45.038595909381499</v>
      </c>
      <c r="P98">
        <v>0.11918403518119799</v>
      </c>
      <c r="Q98">
        <v>1.5</v>
      </c>
      <c r="R98">
        <v>-0.36291929430200198</v>
      </c>
      <c r="S98" t="s">
        <v>2100</v>
      </c>
      <c r="T98" t="s">
        <v>4002</v>
      </c>
      <c r="U98" t="s">
        <v>4002</v>
      </c>
      <c r="V98" t="s">
        <v>4002</v>
      </c>
      <c r="W98" t="s">
        <v>4100</v>
      </c>
      <c r="X98">
        <v>18</v>
      </c>
      <c r="Y98" t="s">
        <v>6073</v>
      </c>
      <c r="Z98" t="s">
        <v>7996</v>
      </c>
      <c r="AA98">
        <v>1.412991808156798</v>
      </c>
      <c r="AB98" t="str">
        <f>HYPERLINK("Melting_Curves/meltCurve_B4DQJ8_PGD.pdf", "Melting_Curves/meltCurve_B4DQJ8_PGD.pdf")</f>
        <v>Melting_Curves/meltCurve_B4DQJ8_PGD.pdf</v>
      </c>
    </row>
    <row r="99" spans="1:28" x14ac:dyDescent="0.25">
      <c r="A99" t="s">
        <v>103</v>
      </c>
      <c r="B99">
        <v>1</v>
      </c>
      <c r="C99">
        <v>0.93431472574454599</v>
      </c>
      <c r="D99">
        <v>0.78841762619637601</v>
      </c>
      <c r="E99">
        <v>1.0625759121605201</v>
      </c>
      <c r="F99">
        <v>0.99387844337560105</v>
      </c>
      <c r="G99">
        <v>1.4859835786814399</v>
      </c>
      <c r="H99">
        <v>1.2629354321527499</v>
      </c>
      <c r="I99">
        <v>1.53719088568236</v>
      </c>
      <c r="J99">
        <v>1.0871107224408501</v>
      </c>
      <c r="K99">
        <v>0.99723072438420002</v>
      </c>
      <c r="L99">
        <v>13637.210044560699</v>
      </c>
      <c r="M99">
        <v>250</v>
      </c>
      <c r="O99">
        <v>54.545349329507999</v>
      </c>
      <c r="P99">
        <v>0.314061707344504</v>
      </c>
      <c r="Q99">
        <v>1.2740896887147899</v>
      </c>
      <c r="R99">
        <v>0.46607514635527503</v>
      </c>
      <c r="S99" t="s">
        <v>2101</v>
      </c>
      <c r="T99" t="s">
        <v>4002</v>
      </c>
      <c r="U99" t="s">
        <v>4002</v>
      </c>
      <c r="V99" t="s">
        <v>4002</v>
      </c>
      <c r="W99" t="s">
        <v>4101</v>
      </c>
      <c r="X99">
        <v>2</v>
      </c>
      <c r="Y99" t="s">
        <v>6074</v>
      </c>
      <c r="Z99" t="s">
        <v>7997</v>
      </c>
      <c r="AA99">
        <v>1.1411405469399909</v>
      </c>
      <c r="AB99" t="str">
        <f>HYPERLINK("Melting_Curves/meltCurve_B4DQQ8_REPS2.pdf", "Melting_Curves/meltCurve_B4DQQ8_REPS2.pdf")</f>
        <v>Melting_Curves/meltCurve_B4DQQ8_REPS2.pdf</v>
      </c>
    </row>
    <row r="100" spans="1:28" x14ac:dyDescent="0.25">
      <c r="A100" t="s">
        <v>104</v>
      </c>
      <c r="B100">
        <v>1</v>
      </c>
      <c r="C100">
        <v>0.97079936911307296</v>
      </c>
      <c r="D100">
        <v>1.3293436122698701</v>
      </c>
      <c r="E100">
        <v>1.2272814374788099</v>
      </c>
      <c r="F100">
        <v>1.2703822172432599</v>
      </c>
      <c r="G100">
        <v>1.30313527218054</v>
      </c>
      <c r="H100">
        <v>0.68953877448740397</v>
      </c>
      <c r="I100">
        <v>1.4245515248890801</v>
      </c>
      <c r="J100">
        <v>1.6326410282867301</v>
      </c>
      <c r="K100">
        <v>0.85547088044103103</v>
      </c>
      <c r="L100">
        <v>11070.0025408109</v>
      </c>
      <c r="M100">
        <v>250</v>
      </c>
      <c r="O100">
        <v>44.277165688788102</v>
      </c>
      <c r="P100">
        <v>0.30566403496112898</v>
      </c>
      <c r="Q100">
        <v>1.2165430469379299</v>
      </c>
      <c r="R100">
        <v>0.115924581075581</v>
      </c>
      <c r="S100" t="s">
        <v>2102</v>
      </c>
      <c r="T100" t="s">
        <v>4002</v>
      </c>
      <c r="U100" t="s">
        <v>4002</v>
      </c>
      <c r="V100" t="s">
        <v>4002</v>
      </c>
      <c r="W100" t="s">
        <v>4102</v>
      </c>
      <c r="X100">
        <v>1</v>
      </c>
      <c r="Y100" t="s">
        <v>6075</v>
      </c>
      <c r="Z100" t="s">
        <v>7998</v>
      </c>
      <c r="AA100">
        <v>1.1856326711641549</v>
      </c>
      <c r="AB100" t="str">
        <f>HYPERLINK("Melting_Curves/meltCurve_B4DST5_PTPN23.pdf", "Melting_Curves/meltCurve_B4DST5_PTPN23.pdf")</f>
        <v>Melting_Curves/meltCurve_B4DST5_PTPN23.pdf</v>
      </c>
    </row>
    <row r="101" spans="1:28" x14ac:dyDescent="0.25">
      <c r="A101" t="s">
        <v>105</v>
      </c>
      <c r="B101">
        <v>1</v>
      </c>
      <c r="C101">
        <v>0.90095225321888395</v>
      </c>
      <c r="D101">
        <v>1.0182235783261799</v>
      </c>
      <c r="E101">
        <v>0.81571888412017202</v>
      </c>
      <c r="F101">
        <v>0.94938640021459197</v>
      </c>
      <c r="G101">
        <v>1.07931531652361</v>
      </c>
      <c r="H101">
        <v>0.81794863197424905</v>
      </c>
      <c r="I101">
        <v>1.18708087446352</v>
      </c>
      <c r="J101">
        <v>0.96333489806867001</v>
      </c>
      <c r="K101">
        <v>0.998574973175966</v>
      </c>
      <c r="L101">
        <v>10219.8054911687</v>
      </c>
      <c r="M101">
        <v>250</v>
      </c>
      <c r="O101">
        <v>40.876605979175203</v>
      </c>
      <c r="P101">
        <v>-4.5778593570994397E-2</v>
      </c>
      <c r="Q101">
        <v>0.97005962353810904</v>
      </c>
      <c r="R101">
        <v>7.0040614602598899E-3</v>
      </c>
      <c r="S101" t="s">
        <v>2103</v>
      </c>
      <c r="T101" t="s">
        <v>4002</v>
      </c>
      <c r="U101" t="s">
        <v>4002</v>
      </c>
      <c r="V101" t="s">
        <v>4002</v>
      </c>
      <c r="W101" t="s">
        <v>4103</v>
      </c>
      <c r="X101">
        <v>2</v>
      </c>
      <c r="Y101" t="s">
        <v>6076</v>
      </c>
      <c r="Z101" t="s">
        <v>7999</v>
      </c>
      <c r="AA101">
        <v>0.97093988147361177</v>
      </c>
      <c r="AB101" t="str">
        <f>HYPERLINK("Melting_Curves/meltCurve_B4DSV9_ABI3BP.pdf", "Melting_Curves/meltCurve_B4DSV9_ABI3BP.pdf")</f>
        <v>Melting_Curves/meltCurve_B4DSV9_ABI3BP.pdf</v>
      </c>
    </row>
    <row r="102" spans="1:28" x14ac:dyDescent="0.25">
      <c r="A102" t="s">
        <v>106</v>
      </c>
      <c r="B102">
        <v>1</v>
      </c>
      <c r="C102">
        <v>0.89689170531383899</v>
      </c>
      <c r="D102">
        <v>1.06259071759833</v>
      </c>
      <c r="E102">
        <v>0.98587460615286604</v>
      </c>
      <c r="F102">
        <v>0.82573370623428999</v>
      </c>
      <c r="G102">
        <v>0.91570786278188798</v>
      </c>
      <c r="H102">
        <v>0.673062626119588</v>
      </c>
      <c r="I102">
        <v>0.99658370800439</v>
      </c>
      <c r="J102">
        <v>3.2553899529153498</v>
      </c>
      <c r="K102">
        <v>0.87118986087018102</v>
      </c>
      <c r="L102">
        <v>15000</v>
      </c>
      <c r="M102">
        <v>231.29230020188101</v>
      </c>
      <c r="O102">
        <v>64.848153590898804</v>
      </c>
      <c r="P102">
        <v>0.44583440027486598</v>
      </c>
      <c r="Q102">
        <v>1.5</v>
      </c>
      <c r="R102">
        <v>0.27861901566333103</v>
      </c>
      <c r="S102" t="s">
        <v>2104</v>
      </c>
      <c r="T102" t="s">
        <v>4002</v>
      </c>
      <c r="U102" t="s">
        <v>4002</v>
      </c>
      <c r="V102" t="s">
        <v>4002</v>
      </c>
      <c r="W102" t="s">
        <v>4104</v>
      </c>
      <c r="X102">
        <v>2</v>
      </c>
      <c r="Y102" t="s">
        <v>6077</v>
      </c>
      <c r="Z102" t="s">
        <v>8000</v>
      </c>
      <c r="AA102">
        <v>1.0857168121705569</v>
      </c>
      <c r="AB102" t="str">
        <f>HYPERLINK("Melting_Curves/meltCurve_B4DSZ6_IDH2.pdf", "Melting_Curves/meltCurve_B4DSZ6_IDH2.pdf")</f>
        <v>Melting_Curves/meltCurve_B4DSZ6_IDH2.pdf</v>
      </c>
    </row>
    <row r="103" spans="1:28" x14ac:dyDescent="0.25">
      <c r="A103" t="s">
        <v>107</v>
      </c>
      <c r="B103">
        <v>1</v>
      </c>
      <c r="C103">
        <v>1.02515571871333</v>
      </c>
      <c r="D103">
        <v>1.0895796347004501</v>
      </c>
      <c r="E103">
        <v>1.1641741642343499</v>
      </c>
      <c r="F103">
        <v>1.05777389943731</v>
      </c>
      <c r="G103">
        <v>1.18984142268227</v>
      </c>
      <c r="H103">
        <v>0.81828303192609797</v>
      </c>
      <c r="I103">
        <v>1.33605151506033</v>
      </c>
      <c r="J103">
        <v>0.76944603255800004</v>
      </c>
      <c r="K103">
        <v>1.0138717539794799</v>
      </c>
      <c r="L103">
        <v>1720.51131184621</v>
      </c>
      <c r="M103">
        <v>25.076076691033698</v>
      </c>
      <c r="O103">
        <v>68.179779807706595</v>
      </c>
      <c r="P103">
        <v>-5.4340305545235801E-3</v>
      </c>
      <c r="Q103">
        <v>0.94090206549300504</v>
      </c>
      <c r="R103">
        <v>-7.7683078379672504E-2</v>
      </c>
      <c r="S103" t="s">
        <v>2105</v>
      </c>
      <c r="T103" t="s">
        <v>4002</v>
      </c>
      <c r="U103" t="s">
        <v>4002</v>
      </c>
      <c r="V103" t="s">
        <v>4002</v>
      </c>
      <c r="W103" t="s">
        <v>4105</v>
      </c>
      <c r="X103">
        <v>3</v>
      </c>
      <c r="Y103" t="s">
        <v>6078</v>
      </c>
      <c r="Z103" t="s">
        <v>8001</v>
      </c>
      <c r="AA103">
        <v>0.99504073874370702</v>
      </c>
      <c r="AB103" t="str">
        <f>HYPERLINK("Melting_Curves/meltCurve_B4DUI3_EIF3J.pdf", "Melting_Curves/meltCurve_B4DUI3_EIF3J.pdf")</f>
        <v>Melting_Curves/meltCurve_B4DUI3_EIF3J.pdf</v>
      </c>
    </row>
    <row r="104" spans="1:28" x14ac:dyDescent="0.25">
      <c r="A104" t="s">
        <v>108</v>
      </c>
      <c r="B104">
        <v>1</v>
      </c>
      <c r="C104">
        <v>0.93901649951471999</v>
      </c>
      <c r="D104">
        <v>0.80106761565836304</v>
      </c>
      <c r="E104">
        <v>0.95807182141701697</v>
      </c>
      <c r="F104">
        <v>0.97580071174377203</v>
      </c>
      <c r="G104">
        <v>0.94904561630540296</v>
      </c>
      <c r="H104">
        <v>0.80993206082174096</v>
      </c>
      <c r="I104">
        <v>0.84024587512131999</v>
      </c>
      <c r="J104">
        <v>7.5461015852474898</v>
      </c>
      <c r="K104">
        <v>0.92856680685862203</v>
      </c>
      <c r="L104">
        <v>15000</v>
      </c>
      <c r="M104">
        <v>230.92907396169699</v>
      </c>
      <c r="O104">
        <v>64.950137185198798</v>
      </c>
      <c r="P104">
        <v>0.44443530917338803</v>
      </c>
      <c r="Q104">
        <v>1.5</v>
      </c>
      <c r="R104">
        <v>6.7077472902901406E-2</v>
      </c>
      <c r="S104" t="s">
        <v>2106</v>
      </c>
      <c r="T104" t="s">
        <v>4002</v>
      </c>
      <c r="U104" t="s">
        <v>4002</v>
      </c>
      <c r="V104" t="s">
        <v>4002</v>
      </c>
      <c r="W104" t="s">
        <v>4106</v>
      </c>
      <c r="X104">
        <v>2</v>
      </c>
      <c r="Y104" t="s">
        <v>6079</v>
      </c>
      <c r="Z104" t="s">
        <v>8002</v>
      </c>
      <c r="AA104">
        <v>1.084016386367328</v>
      </c>
      <c r="AB104" t="str">
        <f>HYPERLINK("Melting_Curves/meltCurve_B4DUR8_CCT3.pdf", "Melting_Curves/meltCurve_B4DUR8_CCT3.pdf")</f>
        <v>Melting_Curves/meltCurve_B4DUR8_CCT3.pdf</v>
      </c>
    </row>
    <row r="105" spans="1:28" x14ac:dyDescent="0.25">
      <c r="A105" t="s">
        <v>109</v>
      </c>
      <c r="B105">
        <v>1</v>
      </c>
      <c r="C105">
        <v>1.0590464495914</v>
      </c>
      <c r="D105">
        <v>1.41971884659356</v>
      </c>
      <c r="E105">
        <v>1.72390650802388</v>
      </c>
      <c r="F105">
        <v>1.73284075030698</v>
      </c>
      <c r="G105">
        <v>1.8990769361053501</v>
      </c>
      <c r="H105">
        <v>1.6580005927933299</v>
      </c>
      <c r="I105">
        <v>2.3565651860947598</v>
      </c>
      <c r="J105">
        <v>2.09205233518228</v>
      </c>
      <c r="K105">
        <v>1.8543422111191099</v>
      </c>
      <c r="L105">
        <v>2502.7612168292599</v>
      </c>
      <c r="M105">
        <v>56.202268806766099</v>
      </c>
      <c r="O105">
        <v>44.475065906959003</v>
      </c>
      <c r="P105">
        <v>0.157960201686102</v>
      </c>
      <c r="Q105">
        <v>1.5</v>
      </c>
      <c r="R105">
        <v>7.8589548325011901E-2</v>
      </c>
      <c r="S105" t="s">
        <v>2107</v>
      </c>
      <c r="T105" t="s">
        <v>4002</v>
      </c>
      <c r="U105" t="s">
        <v>4002</v>
      </c>
      <c r="V105" t="s">
        <v>4002</v>
      </c>
      <c r="W105" t="s">
        <v>4107</v>
      </c>
      <c r="X105">
        <v>3</v>
      </c>
      <c r="Y105" t="s">
        <v>6080</v>
      </c>
      <c r="Z105" t="s">
        <v>8003</v>
      </c>
      <c r="AA105">
        <v>1.423683846608143</v>
      </c>
      <c r="AB105" t="str">
        <f>HYPERLINK("Melting_Curves/meltCurve_B4DUS9_BPNT1.pdf", "Melting_Curves/meltCurve_B4DUS9_BPNT1.pdf")</f>
        <v>Melting_Curves/meltCurve_B4DUS9_BPNT1.pdf</v>
      </c>
    </row>
    <row r="106" spans="1:28" x14ac:dyDescent="0.25">
      <c r="A106" t="s">
        <v>110</v>
      </c>
      <c r="B106">
        <v>1</v>
      </c>
      <c r="C106">
        <v>1.0421969845310399</v>
      </c>
      <c r="D106">
        <v>1.2239083610730399</v>
      </c>
      <c r="E106">
        <v>1.27883297434893</v>
      </c>
      <c r="F106">
        <v>1.28881926767182</v>
      </c>
      <c r="G106">
        <v>1.24133542196985</v>
      </c>
      <c r="H106">
        <v>1.4238300372038399</v>
      </c>
      <c r="I106">
        <v>1.15978069316624</v>
      </c>
      <c r="J106">
        <v>2.2404542784413599</v>
      </c>
      <c r="K106">
        <v>1.26199334247112</v>
      </c>
      <c r="L106">
        <v>524.13102670032697</v>
      </c>
      <c r="M106">
        <v>10.446163800732201</v>
      </c>
      <c r="O106">
        <v>48.440304682121301</v>
      </c>
      <c r="P106">
        <v>2.6967374459593199E-2</v>
      </c>
      <c r="Q106">
        <v>1.5</v>
      </c>
      <c r="R106">
        <v>0.29590843973562497</v>
      </c>
      <c r="S106" t="s">
        <v>2108</v>
      </c>
      <c r="T106" t="s">
        <v>4002</v>
      </c>
      <c r="U106" t="s">
        <v>4002</v>
      </c>
      <c r="V106" t="s">
        <v>4002</v>
      </c>
      <c r="W106" t="s">
        <v>4108</v>
      </c>
      <c r="X106">
        <v>1</v>
      </c>
      <c r="Y106" t="s">
        <v>6081</v>
      </c>
      <c r="Z106" t="s">
        <v>8004</v>
      </c>
      <c r="AA106">
        <v>1.3094314159114491</v>
      </c>
      <c r="AB106" t="str">
        <f>HYPERLINK("Melting_Curves/meltCurve_B4DVE7_ANXA11.pdf", "Melting_Curves/meltCurve_B4DVE7_ANXA11.pdf")</f>
        <v>Melting_Curves/meltCurve_B4DVE7_ANXA11.pdf</v>
      </c>
    </row>
    <row r="107" spans="1:28" x14ac:dyDescent="0.25">
      <c r="A107" t="s">
        <v>111</v>
      </c>
      <c r="B107">
        <v>1</v>
      </c>
      <c r="C107">
        <v>1.0490181747307901</v>
      </c>
      <c r="D107">
        <v>1.3174974418944601</v>
      </c>
      <c r="E107">
        <v>1.1548506553622799</v>
      </c>
      <c r="F107">
        <v>1.0344978804268401</v>
      </c>
      <c r="G107">
        <v>1.2869463528723899</v>
      </c>
      <c r="H107">
        <v>0.66924913511669804</v>
      </c>
      <c r="I107">
        <v>1.4867222141012499</v>
      </c>
      <c r="J107">
        <v>0.59265214637236296</v>
      </c>
      <c r="K107">
        <v>0.76343614481313604</v>
      </c>
      <c r="L107">
        <v>15000</v>
      </c>
      <c r="M107">
        <v>228.26418977959901</v>
      </c>
      <c r="O107">
        <v>65.708285786570798</v>
      </c>
      <c r="P107">
        <v>-0.28039702822527302</v>
      </c>
      <c r="Q107">
        <v>0.67713887938206396</v>
      </c>
      <c r="R107">
        <v>0.252288929538805</v>
      </c>
      <c r="S107" t="s">
        <v>2109</v>
      </c>
      <c r="T107" t="s">
        <v>4002</v>
      </c>
      <c r="U107" t="s">
        <v>4002</v>
      </c>
      <c r="V107" t="s">
        <v>4002</v>
      </c>
      <c r="W107" t="s">
        <v>4109</v>
      </c>
      <c r="X107">
        <v>1</v>
      </c>
      <c r="Y107" t="s">
        <v>6082</v>
      </c>
      <c r="Z107" t="s">
        <v>8005</v>
      </c>
      <c r="AA107">
        <v>0.95391135777255165</v>
      </c>
      <c r="AB107" t="str">
        <f>HYPERLINK("Melting_Curves/meltCurve_B4DWL8_GAL3ST4.pdf", "Melting_Curves/meltCurve_B4DWL8_GAL3ST4.pdf")</f>
        <v>Melting_Curves/meltCurve_B4DWL8_GAL3ST4.pdf</v>
      </c>
    </row>
    <row r="108" spans="1:28" x14ac:dyDescent="0.25">
      <c r="A108" t="s">
        <v>112</v>
      </c>
      <c r="B108">
        <v>1</v>
      </c>
      <c r="C108">
        <v>1.1950165607035399</v>
      </c>
      <c r="D108">
        <v>1.6212928769939501</v>
      </c>
      <c r="E108">
        <v>1.91875737617543</v>
      </c>
      <c r="F108">
        <v>1.8021852514562</v>
      </c>
      <c r="G108">
        <v>2.0080328929835898</v>
      </c>
      <c r="H108">
        <v>1.76660829177295</v>
      </c>
      <c r="I108">
        <v>2.5716678722351198</v>
      </c>
      <c r="J108">
        <v>2.7319450260783502</v>
      </c>
      <c r="K108">
        <v>2.08436441161914</v>
      </c>
      <c r="L108">
        <v>10744.1837145073</v>
      </c>
      <c r="M108">
        <v>250</v>
      </c>
      <c r="O108">
        <v>42.973984562101997</v>
      </c>
      <c r="P108">
        <v>0.72718413952511496</v>
      </c>
      <c r="Q108">
        <v>1.5</v>
      </c>
      <c r="R108">
        <v>-0.39574238080088098</v>
      </c>
      <c r="S108" t="s">
        <v>2110</v>
      </c>
      <c r="T108" t="s">
        <v>4002</v>
      </c>
      <c r="U108" t="s">
        <v>4002</v>
      </c>
      <c r="V108" t="s">
        <v>4002</v>
      </c>
      <c r="W108" t="s">
        <v>4110</v>
      </c>
      <c r="X108">
        <v>1</v>
      </c>
      <c r="Y108" t="s">
        <v>6083</v>
      </c>
      <c r="Z108" t="s">
        <v>8006</v>
      </c>
      <c r="AA108">
        <v>1.4503500405952769</v>
      </c>
      <c r="AB108" t="str">
        <f>HYPERLINK("Melting_Curves/meltCurve_B4DX42_SF1.pdf", "Melting_Curves/meltCurve_B4DX42_SF1.pdf")</f>
        <v>Melting_Curves/meltCurve_B4DX42_SF1.pdf</v>
      </c>
    </row>
    <row r="109" spans="1:28" x14ac:dyDescent="0.25">
      <c r="A109" t="s">
        <v>113</v>
      </c>
      <c r="B109">
        <v>1</v>
      </c>
      <c r="C109">
        <v>0.93407020164301702</v>
      </c>
      <c r="D109">
        <v>0.99354742345033598</v>
      </c>
      <c r="E109">
        <v>1.54159820761763</v>
      </c>
      <c r="F109">
        <v>1.35203883495146</v>
      </c>
      <c r="G109">
        <v>1.3713816280806601</v>
      </c>
      <c r="H109">
        <v>1.04497386109037</v>
      </c>
      <c r="I109">
        <v>1.76908140403286</v>
      </c>
      <c r="J109">
        <v>1.88976848394324</v>
      </c>
      <c r="K109">
        <v>1.1953248693054499</v>
      </c>
      <c r="L109">
        <v>11918.1998108814</v>
      </c>
      <c r="M109">
        <v>250</v>
      </c>
      <c r="O109">
        <v>47.669748395377702</v>
      </c>
      <c r="P109">
        <v>0.59265082456914697</v>
      </c>
      <c r="Q109">
        <v>1.4520242515641699</v>
      </c>
      <c r="R109">
        <v>0.461889804270954</v>
      </c>
      <c r="S109" t="s">
        <v>2111</v>
      </c>
      <c r="T109" t="s">
        <v>4002</v>
      </c>
      <c r="U109" t="s">
        <v>4002</v>
      </c>
      <c r="V109" t="s">
        <v>4002</v>
      </c>
      <c r="W109" t="s">
        <v>4111</v>
      </c>
      <c r="X109">
        <v>1</v>
      </c>
      <c r="Y109" t="s">
        <v>6084</v>
      </c>
      <c r="Z109" t="s">
        <v>8007</v>
      </c>
      <c r="AA109">
        <v>1.336376721763904</v>
      </c>
      <c r="AB109" t="str">
        <f>HYPERLINK("Melting_Curves/meltCurve_B4DXI0_TMEM40.pdf", "Melting_Curves/meltCurve_B4DXI0_TMEM40.pdf")</f>
        <v>Melting_Curves/meltCurve_B4DXI0_TMEM40.pdf</v>
      </c>
    </row>
    <row r="110" spans="1:28" x14ac:dyDescent="0.25">
      <c r="A110" t="s">
        <v>114</v>
      </c>
      <c r="B110">
        <v>1</v>
      </c>
      <c r="C110">
        <v>0.94887392127973103</v>
      </c>
      <c r="D110">
        <v>1.0548937065880899</v>
      </c>
      <c r="E110">
        <v>1.0274679014944199</v>
      </c>
      <c r="F110">
        <v>0.96604925278888698</v>
      </c>
      <c r="G110">
        <v>0.95661965901915402</v>
      </c>
      <c r="H110">
        <v>0.81515470427278502</v>
      </c>
      <c r="I110">
        <v>0.96966954325405197</v>
      </c>
      <c r="J110">
        <v>1.6620500947168999</v>
      </c>
      <c r="K110">
        <v>0.81721742790991403</v>
      </c>
      <c r="L110">
        <v>15000</v>
      </c>
      <c r="M110">
        <v>230.39523166037301</v>
      </c>
      <c r="O110">
        <v>65.100593763678603</v>
      </c>
      <c r="P110">
        <v>0.21161737715273299</v>
      </c>
      <c r="Q110">
        <v>1.23917890905725</v>
      </c>
      <c r="R110">
        <v>0.21411008367086301</v>
      </c>
      <c r="S110" t="s">
        <v>2112</v>
      </c>
      <c r="T110" t="s">
        <v>4002</v>
      </c>
      <c r="U110" t="s">
        <v>4002</v>
      </c>
      <c r="V110" t="s">
        <v>4002</v>
      </c>
      <c r="W110" t="s">
        <v>4112</v>
      </c>
      <c r="X110">
        <v>2</v>
      </c>
      <c r="Y110" t="s">
        <v>6085</v>
      </c>
      <c r="Z110" t="s">
        <v>8008</v>
      </c>
      <c r="AA110">
        <v>1.038989748614537</v>
      </c>
      <c r="AB110" t="str">
        <f>HYPERLINK("Melting_Curves/meltCurve_B4DZI8_COPB2.pdf", "Melting_Curves/meltCurve_B4DZI8_COPB2.pdf")</f>
        <v>Melting_Curves/meltCurve_B4DZI8_COPB2.pdf</v>
      </c>
    </row>
    <row r="111" spans="1:28" x14ac:dyDescent="0.25">
      <c r="A111" t="s">
        <v>115</v>
      </c>
      <c r="B111">
        <v>1</v>
      </c>
      <c r="C111">
        <v>0.86635900044817504</v>
      </c>
      <c r="D111">
        <v>0.789091173371125</v>
      </c>
      <c r="E111">
        <v>0.64496045156679604</v>
      </c>
      <c r="F111">
        <v>0.60430974962753004</v>
      </c>
      <c r="G111">
        <v>0.61455721501507998</v>
      </c>
      <c r="H111">
        <v>0.51042310161464199</v>
      </c>
      <c r="I111">
        <v>0.69842654166212403</v>
      </c>
      <c r="J111">
        <v>0.86564434269656099</v>
      </c>
      <c r="K111">
        <v>0.49977591239991798</v>
      </c>
      <c r="L111">
        <v>1028.85823842841</v>
      </c>
      <c r="M111">
        <v>23.015777034718901</v>
      </c>
      <c r="O111">
        <v>44.368945789370002</v>
      </c>
      <c r="P111">
        <v>-4.7969890284581998E-2</v>
      </c>
      <c r="Q111">
        <v>0.63010878096852896</v>
      </c>
      <c r="R111">
        <v>0.612725625214808</v>
      </c>
      <c r="S111" t="s">
        <v>2113</v>
      </c>
      <c r="T111" t="s">
        <v>4002</v>
      </c>
      <c r="U111" t="s">
        <v>4002</v>
      </c>
      <c r="V111" t="s">
        <v>4002</v>
      </c>
      <c r="W111" t="s">
        <v>4113</v>
      </c>
      <c r="X111">
        <v>1</v>
      </c>
      <c r="Y111" t="s">
        <v>6086</v>
      </c>
      <c r="Z111" t="s">
        <v>8009</v>
      </c>
      <c r="AA111">
        <v>0.69274052702677935</v>
      </c>
      <c r="AB111" t="str">
        <f>HYPERLINK("Melting_Curves/meltCurve_B4E072_ACAA1.pdf", "Melting_Curves/meltCurve_B4E072_ACAA1.pdf")</f>
        <v>Melting_Curves/meltCurve_B4E072_ACAA1.pdf</v>
      </c>
    </row>
    <row r="112" spans="1:28" x14ac:dyDescent="0.25">
      <c r="A112" t="s">
        <v>116</v>
      </c>
      <c r="B112">
        <v>1</v>
      </c>
      <c r="C112">
        <v>1.1030384357327701</v>
      </c>
      <c r="D112">
        <v>1.40113102655037</v>
      </c>
      <c r="E112">
        <v>1.7347838589092299</v>
      </c>
      <c r="F112">
        <v>1.8711779929071199</v>
      </c>
      <c r="G112">
        <v>2.4776190932617701</v>
      </c>
      <c r="H112">
        <v>2.6804370746669202</v>
      </c>
      <c r="I112">
        <v>3.7910476373047102</v>
      </c>
      <c r="J112">
        <v>3.62733633662417</v>
      </c>
      <c r="K112">
        <v>3.46228314003642</v>
      </c>
      <c r="L112">
        <v>2060.6724834874999</v>
      </c>
      <c r="M112">
        <v>46.536824568991499</v>
      </c>
      <c r="O112">
        <v>44.198942565979699</v>
      </c>
      <c r="P112">
        <v>0.131611985959568</v>
      </c>
      <c r="Q112">
        <v>1.5</v>
      </c>
      <c r="R112">
        <v>-0.62601420168065403</v>
      </c>
      <c r="S112" t="s">
        <v>2114</v>
      </c>
      <c r="T112" t="s">
        <v>4002</v>
      </c>
      <c r="U112" t="s">
        <v>4002</v>
      </c>
      <c r="V112" t="s">
        <v>4002</v>
      </c>
      <c r="W112" t="s">
        <v>4114</v>
      </c>
      <c r="X112">
        <v>4</v>
      </c>
      <c r="Y112" t="s">
        <v>6087</v>
      </c>
      <c r="Z112" t="s">
        <v>8010</v>
      </c>
      <c r="AA112">
        <v>1.4274450736020381</v>
      </c>
      <c r="AB112" t="str">
        <f>HYPERLINK("Melting_Curves/meltCurve_B4E0K5_MAPK14.pdf", "Melting_Curves/meltCurve_B4E0K5_MAPK14.pdf")</f>
        <v>Melting_Curves/meltCurve_B4E0K5_MAPK14.pdf</v>
      </c>
    </row>
    <row r="113" spans="1:28" x14ac:dyDescent="0.25">
      <c r="A113" t="s">
        <v>117</v>
      </c>
      <c r="B113">
        <v>1</v>
      </c>
      <c r="C113">
        <v>0.80831492267523597</v>
      </c>
      <c r="D113">
        <v>0.79562161076521398</v>
      </c>
      <c r="E113">
        <v>0.87664189596304498</v>
      </c>
      <c r="F113">
        <v>0.85021088572002401</v>
      </c>
      <c r="G113">
        <v>0.88728660373569002</v>
      </c>
      <c r="H113">
        <v>0.73038762803775903</v>
      </c>
      <c r="I113">
        <v>1.07624020887728</v>
      </c>
      <c r="J113">
        <v>1.55633661377787</v>
      </c>
      <c r="K113">
        <v>0.89114279975898802</v>
      </c>
      <c r="L113">
        <v>1.0433636988752699E-5</v>
      </c>
      <c r="M113">
        <v>18.122388877080901</v>
      </c>
      <c r="Q113">
        <v>0.94721831602739703</v>
      </c>
      <c r="R113">
        <v>0</v>
      </c>
      <c r="S113" t="s">
        <v>2115</v>
      </c>
      <c r="T113" t="s">
        <v>4002</v>
      </c>
      <c r="U113" t="s">
        <v>4002</v>
      </c>
      <c r="V113" t="s">
        <v>4002</v>
      </c>
      <c r="W113" t="s">
        <v>4115</v>
      </c>
      <c r="X113">
        <v>1</v>
      </c>
      <c r="Y113" t="s">
        <v>6088</v>
      </c>
      <c r="Z113" t="s">
        <v>8011</v>
      </c>
      <c r="AA113">
        <v>0.94721831673865942</v>
      </c>
      <c r="AB113" t="str">
        <f>HYPERLINK("Melting_Curves/meltCurve_B4E0R6_IPO5.pdf", "Melting_Curves/meltCurve_B4E0R6_IPO5.pdf")</f>
        <v>Melting_Curves/meltCurve_B4E0R6_IPO5.pdf</v>
      </c>
    </row>
    <row r="114" spans="1:28" x14ac:dyDescent="0.25">
      <c r="A114" t="s">
        <v>118</v>
      </c>
      <c r="B114">
        <v>1</v>
      </c>
      <c r="C114">
        <v>0.92042702283255395</v>
      </c>
      <c r="D114">
        <v>1.14701248618525</v>
      </c>
      <c r="E114">
        <v>1.0245138382674499</v>
      </c>
      <c r="F114">
        <v>0.861405695205399</v>
      </c>
      <c r="G114">
        <v>1.17087967644085</v>
      </c>
      <c r="H114">
        <v>0.63511416276718302</v>
      </c>
      <c r="I114">
        <v>0.89153949255766896</v>
      </c>
      <c r="J114">
        <v>2.23481552895807</v>
      </c>
      <c r="K114">
        <v>0.94416488348578598</v>
      </c>
      <c r="L114">
        <v>15000</v>
      </c>
      <c r="M114">
        <v>230.06663517650901</v>
      </c>
      <c r="O114">
        <v>65.193575654179895</v>
      </c>
      <c r="P114">
        <v>0.44112213767241198</v>
      </c>
      <c r="Q114">
        <v>1.5</v>
      </c>
      <c r="R114">
        <v>0.361190767041558</v>
      </c>
      <c r="S114" t="s">
        <v>2116</v>
      </c>
      <c r="T114" t="s">
        <v>4002</v>
      </c>
      <c r="U114" t="s">
        <v>4002</v>
      </c>
      <c r="V114" t="s">
        <v>4002</v>
      </c>
      <c r="W114" t="s">
        <v>4116</v>
      </c>
      <c r="X114">
        <v>1</v>
      </c>
      <c r="Y114" t="s">
        <v>6089</v>
      </c>
      <c r="Z114" t="s">
        <v>8012</v>
      </c>
      <c r="AA114">
        <v>1.079957408430231</v>
      </c>
      <c r="AB114" t="str">
        <f>HYPERLINK("Melting_Curves/meltCurve_B4E132_DDX3Y.pdf", "Melting_Curves/meltCurve_B4E132_DDX3Y.pdf")</f>
        <v>Melting_Curves/meltCurve_B4E132_DDX3Y.pdf</v>
      </c>
    </row>
    <row r="115" spans="1:28" x14ac:dyDescent="0.25">
      <c r="A115" t="s">
        <v>119</v>
      </c>
      <c r="B115">
        <v>1</v>
      </c>
      <c r="C115">
        <v>0.899968915138328</v>
      </c>
      <c r="D115">
        <v>0.98371153248368004</v>
      </c>
      <c r="E115">
        <v>1.0266708113148899</v>
      </c>
      <c r="F115">
        <v>0.91476530929437405</v>
      </c>
      <c r="G115">
        <v>0.98657133975753797</v>
      </c>
      <c r="H115">
        <v>1.03860739819708</v>
      </c>
      <c r="I115">
        <v>1.0507926639726499</v>
      </c>
      <c r="J115">
        <v>1.24152937519428</v>
      </c>
      <c r="K115">
        <v>1.05066832452596</v>
      </c>
      <c r="L115">
        <v>15000</v>
      </c>
      <c r="M115">
        <v>233.74636997978001</v>
      </c>
      <c r="O115">
        <v>64.167422142781106</v>
      </c>
      <c r="P115">
        <v>0.13304836675058601</v>
      </c>
      <c r="Q115">
        <v>1.1460963127358701</v>
      </c>
      <c r="R115">
        <v>0.52132821649551697</v>
      </c>
      <c r="S115" t="s">
        <v>2117</v>
      </c>
      <c r="T115" t="s">
        <v>4002</v>
      </c>
      <c r="U115" t="s">
        <v>4002</v>
      </c>
      <c r="V115" t="s">
        <v>4002</v>
      </c>
      <c r="W115" t="s">
        <v>4117</v>
      </c>
      <c r="X115">
        <v>2</v>
      </c>
      <c r="Y115" t="s">
        <v>6090</v>
      </c>
      <c r="Z115" t="s">
        <v>8013</v>
      </c>
      <c r="AA115">
        <v>1.0283622395925469</v>
      </c>
      <c r="AB115" t="str">
        <f>HYPERLINK("Melting_Curves/meltCurve_B4E1C5_HARS.pdf", "Melting_Curves/meltCurve_B4E1C5_HARS.pdf")</f>
        <v>Melting_Curves/meltCurve_B4E1C5_HARS.pdf</v>
      </c>
    </row>
    <row r="116" spans="1:28" x14ac:dyDescent="0.25">
      <c r="A116" t="s">
        <v>120</v>
      </c>
      <c r="B116">
        <v>1</v>
      </c>
      <c r="C116">
        <v>0.968724895426466</v>
      </c>
      <c r="D116">
        <v>1.24258289703316</v>
      </c>
      <c r="E116">
        <v>1.0671209728801401</v>
      </c>
      <c r="F116">
        <v>0.82869331560431003</v>
      </c>
      <c r="G116">
        <v>1.1022188980304199</v>
      </c>
      <c r="H116">
        <v>0.54004266046150895</v>
      </c>
      <c r="I116">
        <v>0.99271447962547399</v>
      </c>
      <c r="J116">
        <v>0.463004515360536</v>
      </c>
      <c r="K116">
        <v>0.57450344884899895</v>
      </c>
      <c r="L116">
        <v>962.37844283600202</v>
      </c>
      <c r="M116">
        <v>15.0023227843953</v>
      </c>
      <c r="O116">
        <v>63.041222209638597</v>
      </c>
      <c r="P116">
        <v>-3.5135490448607601E-2</v>
      </c>
      <c r="Q116">
        <v>0.40948862640484102</v>
      </c>
      <c r="R116">
        <v>0.52984460340158102</v>
      </c>
      <c r="S116" t="s">
        <v>2118</v>
      </c>
      <c r="T116" t="s">
        <v>4002</v>
      </c>
      <c r="U116" t="s">
        <v>4002</v>
      </c>
      <c r="V116" t="s">
        <v>4002</v>
      </c>
      <c r="W116" t="s">
        <v>4118</v>
      </c>
      <c r="X116">
        <v>2</v>
      </c>
      <c r="Y116" t="s">
        <v>6091</v>
      </c>
      <c r="Z116" t="s">
        <v>8014</v>
      </c>
      <c r="AA116">
        <v>0.87425638090065827</v>
      </c>
      <c r="AB116" t="str">
        <f>HYPERLINK("Melting_Curves/meltCurve_B4E1S6_SDC4.pdf", "Melting_Curves/meltCurve_B4E1S6_SDC4.pdf")</f>
        <v>Melting_Curves/meltCurve_B4E1S6_SDC4.pdf</v>
      </c>
    </row>
    <row r="117" spans="1:28" x14ac:dyDescent="0.25">
      <c r="A117" t="s">
        <v>121</v>
      </c>
      <c r="B117">
        <v>1</v>
      </c>
      <c r="C117">
        <v>0.971762020469774</v>
      </c>
      <c r="D117">
        <v>1.1362197187246901</v>
      </c>
      <c r="E117">
        <v>1.8169133348059801</v>
      </c>
      <c r="F117">
        <v>2.62038877844047</v>
      </c>
      <c r="G117">
        <v>3.1129151019807102</v>
      </c>
      <c r="H117">
        <v>2.6244385538620101</v>
      </c>
      <c r="I117">
        <v>3.8929386643104298</v>
      </c>
      <c r="J117">
        <v>2.5590162727339698</v>
      </c>
      <c r="K117">
        <v>2.8997128341064702</v>
      </c>
      <c r="L117">
        <v>11545.184918380601</v>
      </c>
      <c r="M117">
        <v>250</v>
      </c>
      <c r="O117">
        <v>46.177784423537602</v>
      </c>
      <c r="P117">
        <v>0.67673233859558501</v>
      </c>
      <c r="Q117">
        <v>1.5</v>
      </c>
      <c r="R117">
        <v>-0.58315916354866304</v>
      </c>
      <c r="S117" t="s">
        <v>2119</v>
      </c>
      <c r="T117" t="s">
        <v>4002</v>
      </c>
      <c r="U117" t="s">
        <v>4002</v>
      </c>
      <c r="V117" t="s">
        <v>4002</v>
      </c>
      <c r="W117" t="s">
        <v>4119</v>
      </c>
      <c r="X117">
        <v>34</v>
      </c>
      <c r="Y117" t="s">
        <v>6092</v>
      </c>
      <c r="Z117" t="s">
        <v>8015</v>
      </c>
      <c r="AA117">
        <v>1.3969471488682621</v>
      </c>
      <c r="AB117" t="str">
        <f>HYPERLINK("Melting_Curves/meltCurve_B4E1Z4_CFB.pdf", "Melting_Curves/meltCurve_B4E1Z4_CFB.pdf")</f>
        <v>Melting_Curves/meltCurve_B4E1Z4_CFB.pdf</v>
      </c>
    </row>
    <row r="118" spans="1:28" x14ac:dyDescent="0.25">
      <c r="A118" t="s">
        <v>122</v>
      </c>
      <c r="B118">
        <v>1</v>
      </c>
      <c r="C118">
        <v>0.91720779220779203</v>
      </c>
      <c r="D118">
        <v>0.954913783695296</v>
      </c>
      <c r="E118">
        <v>1.1083842627960301</v>
      </c>
      <c r="F118">
        <v>1.0202171777802</v>
      </c>
      <c r="G118">
        <v>0.93820255374877204</v>
      </c>
      <c r="H118">
        <v>0.90673087416784903</v>
      </c>
      <c r="I118">
        <v>1.08939484884863</v>
      </c>
      <c r="J118">
        <v>1.6634835752482799</v>
      </c>
      <c r="K118">
        <v>0.88991050965840901</v>
      </c>
      <c r="L118">
        <v>15000</v>
      </c>
      <c r="M118">
        <v>233.637102433943</v>
      </c>
      <c r="O118">
        <v>64.197425205347798</v>
      </c>
      <c r="P118">
        <v>0.25173168742235202</v>
      </c>
      <c r="Q118">
        <v>1.27667740387387</v>
      </c>
      <c r="R118">
        <v>0.291991746705277</v>
      </c>
      <c r="S118" t="s">
        <v>2120</v>
      </c>
      <c r="T118" t="s">
        <v>4002</v>
      </c>
      <c r="U118" t="s">
        <v>4002</v>
      </c>
      <c r="V118" t="s">
        <v>4002</v>
      </c>
      <c r="W118" t="s">
        <v>4120</v>
      </c>
      <c r="X118">
        <v>2</v>
      </c>
      <c r="Y118" t="s">
        <v>6093</v>
      </c>
      <c r="Z118" t="s">
        <v>8016</v>
      </c>
      <c r="AA118">
        <v>1.0534356108484879</v>
      </c>
      <c r="AB118" t="str">
        <f>HYPERLINK("Melting_Curves/meltCurve_B4E241_SFRS3.pdf", "Melting_Curves/meltCurve_B4E241_SFRS3.pdf")</f>
        <v>Melting_Curves/meltCurve_B4E241_SFRS3.pdf</v>
      </c>
    </row>
    <row r="119" spans="1:28" x14ac:dyDescent="0.25">
      <c r="A119" t="s">
        <v>123</v>
      </c>
      <c r="B119">
        <v>1</v>
      </c>
      <c r="C119">
        <v>0.82186440677966099</v>
      </c>
      <c r="D119">
        <v>0.99783427495291899</v>
      </c>
      <c r="E119">
        <v>0.87947269303201503</v>
      </c>
      <c r="F119">
        <v>0.85329566854990602</v>
      </c>
      <c r="G119">
        <v>1.14435028248588</v>
      </c>
      <c r="H119">
        <v>1.04161958568738</v>
      </c>
      <c r="I119">
        <v>1.3184934086629001</v>
      </c>
      <c r="J119">
        <v>1.0293596986817299</v>
      </c>
      <c r="K119">
        <v>1.1079472693032</v>
      </c>
      <c r="L119">
        <v>6180.6605668084803</v>
      </c>
      <c r="M119">
        <v>111.49080683818801</v>
      </c>
      <c r="O119">
        <v>55.418692108020203</v>
      </c>
      <c r="P119">
        <v>6.5016729336685106E-2</v>
      </c>
      <c r="Q119">
        <v>1.12927131584787</v>
      </c>
      <c r="R119">
        <v>0.389778476363139</v>
      </c>
      <c r="S119" t="s">
        <v>2121</v>
      </c>
      <c r="T119" t="s">
        <v>4002</v>
      </c>
      <c r="U119" t="s">
        <v>4002</v>
      </c>
      <c r="V119" t="s">
        <v>4002</v>
      </c>
      <c r="W119" t="s">
        <v>4121</v>
      </c>
      <c r="X119">
        <v>2</v>
      </c>
      <c r="Y119" t="s">
        <v>6094</v>
      </c>
      <c r="Z119" t="s">
        <v>8017</v>
      </c>
      <c r="AA119">
        <v>1.0626914489991071</v>
      </c>
      <c r="AB119" t="str">
        <f>HYPERLINK("Melting_Curves/meltCurve_B4E2C0_GPC4.pdf", "Melting_Curves/meltCurve_B4E2C0_GPC4.pdf")</f>
        <v>Melting_Curves/meltCurve_B4E2C0_GPC4.pdf</v>
      </c>
    </row>
    <row r="120" spans="1:28" x14ac:dyDescent="0.25">
      <c r="A120" t="s">
        <v>124</v>
      </c>
      <c r="B120">
        <v>1</v>
      </c>
      <c r="C120">
        <v>0.94056247045848396</v>
      </c>
      <c r="D120">
        <v>1.04876319521034</v>
      </c>
      <c r="E120">
        <v>1.1325035449818801</v>
      </c>
      <c r="F120">
        <v>1.11879628170789</v>
      </c>
      <c r="G120">
        <v>1.1184023948321999</v>
      </c>
      <c r="H120">
        <v>0.86718134551756698</v>
      </c>
      <c r="I120">
        <v>1.5939814085394699</v>
      </c>
      <c r="J120">
        <v>1.0554592720970499</v>
      </c>
      <c r="K120">
        <v>1.11824484008193</v>
      </c>
      <c r="L120">
        <v>11530.554625107001</v>
      </c>
      <c r="M120">
        <v>250</v>
      </c>
      <c r="O120">
        <v>46.1192686164772</v>
      </c>
      <c r="P120">
        <v>0.194481991068926</v>
      </c>
      <c r="Q120">
        <v>1.14350986975071</v>
      </c>
      <c r="R120">
        <v>0.14033693693553101</v>
      </c>
      <c r="S120" t="s">
        <v>2122</v>
      </c>
      <c r="T120" t="s">
        <v>4002</v>
      </c>
      <c r="U120" t="s">
        <v>4002</v>
      </c>
      <c r="V120" t="s">
        <v>4002</v>
      </c>
      <c r="W120" t="s">
        <v>4122</v>
      </c>
      <c r="X120">
        <v>4</v>
      </c>
      <c r="Y120" t="s">
        <v>6095</v>
      </c>
      <c r="Z120" t="s">
        <v>8018</v>
      </c>
      <c r="AA120">
        <v>1.11421162753395</v>
      </c>
      <c r="AB120" t="str">
        <f>HYPERLINK("Melting_Curves/meltCurve_B4E2X5_GNAI2.pdf", "Melting_Curves/meltCurve_B4E2X5_GNAI2.pdf")</f>
        <v>Melting_Curves/meltCurve_B4E2X5_GNAI2.pdf</v>
      </c>
    </row>
    <row r="121" spans="1:28" x14ac:dyDescent="0.25">
      <c r="A121" t="s">
        <v>125</v>
      </c>
      <c r="B121">
        <v>1</v>
      </c>
      <c r="C121">
        <v>0.99821543835668403</v>
      </c>
      <c r="D121">
        <v>0.95379124425712902</v>
      </c>
      <c r="E121">
        <v>0.97057371758362798</v>
      </c>
      <c r="F121">
        <v>0.94695675285719705</v>
      </c>
      <c r="G121">
        <v>0.89683714925769797</v>
      </c>
      <c r="H121">
        <v>0.84516080039488195</v>
      </c>
      <c r="I121">
        <v>1.0853172343091499</v>
      </c>
      <c r="J121">
        <v>0.83342825682499899</v>
      </c>
      <c r="K121">
        <v>0.88666135095113296</v>
      </c>
      <c r="L121">
        <v>540.66872823076199</v>
      </c>
      <c r="M121">
        <v>10.658077374554599</v>
      </c>
      <c r="O121">
        <v>49.040465005980202</v>
      </c>
      <c r="P121">
        <v>-5.4169023024674403E-3</v>
      </c>
      <c r="Q121">
        <v>0.90033990779361195</v>
      </c>
      <c r="R121">
        <v>0.20909549388596901</v>
      </c>
      <c r="S121" t="s">
        <v>2123</v>
      </c>
      <c r="T121" t="s">
        <v>4002</v>
      </c>
      <c r="U121" t="s">
        <v>4002</v>
      </c>
      <c r="V121" t="s">
        <v>4002</v>
      </c>
      <c r="W121" t="s">
        <v>4123</v>
      </c>
      <c r="X121">
        <v>4</v>
      </c>
      <c r="Y121" t="s">
        <v>6096</v>
      </c>
      <c r="Z121" t="s">
        <v>8019</v>
      </c>
      <c r="AA121">
        <v>0.93988335143590629</v>
      </c>
      <c r="AB121" t="str">
        <f>HYPERLINK("Melting_Curves/meltCurve_B4E321_OS9.pdf", "Melting_Curves/meltCurve_B4E321_OS9.pdf")</f>
        <v>Melting_Curves/meltCurve_B4E321_OS9.pdf</v>
      </c>
    </row>
    <row r="122" spans="1:28" x14ac:dyDescent="0.25">
      <c r="A122" t="s">
        <v>126</v>
      </c>
      <c r="B122">
        <v>1</v>
      </c>
      <c r="C122">
        <v>0.96498533169300604</v>
      </c>
      <c r="D122">
        <v>1.0245102678149001</v>
      </c>
      <c r="E122">
        <v>0.94563262988549301</v>
      </c>
      <c r="F122">
        <v>1.0443834579350799</v>
      </c>
      <c r="G122">
        <v>0.99498438535061995</v>
      </c>
      <c r="H122">
        <v>0.84391028674174295</v>
      </c>
      <c r="I122">
        <v>1.15169868458408</v>
      </c>
      <c r="J122">
        <v>1.52720734361692</v>
      </c>
      <c r="K122">
        <v>1.51168732847544</v>
      </c>
      <c r="L122">
        <v>15000</v>
      </c>
      <c r="M122">
        <v>233.54387576466999</v>
      </c>
      <c r="O122">
        <v>64.223043948883202</v>
      </c>
      <c r="P122">
        <v>0.454556181684518</v>
      </c>
      <c r="Q122">
        <v>1.5</v>
      </c>
      <c r="R122">
        <v>0.93493247841156102</v>
      </c>
      <c r="S122" t="s">
        <v>2124</v>
      </c>
      <c r="T122" t="s">
        <v>4002</v>
      </c>
      <c r="U122" t="s">
        <v>4002</v>
      </c>
      <c r="V122" t="s">
        <v>4002</v>
      </c>
      <c r="W122" t="s">
        <v>4124</v>
      </c>
      <c r="X122">
        <v>2</v>
      </c>
      <c r="Y122" t="s">
        <v>6097</v>
      </c>
      <c r="Z122" t="s">
        <v>8020</v>
      </c>
      <c r="AA122">
        <v>1.096139416443076</v>
      </c>
      <c r="AB122" t="str">
        <f>HYPERLINK("Melting_Curves/meltCurve_B4E351_IGFBP4.pdf", "Melting_Curves/meltCurve_B4E351_IGFBP4.pdf")</f>
        <v>Melting_Curves/meltCurve_B4E351_IGFBP4.pdf</v>
      </c>
    </row>
    <row r="123" spans="1:28" x14ac:dyDescent="0.25">
      <c r="A123" t="s">
        <v>127</v>
      </c>
      <c r="B123">
        <v>1</v>
      </c>
      <c r="C123">
        <v>0.97969056974459701</v>
      </c>
      <c r="D123">
        <v>1.0606827111984301</v>
      </c>
      <c r="E123">
        <v>0.99002946954813398</v>
      </c>
      <c r="F123">
        <v>1.06087917485265</v>
      </c>
      <c r="G123">
        <v>1.00675343811395</v>
      </c>
      <c r="H123">
        <v>0.84584970530451897</v>
      </c>
      <c r="I123">
        <v>0.77983791748526499</v>
      </c>
      <c r="J123">
        <v>1.43293222003929</v>
      </c>
      <c r="K123">
        <v>0.70218565815324196</v>
      </c>
      <c r="L123">
        <v>15000</v>
      </c>
      <c r="M123">
        <v>213.42770092012901</v>
      </c>
      <c r="Q123">
        <v>0</v>
      </c>
      <c r="R123">
        <v>0.24463202384419999</v>
      </c>
      <c r="S123" t="s">
        <v>2125</v>
      </c>
      <c r="T123" t="s">
        <v>4002</v>
      </c>
      <c r="U123" t="s">
        <v>4002</v>
      </c>
      <c r="V123" t="s">
        <v>4002</v>
      </c>
      <c r="W123" t="s">
        <v>4125</v>
      </c>
      <c r="X123">
        <v>1</v>
      </c>
      <c r="Y123" t="s">
        <v>6098</v>
      </c>
      <c r="Z123" t="s">
        <v>8021</v>
      </c>
      <c r="AA123">
        <v>0.99618973731440519</v>
      </c>
      <c r="AB123" t="str">
        <f>HYPERLINK("Melting_Curves/meltCurve_B4E3P0_ACLY.pdf", "Melting_Curves/meltCurve_B4E3P0_ACLY.pdf")</f>
        <v>Melting_Curves/meltCurve_B4E3P0_ACLY.pdf</v>
      </c>
    </row>
    <row r="124" spans="1:28" x14ac:dyDescent="0.25">
      <c r="A124" t="s">
        <v>128</v>
      </c>
      <c r="B124">
        <v>1</v>
      </c>
      <c r="C124">
        <v>0.69174344436569801</v>
      </c>
      <c r="D124">
        <v>0.90800850460666205</v>
      </c>
      <c r="E124">
        <v>1.15092133238838</v>
      </c>
      <c r="F124">
        <v>1.1222182849043201</v>
      </c>
      <c r="G124">
        <v>1.11187101346563</v>
      </c>
      <c r="H124">
        <v>1.0598866052445099</v>
      </c>
      <c r="I124">
        <v>1.4673990077958901</v>
      </c>
      <c r="J124">
        <v>1.64812189936215</v>
      </c>
      <c r="K124">
        <v>1.3199858256555601</v>
      </c>
      <c r="L124">
        <v>7144.0381318008804</v>
      </c>
      <c r="M124">
        <v>115.156623750424</v>
      </c>
      <c r="O124">
        <v>62.018877145189499</v>
      </c>
      <c r="P124">
        <v>0.22426955203869001</v>
      </c>
      <c r="Q124">
        <v>1.48313139338871</v>
      </c>
      <c r="R124">
        <v>0.69433853895082698</v>
      </c>
      <c r="S124" t="s">
        <v>2126</v>
      </c>
      <c r="T124" t="s">
        <v>4002</v>
      </c>
      <c r="U124" t="s">
        <v>4002</v>
      </c>
      <c r="V124" t="s">
        <v>4002</v>
      </c>
      <c r="W124" t="s">
        <v>4126</v>
      </c>
      <c r="X124">
        <v>2</v>
      </c>
      <c r="Y124" t="s">
        <v>6099</v>
      </c>
      <c r="Z124" t="s">
        <v>8022</v>
      </c>
      <c r="AA124">
        <v>1.1279817615325389</v>
      </c>
      <c r="AB124" t="str">
        <f>HYPERLINK("Melting_Curves/meltCurve_B4E3Q1_CLSTN1.pdf", "Melting_Curves/meltCurve_B4E3Q1_CLSTN1.pdf")</f>
        <v>Melting_Curves/meltCurve_B4E3Q1_CLSTN1.pdf</v>
      </c>
    </row>
    <row r="125" spans="1:28" x14ac:dyDescent="0.25">
      <c r="A125" t="s">
        <v>129</v>
      </c>
      <c r="B125">
        <v>1</v>
      </c>
      <c r="C125">
        <v>1.0577745647328201</v>
      </c>
      <c r="D125">
        <v>1.4377773761471599</v>
      </c>
      <c r="E125">
        <v>1.5014157479366199</v>
      </c>
      <c r="F125">
        <v>1.8323995421410899</v>
      </c>
      <c r="G125">
        <v>2.24370946040926</v>
      </c>
      <c r="H125">
        <v>2.0951061308914198</v>
      </c>
      <c r="I125">
        <v>2.81000863505834</v>
      </c>
      <c r="J125">
        <v>2.3023475309757599</v>
      </c>
      <c r="K125">
        <v>2.4218326405205102</v>
      </c>
      <c r="L125">
        <v>2557.3506463795402</v>
      </c>
      <c r="M125">
        <v>57.563305176019902</v>
      </c>
      <c r="O125">
        <v>44.373229447490701</v>
      </c>
      <c r="P125">
        <v>0.162156707970881</v>
      </c>
      <c r="Q125">
        <v>1.5</v>
      </c>
      <c r="R125">
        <v>-0.278685501938017</v>
      </c>
      <c r="S125" t="s">
        <v>2127</v>
      </c>
      <c r="T125" t="s">
        <v>4002</v>
      </c>
      <c r="U125" t="s">
        <v>4002</v>
      </c>
      <c r="V125" t="s">
        <v>4002</v>
      </c>
      <c r="W125" t="s">
        <v>4127</v>
      </c>
      <c r="X125">
        <v>3</v>
      </c>
      <c r="Y125" t="s">
        <v>6100</v>
      </c>
      <c r="Z125" t="s">
        <v>8023</v>
      </c>
      <c r="AA125">
        <v>1.425465261644608</v>
      </c>
      <c r="AB125" t="str">
        <f>HYPERLINK("Melting_Curves/meltCurve_B4E3Q4_CECR1.pdf", "Melting_Curves/meltCurve_B4E3Q4_CECR1.pdf")</f>
        <v>Melting_Curves/meltCurve_B4E3Q4_CECR1.pdf</v>
      </c>
    </row>
    <row r="126" spans="1:28" x14ac:dyDescent="0.25">
      <c r="A126" t="s">
        <v>130</v>
      </c>
      <c r="B126">
        <v>1</v>
      </c>
      <c r="C126">
        <v>0.94619334672918098</v>
      </c>
      <c r="D126">
        <v>1.01674480910918</v>
      </c>
      <c r="E126">
        <v>1.09310113864702</v>
      </c>
      <c r="F126">
        <v>1.06325816774578</v>
      </c>
      <c r="G126">
        <v>1.1382749125548901</v>
      </c>
      <c r="H126">
        <v>0.99270670536578098</v>
      </c>
      <c r="I126">
        <v>1.6611594850040901</v>
      </c>
      <c r="J126">
        <v>1.4022475254893201</v>
      </c>
      <c r="K126">
        <v>1.43789536354841</v>
      </c>
      <c r="L126">
        <v>15000</v>
      </c>
      <c r="M126">
        <v>241.41447116596399</v>
      </c>
      <c r="O126">
        <v>62.1295424155429</v>
      </c>
      <c r="P126">
        <v>0.48570788997365799</v>
      </c>
      <c r="Q126">
        <v>1.5</v>
      </c>
      <c r="R126">
        <v>0.85612598282026198</v>
      </c>
      <c r="S126" t="s">
        <v>2128</v>
      </c>
      <c r="T126" t="s">
        <v>4002</v>
      </c>
      <c r="U126" t="s">
        <v>4002</v>
      </c>
      <c r="V126" t="s">
        <v>4002</v>
      </c>
      <c r="W126" t="s">
        <v>4128</v>
      </c>
      <c r="X126">
        <v>3</v>
      </c>
      <c r="Y126" t="s">
        <v>6101</v>
      </c>
      <c r="Z126" t="s">
        <v>8024</v>
      </c>
      <c r="AA126">
        <v>1.1310447578045939</v>
      </c>
      <c r="AB126" t="str">
        <f>HYPERLINK("Melting_Curves/meltCurve_B5MCT7_PPM1F.pdf", "Melting_Curves/meltCurve_B5MCT7_PPM1F.pdf")</f>
        <v>Melting_Curves/meltCurve_B5MCT7_PPM1F.pdf</v>
      </c>
    </row>
    <row r="127" spans="1:28" x14ac:dyDescent="0.25">
      <c r="A127" t="s">
        <v>131</v>
      </c>
      <c r="B127">
        <v>1</v>
      </c>
      <c r="C127">
        <v>0.88485248529567795</v>
      </c>
      <c r="D127">
        <v>0.966489468286991</v>
      </c>
      <c r="E127">
        <v>1.03791888164641</v>
      </c>
      <c r="F127">
        <v>0.99866806539445296</v>
      </c>
      <c r="G127">
        <v>1.1136269875882601</v>
      </c>
      <c r="H127">
        <v>0.74495220358561498</v>
      </c>
      <c r="I127">
        <v>1.32886997725103</v>
      </c>
      <c r="J127">
        <v>0.65766923231061203</v>
      </c>
      <c r="K127">
        <v>0.93396904725421104</v>
      </c>
      <c r="L127">
        <v>15000</v>
      </c>
      <c r="M127">
        <v>228.695083233112</v>
      </c>
      <c r="O127">
        <v>65.584501167283193</v>
      </c>
      <c r="P127">
        <v>-0.177731220586125</v>
      </c>
      <c r="Q127">
        <v>0.79612306037937297</v>
      </c>
      <c r="R127">
        <v>0.22848277220645699</v>
      </c>
      <c r="S127" t="s">
        <v>2129</v>
      </c>
      <c r="T127" t="s">
        <v>4002</v>
      </c>
      <c r="U127" t="s">
        <v>4002</v>
      </c>
      <c r="V127" t="s">
        <v>4002</v>
      </c>
      <c r="W127" t="s">
        <v>4129</v>
      </c>
      <c r="X127">
        <v>1</v>
      </c>
      <c r="Y127" t="s">
        <v>6102</v>
      </c>
      <c r="Z127" t="s">
        <v>8025</v>
      </c>
      <c r="AA127">
        <v>0.97005485010034342</v>
      </c>
      <c r="AB127" t="str">
        <f>HYPERLINK("Melting_Curves/meltCurve_B5MCT9_STXBP4.pdf", "Melting_Curves/meltCurve_B5MCT9_STXBP4.pdf")</f>
        <v>Melting_Curves/meltCurve_B5MCT9_STXBP4.pdf</v>
      </c>
    </row>
    <row r="128" spans="1:28" x14ac:dyDescent="0.25">
      <c r="A128" t="s">
        <v>132</v>
      </c>
      <c r="B128">
        <v>1</v>
      </c>
      <c r="C128">
        <v>1.2201129641388999</v>
      </c>
      <c r="D128">
        <v>1.7166538551518999</v>
      </c>
      <c r="E128">
        <v>2.51301761304769</v>
      </c>
      <c r="F128">
        <v>2.8561879616322998</v>
      </c>
      <c r="G128">
        <v>3.4781591524347499</v>
      </c>
      <c r="H128">
        <v>3.3538317569599898</v>
      </c>
      <c r="I128">
        <v>4.0884328732328497</v>
      </c>
      <c r="J128">
        <v>3.9146418903111502</v>
      </c>
      <c r="K128">
        <v>3.6987400153738199</v>
      </c>
      <c r="L128">
        <v>10735.3065014644</v>
      </c>
      <c r="M128">
        <v>250</v>
      </c>
      <c r="O128">
        <v>42.938478048895199</v>
      </c>
      <c r="P128">
        <v>0.72778546083136098</v>
      </c>
      <c r="Q128">
        <v>1.5</v>
      </c>
      <c r="R128">
        <v>-1.40875208393173</v>
      </c>
      <c r="S128" t="s">
        <v>2130</v>
      </c>
      <c r="T128" t="s">
        <v>4002</v>
      </c>
      <c r="U128" t="s">
        <v>4002</v>
      </c>
      <c r="V128" t="s">
        <v>4002</v>
      </c>
      <c r="W128" t="s">
        <v>4130</v>
      </c>
      <c r="X128">
        <v>2</v>
      </c>
      <c r="Y128" t="s">
        <v>6103</v>
      </c>
      <c r="Z128" t="s">
        <v>8026</v>
      </c>
      <c r="AA128">
        <v>1.450941885951764</v>
      </c>
      <c r="AB128" t="str">
        <f>HYPERLINK("Melting_Curves/meltCurve_B5MDF5_RAN.pdf", "Melting_Curves/meltCurve_B5MDF5_RAN.pdf")</f>
        <v>Melting_Curves/meltCurve_B5MDF5_RAN.pdf</v>
      </c>
    </row>
    <row r="129" spans="1:28" x14ac:dyDescent="0.25">
      <c r="A129" t="s">
        <v>133</v>
      </c>
      <c r="B129">
        <v>1</v>
      </c>
      <c r="C129">
        <v>0.83856034426550197</v>
      </c>
      <c r="D129">
        <v>0.85623003194888203</v>
      </c>
      <c r="E129">
        <v>1.2410510530090599</v>
      </c>
      <c r="F129">
        <v>1.0785029666818799</v>
      </c>
      <c r="G129">
        <v>0.88654886874877703</v>
      </c>
      <c r="H129">
        <v>0.84605855121601303</v>
      </c>
      <c r="I129">
        <v>1.18113059920454</v>
      </c>
      <c r="J129">
        <v>0.77420616809023901</v>
      </c>
      <c r="K129">
        <v>1.02418986764035</v>
      </c>
      <c r="L129">
        <v>1.0000000000000001E-5</v>
      </c>
      <c r="M129">
        <v>1.0000000000000001E-5</v>
      </c>
      <c r="Q129">
        <v>0.94529595784226705</v>
      </c>
      <c r="R129">
        <v>-1.9615065127709401E-10</v>
      </c>
      <c r="S129" t="s">
        <v>2131</v>
      </c>
      <c r="T129" t="s">
        <v>4002</v>
      </c>
      <c r="U129" t="s">
        <v>4002</v>
      </c>
      <c r="V129" t="s">
        <v>4002</v>
      </c>
      <c r="W129" t="s">
        <v>4131</v>
      </c>
      <c r="X129">
        <v>1</v>
      </c>
      <c r="Y129" t="s">
        <v>6104</v>
      </c>
      <c r="Z129" t="s">
        <v>8027</v>
      </c>
      <c r="AA129">
        <v>0.97264784471213195</v>
      </c>
      <c r="AB129" t="str">
        <f>HYPERLINK("Melting_Curves/meltCurve_B5MEB3_CABIN1.pdf", "Melting_Curves/meltCurve_B5MEB3_CABIN1.pdf")</f>
        <v>Melting_Curves/meltCurve_B5MEB3_CABIN1.pdf</v>
      </c>
    </row>
    <row r="130" spans="1:28" x14ac:dyDescent="0.25">
      <c r="A130" t="s">
        <v>134</v>
      </c>
      <c r="B130">
        <v>1</v>
      </c>
      <c r="C130">
        <v>0.82189446083251405</v>
      </c>
      <c r="D130">
        <v>0.46163225172074701</v>
      </c>
      <c r="E130">
        <v>0.43956735496558502</v>
      </c>
      <c r="F130">
        <v>0.35868239921337303</v>
      </c>
      <c r="G130">
        <v>0.35063913470993102</v>
      </c>
      <c r="H130">
        <v>0.41426417568010498</v>
      </c>
      <c r="I130">
        <v>0.49992133726646998</v>
      </c>
      <c r="J130">
        <v>0.45436905932481197</v>
      </c>
      <c r="K130">
        <v>0.42504097017371401</v>
      </c>
      <c r="L130">
        <v>2164.2738511601701</v>
      </c>
      <c r="M130">
        <v>49.630984984785599</v>
      </c>
      <c r="N130">
        <v>45.282256051428902</v>
      </c>
      <c r="O130">
        <v>43.536691844386802</v>
      </c>
      <c r="P130">
        <v>-0.16522439057070401</v>
      </c>
      <c r="Q130">
        <v>0.42025597231574202</v>
      </c>
      <c r="R130">
        <v>0.95961575493065698</v>
      </c>
      <c r="S130" t="s">
        <v>2132</v>
      </c>
      <c r="T130" t="s">
        <v>4002</v>
      </c>
      <c r="U130" t="s">
        <v>4002</v>
      </c>
      <c r="V130" t="s">
        <v>4002</v>
      </c>
      <c r="W130" t="s">
        <v>4132</v>
      </c>
      <c r="X130">
        <v>1</v>
      </c>
      <c r="Y130" t="s">
        <v>6105</v>
      </c>
      <c r="Z130" t="s">
        <v>8028</v>
      </c>
      <c r="AA130">
        <v>0.49125444364176191</v>
      </c>
      <c r="AB130" t="str">
        <f>HYPERLINK("Melting_Curves/meltCurve_B7WPD9_KIF26B.pdf", "Melting_Curves/meltCurve_B7WPD9_KIF26B.pdf")</f>
        <v>Melting_Curves/meltCurve_B7WPD9_KIF26B.pdf</v>
      </c>
    </row>
    <row r="131" spans="1:28" x14ac:dyDescent="0.25">
      <c r="A131" t="s">
        <v>135</v>
      </c>
      <c r="B131">
        <v>1</v>
      </c>
      <c r="C131">
        <v>0.97359119706568897</v>
      </c>
      <c r="D131">
        <v>1.01320440146716</v>
      </c>
      <c r="E131">
        <v>1.0501500500166701</v>
      </c>
      <c r="F131">
        <v>1.0885628542847601</v>
      </c>
      <c r="G131">
        <v>1.18226075358453</v>
      </c>
      <c r="H131">
        <v>0.90343447815938605</v>
      </c>
      <c r="I131">
        <v>1.30223407802601</v>
      </c>
      <c r="J131">
        <v>1.2622874291430499</v>
      </c>
      <c r="K131">
        <v>1.0444814938312801</v>
      </c>
      <c r="L131">
        <v>817.52570623968802</v>
      </c>
      <c r="M131">
        <v>15.637034311658899</v>
      </c>
      <c r="O131">
        <v>51.448728829298503</v>
      </c>
      <c r="P131">
        <v>1.1518236486833699E-2</v>
      </c>
      <c r="Q131">
        <v>1.15157548333722</v>
      </c>
      <c r="R131">
        <v>0.26686809604820999</v>
      </c>
      <c r="S131" t="s">
        <v>2133</v>
      </c>
      <c r="T131" t="s">
        <v>4002</v>
      </c>
      <c r="U131" t="s">
        <v>4002</v>
      </c>
      <c r="V131" t="s">
        <v>4002</v>
      </c>
      <c r="W131" t="s">
        <v>4133</v>
      </c>
      <c r="X131">
        <v>3</v>
      </c>
      <c r="Y131" t="s">
        <v>6106</v>
      </c>
      <c r="Z131" t="s">
        <v>8029</v>
      </c>
      <c r="AA131">
        <v>1.086373455733439</v>
      </c>
      <c r="AB131" t="str">
        <f>HYPERLINK("Melting_Curves/meltCurve_B7Z1L3_PGRMC1.pdf", "Melting_Curves/meltCurve_B7Z1L3_PGRMC1.pdf")</f>
        <v>Melting_Curves/meltCurve_B7Z1L3_PGRMC1.pdf</v>
      </c>
    </row>
    <row r="132" spans="1:28" x14ac:dyDescent="0.25">
      <c r="A132" t="s">
        <v>136</v>
      </c>
      <c r="B132">
        <v>1</v>
      </c>
      <c r="C132">
        <v>0.84217232743090598</v>
      </c>
      <c r="D132">
        <v>1.00399841820818</v>
      </c>
      <c r="E132">
        <v>1.0838496126074699</v>
      </c>
      <c r="F132">
        <v>1.0652196200770401</v>
      </c>
      <c r="G132">
        <v>1.1679482109641599</v>
      </c>
      <c r="H132">
        <v>1.08989850169164</v>
      </c>
      <c r="I132">
        <v>1.30213688357719</v>
      </c>
      <c r="J132">
        <v>1.1164520995357099</v>
      </c>
      <c r="K132">
        <v>1.15388783924308</v>
      </c>
      <c r="L132">
        <v>1121.0909185809501</v>
      </c>
      <c r="M132">
        <v>21.3852161615414</v>
      </c>
      <c r="O132">
        <v>51.9716941975419</v>
      </c>
      <c r="P132">
        <v>1.7693429416357102E-2</v>
      </c>
      <c r="Q132">
        <v>1.1719944340502599</v>
      </c>
      <c r="R132">
        <v>0.58692746195136003</v>
      </c>
      <c r="S132" t="s">
        <v>2134</v>
      </c>
      <c r="T132" t="s">
        <v>4002</v>
      </c>
      <c r="U132" t="s">
        <v>4002</v>
      </c>
      <c r="V132" t="s">
        <v>4002</v>
      </c>
      <c r="W132" t="s">
        <v>4134</v>
      </c>
      <c r="X132">
        <v>6</v>
      </c>
      <c r="Y132" t="s">
        <v>6107</v>
      </c>
      <c r="Z132" t="s">
        <v>8030</v>
      </c>
      <c r="AA132">
        <v>1.0986600321550439</v>
      </c>
      <c r="AB132" t="str">
        <f>HYPERLINK("Melting_Curves/meltCurve_B7Z1M1_RCN1.pdf", "Melting_Curves/meltCurve_B7Z1M1_RCN1.pdf")</f>
        <v>Melting_Curves/meltCurve_B7Z1M1_RCN1.pdf</v>
      </c>
    </row>
    <row r="133" spans="1:28" x14ac:dyDescent="0.25">
      <c r="A133" t="s">
        <v>137</v>
      </c>
      <c r="B133">
        <v>1</v>
      </c>
      <c r="C133">
        <v>1.0246992176962499</v>
      </c>
      <c r="D133">
        <v>1.0994335041812799</v>
      </c>
      <c r="E133">
        <v>0.95231723765848397</v>
      </c>
      <c r="F133">
        <v>0.86366333962773101</v>
      </c>
      <c r="G133">
        <v>0.96975451847855398</v>
      </c>
      <c r="H133">
        <v>0.85346641489074704</v>
      </c>
      <c r="I133">
        <v>1.2640949554896099</v>
      </c>
      <c r="J133">
        <v>1.66258429997302</v>
      </c>
      <c r="K133">
        <v>1.1801456703533899</v>
      </c>
      <c r="L133">
        <v>15000</v>
      </c>
      <c r="M133">
        <v>234.89342314331199</v>
      </c>
      <c r="O133">
        <v>63.854124872828997</v>
      </c>
      <c r="P133">
        <v>0.38750608793150998</v>
      </c>
      <c r="Q133">
        <v>1.4213631803515501</v>
      </c>
      <c r="R133">
        <v>0.67236184129323595</v>
      </c>
      <c r="S133" t="s">
        <v>2135</v>
      </c>
      <c r="T133" t="s">
        <v>4002</v>
      </c>
      <c r="U133" t="s">
        <v>4002</v>
      </c>
      <c r="V133" t="s">
        <v>4002</v>
      </c>
      <c r="W133" t="s">
        <v>4135</v>
      </c>
      <c r="X133">
        <v>4</v>
      </c>
      <c r="Y133" t="s">
        <v>6108</v>
      </c>
      <c r="Z133" t="s">
        <v>8031</v>
      </c>
      <c r="AA133">
        <v>1.0862030838760579</v>
      </c>
      <c r="AB133" t="str">
        <f>HYPERLINK("Melting_Curves/meltCurve_B7Z1R5_ATP6V1A.pdf", "Melting_Curves/meltCurve_B7Z1R5_ATP6V1A.pdf")</f>
        <v>Melting_Curves/meltCurve_B7Z1R5_ATP6V1A.pdf</v>
      </c>
    </row>
    <row r="134" spans="1:28" x14ac:dyDescent="0.25">
      <c r="A134" t="s">
        <v>138</v>
      </c>
      <c r="B134">
        <v>1</v>
      </c>
      <c r="C134">
        <v>0.92975135259583297</v>
      </c>
      <c r="D134">
        <v>1.1587141705997499</v>
      </c>
      <c r="E134">
        <v>1.2808794750776999</v>
      </c>
      <c r="F134">
        <v>1.49562564751928</v>
      </c>
      <c r="G134">
        <v>1.8142339127431799</v>
      </c>
      <c r="H134">
        <v>1.75402900886382</v>
      </c>
      <c r="I134">
        <v>2.6786002072061699</v>
      </c>
      <c r="J134">
        <v>2.9970070219868798</v>
      </c>
      <c r="K134">
        <v>2.49024404282261</v>
      </c>
      <c r="L134">
        <v>1534.8669253068299</v>
      </c>
      <c r="M134">
        <v>31.607805848702299</v>
      </c>
      <c r="O134">
        <v>48.366607679292898</v>
      </c>
      <c r="P134">
        <v>8.1688521423181504E-2</v>
      </c>
      <c r="Q134">
        <v>1.5</v>
      </c>
      <c r="R134">
        <v>8.2866991871474206E-3</v>
      </c>
      <c r="S134" t="s">
        <v>2136</v>
      </c>
      <c r="T134" t="s">
        <v>4002</v>
      </c>
      <c r="U134" t="s">
        <v>4002</v>
      </c>
      <c r="V134" t="s">
        <v>4002</v>
      </c>
      <c r="W134" t="s">
        <v>4136</v>
      </c>
      <c r="X134">
        <v>4</v>
      </c>
      <c r="Y134" t="s">
        <v>6109</v>
      </c>
      <c r="Z134" t="s">
        <v>8032</v>
      </c>
      <c r="AA134">
        <v>1.3546190234346001</v>
      </c>
      <c r="AB134" t="str">
        <f>HYPERLINK("Melting_Curves/meltCurve_B7Z254_PDIA6.pdf", "Melting_Curves/meltCurve_B7Z254_PDIA6.pdf")</f>
        <v>Melting_Curves/meltCurve_B7Z254_PDIA6.pdf</v>
      </c>
    </row>
    <row r="135" spans="1:28" x14ac:dyDescent="0.25">
      <c r="A135" t="s">
        <v>139</v>
      </c>
      <c r="B135">
        <v>1</v>
      </c>
      <c r="C135">
        <v>0.935003378704508</v>
      </c>
      <c r="D135">
        <v>1.02423013804421</v>
      </c>
      <c r="E135">
        <v>1.03697268076069</v>
      </c>
      <c r="F135">
        <v>0.9778936190752</v>
      </c>
      <c r="G135">
        <v>1.02548508543296</v>
      </c>
      <c r="H135">
        <v>0.77409016314316104</v>
      </c>
      <c r="I135">
        <v>0.955236991987644</v>
      </c>
      <c r="J135">
        <v>0.94582488657206298</v>
      </c>
      <c r="K135">
        <v>0.86820156385751501</v>
      </c>
      <c r="L135">
        <v>5212.8476921460197</v>
      </c>
      <c r="M135">
        <v>89.113868229416596</v>
      </c>
      <c r="O135">
        <v>58.467041278501</v>
      </c>
      <c r="P135">
        <v>-4.3120058234885399E-2</v>
      </c>
      <c r="Q135">
        <v>0.88683682775110295</v>
      </c>
      <c r="R135">
        <v>0.501732108471862</v>
      </c>
      <c r="S135" t="s">
        <v>2137</v>
      </c>
      <c r="T135" t="s">
        <v>4002</v>
      </c>
      <c r="U135" t="s">
        <v>4002</v>
      </c>
      <c r="V135" t="s">
        <v>4002</v>
      </c>
      <c r="W135" t="s">
        <v>4137</v>
      </c>
      <c r="X135">
        <v>2</v>
      </c>
      <c r="Y135" t="s">
        <v>6110</v>
      </c>
      <c r="Z135" t="s">
        <v>8033</v>
      </c>
      <c r="AA135">
        <v>0.95669907934084031</v>
      </c>
      <c r="AB135" t="str">
        <f>HYPERLINK("Melting_Curves/meltCurve_B7Z3C7_ARHGEF6.pdf", "Melting_Curves/meltCurve_B7Z3C7_ARHGEF6.pdf")</f>
        <v>Melting_Curves/meltCurve_B7Z3C7_ARHGEF6.pdf</v>
      </c>
    </row>
    <row r="136" spans="1:28" x14ac:dyDescent="0.25">
      <c r="A136" t="s">
        <v>140</v>
      </c>
      <c r="B136">
        <v>1</v>
      </c>
      <c r="C136">
        <v>1.00090367631957</v>
      </c>
      <c r="D136">
        <v>1.0506880262887699</v>
      </c>
      <c r="E136">
        <v>1.14731977818854</v>
      </c>
      <c r="F136">
        <v>1.1187102074347901</v>
      </c>
      <c r="G136">
        <v>1.23450400492914</v>
      </c>
      <c r="H136">
        <v>0.98708153624974304</v>
      </c>
      <c r="I136">
        <v>1.5179708359005999</v>
      </c>
      <c r="J136">
        <v>1.0477305401519801</v>
      </c>
      <c r="K136">
        <v>1.1634832614499899</v>
      </c>
      <c r="L136">
        <v>964.92909185845599</v>
      </c>
      <c r="M136">
        <v>19.979650322506799</v>
      </c>
      <c r="O136">
        <v>47.819585354508</v>
      </c>
      <c r="P136">
        <v>1.9660192453007701E-2</v>
      </c>
      <c r="Q136">
        <v>1.18821380472744</v>
      </c>
      <c r="R136">
        <v>0.240886729551683</v>
      </c>
      <c r="S136" t="s">
        <v>2138</v>
      </c>
      <c r="T136" t="s">
        <v>4002</v>
      </c>
      <c r="U136" t="s">
        <v>4002</v>
      </c>
      <c r="V136" t="s">
        <v>4002</v>
      </c>
      <c r="W136" t="s">
        <v>4138</v>
      </c>
      <c r="X136">
        <v>4</v>
      </c>
      <c r="Y136" t="s">
        <v>6111</v>
      </c>
      <c r="Z136" t="s">
        <v>8034</v>
      </c>
      <c r="AA136">
        <v>1.133503156869053</v>
      </c>
      <c r="AB136" t="str">
        <f>HYPERLINK("Melting_Curves/meltCurve_B7Z4K6_DNASE2.pdf", "Melting_Curves/meltCurve_B7Z4K6_DNASE2.pdf")</f>
        <v>Melting_Curves/meltCurve_B7Z4K6_DNASE2.pdf</v>
      </c>
    </row>
    <row r="137" spans="1:28" x14ac:dyDescent="0.25">
      <c r="A137" t="s">
        <v>141</v>
      </c>
      <c r="B137">
        <v>1</v>
      </c>
      <c r="C137">
        <v>0.86177519482234799</v>
      </c>
      <c r="D137">
        <v>0.877493065645225</v>
      </c>
      <c r="E137">
        <v>0.88706907938185198</v>
      </c>
      <c r="F137">
        <v>0.86005811649716002</v>
      </c>
      <c r="G137">
        <v>0.87973847576277897</v>
      </c>
      <c r="H137">
        <v>0.83350944393078896</v>
      </c>
      <c r="I137">
        <v>1.06749438647471</v>
      </c>
      <c r="J137">
        <v>2.2827895918636898</v>
      </c>
      <c r="K137">
        <v>0.87623827763835704</v>
      </c>
      <c r="L137">
        <v>15000</v>
      </c>
      <c r="M137">
        <v>232.53696656068999</v>
      </c>
      <c r="O137">
        <v>64.501093461356504</v>
      </c>
      <c r="P137">
        <v>0.45064533922188799</v>
      </c>
      <c r="Q137">
        <v>1.5</v>
      </c>
      <c r="R137">
        <v>0.367496128659828</v>
      </c>
      <c r="S137" t="s">
        <v>2139</v>
      </c>
      <c r="T137" t="s">
        <v>4002</v>
      </c>
      <c r="U137" t="s">
        <v>4002</v>
      </c>
      <c r="V137" t="s">
        <v>4002</v>
      </c>
      <c r="W137" t="s">
        <v>4139</v>
      </c>
      <c r="X137">
        <v>2</v>
      </c>
      <c r="Y137" t="s">
        <v>6112</v>
      </c>
      <c r="Z137" t="s">
        <v>8035</v>
      </c>
      <c r="AA137">
        <v>1.091503359272967</v>
      </c>
      <c r="AB137" t="str">
        <f>HYPERLINK("Melting_Curves/meltCurve_B7Z4L4_RPN1.pdf", "Melting_Curves/meltCurve_B7Z4L4_RPN1.pdf")</f>
        <v>Melting_Curves/meltCurve_B7Z4L4_RPN1.pdf</v>
      </c>
    </row>
    <row r="138" spans="1:28" x14ac:dyDescent="0.25">
      <c r="A138" t="s">
        <v>142</v>
      </c>
      <c r="B138">
        <v>1</v>
      </c>
      <c r="C138">
        <v>1.1740592810594901</v>
      </c>
      <c r="D138">
        <v>1.5223530236143199</v>
      </c>
      <c r="E138">
        <v>2.0005605773947202</v>
      </c>
      <c r="F138">
        <v>2.11638988157803</v>
      </c>
      <c r="G138">
        <v>2.5064116039520701</v>
      </c>
      <c r="H138">
        <v>2.16396888795459</v>
      </c>
      <c r="I138">
        <v>2.8258356106789999</v>
      </c>
      <c r="J138">
        <v>3.2773807021231902</v>
      </c>
      <c r="K138">
        <v>2.2789222899586599</v>
      </c>
      <c r="L138">
        <v>10751.912007152299</v>
      </c>
      <c r="M138">
        <v>250</v>
      </c>
      <c r="O138">
        <v>43.0049061196571</v>
      </c>
      <c r="P138">
        <v>0.72666145120521797</v>
      </c>
      <c r="Q138">
        <v>1.5</v>
      </c>
      <c r="R138">
        <v>-0.68187398810591204</v>
      </c>
      <c r="S138" t="s">
        <v>2140</v>
      </c>
      <c r="T138" t="s">
        <v>4002</v>
      </c>
      <c r="U138" t="s">
        <v>4002</v>
      </c>
      <c r="V138" t="s">
        <v>4002</v>
      </c>
      <c r="W138" t="s">
        <v>4140</v>
      </c>
      <c r="X138">
        <v>5</v>
      </c>
      <c r="Y138" t="s">
        <v>6113</v>
      </c>
      <c r="Z138" t="s">
        <v>8036</v>
      </c>
      <c r="AA138">
        <v>1.4498347939631571</v>
      </c>
      <c r="AB138" t="str">
        <f>HYPERLINK("Melting_Curves/meltCurve_B7Z5J4_CPA4.pdf", "Melting_Curves/meltCurve_B7Z5J4_CPA4.pdf")</f>
        <v>Melting_Curves/meltCurve_B7Z5J4_CPA4.pdf</v>
      </c>
    </row>
    <row r="139" spans="1:28" x14ac:dyDescent="0.25">
      <c r="A139" t="s">
        <v>143</v>
      </c>
      <c r="B139">
        <v>1</v>
      </c>
      <c r="C139">
        <v>0.98856307389593401</v>
      </c>
      <c r="D139">
        <v>1.0955126803672901</v>
      </c>
      <c r="E139">
        <v>1.0482345867949301</v>
      </c>
      <c r="F139">
        <v>1.0074743113248801</v>
      </c>
      <c r="G139">
        <v>1.03185122431132</v>
      </c>
      <c r="H139">
        <v>0.83479995627459602</v>
      </c>
      <c r="I139">
        <v>1.1293042195015299</v>
      </c>
      <c r="J139">
        <v>0.89827011368605203</v>
      </c>
      <c r="K139">
        <v>0.97381941407957995</v>
      </c>
      <c r="L139">
        <v>2747.96825634062</v>
      </c>
      <c r="M139">
        <v>47.330349999565897</v>
      </c>
      <c r="O139">
        <v>57.955972339005697</v>
      </c>
      <c r="P139">
        <v>-7.3863161772609901E-3</v>
      </c>
      <c r="Q139">
        <v>0.96382189237225602</v>
      </c>
      <c r="R139">
        <v>7.4992581669835398E-2</v>
      </c>
      <c r="S139" t="s">
        <v>2141</v>
      </c>
      <c r="T139" t="s">
        <v>4002</v>
      </c>
      <c r="U139" t="s">
        <v>4002</v>
      </c>
      <c r="V139" t="s">
        <v>4002</v>
      </c>
      <c r="W139" t="s">
        <v>4141</v>
      </c>
      <c r="X139">
        <v>5</v>
      </c>
      <c r="Y139" t="s">
        <v>6114</v>
      </c>
      <c r="Z139" t="s">
        <v>8037</v>
      </c>
      <c r="AA139">
        <v>0.98570306176643474</v>
      </c>
      <c r="AB139" t="str">
        <f>HYPERLINK("Melting_Curves/meltCurve_B7Z5W1_F11R.pdf", "Melting_Curves/meltCurve_B7Z5W1_F11R.pdf")</f>
        <v>Melting_Curves/meltCurve_B7Z5W1_F11R.pdf</v>
      </c>
    </row>
    <row r="140" spans="1:28" x14ac:dyDescent="0.25">
      <c r="A140" t="s">
        <v>144</v>
      </c>
      <c r="B140">
        <v>1</v>
      </c>
      <c r="C140">
        <v>0.97676475317575195</v>
      </c>
      <c r="D140">
        <v>1.03593825373854</v>
      </c>
      <c r="E140">
        <v>1.49107573564882</v>
      </c>
      <c r="F140">
        <v>1.7364528059173501</v>
      </c>
      <c r="G140">
        <v>1.5192153079273201</v>
      </c>
      <c r="H140">
        <v>1.33084097121724</v>
      </c>
      <c r="I140">
        <v>1.96277536581444</v>
      </c>
      <c r="J140">
        <v>1.7329152596880499</v>
      </c>
      <c r="K140">
        <v>1.8285898054349601</v>
      </c>
      <c r="L140">
        <v>4125.3132533094204</v>
      </c>
      <c r="M140">
        <v>87.113599299735597</v>
      </c>
      <c r="O140">
        <v>47.330620787829297</v>
      </c>
      <c r="P140">
        <v>0.23006672506978601</v>
      </c>
      <c r="Q140">
        <v>1.5</v>
      </c>
      <c r="R140">
        <v>0.61045418762836501</v>
      </c>
      <c r="S140" t="s">
        <v>2142</v>
      </c>
      <c r="T140" t="s">
        <v>4002</v>
      </c>
      <c r="U140" t="s">
        <v>4002</v>
      </c>
      <c r="V140" t="s">
        <v>4002</v>
      </c>
      <c r="W140" t="s">
        <v>4142</v>
      </c>
      <c r="X140">
        <v>1</v>
      </c>
      <c r="Y140" t="s">
        <v>6115</v>
      </c>
      <c r="Z140" t="s">
        <v>8038</v>
      </c>
      <c r="AA140">
        <v>1.377064554185522</v>
      </c>
      <c r="AB140" t="str">
        <f>HYPERLINK("Melting_Curves/meltCurve_B7Z7N9_CARD8.pdf", "Melting_Curves/meltCurve_B7Z7N9_CARD8.pdf")</f>
        <v>Melting_Curves/meltCurve_B7Z7N9_CARD8.pdf</v>
      </c>
    </row>
    <row r="141" spans="1:28" x14ac:dyDescent="0.25">
      <c r="A141" t="s">
        <v>145</v>
      </c>
      <c r="B141">
        <v>1</v>
      </c>
      <c r="C141">
        <v>0.95426721935154202</v>
      </c>
      <c r="D141">
        <v>1.06999034694225</v>
      </c>
      <c r="E141">
        <v>1.33768667310204</v>
      </c>
      <c r="F141">
        <v>1.2090170915904801</v>
      </c>
      <c r="G141">
        <v>1.41332121969224</v>
      </c>
      <c r="H141">
        <v>0.898904094032139</v>
      </c>
      <c r="I141">
        <v>2.17284651638181</v>
      </c>
      <c r="J141">
        <v>1.0447561183351299</v>
      </c>
      <c r="K141">
        <v>1.07161433195162</v>
      </c>
      <c r="L141">
        <v>11556.084750415001</v>
      </c>
      <c r="M141">
        <v>250</v>
      </c>
      <c r="O141">
        <v>46.221380731716799</v>
      </c>
      <c r="P141">
        <v>0.41495678025563398</v>
      </c>
      <c r="Q141">
        <v>1.3068780063318499</v>
      </c>
      <c r="R141">
        <v>0.152947662010922</v>
      </c>
      <c r="S141" t="s">
        <v>2143</v>
      </c>
      <c r="T141" t="s">
        <v>4002</v>
      </c>
      <c r="U141" t="s">
        <v>4002</v>
      </c>
      <c r="V141" t="s">
        <v>4002</v>
      </c>
      <c r="W141" t="s">
        <v>4143</v>
      </c>
      <c r="X141">
        <v>2</v>
      </c>
      <c r="Y141" t="s">
        <v>6116</v>
      </c>
      <c r="Z141" t="s">
        <v>8039</v>
      </c>
      <c r="AA141">
        <v>1.243182686683278</v>
      </c>
      <c r="AB141" t="str">
        <f>HYPERLINK("Melting_Curves/meltCurve_B7Z7Z8_FKBP5.pdf", "Melting_Curves/meltCurve_B7Z7Z8_FKBP5.pdf")</f>
        <v>Melting_Curves/meltCurve_B7Z7Z8_FKBP5.pdf</v>
      </c>
    </row>
    <row r="142" spans="1:28" x14ac:dyDescent="0.25">
      <c r="A142" t="s">
        <v>146</v>
      </c>
      <c r="B142">
        <v>1</v>
      </c>
      <c r="C142">
        <v>0.98252764793068104</v>
      </c>
      <c r="D142">
        <v>1.00681222209554</v>
      </c>
      <c r="E142">
        <v>1.0980788963630099</v>
      </c>
      <c r="F142">
        <v>1.06233610762741</v>
      </c>
      <c r="G142">
        <v>1.1325105461178899</v>
      </c>
      <c r="H142">
        <v>0.77496864667654797</v>
      </c>
      <c r="I142">
        <v>1.35147075590013</v>
      </c>
      <c r="J142">
        <v>0.76687378862159405</v>
      </c>
      <c r="K142">
        <v>0.92298483639265805</v>
      </c>
      <c r="L142">
        <v>4302.5521237183102</v>
      </c>
      <c r="M142">
        <v>64.884780126112602</v>
      </c>
      <c r="O142">
        <v>66.247751531800901</v>
      </c>
      <c r="P142">
        <v>-3.5168488656197802E-2</v>
      </c>
      <c r="Q142">
        <v>0.85637109131677902</v>
      </c>
      <c r="R142">
        <v>0.104100754353983</v>
      </c>
      <c r="S142" t="s">
        <v>2144</v>
      </c>
      <c r="T142" t="s">
        <v>4002</v>
      </c>
      <c r="U142" t="s">
        <v>4002</v>
      </c>
      <c r="V142" t="s">
        <v>4002</v>
      </c>
      <c r="W142" t="s">
        <v>4144</v>
      </c>
      <c r="X142">
        <v>5</v>
      </c>
      <c r="Y142" t="s">
        <v>6117</v>
      </c>
      <c r="Z142" t="s">
        <v>8040</v>
      </c>
      <c r="AA142">
        <v>0.98240406149747306</v>
      </c>
      <c r="AB142" t="str">
        <f>HYPERLINK("Melting_Curves/meltCurve_B7Z856_GFRA1.pdf", "Melting_Curves/meltCurve_B7Z856_GFRA1.pdf")</f>
        <v>Melting_Curves/meltCurve_B7Z856_GFRA1.pdf</v>
      </c>
    </row>
    <row r="143" spans="1:28" x14ac:dyDescent="0.25">
      <c r="A143" t="s">
        <v>147</v>
      </c>
      <c r="B143">
        <v>1</v>
      </c>
      <c r="C143">
        <v>0.75931979890662304</v>
      </c>
      <c r="D143">
        <v>0.74973215021565298</v>
      </c>
      <c r="E143">
        <v>0.87041564792175996</v>
      </c>
      <c r="F143">
        <v>1.06892667783852</v>
      </c>
      <c r="G143">
        <v>1.12477679184638</v>
      </c>
      <c r="H143">
        <v>1.18804428449768</v>
      </c>
      <c r="I143">
        <v>1.32449657976429</v>
      </c>
      <c r="J143">
        <v>1.27559682426307</v>
      </c>
      <c r="K143">
        <v>1.12018900579654</v>
      </c>
      <c r="L143">
        <v>1933.37681920207</v>
      </c>
      <c r="M143">
        <v>34.233365652236401</v>
      </c>
      <c r="O143">
        <v>56.284713788254201</v>
      </c>
      <c r="P143">
        <v>3.5291857461778202E-2</v>
      </c>
      <c r="Q143">
        <v>1.23209922187272</v>
      </c>
      <c r="R143">
        <v>0.54899056781195699</v>
      </c>
      <c r="S143" t="s">
        <v>2145</v>
      </c>
      <c r="T143" t="s">
        <v>4002</v>
      </c>
      <c r="U143" t="s">
        <v>4002</v>
      </c>
      <c r="V143" t="s">
        <v>4002</v>
      </c>
      <c r="W143" t="s">
        <v>4145</v>
      </c>
      <c r="X143">
        <v>2</v>
      </c>
      <c r="Y143" t="s">
        <v>6118</v>
      </c>
      <c r="Z143" t="s">
        <v>8041</v>
      </c>
      <c r="AA143">
        <v>1.1034143145378259</v>
      </c>
      <c r="AB143" t="str">
        <f>HYPERLINK("Melting_Curves/meltCurve_B7Z8T3_FETUB.pdf", "Melting_Curves/meltCurve_B7Z8T3_FETUB.pdf")</f>
        <v>Melting_Curves/meltCurve_B7Z8T3_FETUB.pdf</v>
      </c>
    </row>
    <row r="144" spans="1:28" x14ac:dyDescent="0.25">
      <c r="A144" t="s">
        <v>148</v>
      </c>
      <c r="B144">
        <v>1</v>
      </c>
      <c r="C144">
        <v>1.0281945775322701</v>
      </c>
      <c r="D144">
        <v>1.0557353024068501</v>
      </c>
      <c r="E144">
        <v>1.19294290062567</v>
      </c>
      <c r="F144">
        <v>1.0249253142438399</v>
      </c>
      <c r="G144">
        <v>1.3872949664618699</v>
      </c>
      <c r="H144">
        <v>1.5011555154726299</v>
      </c>
      <c r="I144">
        <v>1.6917873851530401</v>
      </c>
      <c r="J144">
        <v>1.7447719970689399</v>
      </c>
      <c r="K144">
        <v>1.5786032354433199</v>
      </c>
      <c r="L144">
        <v>2945.74178093916</v>
      </c>
      <c r="M144">
        <v>52.931544717365298</v>
      </c>
      <c r="O144">
        <v>55.572649581054598</v>
      </c>
      <c r="P144">
        <v>0.11905942265554301</v>
      </c>
      <c r="Q144">
        <v>1.5</v>
      </c>
      <c r="R144">
        <v>0.81639881126066205</v>
      </c>
      <c r="S144" t="s">
        <v>2146</v>
      </c>
      <c r="T144" t="s">
        <v>4002</v>
      </c>
      <c r="U144" t="s">
        <v>4002</v>
      </c>
      <c r="V144" t="s">
        <v>4002</v>
      </c>
      <c r="W144" t="s">
        <v>4146</v>
      </c>
      <c r="X144">
        <v>3</v>
      </c>
      <c r="Y144" t="s">
        <v>6119</v>
      </c>
      <c r="Z144" t="s">
        <v>8042</v>
      </c>
      <c r="AA144">
        <v>1.2380407718678419</v>
      </c>
      <c r="AB144" t="str">
        <f>HYPERLINK("Melting_Curves/meltCurve_B7Z972_PCMT1.pdf", "Melting_Curves/meltCurve_B7Z972_PCMT1.pdf")</f>
        <v>Melting_Curves/meltCurve_B7Z972_PCMT1.pdf</v>
      </c>
    </row>
    <row r="145" spans="1:28" x14ac:dyDescent="0.25">
      <c r="A145" t="s">
        <v>149</v>
      </c>
      <c r="B145">
        <v>1</v>
      </c>
      <c r="C145">
        <v>1.19345715093806</v>
      </c>
      <c r="D145">
        <v>0.95243706985952703</v>
      </c>
      <c r="E145">
        <v>0.84265107947581797</v>
      </c>
      <c r="F145">
        <v>0.92448383143207302</v>
      </c>
      <c r="G145">
        <v>1.02908456679551</v>
      </c>
      <c r="H145">
        <v>0.75247478080512897</v>
      </c>
      <c r="I145">
        <v>1.0921561233147901</v>
      </c>
      <c r="J145">
        <v>1.4495144715753701</v>
      </c>
      <c r="K145">
        <v>0.86626755915904596</v>
      </c>
      <c r="L145">
        <v>2042.6426739011499</v>
      </c>
      <c r="M145">
        <v>32.076945459655903</v>
      </c>
      <c r="O145">
        <v>63.433514471255997</v>
      </c>
      <c r="P145">
        <v>1.77756241134223E-2</v>
      </c>
      <c r="Q145">
        <v>1.1406074549642</v>
      </c>
      <c r="R145">
        <v>8.5754633087074206E-2</v>
      </c>
      <c r="S145" t="s">
        <v>2147</v>
      </c>
      <c r="T145" t="s">
        <v>4002</v>
      </c>
      <c r="U145" t="s">
        <v>4002</v>
      </c>
      <c r="V145" t="s">
        <v>4002</v>
      </c>
      <c r="W145" t="s">
        <v>4147</v>
      </c>
      <c r="X145">
        <v>1</v>
      </c>
      <c r="Y145" t="s">
        <v>6120</v>
      </c>
      <c r="Z145" t="s">
        <v>8043</v>
      </c>
      <c r="AA145">
        <v>1.0293077316365451</v>
      </c>
      <c r="AB145" t="str">
        <f>HYPERLINK("Melting_Curves/meltCurve_B7Z9S8_ATP1B1.pdf", "Melting_Curves/meltCurve_B7Z9S8_ATP1B1.pdf")</f>
        <v>Melting_Curves/meltCurve_B7Z9S8_ATP1B1.pdf</v>
      </c>
    </row>
    <row r="146" spans="1:28" x14ac:dyDescent="0.25">
      <c r="A146" t="s">
        <v>150</v>
      </c>
      <c r="B146">
        <v>1</v>
      </c>
      <c r="C146">
        <v>0.88958354341030599</v>
      </c>
      <c r="D146">
        <v>0.99102551174750397</v>
      </c>
      <c r="E146">
        <v>0.74901683977009204</v>
      </c>
      <c r="F146">
        <v>0.80997277402440204</v>
      </c>
      <c r="G146">
        <v>0.88852475547040399</v>
      </c>
      <c r="H146">
        <v>0.92901078955329197</v>
      </c>
      <c r="I146">
        <v>0.93546435413935702</v>
      </c>
      <c r="J146">
        <v>1.0091257436724801</v>
      </c>
      <c r="K146">
        <v>0.78098215186044195</v>
      </c>
      <c r="L146">
        <v>1077.85068598574</v>
      </c>
      <c r="M146">
        <v>25.433756794470501</v>
      </c>
      <c r="O146">
        <v>42.119360168446299</v>
      </c>
      <c r="P146">
        <v>-1.7982421814536902E-2</v>
      </c>
      <c r="Q146">
        <v>0.88088293400039597</v>
      </c>
      <c r="R146">
        <v>0.14468494824827599</v>
      </c>
      <c r="S146" t="s">
        <v>2148</v>
      </c>
      <c r="T146" t="s">
        <v>4002</v>
      </c>
      <c r="U146" t="s">
        <v>4002</v>
      </c>
      <c r="V146" t="s">
        <v>4002</v>
      </c>
      <c r="W146" t="s">
        <v>4148</v>
      </c>
      <c r="X146">
        <v>1</v>
      </c>
      <c r="Y146" t="s">
        <v>6121</v>
      </c>
      <c r="Z146" t="s">
        <v>8044</v>
      </c>
      <c r="AA146">
        <v>0.89229333741054828</v>
      </c>
      <c r="AB146" t="str">
        <f>HYPERLINK("Melting_Curves/meltCurve_B7ZBK6_ALAD.pdf", "Melting_Curves/meltCurve_B7ZBK6_ALAD.pdf")</f>
        <v>Melting_Curves/meltCurve_B7ZBK6_ALAD.pdf</v>
      </c>
    </row>
    <row r="147" spans="1:28" x14ac:dyDescent="0.25">
      <c r="A147" t="s">
        <v>151</v>
      </c>
      <c r="B147">
        <v>1</v>
      </c>
      <c r="C147">
        <v>0.92528207083735203</v>
      </c>
      <c r="D147">
        <v>1.06024988223683</v>
      </c>
      <c r="E147">
        <v>1.0715775778919301</v>
      </c>
      <c r="F147">
        <v>1.0072901011641699</v>
      </c>
      <c r="G147">
        <v>1.1158116686480799</v>
      </c>
      <c r="H147">
        <v>0.96363921850115497</v>
      </c>
      <c r="I147">
        <v>1.3846033063412699</v>
      </c>
      <c r="J147">
        <v>1.18925102622193</v>
      </c>
      <c r="K147">
        <v>1.31885780938068</v>
      </c>
      <c r="L147">
        <v>15000</v>
      </c>
      <c r="M147">
        <v>240.56126148152501</v>
      </c>
      <c r="O147">
        <v>62.349852008154897</v>
      </c>
      <c r="P147">
        <v>0.28710619941036303</v>
      </c>
      <c r="Q147">
        <v>1.29765447694868</v>
      </c>
      <c r="R147">
        <v>0.76291354411535806</v>
      </c>
      <c r="S147" t="s">
        <v>2149</v>
      </c>
      <c r="T147" t="s">
        <v>4002</v>
      </c>
      <c r="U147" t="s">
        <v>4002</v>
      </c>
      <c r="V147" t="s">
        <v>4002</v>
      </c>
      <c r="W147" t="s">
        <v>4149</v>
      </c>
      <c r="X147">
        <v>7</v>
      </c>
      <c r="Y147" t="s">
        <v>6122</v>
      </c>
      <c r="Z147" t="s">
        <v>8045</v>
      </c>
      <c r="AA147">
        <v>1.0758252473265491</v>
      </c>
      <c r="AB147" t="str">
        <f>HYPERLINK("Melting_Curves/meltCurve_B7ZKW8_RCSD1.pdf", "Melting_Curves/meltCurve_B7ZKW8_RCSD1.pdf")</f>
        <v>Melting_Curves/meltCurve_B7ZKW8_RCSD1.pdf</v>
      </c>
    </row>
    <row r="148" spans="1:28" x14ac:dyDescent="0.25">
      <c r="A148" t="s">
        <v>152</v>
      </c>
      <c r="B148">
        <v>1</v>
      </c>
      <c r="C148">
        <v>0.86611187190561501</v>
      </c>
      <c r="D148">
        <v>0.931423153902876</v>
      </c>
      <c r="E148">
        <v>0.88631096597492898</v>
      </c>
      <c r="F148">
        <v>0.92831560096913501</v>
      </c>
      <c r="G148">
        <v>0.95077952175287095</v>
      </c>
      <c r="H148">
        <v>0.85249657642473398</v>
      </c>
      <c r="I148">
        <v>1.2757294848836001</v>
      </c>
      <c r="J148">
        <v>0.99223111766564798</v>
      </c>
      <c r="K148">
        <v>1.00679448014326</v>
      </c>
      <c r="S148" t="s">
        <v>2150</v>
      </c>
      <c r="T148" t="s">
        <v>4002</v>
      </c>
      <c r="U148" t="s">
        <v>4003</v>
      </c>
      <c r="V148" t="s">
        <v>4002</v>
      </c>
      <c r="W148" t="s">
        <v>4150</v>
      </c>
      <c r="X148">
        <v>6</v>
      </c>
      <c r="Y148" t="s">
        <v>6123</v>
      </c>
      <c r="Z148" t="s">
        <v>8046</v>
      </c>
      <c r="AB148" t="str">
        <f>HYPERLINK("Melting_Curves/meltCurve_B8ZZF0_PPM1B.pdf", "Melting_Curves/meltCurve_B8ZZF0_PPM1B.pdf")</f>
        <v>Melting_Curves/meltCurve_B8ZZF0_PPM1B.pdf</v>
      </c>
    </row>
    <row r="149" spans="1:28" x14ac:dyDescent="0.25">
      <c r="A149" t="s">
        <v>153</v>
      </c>
      <c r="B149">
        <v>1</v>
      </c>
      <c r="C149">
        <v>0.86515102070415895</v>
      </c>
      <c r="D149">
        <v>0.99689981507668901</v>
      </c>
      <c r="E149">
        <v>0.93766996627869004</v>
      </c>
      <c r="F149">
        <v>1.0128902425758699</v>
      </c>
      <c r="G149">
        <v>0.94352587113383402</v>
      </c>
      <c r="H149">
        <v>0.88290003263352501</v>
      </c>
      <c r="I149">
        <v>0.81899271184597</v>
      </c>
      <c r="J149">
        <v>4.4435983900794103</v>
      </c>
      <c r="K149">
        <v>0.85773595851916296</v>
      </c>
      <c r="L149">
        <v>15000</v>
      </c>
      <c r="M149">
        <v>230.515239128324</v>
      </c>
      <c r="O149">
        <v>65.066721525801</v>
      </c>
      <c r="P149">
        <v>0.44284396141653298</v>
      </c>
      <c r="Q149">
        <v>1.5</v>
      </c>
      <c r="R149">
        <v>0.181624795770845</v>
      </c>
      <c r="S149" t="s">
        <v>2151</v>
      </c>
      <c r="T149" t="s">
        <v>4002</v>
      </c>
      <c r="U149" t="s">
        <v>4002</v>
      </c>
      <c r="V149" t="s">
        <v>4002</v>
      </c>
      <c r="W149" t="s">
        <v>4151</v>
      </c>
      <c r="X149">
        <v>1</v>
      </c>
      <c r="Y149" t="s">
        <v>6124</v>
      </c>
      <c r="Z149" t="s">
        <v>8047</v>
      </c>
      <c r="AA149">
        <v>1.0820725070129531</v>
      </c>
      <c r="AB149" t="str">
        <f>HYPERLINK("Melting_Curves/meltCurve_B8ZZK4_RPL31.pdf", "Melting_Curves/meltCurve_B8ZZK4_RPL31.pdf")</f>
        <v>Melting_Curves/meltCurve_B8ZZK4_RPL31.pdf</v>
      </c>
    </row>
    <row r="150" spans="1:28" x14ac:dyDescent="0.25">
      <c r="A150" t="s">
        <v>154</v>
      </c>
      <c r="B150">
        <v>1</v>
      </c>
      <c r="C150">
        <v>0.93712902218056904</v>
      </c>
      <c r="D150">
        <v>0.92957929813599904</v>
      </c>
      <c r="E150">
        <v>1.01135061959804</v>
      </c>
      <c r="F150">
        <v>0.99049776111631804</v>
      </c>
      <c r="G150">
        <v>1.0218421326668701</v>
      </c>
      <c r="H150">
        <v>0.93554097677809001</v>
      </c>
      <c r="I150">
        <v>1.1128553577007201</v>
      </c>
      <c r="J150">
        <v>1.1572685619077401</v>
      </c>
      <c r="K150">
        <v>0.94970321774445499</v>
      </c>
      <c r="L150">
        <v>15000</v>
      </c>
      <c r="M150">
        <v>239.894955777794</v>
      </c>
      <c r="O150">
        <v>62.5230142252855</v>
      </c>
      <c r="P150">
        <v>7.02798345282383E-2</v>
      </c>
      <c r="Q150">
        <v>1.07326719486066</v>
      </c>
      <c r="R150">
        <v>0.29600675058839199</v>
      </c>
      <c r="S150" t="s">
        <v>2152</v>
      </c>
      <c r="T150" t="s">
        <v>4002</v>
      </c>
      <c r="U150" t="s">
        <v>4002</v>
      </c>
      <c r="V150" t="s">
        <v>4002</v>
      </c>
      <c r="W150" t="s">
        <v>4152</v>
      </c>
      <c r="X150">
        <v>6</v>
      </c>
      <c r="Y150" t="s">
        <v>6125</v>
      </c>
      <c r="Z150" t="s">
        <v>8048</v>
      </c>
      <c r="AA150">
        <v>1.0182412296364209</v>
      </c>
      <c r="AB150" t="str">
        <f>HYPERLINK("Melting_Curves/meltCurve_B8ZZL8_HSPE1.pdf", "Melting_Curves/meltCurve_B8ZZL8_HSPE1.pdf")</f>
        <v>Melting_Curves/meltCurve_B8ZZL8_HSPE1.pdf</v>
      </c>
    </row>
    <row r="151" spans="1:28" x14ac:dyDescent="0.25">
      <c r="A151" t="s">
        <v>155</v>
      </c>
      <c r="B151">
        <v>1</v>
      </c>
      <c r="C151">
        <v>0.86764688816423197</v>
      </c>
      <c r="D151">
        <v>0.94336841860950904</v>
      </c>
      <c r="E151">
        <v>0.96597463183669696</v>
      </c>
      <c r="F151">
        <v>0.91786099731928406</v>
      </c>
      <c r="G151">
        <v>0.95761915261514896</v>
      </c>
      <c r="H151">
        <v>0.75166819463624601</v>
      </c>
      <c r="I151">
        <v>0.89365331724129904</v>
      </c>
      <c r="J151">
        <v>1.01581738635968</v>
      </c>
      <c r="K151">
        <v>1.0627009086583701</v>
      </c>
      <c r="L151">
        <v>10232.490775058501</v>
      </c>
      <c r="M151">
        <v>250</v>
      </c>
      <c r="O151">
        <v>40.927336720996301</v>
      </c>
      <c r="P151">
        <v>-0.105826008843748</v>
      </c>
      <c r="Q151">
        <v>0.930701160805815</v>
      </c>
      <c r="R151">
        <v>6.2923495854103798E-2</v>
      </c>
      <c r="S151" t="s">
        <v>2153</v>
      </c>
      <c r="T151" t="s">
        <v>4002</v>
      </c>
      <c r="U151" t="s">
        <v>4002</v>
      </c>
      <c r="V151" t="s">
        <v>4002</v>
      </c>
      <c r="W151" t="s">
        <v>4153</v>
      </c>
      <c r="X151">
        <v>1</v>
      </c>
      <c r="Y151" t="s">
        <v>6126</v>
      </c>
      <c r="Z151" t="s">
        <v>8049</v>
      </c>
      <c r="AA151">
        <v>0.93285538767278409</v>
      </c>
      <c r="AB151" t="str">
        <f>HYPERLINK("Melting_Curves/meltCurve_B8ZZQ6_PTMA.pdf", "Melting_Curves/meltCurve_B8ZZQ6_PTMA.pdf")</f>
        <v>Melting_Curves/meltCurve_B8ZZQ6_PTMA.pdf</v>
      </c>
    </row>
    <row r="152" spans="1:28" x14ac:dyDescent="0.25">
      <c r="A152" t="s">
        <v>156</v>
      </c>
      <c r="B152">
        <v>1</v>
      </c>
      <c r="C152">
        <v>0.826238731801474</v>
      </c>
      <c r="D152">
        <v>1.05365613256946</v>
      </c>
      <c r="E152">
        <v>1.0026489250292601</v>
      </c>
      <c r="F152">
        <v>0.862420172898827</v>
      </c>
      <c r="G152">
        <v>0.85147538963839098</v>
      </c>
      <c r="H152">
        <v>0.92268835089016199</v>
      </c>
      <c r="I152">
        <v>0.74321854658206499</v>
      </c>
      <c r="J152">
        <v>0.90106573030246995</v>
      </c>
      <c r="K152">
        <v>0.86730733690630202</v>
      </c>
      <c r="L152">
        <v>13077.105199334599</v>
      </c>
      <c r="M152">
        <v>250</v>
      </c>
      <c r="O152">
        <v>52.305073425089297</v>
      </c>
      <c r="P152">
        <v>-0.17069217985799501</v>
      </c>
      <c r="Q152">
        <v>0.85715092821234096</v>
      </c>
      <c r="R152">
        <v>0.340027084826523</v>
      </c>
      <c r="S152" t="s">
        <v>2154</v>
      </c>
      <c r="T152" t="s">
        <v>4002</v>
      </c>
      <c r="U152" t="s">
        <v>4002</v>
      </c>
      <c r="V152" t="s">
        <v>4002</v>
      </c>
      <c r="W152" t="s">
        <v>4154</v>
      </c>
      <c r="X152">
        <v>3</v>
      </c>
      <c r="Y152" t="s">
        <v>6127</v>
      </c>
      <c r="Z152" t="s">
        <v>8050</v>
      </c>
      <c r="AA152">
        <v>0.91577225802586071</v>
      </c>
      <c r="AB152" t="str">
        <f>HYPERLINK("Melting_Curves/meltCurve_B8ZZT4_VAMP8.pdf", "Melting_Curves/meltCurve_B8ZZT4_VAMP8.pdf")</f>
        <v>Melting_Curves/meltCurve_B8ZZT4_VAMP8.pdf</v>
      </c>
    </row>
    <row r="153" spans="1:28" x14ac:dyDescent="0.25">
      <c r="A153" t="s">
        <v>157</v>
      </c>
      <c r="B153">
        <v>1</v>
      </c>
      <c r="C153">
        <v>0.82751322751322798</v>
      </c>
      <c r="D153">
        <v>0.81662887377173099</v>
      </c>
      <c r="E153">
        <v>0.85041572184429304</v>
      </c>
      <c r="F153">
        <v>0.88042328042328</v>
      </c>
      <c r="G153">
        <v>0.97898715041572204</v>
      </c>
      <c r="H153">
        <v>1.0989417989418</v>
      </c>
      <c r="I153">
        <v>1.13703703703704</v>
      </c>
      <c r="J153">
        <v>1.0438397581254699</v>
      </c>
      <c r="K153">
        <v>0.93242630385487502</v>
      </c>
      <c r="L153">
        <v>10218.286012651701</v>
      </c>
      <c r="M153">
        <v>250</v>
      </c>
      <c r="O153">
        <v>40.870528455487303</v>
      </c>
      <c r="P153">
        <v>-7.3705890940940696E-2</v>
      </c>
      <c r="Q153">
        <v>0.95180162066555796</v>
      </c>
      <c r="R153">
        <v>1.7909915200752202E-2</v>
      </c>
      <c r="S153" t="s">
        <v>2155</v>
      </c>
      <c r="T153" t="s">
        <v>4002</v>
      </c>
      <c r="U153" t="s">
        <v>4002</v>
      </c>
      <c r="V153" t="s">
        <v>4002</v>
      </c>
      <c r="W153" t="s">
        <v>4155</v>
      </c>
      <c r="X153">
        <v>6</v>
      </c>
      <c r="Y153" t="s">
        <v>6128</v>
      </c>
      <c r="Z153" t="s">
        <v>8051</v>
      </c>
      <c r="AA153">
        <v>0.9532089448197596</v>
      </c>
      <c r="AB153" t="str">
        <f>HYPERLINK("Melting_Curves/meltCurve_B9A064_IGLL5.pdf", "Melting_Curves/meltCurve_B9A064_IGLL5.pdf")</f>
        <v>Melting_Curves/meltCurve_B9A064_IGLL5.pdf</v>
      </c>
    </row>
    <row r="154" spans="1:28" x14ac:dyDescent="0.25">
      <c r="A154" t="s">
        <v>158</v>
      </c>
      <c r="B154">
        <v>1</v>
      </c>
      <c r="C154">
        <v>0.90412414965986398</v>
      </c>
      <c r="D154">
        <v>1.09268707482993</v>
      </c>
      <c r="E154">
        <v>1.06377551020408</v>
      </c>
      <c r="F154">
        <v>0.99000850340136104</v>
      </c>
      <c r="G154">
        <v>0.99404761904761896</v>
      </c>
      <c r="H154">
        <v>0.86515022675736997</v>
      </c>
      <c r="I154">
        <v>1.0047477324263001</v>
      </c>
      <c r="J154">
        <v>0.87726757369614505</v>
      </c>
      <c r="K154">
        <v>0.95018424036281202</v>
      </c>
      <c r="L154">
        <v>14390.245626667</v>
      </c>
      <c r="M154">
        <v>250</v>
      </c>
      <c r="O154">
        <v>57.557299063502903</v>
      </c>
      <c r="P154">
        <v>-8.2160027762736301E-2</v>
      </c>
      <c r="Q154">
        <v>0.92433745156702996</v>
      </c>
      <c r="R154">
        <v>0.31867073734903201</v>
      </c>
      <c r="S154" t="s">
        <v>2156</v>
      </c>
      <c r="T154" t="s">
        <v>4002</v>
      </c>
      <c r="U154" t="s">
        <v>4002</v>
      </c>
      <c r="V154" t="s">
        <v>4002</v>
      </c>
      <c r="W154" t="s">
        <v>4156</v>
      </c>
      <c r="X154">
        <v>2</v>
      </c>
      <c r="Y154" t="s">
        <v>6129</v>
      </c>
      <c r="Z154" t="s">
        <v>8052</v>
      </c>
      <c r="AA154">
        <v>0.96863538454194065</v>
      </c>
      <c r="AB154" t="str">
        <f>HYPERLINK("Melting_Curves/meltCurve_B9ZVX0_DIAPH1.pdf", "Melting_Curves/meltCurve_B9ZVX0_DIAPH1.pdf")</f>
        <v>Melting_Curves/meltCurve_B9ZVX0_DIAPH1.pdf</v>
      </c>
    </row>
    <row r="155" spans="1:28" x14ac:dyDescent="0.25">
      <c r="A155" t="s">
        <v>159</v>
      </c>
      <c r="B155">
        <v>1</v>
      </c>
      <c r="C155">
        <v>0.91358422773964698</v>
      </c>
      <c r="D155">
        <v>0.97213137408448103</v>
      </c>
      <c r="E155">
        <v>1.01179234418905</v>
      </c>
      <c r="F155">
        <v>1.1317425952369999</v>
      </c>
      <c r="G155">
        <v>1.1102307798608899</v>
      </c>
      <c r="H155">
        <v>1.2475010364365</v>
      </c>
      <c r="I155">
        <v>1.17914229121562</v>
      </c>
      <c r="J155">
        <v>1.19010548620388</v>
      </c>
      <c r="K155">
        <v>0.99336680639366204</v>
      </c>
      <c r="L155">
        <v>4190.4080307313197</v>
      </c>
      <c r="M155">
        <v>81.402082205363598</v>
      </c>
      <c r="O155">
        <v>51.446853772935398</v>
      </c>
      <c r="P155">
        <v>5.7014436989293503E-2</v>
      </c>
      <c r="Q155">
        <v>1.1441345460072001</v>
      </c>
      <c r="R155">
        <v>0.58515010419308999</v>
      </c>
      <c r="S155" t="s">
        <v>2157</v>
      </c>
      <c r="T155" t="s">
        <v>4002</v>
      </c>
      <c r="U155" t="s">
        <v>4002</v>
      </c>
      <c r="V155" t="s">
        <v>4002</v>
      </c>
      <c r="W155" t="s">
        <v>4157</v>
      </c>
      <c r="X155">
        <v>2</v>
      </c>
      <c r="Y155" t="s">
        <v>6130</v>
      </c>
      <c r="Z155" t="s">
        <v>8053</v>
      </c>
      <c r="AA155">
        <v>1.088866111263264</v>
      </c>
      <c r="AB155" t="str">
        <f>HYPERLINK("Melting_Curves/meltCurve_C9IZG4_CUTA.pdf", "Melting_Curves/meltCurve_C9IZG4_CUTA.pdf")</f>
        <v>Melting_Curves/meltCurve_C9IZG4_CUTA.pdf</v>
      </c>
    </row>
    <row r="156" spans="1:28" x14ac:dyDescent="0.25">
      <c r="A156" t="s">
        <v>160</v>
      </c>
      <c r="B156">
        <v>1</v>
      </c>
      <c r="C156">
        <v>1.00489689319332</v>
      </c>
      <c r="D156">
        <v>0.93601392894063895</v>
      </c>
      <c r="E156">
        <v>1.0432014799499401</v>
      </c>
      <c r="F156">
        <v>0.97148919963001301</v>
      </c>
      <c r="G156">
        <v>0.92023505087327895</v>
      </c>
      <c r="H156">
        <v>0.76288154959464605</v>
      </c>
      <c r="I156">
        <v>1.0871102889166999</v>
      </c>
      <c r="J156">
        <v>0.90347679416725601</v>
      </c>
      <c r="K156">
        <v>0.91843952336906298</v>
      </c>
      <c r="L156">
        <v>13282.921090935801</v>
      </c>
      <c r="M156">
        <v>250</v>
      </c>
      <c r="O156">
        <v>53.128284306953802</v>
      </c>
      <c r="P156">
        <v>-9.5960373831907003E-2</v>
      </c>
      <c r="Q156">
        <v>0.91842863975387301</v>
      </c>
      <c r="R156">
        <v>0.18801319650975001</v>
      </c>
      <c r="S156" t="s">
        <v>2158</v>
      </c>
      <c r="T156" t="s">
        <v>4002</v>
      </c>
      <c r="U156" t="s">
        <v>4002</v>
      </c>
      <c r="V156" t="s">
        <v>4002</v>
      </c>
      <c r="W156" t="s">
        <v>4158</v>
      </c>
      <c r="X156">
        <v>2</v>
      </c>
      <c r="Y156" t="s">
        <v>6131</v>
      </c>
      <c r="Z156" t="s">
        <v>8054</v>
      </c>
      <c r="AA156">
        <v>0.95414189109390712</v>
      </c>
      <c r="AB156" t="str">
        <f>HYPERLINK("Melting_Curves/meltCurve_C9J0A7_CHMP2B.pdf", "Melting_Curves/meltCurve_C9J0A7_CHMP2B.pdf")</f>
        <v>Melting_Curves/meltCurve_C9J0A7_CHMP2B.pdf</v>
      </c>
    </row>
    <row r="157" spans="1:28" x14ac:dyDescent="0.25">
      <c r="A157" t="s">
        <v>161</v>
      </c>
      <c r="B157">
        <v>1</v>
      </c>
      <c r="C157">
        <v>1.0365703446407</v>
      </c>
      <c r="D157">
        <v>1.05684477619294</v>
      </c>
      <c r="E157">
        <v>1.14920060108886</v>
      </c>
      <c r="F157">
        <v>1.2822407804301199</v>
      </c>
      <c r="G157">
        <v>1.4246298622915301</v>
      </c>
      <c r="H157">
        <v>1.257236469342</v>
      </c>
      <c r="I157">
        <v>1.5944867341659901</v>
      </c>
      <c r="J157">
        <v>1.3579927573719599</v>
      </c>
      <c r="K157">
        <v>1.5039538836745301</v>
      </c>
      <c r="L157">
        <v>758.99568659103204</v>
      </c>
      <c r="M157">
        <v>14.6121501239459</v>
      </c>
      <c r="O157">
        <v>50.999011130171702</v>
      </c>
      <c r="P157">
        <v>3.3537634255237002E-2</v>
      </c>
      <c r="Q157">
        <v>1.4681569060403401</v>
      </c>
      <c r="R157">
        <v>0.827568738401537</v>
      </c>
      <c r="S157" t="s">
        <v>2159</v>
      </c>
      <c r="T157" t="s">
        <v>4002</v>
      </c>
      <c r="U157" t="s">
        <v>4002</v>
      </c>
      <c r="V157" t="s">
        <v>4002</v>
      </c>
      <c r="W157" t="s">
        <v>4159</v>
      </c>
      <c r="X157">
        <v>3</v>
      </c>
      <c r="Y157" t="s">
        <v>6132</v>
      </c>
      <c r="Z157" t="s">
        <v>8055</v>
      </c>
      <c r="AA157">
        <v>1.2708733242613941</v>
      </c>
      <c r="AB157" t="str">
        <f>HYPERLINK("Melting_Curves/meltCurve_C9J1D9_IL1RAP.pdf", "Melting_Curves/meltCurve_C9J1D9_IL1RAP.pdf")</f>
        <v>Melting_Curves/meltCurve_C9J1D9_IL1RAP.pdf</v>
      </c>
    </row>
    <row r="158" spans="1:28" x14ac:dyDescent="0.25">
      <c r="A158" t="s">
        <v>162</v>
      </c>
      <c r="B158">
        <v>1</v>
      </c>
      <c r="C158">
        <v>1.04684530596731</v>
      </c>
      <c r="D158">
        <v>0.83794184720638498</v>
      </c>
      <c r="E158">
        <v>0.90578677309008004</v>
      </c>
      <c r="F158">
        <v>0.79090649942987501</v>
      </c>
      <c r="G158">
        <v>0.94826111744583796</v>
      </c>
      <c r="H158">
        <v>0.80648992778411199</v>
      </c>
      <c r="I158">
        <v>0.97344165716457598</v>
      </c>
      <c r="J158">
        <v>1.0419517293804601</v>
      </c>
      <c r="K158">
        <v>0.84240782972253903</v>
      </c>
      <c r="L158">
        <v>11096.785322382</v>
      </c>
      <c r="M158">
        <v>250</v>
      </c>
      <c r="O158">
        <v>44.3843008964487</v>
      </c>
      <c r="P158">
        <v>-0.150111287749569</v>
      </c>
      <c r="Q158">
        <v>0.89339864732514096</v>
      </c>
      <c r="R158">
        <v>0.31069954783920201</v>
      </c>
      <c r="S158" t="s">
        <v>2160</v>
      </c>
      <c r="T158" t="s">
        <v>4002</v>
      </c>
      <c r="U158" t="s">
        <v>4002</v>
      </c>
      <c r="V158" t="s">
        <v>4002</v>
      </c>
      <c r="W158" t="s">
        <v>4160</v>
      </c>
      <c r="X158">
        <v>1</v>
      </c>
      <c r="Y158" t="s">
        <v>6133</v>
      </c>
      <c r="Z158" t="s">
        <v>8056</v>
      </c>
      <c r="AA158">
        <v>0.90899612463107327</v>
      </c>
      <c r="AB158" t="str">
        <f>HYPERLINK("Melting_Curves/meltCurve_C9J1K8_MEGF9.pdf", "Melting_Curves/meltCurve_C9J1K8_MEGF9.pdf")</f>
        <v>Melting_Curves/meltCurve_C9J1K8_MEGF9.pdf</v>
      </c>
    </row>
    <row r="159" spans="1:28" x14ac:dyDescent="0.25">
      <c r="A159" t="s">
        <v>163</v>
      </c>
      <c r="B159">
        <v>1</v>
      </c>
      <c r="C159">
        <v>1.06086226725933</v>
      </c>
      <c r="D159">
        <v>1.0718504242951701</v>
      </c>
      <c r="E159">
        <v>1.0142675080040999</v>
      </c>
      <c r="F159">
        <v>0.79759721488296897</v>
      </c>
      <c r="G159">
        <v>0.87201206055142799</v>
      </c>
      <c r="H159">
        <v>0.38264275278977999</v>
      </c>
      <c r="I159">
        <v>1.0458642877125399</v>
      </c>
      <c r="J159">
        <v>0.39879083646762598</v>
      </c>
      <c r="K159">
        <v>0.46969320195206898</v>
      </c>
      <c r="L159">
        <v>579.64199185546499</v>
      </c>
      <c r="M159">
        <v>9.1177471030045893</v>
      </c>
      <c r="N159">
        <v>69.227856034718798</v>
      </c>
      <c r="O159">
        <v>60.738762576999498</v>
      </c>
      <c r="P159">
        <v>-2.76933357890797E-2</v>
      </c>
      <c r="Q159">
        <v>0.26258236129704998</v>
      </c>
      <c r="R159">
        <v>0.54147674040092297</v>
      </c>
      <c r="S159" t="s">
        <v>2161</v>
      </c>
      <c r="T159" t="s">
        <v>4002</v>
      </c>
      <c r="U159" t="s">
        <v>4002</v>
      </c>
      <c r="V159" t="s">
        <v>4002</v>
      </c>
      <c r="W159" t="s">
        <v>4161</v>
      </c>
      <c r="X159">
        <v>1</v>
      </c>
      <c r="Y159" t="s">
        <v>6134</v>
      </c>
      <c r="Z159" t="s">
        <v>8057</v>
      </c>
      <c r="AA159">
        <v>0.80904742737308299</v>
      </c>
      <c r="AB159" t="str">
        <f>HYPERLINK("Melting_Curves/meltCurve_C9J1Z8_ARF5.pdf", "Melting_Curves/meltCurve_C9J1Z8_ARF5.pdf")</f>
        <v>Melting_Curves/meltCurve_C9J1Z8_ARF5.pdf</v>
      </c>
    </row>
    <row r="160" spans="1:28" x14ac:dyDescent="0.25">
      <c r="A160" t="s">
        <v>164</v>
      </c>
      <c r="B160">
        <v>1</v>
      </c>
      <c r="C160">
        <v>1.0899608865710599</v>
      </c>
      <c r="D160">
        <v>1.14711351443777</v>
      </c>
      <c r="E160">
        <v>1.50022442131361</v>
      </c>
      <c r="F160">
        <v>1.51225767841494</v>
      </c>
      <c r="G160">
        <v>1.7405048410883399</v>
      </c>
      <c r="H160">
        <v>1.5394660910081901</v>
      </c>
      <c r="I160">
        <v>2.20103875008015</v>
      </c>
      <c r="J160">
        <v>2.5945241199478501</v>
      </c>
      <c r="K160">
        <v>1.86842498984761</v>
      </c>
      <c r="L160">
        <v>2295.59113953515</v>
      </c>
      <c r="M160">
        <v>49.110169552278201</v>
      </c>
      <c r="O160">
        <v>46.666399800709399</v>
      </c>
      <c r="P160">
        <v>0.131545994016809</v>
      </c>
      <c r="Q160">
        <v>1.5</v>
      </c>
      <c r="R160">
        <v>0.171834519365333</v>
      </c>
      <c r="S160" t="s">
        <v>2162</v>
      </c>
      <c r="T160" t="s">
        <v>4002</v>
      </c>
      <c r="U160" t="s">
        <v>4002</v>
      </c>
      <c r="V160" t="s">
        <v>4002</v>
      </c>
      <c r="W160" t="s">
        <v>4162</v>
      </c>
      <c r="X160">
        <v>1</v>
      </c>
      <c r="Y160" t="s">
        <v>6135</v>
      </c>
      <c r="Z160" t="s">
        <v>8058</v>
      </c>
      <c r="AA160">
        <v>1.38653325730504</v>
      </c>
      <c r="AB160" t="str">
        <f>HYPERLINK("Melting_Curves/meltCurve_C9J2N5_INPP1.pdf", "Melting_Curves/meltCurve_C9J2N5_INPP1.pdf")</f>
        <v>Melting_Curves/meltCurve_C9J2N5_INPP1.pdf</v>
      </c>
    </row>
    <row r="161" spans="1:28" x14ac:dyDescent="0.25">
      <c r="A161" t="s">
        <v>165</v>
      </c>
      <c r="B161">
        <v>1</v>
      </c>
      <c r="C161">
        <v>1.0558284476839399</v>
      </c>
      <c r="D161">
        <v>1.2597052765013499</v>
      </c>
      <c r="E161">
        <v>0.91395975281255004</v>
      </c>
      <c r="F161">
        <v>1.13399883800771</v>
      </c>
      <c r="G161">
        <v>1.0148418105952599</v>
      </c>
      <c r="H161">
        <v>1.12665715945703</v>
      </c>
      <c r="I161">
        <v>1.36613320657054</v>
      </c>
      <c r="J161">
        <v>1.0952833676649201</v>
      </c>
      <c r="K161">
        <v>0.854803781756721</v>
      </c>
      <c r="L161">
        <v>10710.5297658746</v>
      </c>
      <c r="M161">
        <v>250</v>
      </c>
      <c r="O161">
        <v>42.839375125488502</v>
      </c>
      <c r="P161">
        <v>0.139580832108368</v>
      </c>
      <c r="Q161">
        <v>1.0956728951204699</v>
      </c>
      <c r="R161">
        <v>4.2612859524246503E-2</v>
      </c>
      <c r="S161" t="s">
        <v>2163</v>
      </c>
      <c r="T161" t="s">
        <v>4002</v>
      </c>
      <c r="U161" t="s">
        <v>4002</v>
      </c>
      <c r="V161" t="s">
        <v>4002</v>
      </c>
      <c r="W161" t="s">
        <v>4163</v>
      </c>
      <c r="X161">
        <v>1</v>
      </c>
      <c r="Y161" t="s">
        <v>6136</v>
      </c>
      <c r="Z161" t="s">
        <v>8059</v>
      </c>
      <c r="AA161">
        <v>1.086601909759852</v>
      </c>
      <c r="AB161" t="str">
        <f>HYPERLINK("Melting_Curves/meltCurve_C9J3F6_TBC1D5.pdf", "Melting_Curves/meltCurve_C9J3F6_TBC1D5.pdf")</f>
        <v>Melting_Curves/meltCurve_C9J3F6_TBC1D5.pdf</v>
      </c>
    </row>
    <row r="162" spans="1:28" x14ac:dyDescent="0.25">
      <c r="A162" t="s">
        <v>166</v>
      </c>
      <c r="B162">
        <v>1</v>
      </c>
      <c r="C162">
        <v>1.09629245527612</v>
      </c>
      <c r="D162">
        <v>1.14233860513352</v>
      </c>
      <c r="E162">
        <v>1.0252838994036799</v>
      </c>
      <c r="F162">
        <v>0.83047964739434799</v>
      </c>
      <c r="G162">
        <v>0.98777288047705503</v>
      </c>
      <c r="H162">
        <v>1.1138190303344599</v>
      </c>
      <c r="I162">
        <v>1.15582058594763</v>
      </c>
      <c r="J162">
        <v>1.3410422608244701</v>
      </c>
      <c r="K162">
        <v>1.4213119004407599</v>
      </c>
      <c r="L162">
        <v>1674.4670681626101</v>
      </c>
      <c r="M162">
        <v>25.6365752966564</v>
      </c>
      <c r="O162">
        <v>64.9220195680887</v>
      </c>
      <c r="P162">
        <v>4.9360924247448201E-2</v>
      </c>
      <c r="Q162">
        <v>1.5</v>
      </c>
      <c r="R162">
        <v>0.76357863515302005</v>
      </c>
      <c r="S162" t="s">
        <v>2164</v>
      </c>
      <c r="T162" t="s">
        <v>4002</v>
      </c>
      <c r="U162" t="s">
        <v>4002</v>
      </c>
      <c r="V162" t="s">
        <v>4002</v>
      </c>
      <c r="W162" t="s">
        <v>4164</v>
      </c>
      <c r="X162">
        <v>1</v>
      </c>
      <c r="Y162" t="s">
        <v>6137</v>
      </c>
      <c r="Z162" t="s">
        <v>8060</v>
      </c>
      <c r="AA162">
        <v>1.081383235980528</v>
      </c>
      <c r="AB162" t="str">
        <f>HYPERLINK("Melting_Curves/meltCurve_C9J4L5_CREB1.pdf", "Melting_Curves/meltCurve_C9J4L5_CREB1.pdf")</f>
        <v>Melting_Curves/meltCurve_C9J4L5_CREB1.pdf</v>
      </c>
    </row>
    <row r="163" spans="1:28" x14ac:dyDescent="0.25">
      <c r="A163" t="s">
        <v>167</v>
      </c>
      <c r="B163">
        <v>1</v>
      </c>
      <c r="C163">
        <v>0.89432880612519705</v>
      </c>
      <c r="D163">
        <v>1.12109961140395</v>
      </c>
      <c r="E163">
        <v>1.20168519872263</v>
      </c>
      <c r="F163">
        <v>1.1991073833250001</v>
      </c>
      <c r="G163">
        <v>1.2589357854642</v>
      </c>
      <c r="H163">
        <v>0.98803431957216004</v>
      </c>
      <c r="I163">
        <v>1.49863414258782</v>
      </c>
      <c r="J163">
        <v>1.14820514793582</v>
      </c>
      <c r="K163">
        <v>1.2869647185564199</v>
      </c>
      <c r="L163">
        <v>11493.3671523136</v>
      </c>
      <c r="M163">
        <v>250</v>
      </c>
      <c r="O163">
        <v>45.970526644458701</v>
      </c>
      <c r="P163">
        <v>0.30717793127717102</v>
      </c>
      <c r="Q163">
        <v>1.2259380999664899</v>
      </c>
      <c r="R163">
        <v>0.431190897260747</v>
      </c>
      <c r="S163" t="s">
        <v>2165</v>
      </c>
      <c r="T163" t="s">
        <v>4002</v>
      </c>
      <c r="U163" t="s">
        <v>4002</v>
      </c>
      <c r="V163" t="s">
        <v>4002</v>
      </c>
      <c r="W163" t="s">
        <v>4165</v>
      </c>
      <c r="X163">
        <v>1</v>
      </c>
      <c r="Y163" t="s">
        <v>6138</v>
      </c>
      <c r="Z163" t="s">
        <v>8061</v>
      </c>
      <c r="AA163">
        <v>1.180932065739456</v>
      </c>
      <c r="AB163" t="str">
        <f>HYPERLINK("Melting_Curves/meltCurve_C9J4T6_IL8.pdf", "Melting_Curves/meltCurve_C9J4T6_IL8.pdf")</f>
        <v>Melting_Curves/meltCurve_C9J4T6_IL8.pdf</v>
      </c>
    </row>
    <row r="164" spans="1:28" x14ac:dyDescent="0.25">
      <c r="A164" t="s">
        <v>168</v>
      </c>
      <c r="B164">
        <v>1</v>
      </c>
      <c r="C164">
        <v>1.0020191822311999</v>
      </c>
      <c r="D164">
        <v>1.0622340809115201</v>
      </c>
      <c r="E164">
        <v>0.96754885699863002</v>
      </c>
      <c r="F164">
        <v>0.889449772841999</v>
      </c>
      <c r="G164">
        <v>0.84192687675777</v>
      </c>
      <c r="H164">
        <v>0.61831686738299596</v>
      </c>
      <c r="I164">
        <v>0.898968774789068</v>
      </c>
      <c r="J164">
        <v>1.10744934016009</v>
      </c>
      <c r="K164">
        <v>0.75928463258094803</v>
      </c>
      <c r="L164">
        <v>2404.0745162564199</v>
      </c>
      <c r="M164">
        <v>46.461289777953297</v>
      </c>
      <c r="O164">
        <v>51.648016389553398</v>
      </c>
      <c r="P164">
        <v>-3.4764408324070503E-2</v>
      </c>
      <c r="Q164">
        <v>0.84541878262102699</v>
      </c>
      <c r="R164">
        <v>0.30888156554094698</v>
      </c>
      <c r="S164" t="s">
        <v>2166</v>
      </c>
      <c r="T164" t="s">
        <v>4002</v>
      </c>
      <c r="U164" t="s">
        <v>4002</v>
      </c>
      <c r="V164" t="s">
        <v>4002</v>
      </c>
      <c r="W164" t="s">
        <v>4166</v>
      </c>
      <c r="X164">
        <v>3</v>
      </c>
      <c r="Y164" t="s">
        <v>6139</v>
      </c>
      <c r="Z164" t="s">
        <v>8062</v>
      </c>
      <c r="AA164">
        <v>0.90633905014358029</v>
      </c>
      <c r="AB164" t="str">
        <f>HYPERLINK("Melting_Curves/meltCurve_C9J5D1_NAA50.pdf", "Melting_Curves/meltCurve_C9J5D1_NAA50.pdf")</f>
        <v>Melting_Curves/meltCurve_C9J5D1_NAA50.pdf</v>
      </c>
    </row>
    <row r="165" spans="1:28" x14ac:dyDescent="0.25">
      <c r="A165" t="s">
        <v>169</v>
      </c>
      <c r="B165">
        <v>1</v>
      </c>
      <c r="C165">
        <v>0.80317332618217596</v>
      </c>
      <c r="D165">
        <v>0.92160543487977098</v>
      </c>
      <c r="E165">
        <v>0.91588450880486305</v>
      </c>
      <c r="F165">
        <v>0.75304371145079096</v>
      </c>
      <c r="G165">
        <v>0.65342808617144899</v>
      </c>
      <c r="H165">
        <v>0.705318673460266</v>
      </c>
      <c r="I165">
        <v>0.693358362384911</v>
      </c>
      <c r="J165">
        <v>0.62757665147045705</v>
      </c>
      <c r="K165">
        <v>0.57813533565746</v>
      </c>
      <c r="L165">
        <v>284.62357894204803</v>
      </c>
      <c r="M165">
        <v>4.7865631446280599</v>
      </c>
      <c r="O165">
        <v>51.354663301021702</v>
      </c>
      <c r="P165">
        <v>-1.4007896601750201E-2</v>
      </c>
      <c r="Q165">
        <v>0.40308506596069399</v>
      </c>
      <c r="R165">
        <v>0.80221465048068896</v>
      </c>
      <c r="S165" t="s">
        <v>2167</v>
      </c>
      <c r="T165" t="s">
        <v>4002</v>
      </c>
      <c r="U165" t="s">
        <v>4002</v>
      </c>
      <c r="V165" t="s">
        <v>4002</v>
      </c>
      <c r="W165" t="s">
        <v>4167</v>
      </c>
      <c r="X165">
        <v>2</v>
      </c>
      <c r="Y165" t="s">
        <v>6140</v>
      </c>
      <c r="Z165" t="s">
        <v>8063</v>
      </c>
      <c r="AA165">
        <v>0.76507754447128107</v>
      </c>
      <c r="AB165" t="str">
        <f>HYPERLINK("Melting_Curves/meltCurve_C9J6H5_ADAM9.pdf", "Melting_Curves/meltCurve_C9J6H5_ADAM9.pdf")</f>
        <v>Melting_Curves/meltCurve_C9J6H5_ADAM9.pdf</v>
      </c>
    </row>
    <row r="166" spans="1:28" x14ac:dyDescent="0.25">
      <c r="A166" t="s">
        <v>170</v>
      </c>
      <c r="B166">
        <v>1</v>
      </c>
      <c r="C166">
        <v>0.94026711697881504</v>
      </c>
      <c r="D166">
        <v>0.91707092416334002</v>
      </c>
      <c r="E166">
        <v>0.89613140927233603</v>
      </c>
      <c r="F166">
        <v>0.80568007368744199</v>
      </c>
      <c r="G166">
        <v>0.83914645379183295</v>
      </c>
      <c r="H166">
        <v>0.77490021492170702</v>
      </c>
      <c r="I166">
        <v>0.91786920478968403</v>
      </c>
      <c r="J166">
        <v>0.83497083205403699</v>
      </c>
      <c r="K166">
        <v>0.82001842186060803</v>
      </c>
      <c r="L166">
        <v>770.466641383602</v>
      </c>
      <c r="M166">
        <v>16.841571891156399</v>
      </c>
      <c r="O166">
        <v>45.117512618012597</v>
      </c>
      <c r="P166">
        <v>-1.5635021254096399E-2</v>
      </c>
      <c r="Q166">
        <v>0.83246978468796595</v>
      </c>
      <c r="R166">
        <v>0.68364416580655696</v>
      </c>
      <c r="S166" t="s">
        <v>2168</v>
      </c>
      <c r="T166" t="s">
        <v>4002</v>
      </c>
      <c r="U166" t="s">
        <v>4002</v>
      </c>
      <c r="V166" t="s">
        <v>4002</v>
      </c>
      <c r="W166" t="s">
        <v>4168</v>
      </c>
      <c r="X166">
        <v>6</v>
      </c>
      <c r="Y166" t="s">
        <v>6141</v>
      </c>
      <c r="Z166" t="s">
        <v>8064</v>
      </c>
      <c r="AA166">
        <v>0.86846166985398487</v>
      </c>
      <c r="AB166" t="str">
        <f>HYPERLINK("Melting_Curves/meltCurve_C9J6N5_FAM107B.pdf", "Melting_Curves/meltCurve_C9J6N5_FAM107B.pdf")</f>
        <v>Melting_Curves/meltCurve_C9J6N5_FAM107B.pdf</v>
      </c>
    </row>
    <row r="167" spans="1:28" x14ac:dyDescent="0.25">
      <c r="A167" t="s">
        <v>171</v>
      </c>
      <c r="B167">
        <v>1</v>
      </c>
      <c r="C167">
        <v>0.85837099946594397</v>
      </c>
      <c r="D167">
        <v>0.930103815242735</v>
      </c>
      <c r="E167">
        <v>0.94358546847116698</v>
      </c>
      <c r="F167">
        <v>0.87889958447851402</v>
      </c>
      <c r="G167">
        <v>0.92312201221815504</v>
      </c>
      <c r="H167">
        <v>0.84240142762240899</v>
      </c>
      <c r="I167">
        <v>0.82726550390121301</v>
      </c>
      <c r="J167">
        <v>1.0586679866095301</v>
      </c>
      <c r="K167">
        <v>0.95266441755350295</v>
      </c>
      <c r="L167">
        <v>10237.806589923301</v>
      </c>
      <c r="M167">
        <v>250</v>
      </c>
      <c r="O167">
        <v>40.948605774175697</v>
      </c>
      <c r="P167">
        <v>-0.133113773450317</v>
      </c>
      <c r="Q167">
        <v>0.91278682523360999</v>
      </c>
      <c r="R167">
        <v>0.144265587756192</v>
      </c>
      <c r="S167" t="s">
        <v>2169</v>
      </c>
      <c r="T167" t="s">
        <v>4002</v>
      </c>
      <c r="U167" t="s">
        <v>4002</v>
      </c>
      <c r="V167" t="s">
        <v>4002</v>
      </c>
      <c r="W167" t="s">
        <v>4169</v>
      </c>
      <c r="X167">
        <v>2</v>
      </c>
      <c r="Y167" t="s">
        <v>6142</v>
      </c>
      <c r="Z167" t="s">
        <v>8065</v>
      </c>
      <c r="AA167">
        <v>0.9155595877474787</v>
      </c>
      <c r="AB167" t="str">
        <f>HYPERLINK("Melting_Curves/meltCurve_C9J6P4_ZC3HAV1.pdf", "Melting_Curves/meltCurve_C9J6P4_ZC3HAV1.pdf")</f>
        <v>Melting_Curves/meltCurve_C9J6P4_ZC3HAV1.pdf</v>
      </c>
    </row>
    <row r="168" spans="1:28" x14ac:dyDescent="0.25">
      <c r="A168" t="s">
        <v>172</v>
      </c>
      <c r="B168">
        <v>1</v>
      </c>
      <c r="C168">
        <v>0.90711020822752697</v>
      </c>
      <c r="D168">
        <v>0.97491112239715605</v>
      </c>
      <c r="E168">
        <v>1.0275774504824799</v>
      </c>
      <c r="F168">
        <v>0.99740985271711502</v>
      </c>
      <c r="G168">
        <v>1.0052818689690199</v>
      </c>
      <c r="H168">
        <v>0.81645505332656199</v>
      </c>
      <c r="I168">
        <v>1.11416962925343</v>
      </c>
      <c r="J168">
        <v>0.95749111223971595</v>
      </c>
      <c r="K168">
        <v>0.93382427628237696</v>
      </c>
      <c r="L168">
        <v>38.196631305078597</v>
      </c>
      <c r="M168">
        <v>1.0000000000000001E-5</v>
      </c>
      <c r="Q168">
        <v>0.91922485540341103</v>
      </c>
      <c r="R168">
        <v>7.8016626916022102E-4</v>
      </c>
      <c r="S168" t="s">
        <v>2170</v>
      </c>
      <c r="T168" t="s">
        <v>4002</v>
      </c>
      <c r="U168" t="s">
        <v>4002</v>
      </c>
      <c r="V168" t="s">
        <v>4002</v>
      </c>
      <c r="W168" t="s">
        <v>4170</v>
      </c>
      <c r="X168">
        <v>20</v>
      </c>
      <c r="Y168" t="s">
        <v>6143</v>
      </c>
      <c r="Z168" t="s">
        <v>8066</v>
      </c>
      <c r="AA168">
        <v>0.9733800399667335</v>
      </c>
      <c r="AB168" t="str">
        <f>HYPERLINK("Melting_Curves/meltCurve_C9J815_APOBR.pdf", "Melting_Curves/meltCurve_C9J815_APOBR.pdf")</f>
        <v>Melting_Curves/meltCurve_C9J815_APOBR.pdf</v>
      </c>
    </row>
    <row r="169" spans="1:28" x14ac:dyDescent="0.25">
      <c r="A169" t="s">
        <v>173</v>
      </c>
      <c r="B169">
        <v>1</v>
      </c>
      <c r="C169">
        <v>0.92378437443088701</v>
      </c>
      <c r="D169">
        <v>1.1622655254052101</v>
      </c>
      <c r="E169">
        <v>1.12251866690949</v>
      </c>
      <c r="F169">
        <v>1.2981697322892001</v>
      </c>
      <c r="G169">
        <v>1.2056091786559799</v>
      </c>
      <c r="H169">
        <v>1.1474230559096701</v>
      </c>
      <c r="I169">
        <v>1.68029502822801</v>
      </c>
      <c r="J169">
        <v>1.27640684756875</v>
      </c>
      <c r="K169">
        <v>1.30058277180841</v>
      </c>
      <c r="L169">
        <v>613.436520282949</v>
      </c>
      <c r="M169">
        <v>11.9476805293067</v>
      </c>
      <c r="O169">
        <v>49.968611224967503</v>
      </c>
      <c r="P169">
        <v>2.2411032820822199E-2</v>
      </c>
      <c r="Q169">
        <v>1.3748254483928</v>
      </c>
      <c r="R169">
        <v>0.50566513735691399</v>
      </c>
      <c r="S169" t="s">
        <v>2171</v>
      </c>
      <c r="T169" t="s">
        <v>4002</v>
      </c>
      <c r="U169" t="s">
        <v>4002</v>
      </c>
      <c r="V169" t="s">
        <v>4002</v>
      </c>
      <c r="W169" t="s">
        <v>4171</v>
      </c>
      <c r="X169">
        <v>4</v>
      </c>
      <c r="Y169" t="s">
        <v>6144</v>
      </c>
      <c r="Z169" t="s">
        <v>8067</v>
      </c>
      <c r="AA169">
        <v>1.2210560798573971</v>
      </c>
      <c r="AB169" t="str">
        <f>HYPERLINK("Melting_Curves/meltCurve_C9J8E1_MAPKAPK3.pdf", "Melting_Curves/meltCurve_C9J8E1_MAPKAPK3.pdf")</f>
        <v>Melting_Curves/meltCurve_C9J8E1_MAPKAPK3.pdf</v>
      </c>
    </row>
    <row r="170" spans="1:28" x14ac:dyDescent="0.25">
      <c r="A170" t="s">
        <v>174</v>
      </c>
      <c r="B170">
        <v>1</v>
      </c>
      <c r="C170">
        <v>1.0910627696961599</v>
      </c>
      <c r="D170">
        <v>1.1710040482227899</v>
      </c>
      <c r="E170">
        <v>1.2724320476889499</v>
      </c>
      <c r="F170">
        <v>1.1818586236042501</v>
      </c>
      <c r="G170">
        <v>1.18915432181147</v>
      </c>
      <c r="H170">
        <v>0.78477690288713897</v>
      </c>
      <c r="I170">
        <v>1.3791093909871399</v>
      </c>
      <c r="J170">
        <v>0.74296009608968405</v>
      </c>
      <c r="K170">
        <v>0.90907068819787396</v>
      </c>
      <c r="L170">
        <v>1909.8091866743</v>
      </c>
      <c r="M170">
        <v>27.5425163731948</v>
      </c>
      <c r="O170">
        <v>68.977931511928404</v>
      </c>
      <c r="P170">
        <v>-2.0263656563634901E-2</v>
      </c>
      <c r="Q170">
        <v>0.79700724401131795</v>
      </c>
      <c r="R170">
        <v>-7.9623296190647994E-2</v>
      </c>
      <c r="S170" t="s">
        <v>2172</v>
      </c>
      <c r="T170" t="s">
        <v>4002</v>
      </c>
      <c r="U170" t="s">
        <v>4002</v>
      </c>
      <c r="V170" t="s">
        <v>4002</v>
      </c>
      <c r="W170" t="s">
        <v>4172</v>
      </c>
      <c r="X170">
        <v>1</v>
      </c>
      <c r="Y170" t="s">
        <v>6145</v>
      </c>
      <c r="Z170" t="s">
        <v>8068</v>
      </c>
      <c r="AA170">
        <v>0.98672745256503402</v>
      </c>
      <c r="AB170" t="str">
        <f>HYPERLINK("Melting_Curves/meltCurve_C9J8M4_USP19.pdf", "Melting_Curves/meltCurve_C9J8M4_USP19.pdf")</f>
        <v>Melting_Curves/meltCurve_C9J8M4_USP19.pdf</v>
      </c>
    </row>
    <row r="171" spans="1:28" x14ac:dyDescent="0.25">
      <c r="A171" t="s">
        <v>175</v>
      </c>
      <c r="B171">
        <v>1</v>
      </c>
      <c r="C171">
        <v>0.93070964225933295</v>
      </c>
      <c r="D171">
        <v>0.98703725329907699</v>
      </c>
      <c r="E171">
        <v>1.0351512320448399</v>
      </c>
      <c r="F171">
        <v>1.0105492623301799</v>
      </c>
      <c r="G171">
        <v>1.15547510607653</v>
      </c>
      <c r="H171">
        <v>1.1739265833625301</v>
      </c>
      <c r="I171">
        <v>1.6367316750360099</v>
      </c>
      <c r="J171">
        <v>1.2695706333450101</v>
      </c>
      <c r="K171">
        <v>1.4955817665148501</v>
      </c>
      <c r="L171">
        <v>1619.114821552</v>
      </c>
      <c r="M171">
        <v>27.138825592126601</v>
      </c>
      <c r="O171">
        <v>59.339348258760801</v>
      </c>
      <c r="P171">
        <v>5.3448024378284997E-2</v>
      </c>
      <c r="Q171">
        <v>1.46745429526917</v>
      </c>
      <c r="R171">
        <v>0.77568662822658396</v>
      </c>
      <c r="S171" t="s">
        <v>2173</v>
      </c>
      <c r="T171" t="s">
        <v>4002</v>
      </c>
      <c r="U171" t="s">
        <v>4002</v>
      </c>
      <c r="V171" t="s">
        <v>4002</v>
      </c>
      <c r="W171" t="s">
        <v>4173</v>
      </c>
      <c r="X171">
        <v>5</v>
      </c>
      <c r="Y171" t="s">
        <v>6146</v>
      </c>
      <c r="Z171" t="s">
        <v>8069</v>
      </c>
      <c r="AA171">
        <v>1.157808853794043</v>
      </c>
      <c r="AB171" t="str">
        <f>HYPERLINK("Melting_Curves/meltCurve_C9J8Z4_IGSF8.pdf", "Melting_Curves/meltCurve_C9J8Z4_IGSF8.pdf")</f>
        <v>Melting_Curves/meltCurve_C9J8Z4_IGSF8.pdf</v>
      </c>
    </row>
    <row r="172" spans="1:28" x14ac:dyDescent="0.25">
      <c r="A172" t="s">
        <v>176</v>
      </c>
      <c r="B172">
        <v>1</v>
      </c>
      <c r="C172">
        <v>0.92067692736262996</v>
      </c>
      <c r="D172">
        <v>0.99052858834180701</v>
      </c>
      <c r="E172">
        <v>1.0689463054530299</v>
      </c>
      <c r="F172">
        <v>0.94296260185249703</v>
      </c>
      <c r="G172">
        <v>1.1517515147294399</v>
      </c>
      <c r="H172">
        <v>0.97207326415488504</v>
      </c>
      <c r="I172">
        <v>1.1029319590500699</v>
      </c>
      <c r="J172">
        <v>0.93446618845323504</v>
      </c>
      <c r="K172">
        <v>1.03461243819207</v>
      </c>
      <c r="L172">
        <v>183.49645212232201</v>
      </c>
      <c r="M172">
        <v>1.0000000000000001E-5</v>
      </c>
      <c r="Q172">
        <v>1.41956212576552</v>
      </c>
      <c r="R172">
        <v>2.9940933230946001E-2</v>
      </c>
      <c r="S172" t="s">
        <v>2174</v>
      </c>
      <c r="T172" t="s">
        <v>4002</v>
      </c>
      <c r="U172" t="s">
        <v>4002</v>
      </c>
      <c r="V172" t="s">
        <v>4002</v>
      </c>
      <c r="W172" t="s">
        <v>4174</v>
      </c>
      <c r="X172">
        <v>2</v>
      </c>
      <c r="Y172" t="s">
        <v>6147</v>
      </c>
      <c r="Z172" t="s">
        <v>8070</v>
      </c>
      <c r="AA172">
        <v>1.0150503159393429</v>
      </c>
      <c r="AB172" t="str">
        <f>HYPERLINK("Melting_Curves/meltCurve_C9J973_NHLRC3.pdf", "Melting_Curves/meltCurve_C9J973_NHLRC3.pdf")</f>
        <v>Melting_Curves/meltCurve_C9J973_NHLRC3.pdf</v>
      </c>
    </row>
    <row r="173" spans="1:28" x14ac:dyDescent="0.25">
      <c r="A173" t="s">
        <v>177</v>
      </c>
      <c r="B173">
        <v>1</v>
      </c>
      <c r="C173">
        <v>0.94493570253005699</v>
      </c>
      <c r="D173">
        <v>1.1036849005551099</v>
      </c>
      <c r="E173">
        <v>1.16502552372451</v>
      </c>
      <c r="F173">
        <v>1.10198331892103</v>
      </c>
      <c r="G173">
        <v>1.21322770509638</v>
      </c>
      <c r="H173">
        <v>1.3837206058746401</v>
      </c>
      <c r="I173">
        <v>1.52442188066613</v>
      </c>
      <c r="J173">
        <v>5.3279031493207603</v>
      </c>
      <c r="K173">
        <v>1.8119054924823601</v>
      </c>
      <c r="L173">
        <v>2923.38082892476</v>
      </c>
      <c r="M173">
        <v>50.994946768002499</v>
      </c>
      <c r="O173">
        <v>57.238919669724403</v>
      </c>
      <c r="P173">
        <v>0.111364320163956</v>
      </c>
      <c r="Q173">
        <v>1.5</v>
      </c>
      <c r="R173">
        <v>4.95169284875909E-2</v>
      </c>
      <c r="S173" t="s">
        <v>2175</v>
      </c>
      <c r="T173" t="s">
        <v>4002</v>
      </c>
      <c r="U173" t="s">
        <v>4002</v>
      </c>
      <c r="V173" t="s">
        <v>4002</v>
      </c>
      <c r="W173" t="s">
        <v>4175</v>
      </c>
      <c r="X173">
        <v>3</v>
      </c>
      <c r="Y173" t="s">
        <v>6148</v>
      </c>
      <c r="Z173" t="s">
        <v>8071</v>
      </c>
      <c r="AA173">
        <v>1.210006423195445</v>
      </c>
      <c r="AB173" t="str">
        <f>HYPERLINK("Melting_Curves/meltCurve_C9J9K3_RPSA.pdf", "Melting_Curves/meltCurve_C9J9K3_RPSA.pdf")</f>
        <v>Melting_Curves/meltCurve_C9J9K3_RPSA.pdf</v>
      </c>
    </row>
    <row r="174" spans="1:28" x14ac:dyDescent="0.25">
      <c r="A174" t="s">
        <v>178</v>
      </c>
      <c r="B174">
        <v>1</v>
      </c>
      <c r="C174">
        <v>1.07375905375772</v>
      </c>
      <c r="D174">
        <v>1.07226393780318</v>
      </c>
      <c r="E174">
        <v>1.0731277825769201</v>
      </c>
      <c r="F174">
        <v>1.07904179679713</v>
      </c>
      <c r="G174">
        <v>1.2404478702903801</v>
      </c>
      <c r="H174">
        <v>1.12685228254369</v>
      </c>
      <c r="I174">
        <v>1.55708020466476</v>
      </c>
      <c r="J174">
        <v>2.4654794338494299</v>
      </c>
      <c r="K174">
        <v>1.22795534587016</v>
      </c>
      <c r="L174">
        <v>1839.74206460705</v>
      </c>
      <c r="M174">
        <v>31.343248109906298</v>
      </c>
      <c r="O174">
        <v>58.459209980452201</v>
      </c>
      <c r="P174">
        <v>6.7019843333681994E-2</v>
      </c>
      <c r="Q174">
        <v>1.5</v>
      </c>
      <c r="R174">
        <v>0.35791282435691302</v>
      </c>
      <c r="S174" t="s">
        <v>2176</v>
      </c>
      <c r="T174" t="s">
        <v>4002</v>
      </c>
      <c r="U174" t="s">
        <v>4002</v>
      </c>
      <c r="V174" t="s">
        <v>4002</v>
      </c>
      <c r="W174" t="s">
        <v>4176</v>
      </c>
      <c r="X174">
        <v>1</v>
      </c>
      <c r="Y174" t="s">
        <v>6149</v>
      </c>
      <c r="Z174" t="s">
        <v>8072</v>
      </c>
      <c r="AA174">
        <v>1.185371045680605</v>
      </c>
      <c r="AB174" t="str">
        <f>HYPERLINK("Melting_Curves/meltCurve_C9JAB2_SRSF7.pdf", "Melting_Curves/meltCurve_C9JAB2_SRSF7.pdf")</f>
        <v>Melting_Curves/meltCurve_C9JAB2_SRSF7.pdf</v>
      </c>
    </row>
    <row r="175" spans="1:28" x14ac:dyDescent="0.25">
      <c r="A175" t="s">
        <v>179</v>
      </c>
      <c r="B175">
        <v>1</v>
      </c>
      <c r="C175">
        <v>1.17740894229368</v>
      </c>
      <c r="D175">
        <v>1.2596472229742399</v>
      </c>
      <c r="E175">
        <v>1.5318728003498601</v>
      </c>
      <c r="F175">
        <v>1.7789624940127899</v>
      </c>
      <c r="G175">
        <v>3.49674087340428</v>
      </c>
      <c r="H175">
        <v>3.1906120493971102</v>
      </c>
      <c r="I175">
        <v>4.9888585768133398</v>
      </c>
      <c r="J175">
        <v>2.61063329098898</v>
      </c>
      <c r="K175">
        <v>4.1079572669151796</v>
      </c>
      <c r="L175">
        <v>1458.23775788698</v>
      </c>
      <c r="M175">
        <v>32.518943381257102</v>
      </c>
      <c r="O175">
        <v>44.674156823120498</v>
      </c>
      <c r="P175">
        <v>9.0989676771373401E-2</v>
      </c>
      <c r="Q175">
        <v>1.5</v>
      </c>
      <c r="R175">
        <v>-0.57350528235049403</v>
      </c>
      <c r="S175" t="s">
        <v>2177</v>
      </c>
      <c r="T175" t="s">
        <v>4002</v>
      </c>
      <c r="U175" t="s">
        <v>4002</v>
      </c>
      <c r="V175" t="s">
        <v>4002</v>
      </c>
      <c r="W175" t="s">
        <v>4177</v>
      </c>
      <c r="X175">
        <v>1</v>
      </c>
      <c r="Y175" t="s">
        <v>6150</v>
      </c>
      <c r="Z175" t="s">
        <v>8073</v>
      </c>
      <c r="AA175">
        <v>1.416596869833922</v>
      </c>
      <c r="AB175" t="str">
        <f>HYPERLINK("Melting_Curves/meltCurve_C9JAL0_CRYZL1.pdf", "Melting_Curves/meltCurve_C9JAL0_CRYZL1.pdf")</f>
        <v>Melting_Curves/meltCurve_C9JAL0_CRYZL1.pdf</v>
      </c>
    </row>
    <row r="176" spans="1:28" x14ac:dyDescent="0.25">
      <c r="A176" t="s">
        <v>180</v>
      </c>
      <c r="B176">
        <v>1</v>
      </c>
      <c r="C176">
        <v>0.856332449397469</v>
      </c>
      <c r="D176">
        <v>0.92055766282881901</v>
      </c>
      <c r="E176">
        <v>1.1212558602710001</v>
      </c>
      <c r="F176">
        <v>1.1763060432121599</v>
      </c>
      <c r="G176">
        <v>1.2048381502243399</v>
      </c>
      <c r="H176">
        <v>0.96795452765376599</v>
      </c>
      <c r="I176">
        <v>1.2945744240430599</v>
      </c>
      <c r="J176">
        <v>0.76497376165061004</v>
      </c>
      <c r="K176">
        <v>0.924652859364685</v>
      </c>
      <c r="L176">
        <v>2064.9112215478499</v>
      </c>
      <c r="M176">
        <v>30.137851323422598</v>
      </c>
      <c r="O176">
        <v>68.216023536478204</v>
      </c>
      <c r="P176">
        <v>-1.7198267543894599E-2</v>
      </c>
      <c r="Q176">
        <v>0.84429021556031603</v>
      </c>
      <c r="R176">
        <v>4.4497515731329797E-2</v>
      </c>
      <c r="S176" t="s">
        <v>2178</v>
      </c>
      <c r="T176" t="s">
        <v>4002</v>
      </c>
      <c r="U176" t="s">
        <v>4002</v>
      </c>
      <c r="V176" t="s">
        <v>4002</v>
      </c>
      <c r="W176" t="s">
        <v>4178</v>
      </c>
      <c r="X176">
        <v>5</v>
      </c>
      <c r="Y176" t="s">
        <v>6151</v>
      </c>
      <c r="Z176" t="s">
        <v>8074</v>
      </c>
      <c r="AA176">
        <v>0.98794120966774301</v>
      </c>
      <c r="AB176" t="str">
        <f>HYPERLINK("Melting_Curves/meltCurve_C9JB55_TF.pdf", "Melting_Curves/meltCurve_C9JB55_TF.pdf")</f>
        <v>Melting_Curves/meltCurve_C9JB55_TF.pdf</v>
      </c>
    </row>
    <row r="177" spans="1:28" x14ac:dyDescent="0.25">
      <c r="A177" t="s">
        <v>181</v>
      </c>
      <c r="B177">
        <v>1</v>
      </c>
      <c r="C177">
        <v>1.1338999478118199</v>
      </c>
      <c r="D177">
        <v>1.5092820398121201</v>
      </c>
      <c r="E177">
        <v>2.1815402967270598</v>
      </c>
      <c r="F177">
        <v>2.65794378587937</v>
      </c>
      <c r="G177">
        <v>3.6483262506523499</v>
      </c>
      <c r="H177">
        <v>3.4060240065607998</v>
      </c>
      <c r="I177">
        <v>5.4515022739133698</v>
      </c>
      <c r="J177">
        <v>4.2859166480280297</v>
      </c>
      <c r="K177">
        <v>4.3884291359129204</v>
      </c>
      <c r="L177">
        <v>10281.375792868599</v>
      </c>
      <c r="M177">
        <v>238.65327585760801</v>
      </c>
      <c r="O177">
        <v>43.077782154560403</v>
      </c>
      <c r="P177">
        <v>0.69250685817068902</v>
      </c>
      <c r="Q177">
        <v>1.5</v>
      </c>
      <c r="R177">
        <v>-1.0222441422589099</v>
      </c>
      <c r="S177" t="s">
        <v>2179</v>
      </c>
      <c r="T177" t="s">
        <v>4002</v>
      </c>
      <c r="U177" t="s">
        <v>4002</v>
      </c>
      <c r="V177" t="s">
        <v>4002</v>
      </c>
      <c r="W177" t="s">
        <v>4179</v>
      </c>
      <c r="X177">
        <v>7</v>
      </c>
      <c r="Y177" t="s">
        <v>6152</v>
      </c>
      <c r="Z177" t="s">
        <v>8075</v>
      </c>
      <c r="AA177">
        <v>1.4486117272506389</v>
      </c>
      <c r="AB177" t="str">
        <f>HYPERLINK("Melting_Curves/meltCurve_C9JC60_NAPRT1.pdf", "Melting_Curves/meltCurve_C9JC60_NAPRT1.pdf")</f>
        <v>Melting_Curves/meltCurve_C9JC60_NAPRT1.pdf</v>
      </c>
    </row>
    <row r="178" spans="1:28" x14ac:dyDescent="0.25">
      <c r="A178" t="s">
        <v>182</v>
      </c>
      <c r="B178">
        <v>1</v>
      </c>
      <c r="C178">
        <v>0.88157124947764298</v>
      </c>
      <c r="D178">
        <v>0.66956748850814896</v>
      </c>
      <c r="E178">
        <v>0.50996656916005001</v>
      </c>
      <c r="F178">
        <v>0.52674467195988295</v>
      </c>
      <c r="G178">
        <v>0.60854575846218095</v>
      </c>
      <c r="H178">
        <v>0.41761387379857901</v>
      </c>
      <c r="I178">
        <v>0.71372753865440897</v>
      </c>
      <c r="J178">
        <v>0.52544922691182605</v>
      </c>
      <c r="K178">
        <v>0.57358963643961602</v>
      </c>
      <c r="L178">
        <v>1513.1055666136799</v>
      </c>
      <c r="M178">
        <v>34.133347238638997</v>
      </c>
      <c r="O178">
        <v>44.177901189637304</v>
      </c>
      <c r="P178">
        <v>-8.6211383182222295E-2</v>
      </c>
      <c r="Q178">
        <v>0.55367697453499498</v>
      </c>
      <c r="R178">
        <v>0.82053198897070601</v>
      </c>
      <c r="S178" t="s">
        <v>2180</v>
      </c>
      <c r="T178" t="s">
        <v>4002</v>
      </c>
      <c r="U178" t="s">
        <v>4002</v>
      </c>
      <c r="V178" t="s">
        <v>4002</v>
      </c>
      <c r="W178" t="s">
        <v>4180</v>
      </c>
      <c r="X178">
        <v>1</v>
      </c>
      <c r="Y178" t="s">
        <v>6153</v>
      </c>
      <c r="Z178" t="s">
        <v>8076</v>
      </c>
      <c r="AA178">
        <v>0.62033713913136657</v>
      </c>
      <c r="AB178" t="str">
        <f>HYPERLINK("Melting_Curves/meltCurve_C9JEE0_IGLL1.pdf", "Melting_Curves/meltCurve_C9JEE0_IGLL1.pdf")</f>
        <v>Melting_Curves/meltCurve_C9JEE0_IGLL1.pdf</v>
      </c>
    </row>
    <row r="179" spans="1:28" x14ac:dyDescent="0.25">
      <c r="A179" t="s">
        <v>183</v>
      </c>
      <c r="B179">
        <v>1</v>
      </c>
      <c r="C179">
        <v>1.3053891394650601</v>
      </c>
      <c r="D179">
        <v>1.4201499801214601</v>
      </c>
      <c r="E179">
        <v>1.4381092085601099</v>
      </c>
      <c r="F179">
        <v>1.47443894547798</v>
      </c>
      <c r="G179">
        <v>1.17031106480403</v>
      </c>
      <c r="H179">
        <v>0.92252854968948395</v>
      </c>
      <c r="I179">
        <v>1.43125454121711</v>
      </c>
      <c r="J179">
        <v>8.6900730707538791</v>
      </c>
      <c r="K179">
        <v>0.58837722605321996</v>
      </c>
      <c r="L179">
        <v>1522.8120482320401</v>
      </c>
      <c r="M179">
        <v>35.722195348844998</v>
      </c>
      <c r="O179">
        <v>42.496364102849597</v>
      </c>
      <c r="P179">
        <v>0.105074611652883</v>
      </c>
      <c r="Q179">
        <v>1.5</v>
      </c>
      <c r="R179">
        <v>-3.27872669408533E-2</v>
      </c>
      <c r="S179" t="s">
        <v>2181</v>
      </c>
      <c r="T179" t="s">
        <v>4002</v>
      </c>
      <c r="U179" t="s">
        <v>4002</v>
      </c>
      <c r="V179" t="s">
        <v>4002</v>
      </c>
      <c r="W179" t="s">
        <v>4181</v>
      </c>
      <c r="X179">
        <v>2</v>
      </c>
      <c r="Y179" t="s">
        <v>6154</v>
      </c>
      <c r="Z179" t="s">
        <v>8077</v>
      </c>
      <c r="AA179">
        <v>1.452808030560683</v>
      </c>
      <c r="AB179" t="str">
        <f>HYPERLINK("Melting_Curves/meltCurve_C9JEH7_RPS4Y1.pdf", "Melting_Curves/meltCurve_C9JEH7_RPS4Y1.pdf")</f>
        <v>Melting_Curves/meltCurve_C9JEH7_RPS4Y1.pdf</v>
      </c>
    </row>
    <row r="180" spans="1:28" x14ac:dyDescent="0.25">
      <c r="A180" t="s">
        <v>184</v>
      </c>
      <c r="B180">
        <v>1</v>
      </c>
      <c r="C180">
        <v>0.97577580462150804</v>
      </c>
      <c r="D180">
        <v>1.1129441852925801</v>
      </c>
      <c r="E180">
        <v>1.12450696107919</v>
      </c>
      <c r="F180">
        <v>0.94785944563514202</v>
      </c>
      <c r="G180">
        <v>1.0479981269023599</v>
      </c>
      <c r="H180">
        <v>0.62116600327792104</v>
      </c>
      <c r="I180">
        <v>1.20117789024368</v>
      </c>
      <c r="J180">
        <v>0.56050645678367494</v>
      </c>
      <c r="K180">
        <v>0.70732849449777602</v>
      </c>
      <c r="L180">
        <v>925.98344275242596</v>
      </c>
      <c r="M180">
        <v>13.277483819513799</v>
      </c>
      <c r="O180">
        <v>68.215844337683606</v>
      </c>
      <c r="P180">
        <v>-3.2154835890753401E-2</v>
      </c>
      <c r="Q180">
        <v>0.33929889208480002</v>
      </c>
      <c r="R180">
        <v>0.34994131513882398</v>
      </c>
      <c r="S180" t="s">
        <v>2182</v>
      </c>
      <c r="T180" t="s">
        <v>4002</v>
      </c>
      <c r="U180" t="s">
        <v>4002</v>
      </c>
      <c r="V180" t="s">
        <v>4002</v>
      </c>
      <c r="W180" t="s">
        <v>4182</v>
      </c>
      <c r="X180">
        <v>3</v>
      </c>
      <c r="Y180" t="s">
        <v>6155</v>
      </c>
      <c r="Z180" t="s">
        <v>8078</v>
      </c>
      <c r="AA180">
        <v>0.9285336552508241</v>
      </c>
      <c r="AB180" t="str">
        <f>HYPERLINK("Melting_Curves/meltCurve_C9JES9_LBR.pdf", "Melting_Curves/meltCurve_C9JES9_LBR.pdf")</f>
        <v>Melting_Curves/meltCurve_C9JES9_LBR.pdf</v>
      </c>
    </row>
    <row r="181" spans="1:28" x14ac:dyDescent="0.25">
      <c r="A181" t="s">
        <v>185</v>
      </c>
      <c r="B181">
        <v>1</v>
      </c>
      <c r="C181">
        <v>0.97553988541207604</v>
      </c>
      <c r="D181">
        <v>1.1599823710885899</v>
      </c>
      <c r="E181">
        <v>1.59753195240194</v>
      </c>
      <c r="F181">
        <v>2.2101366240634599</v>
      </c>
      <c r="G181">
        <v>2.8500220361392699</v>
      </c>
      <c r="H181">
        <v>2.2801234023799002</v>
      </c>
      <c r="I181">
        <v>3.2877479065667701</v>
      </c>
      <c r="J181">
        <v>2.3474658439841298</v>
      </c>
      <c r="K181">
        <v>2.4603349493168798</v>
      </c>
      <c r="S181" t="s">
        <v>2183</v>
      </c>
      <c r="T181" t="s">
        <v>4002</v>
      </c>
      <c r="U181" t="s">
        <v>4003</v>
      </c>
      <c r="V181" t="s">
        <v>4002</v>
      </c>
      <c r="W181" t="s">
        <v>4183</v>
      </c>
      <c r="X181">
        <v>12</v>
      </c>
      <c r="Y181" t="s">
        <v>6156</v>
      </c>
      <c r="Z181" t="s">
        <v>8079</v>
      </c>
      <c r="AB181" t="str">
        <f>HYPERLINK("Melting_Curves/meltCurve_C9JEU5_FGG.pdf", "Melting_Curves/meltCurve_C9JEU5_FGG.pdf")</f>
        <v>Melting_Curves/meltCurve_C9JEU5_FGG.pdf</v>
      </c>
    </row>
    <row r="182" spans="1:28" x14ac:dyDescent="0.25">
      <c r="A182" t="s">
        <v>186</v>
      </c>
      <c r="B182">
        <v>1</v>
      </c>
      <c r="C182">
        <v>0.88840096271587199</v>
      </c>
      <c r="D182">
        <v>1.1204661571591401</v>
      </c>
      <c r="E182">
        <v>1.0570451378626</v>
      </c>
      <c r="F182">
        <v>0.94455938859097199</v>
      </c>
      <c r="G182">
        <v>1.24591479120044</v>
      </c>
      <c r="H182">
        <v>1.0564539965376001</v>
      </c>
      <c r="I182">
        <v>1.06460330194654</v>
      </c>
      <c r="J182">
        <v>1.1735844276485199</v>
      </c>
      <c r="K182">
        <v>1.0073048178018</v>
      </c>
      <c r="L182">
        <v>816.64397316903001</v>
      </c>
      <c r="M182">
        <v>16.4807351323328</v>
      </c>
      <c r="O182">
        <v>48.839116842321602</v>
      </c>
      <c r="P182">
        <v>7.9945327782227904E-3</v>
      </c>
      <c r="Q182">
        <v>1.0947575840157699</v>
      </c>
      <c r="R182">
        <v>0.184111427603531</v>
      </c>
      <c r="S182" t="s">
        <v>2184</v>
      </c>
      <c r="T182" t="s">
        <v>4002</v>
      </c>
      <c r="U182" t="s">
        <v>4002</v>
      </c>
      <c r="V182" t="s">
        <v>4002</v>
      </c>
      <c r="W182" t="s">
        <v>4184</v>
      </c>
      <c r="X182">
        <v>22</v>
      </c>
      <c r="Y182" t="s">
        <v>6157</v>
      </c>
      <c r="Z182" t="s">
        <v>8080</v>
      </c>
      <c r="AA182">
        <v>1.0626630270651649</v>
      </c>
      <c r="AB182" t="str">
        <f>HYPERLINK("Melting_Curves/meltCurve_C9JEV0_AZGP1.pdf", "Melting_Curves/meltCurve_C9JEV0_AZGP1.pdf")</f>
        <v>Melting_Curves/meltCurve_C9JEV0_AZGP1.pdf</v>
      </c>
    </row>
    <row r="183" spans="1:28" x14ac:dyDescent="0.25">
      <c r="A183" t="s">
        <v>187</v>
      </c>
      <c r="B183">
        <v>1</v>
      </c>
      <c r="C183">
        <v>0.914763489974452</v>
      </c>
      <c r="D183">
        <v>1.00356119842069</v>
      </c>
      <c r="E183">
        <v>0.93024696136873897</v>
      </c>
      <c r="F183">
        <v>0.80037934504915997</v>
      </c>
      <c r="G183">
        <v>0.84079120538824803</v>
      </c>
      <c r="H183">
        <v>0.75179995354958595</v>
      </c>
      <c r="I183">
        <v>0.87493225981264999</v>
      </c>
      <c r="J183">
        <v>0.76449640009290099</v>
      </c>
      <c r="K183">
        <v>0.82348842610513295</v>
      </c>
      <c r="L183">
        <v>12527.513485686501</v>
      </c>
      <c r="M183">
        <v>250</v>
      </c>
      <c r="O183">
        <v>50.106846561028199</v>
      </c>
      <c r="P183">
        <v>-0.23784852539699</v>
      </c>
      <c r="Q183">
        <v>0.80931456460145501</v>
      </c>
      <c r="R183">
        <v>0.75229414979265097</v>
      </c>
      <c r="S183" t="s">
        <v>2185</v>
      </c>
      <c r="T183" t="s">
        <v>4002</v>
      </c>
      <c r="U183" t="s">
        <v>4002</v>
      </c>
      <c r="V183" t="s">
        <v>4002</v>
      </c>
      <c r="W183" t="s">
        <v>4185</v>
      </c>
      <c r="X183">
        <v>10</v>
      </c>
      <c r="Y183" t="s">
        <v>6158</v>
      </c>
      <c r="Z183" t="s">
        <v>8081</v>
      </c>
      <c r="AA183">
        <v>0.87359266852875039</v>
      </c>
      <c r="AB183" t="str">
        <f>HYPERLINK("Melting_Curves/meltCurve_C9JF17_APOD.pdf", "Melting_Curves/meltCurve_C9JF17_APOD.pdf")</f>
        <v>Melting_Curves/meltCurve_C9JF17_APOD.pdf</v>
      </c>
    </row>
    <row r="184" spans="1:28" x14ac:dyDescent="0.25">
      <c r="A184" t="s">
        <v>188</v>
      </c>
      <c r="B184">
        <v>1</v>
      </c>
      <c r="C184">
        <v>0.90675592459426702</v>
      </c>
      <c r="D184">
        <v>0.80558590413380704</v>
      </c>
      <c r="E184">
        <v>0.90852386722552203</v>
      </c>
      <c r="F184">
        <v>0.84861246300232396</v>
      </c>
      <c r="G184">
        <v>0.793647325241851</v>
      </c>
      <c r="H184">
        <v>0.98353230964819904</v>
      </c>
      <c r="I184">
        <v>1.3075226952186101</v>
      </c>
      <c r="J184">
        <v>1.1305099223297099</v>
      </c>
      <c r="K184">
        <v>1.12588148825013</v>
      </c>
      <c r="L184">
        <v>15000</v>
      </c>
      <c r="M184">
        <v>241.09324000576899</v>
      </c>
      <c r="O184">
        <v>62.212312038152398</v>
      </c>
      <c r="P184">
        <v>0.18209231711937099</v>
      </c>
      <c r="Q184">
        <v>1.1879502558259001</v>
      </c>
      <c r="R184">
        <v>0.41843962194182499</v>
      </c>
      <c r="S184" t="s">
        <v>2186</v>
      </c>
      <c r="T184" t="s">
        <v>4002</v>
      </c>
      <c r="U184" t="s">
        <v>4002</v>
      </c>
      <c r="V184" t="s">
        <v>4002</v>
      </c>
      <c r="W184" t="s">
        <v>4186</v>
      </c>
      <c r="X184">
        <v>1</v>
      </c>
      <c r="Y184" t="s">
        <v>6159</v>
      </c>
      <c r="Z184" t="s">
        <v>8082</v>
      </c>
      <c r="AA184">
        <v>1.04874104411701</v>
      </c>
      <c r="AB184" t="str">
        <f>HYPERLINK("Melting_Curves/meltCurve_C9JFM0_PTPRZ1.pdf", "Melting_Curves/meltCurve_C9JFM0_PTPRZ1.pdf")</f>
        <v>Melting_Curves/meltCurve_C9JFM0_PTPRZ1.pdf</v>
      </c>
    </row>
    <row r="185" spans="1:28" x14ac:dyDescent="0.25">
      <c r="A185" t="s">
        <v>189</v>
      </c>
      <c r="B185">
        <v>1</v>
      </c>
      <c r="C185">
        <v>0.81743058050608197</v>
      </c>
      <c r="D185">
        <v>1.17127752399528</v>
      </c>
      <c r="E185">
        <v>1.0520453728891901</v>
      </c>
      <c r="F185">
        <v>1.18554637376174</v>
      </c>
      <c r="G185">
        <v>1.36123800236103</v>
      </c>
      <c r="H185">
        <v>1.3614433095519201</v>
      </c>
      <c r="I185">
        <v>2.3213570805317501</v>
      </c>
      <c r="J185">
        <v>1.7450597957193501</v>
      </c>
      <c r="K185">
        <v>1.80957758045476</v>
      </c>
      <c r="L185">
        <v>1735.88847779258</v>
      </c>
      <c r="M185">
        <v>32.108482187190397</v>
      </c>
      <c r="O185">
        <v>53.854821980304799</v>
      </c>
      <c r="P185">
        <v>7.4525919460846704E-2</v>
      </c>
      <c r="Q185">
        <v>1.5</v>
      </c>
      <c r="R185">
        <v>0.50459443327155995</v>
      </c>
      <c r="S185" t="s">
        <v>2187</v>
      </c>
      <c r="T185" t="s">
        <v>4002</v>
      </c>
      <c r="U185" t="s">
        <v>4002</v>
      </c>
      <c r="V185" t="s">
        <v>4002</v>
      </c>
      <c r="W185" t="s">
        <v>4187</v>
      </c>
      <c r="X185">
        <v>1</v>
      </c>
      <c r="Y185" t="s">
        <v>6160</v>
      </c>
      <c r="Z185" t="s">
        <v>8083</v>
      </c>
      <c r="AA185">
        <v>1.26273177622313</v>
      </c>
      <c r="AB185" t="str">
        <f>HYPERLINK("Melting_Curves/meltCurve_C9JFM2_KIAA1211L.pdf", "Melting_Curves/meltCurve_C9JFM2_KIAA1211L.pdf")</f>
        <v>Melting_Curves/meltCurve_C9JFM2_KIAA1211L.pdf</v>
      </c>
    </row>
    <row r="186" spans="1:28" x14ac:dyDescent="0.25">
      <c r="A186" t="s">
        <v>190</v>
      </c>
      <c r="B186">
        <v>1</v>
      </c>
      <c r="C186">
        <v>1.18627095691316</v>
      </c>
      <c r="D186">
        <v>1.5204753094661401</v>
      </c>
      <c r="E186">
        <v>1.69659921036068</v>
      </c>
      <c r="F186">
        <v>1.83573976234527</v>
      </c>
      <c r="G186">
        <v>2.0917812660931898</v>
      </c>
      <c r="H186">
        <v>1.75120639340823</v>
      </c>
      <c r="I186">
        <v>2.3391634400808701</v>
      </c>
      <c r="J186">
        <v>2.6115317858437099</v>
      </c>
      <c r="K186">
        <v>2.0193022945316499</v>
      </c>
      <c r="L186">
        <v>10747.3649397554</v>
      </c>
      <c r="M186">
        <v>250</v>
      </c>
      <c r="O186">
        <v>42.986708690512103</v>
      </c>
      <c r="P186">
        <v>0.72696889266624998</v>
      </c>
      <c r="Q186">
        <v>1.5</v>
      </c>
      <c r="R186">
        <v>-0.266081471265456</v>
      </c>
      <c r="S186" t="s">
        <v>2188</v>
      </c>
      <c r="T186" t="s">
        <v>4002</v>
      </c>
      <c r="U186" t="s">
        <v>4002</v>
      </c>
      <c r="V186" t="s">
        <v>4002</v>
      </c>
      <c r="W186" t="s">
        <v>4188</v>
      </c>
      <c r="X186">
        <v>12</v>
      </c>
      <c r="Y186" t="s">
        <v>6161</v>
      </c>
      <c r="Z186" t="s">
        <v>8084</v>
      </c>
      <c r="AA186">
        <v>1.450137947747641</v>
      </c>
      <c r="AB186" t="str">
        <f>HYPERLINK("Melting_Curves/meltCurve_C9JGI3_TYMP.pdf", "Melting_Curves/meltCurve_C9JGI3_TYMP.pdf")</f>
        <v>Melting_Curves/meltCurve_C9JGI3_TYMP.pdf</v>
      </c>
    </row>
    <row r="187" spans="1:28" x14ac:dyDescent="0.25">
      <c r="A187" t="s">
        <v>191</v>
      </c>
      <c r="B187">
        <v>1</v>
      </c>
      <c r="C187">
        <v>0.95696147110332697</v>
      </c>
      <c r="D187">
        <v>1.28760945709282</v>
      </c>
      <c r="E187">
        <v>1.5944395796847599</v>
      </c>
      <c r="F187">
        <v>1.99172504378284</v>
      </c>
      <c r="G187">
        <v>2.3684325744308201</v>
      </c>
      <c r="H187">
        <v>2.5429071803852898</v>
      </c>
      <c r="I187">
        <v>2.9605516637478102</v>
      </c>
      <c r="J187">
        <v>3.5040718038528902</v>
      </c>
      <c r="K187">
        <v>2.7343257443082298</v>
      </c>
      <c r="L187">
        <v>11486.053870946</v>
      </c>
      <c r="M187">
        <v>250</v>
      </c>
      <c r="O187">
        <v>45.941275928162398</v>
      </c>
      <c r="P187">
        <v>0.68021620628813295</v>
      </c>
      <c r="Q187">
        <v>1.5</v>
      </c>
      <c r="R187">
        <v>-0.430912861920415</v>
      </c>
      <c r="S187" t="s">
        <v>2189</v>
      </c>
      <c r="T187" t="s">
        <v>4002</v>
      </c>
      <c r="U187" t="s">
        <v>4002</v>
      </c>
      <c r="V187" t="s">
        <v>4002</v>
      </c>
      <c r="W187" t="s">
        <v>4189</v>
      </c>
      <c r="X187">
        <v>2</v>
      </c>
      <c r="Y187" t="s">
        <v>6162</v>
      </c>
      <c r="Z187" t="s">
        <v>8085</v>
      </c>
      <c r="AA187">
        <v>1.400889426245371</v>
      </c>
      <c r="AB187" t="str">
        <f>HYPERLINK("Melting_Curves/meltCurve_C9JH92_CRYZ.pdf", "Melting_Curves/meltCurve_C9JH92_CRYZ.pdf")</f>
        <v>Melting_Curves/meltCurve_C9JH92_CRYZ.pdf</v>
      </c>
    </row>
    <row r="188" spans="1:28" x14ac:dyDescent="0.25">
      <c r="A188" t="s">
        <v>192</v>
      </c>
      <c r="B188">
        <v>1</v>
      </c>
      <c r="C188">
        <v>0.92202437267887605</v>
      </c>
      <c r="D188">
        <v>1.0447350212519599</v>
      </c>
      <c r="E188">
        <v>1.0561588319188899</v>
      </c>
      <c r="F188">
        <v>0.85712470169592003</v>
      </c>
      <c r="G188">
        <v>0.94903766044876203</v>
      </c>
      <c r="H188">
        <v>0.73946933645876001</v>
      </c>
      <c r="I188">
        <v>0.96322916813759396</v>
      </c>
      <c r="J188">
        <v>0.66267986500416598</v>
      </c>
      <c r="K188">
        <v>0.71437649152039795</v>
      </c>
      <c r="L188">
        <v>505.53492976415299</v>
      </c>
      <c r="M188">
        <v>7.03830887031679</v>
      </c>
      <c r="O188">
        <v>66.703094871099594</v>
      </c>
      <c r="P188">
        <v>-1.7558481308864698E-2</v>
      </c>
      <c r="Q188">
        <v>0.335589963609422</v>
      </c>
      <c r="R188">
        <v>0.59701503300810899</v>
      </c>
      <c r="S188" t="s">
        <v>2190</v>
      </c>
      <c r="T188" t="s">
        <v>4002</v>
      </c>
      <c r="U188" t="s">
        <v>4002</v>
      </c>
      <c r="V188" t="s">
        <v>4002</v>
      </c>
      <c r="W188" t="s">
        <v>4190</v>
      </c>
      <c r="X188">
        <v>20</v>
      </c>
      <c r="Y188" t="s">
        <v>6163</v>
      </c>
      <c r="Z188" t="s">
        <v>8086</v>
      </c>
      <c r="AA188">
        <v>0.89979518297737582</v>
      </c>
      <c r="AB188" t="str">
        <f>HYPERLINK("Melting_Curves/meltCurve_C9JIZ6_PSAP.pdf", "Melting_Curves/meltCurve_C9JIZ6_PSAP.pdf")</f>
        <v>Melting_Curves/meltCurve_C9JIZ6_PSAP.pdf</v>
      </c>
    </row>
    <row r="189" spans="1:28" x14ac:dyDescent="0.25">
      <c r="A189" t="s">
        <v>193</v>
      </c>
      <c r="B189">
        <v>1</v>
      </c>
      <c r="C189">
        <v>0.89259035364221295</v>
      </c>
      <c r="D189">
        <v>1.0094347769765499</v>
      </c>
      <c r="E189">
        <v>0.81078630338097502</v>
      </c>
      <c r="F189">
        <v>0.82421520791053104</v>
      </c>
      <c r="G189">
        <v>0.79172244051988405</v>
      </c>
      <c r="H189">
        <v>0.76389308692085101</v>
      </c>
      <c r="I189">
        <v>0.91977201088129901</v>
      </c>
      <c r="J189">
        <v>0.793363271298415</v>
      </c>
      <c r="K189">
        <v>0.86689839803100299</v>
      </c>
      <c r="L189">
        <v>11970.853389849701</v>
      </c>
      <c r="M189">
        <v>250</v>
      </c>
      <c r="O189">
        <v>47.880349322018603</v>
      </c>
      <c r="P189">
        <v>-0.229245748145537</v>
      </c>
      <c r="Q189">
        <v>0.82437813611653898</v>
      </c>
      <c r="R189">
        <v>0.58304568523042899</v>
      </c>
      <c r="S189" t="s">
        <v>2191</v>
      </c>
      <c r="T189" t="s">
        <v>4002</v>
      </c>
      <c r="U189" t="s">
        <v>4002</v>
      </c>
      <c r="V189" t="s">
        <v>4002</v>
      </c>
      <c r="W189" t="s">
        <v>4191</v>
      </c>
      <c r="X189">
        <v>1</v>
      </c>
      <c r="Y189" t="s">
        <v>6164</v>
      </c>
      <c r="Z189" t="s">
        <v>8087</v>
      </c>
      <c r="AA189">
        <v>0.87054288720648365</v>
      </c>
      <c r="AB189" t="str">
        <f>HYPERLINK("Melting_Curves/meltCurve_C9JKF1_SAMD9.pdf", "Melting_Curves/meltCurve_C9JKF1_SAMD9.pdf")</f>
        <v>Melting_Curves/meltCurve_C9JKF1_SAMD9.pdf</v>
      </c>
    </row>
    <row r="190" spans="1:28" x14ac:dyDescent="0.25">
      <c r="A190" t="s">
        <v>194</v>
      </c>
      <c r="B190">
        <v>1</v>
      </c>
      <c r="C190">
        <v>1.0135488167196001</v>
      </c>
      <c r="D190">
        <v>0.92251050097326104</v>
      </c>
      <c r="E190">
        <v>0.92705665403134896</v>
      </c>
      <c r="F190">
        <v>0.79309240856469598</v>
      </c>
      <c r="G190">
        <v>0.88291414814055902</v>
      </c>
      <c r="H190">
        <v>0.93731431205819105</v>
      </c>
      <c r="I190">
        <v>0.935201311341051</v>
      </c>
      <c r="J190">
        <v>0.91956510603421804</v>
      </c>
      <c r="K190">
        <v>0.85499692654441095</v>
      </c>
      <c r="L190">
        <v>11455.7826945612</v>
      </c>
      <c r="M190">
        <v>250</v>
      </c>
      <c r="O190">
        <v>45.820198289057402</v>
      </c>
      <c r="P190">
        <v>-0.14611832967516999</v>
      </c>
      <c r="Q190">
        <v>0.89287726643182597</v>
      </c>
      <c r="R190">
        <v>0.53718490777306005</v>
      </c>
      <c r="S190" t="s">
        <v>2192</v>
      </c>
      <c r="T190" t="s">
        <v>4002</v>
      </c>
      <c r="U190" t="s">
        <v>4002</v>
      </c>
      <c r="V190" t="s">
        <v>4002</v>
      </c>
      <c r="W190" t="s">
        <v>4192</v>
      </c>
      <c r="X190">
        <v>1</v>
      </c>
      <c r="Y190" t="s">
        <v>6165</v>
      </c>
      <c r="Z190" t="s">
        <v>8088</v>
      </c>
      <c r="AA190">
        <v>0.91367887068524434</v>
      </c>
      <c r="AB190" t="str">
        <f>HYPERLINK("Melting_Curves/meltCurve_C9JKY3_EPCAM.pdf", "Melting_Curves/meltCurve_C9JKY3_EPCAM.pdf")</f>
        <v>Melting_Curves/meltCurve_C9JKY3_EPCAM.pdf</v>
      </c>
    </row>
    <row r="191" spans="1:28" x14ac:dyDescent="0.25">
      <c r="A191" t="s">
        <v>195</v>
      </c>
      <c r="B191">
        <v>1</v>
      </c>
      <c r="C191">
        <v>1.04951161480183</v>
      </c>
      <c r="D191">
        <v>1.2178479744537001</v>
      </c>
      <c r="E191">
        <v>0.81768517938763996</v>
      </c>
      <c r="F191">
        <v>1.2003318514808099</v>
      </c>
      <c r="G191">
        <v>1.00095485567591</v>
      </c>
      <c r="H191">
        <v>1.1978116586312699</v>
      </c>
      <c r="I191">
        <v>1.5495272681735599</v>
      </c>
      <c r="J191">
        <v>1.1319422703650399</v>
      </c>
      <c r="K191">
        <v>1.42791622315447</v>
      </c>
      <c r="L191">
        <v>15000</v>
      </c>
      <c r="M191">
        <v>246.04162621299</v>
      </c>
      <c r="O191">
        <v>60.961256552827301</v>
      </c>
      <c r="P191">
        <v>0.37312581326965999</v>
      </c>
      <c r="Q191">
        <v>1.36979469208019</v>
      </c>
      <c r="R191">
        <v>0.47554867794823102</v>
      </c>
      <c r="S191" t="s">
        <v>2193</v>
      </c>
      <c r="T191" t="s">
        <v>4002</v>
      </c>
      <c r="U191" t="s">
        <v>4002</v>
      </c>
      <c r="V191" t="s">
        <v>4002</v>
      </c>
      <c r="W191" t="s">
        <v>4193</v>
      </c>
      <c r="X191">
        <v>1</v>
      </c>
      <c r="Y191" t="s">
        <v>6166</v>
      </c>
      <c r="Z191" t="s">
        <v>8089</v>
      </c>
      <c r="AA191">
        <v>1.111325365593042</v>
      </c>
      <c r="AB191" t="str">
        <f>HYPERLINK("Melting_Curves/meltCurve_C9JLK0_ATIC.pdf", "Melting_Curves/meltCurve_C9JLK0_ATIC.pdf")</f>
        <v>Melting_Curves/meltCurve_C9JLK0_ATIC.pdf</v>
      </c>
    </row>
    <row r="192" spans="1:28" x14ac:dyDescent="0.25">
      <c r="A192" t="s">
        <v>196</v>
      </c>
      <c r="B192">
        <v>1</v>
      </c>
      <c r="C192">
        <v>1.0609918578830499</v>
      </c>
      <c r="D192">
        <v>1.29518874907476</v>
      </c>
      <c r="E192">
        <v>1.69706390328152</v>
      </c>
      <c r="F192">
        <v>2.0146064643474002</v>
      </c>
      <c r="G192">
        <v>2.3049099432519098</v>
      </c>
      <c r="H192">
        <v>2.1314088329632401</v>
      </c>
      <c r="I192">
        <v>2.71132494448557</v>
      </c>
      <c r="J192">
        <v>2.0124352331606201</v>
      </c>
      <c r="K192">
        <v>1.9312114483098901</v>
      </c>
      <c r="L192">
        <v>3692.3161901119402</v>
      </c>
      <c r="M192">
        <v>80.649967374829103</v>
      </c>
      <c r="O192">
        <v>45.753879847215501</v>
      </c>
      <c r="P192">
        <v>0.22033650702692301</v>
      </c>
      <c r="Q192">
        <v>1.5</v>
      </c>
      <c r="R192">
        <v>-0.187825325530317</v>
      </c>
      <c r="S192" t="s">
        <v>2194</v>
      </c>
      <c r="T192" t="s">
        <v>4002</v>
      </c>
      <c r="U192" t="s">
        <v>4002</v>
      </c>
      <c r="V192" t="s">
        <v>4002</v>
      </c>
      <c r="W192" t="s">
        <v>4194</v>
      </c>
      <c r="X192">
        <v>1</v>
      </c>
      <c r="Y192" t="s">
        <v>6167</v>
      </c>
      <c r="Z192" t="s">
        <v>8090</v>
      </c>
      <c r="AA192">
        <v>1.403246641263374</v>
      </c>
      <c r="AB192" t="str">
        <f>HYPERLINK("Melting_Curves/meltCurve_C9JLT3_ZNF502.pdf", "Melting_Curves/meltCurve_C9JLT3_ZNF502.pdf")</f>
        <v>Melting_Curves/meltCurve_C9JLT3_ZNF502.pdf</v>
      </c>
    </row>
    <row r="193" spans="1:28" x14ac:dyDescent="0.25">
      <c r="A193" t="s">
        <v>197</v>
      </c>
      <c r="B193">
        <v>1</v>
      </c>
      <c r="C193">
        <v>0.94540959873255204</v>
      </c>
      <c r="D193">
        <v>1.40033871452375</v>
      </c>
      <c r="E193">
        <v>1.7785244065666901</v>
      </c>
      <c r="F193">
        <v>1.8416236444590099</v>
      </c>
      <c r="G193">
        <v>2.0240924362861601</v>
      </c>
      <c r="H193">
        <v>2.0137124750744402</v>
      </c>
      <c r="I193">
        <v>2.3234723701822002</v>
      </c>
      <c r="J193">
        <v>4.5555737660138202</v>
      </c>
      <c r="K193">
        <v>1.68537791253517</v>
      </c>
      <c r="L193">
        <v>11436.0354634947</v>
      </c>
      <c r="M193">
        <v>250</v>
      </c>
      <c r="O193">
        <v>45.741214547969101</v>
      </c>
      <c r="P193">
        <v>0.68319130473792999</v>
      </c>
      <c r="Q193">
        <v>1.5</v>
      </c>
      <c r="R193">
        <v>-0.16434442214734499</v>
      </c>
      <c r="S193" t="s">
        <v>2195</v>
      </c>
      <c r="T193" t="s">
        <v>4002</v>
      </c>
      <c r="U193" t="s">
        <v>4002</v>
      </c>
      <c r="V193" t="s">
        <v>4002</v>
      </c>
      <c r="W193" t="s">
        <v>4195</v>
      </c>
      <c r="X193">
        <v>1</v>
      </c>
      <c r="Y193" t="s">
        <v>6168</v>
      </c>
      <c r="Z193" t="s">
        <v>8091</v>
      </c>
      <c r="AA193">
        <v>1.404224162305175</v>
      </c>
      <c r="AB193" t="str">
        <f>HYPERLINK("Melting_Curves/meltCurve_C9JM00_SERPINB7.pdf", "Melting_Curves/meltCurve_C9JM00_SERPINB7.pdf")</f>
        <v>Melting_Curves/meltCurve_C9JM00_SERPINB7.pdf</v>
      </c>
    </row>
    <row r="194" spans="1:28" x14ac:dyDescent="0.25">
      <c r="A194" t="s">
        <v>198</v>
      </c>
      <c r="B194">
        <v>1</v>
      </c>
      <c r="C194">
        <v>0.99871159563924705</v>
      </c>
      <c r="D194">
        <v>0.70059464816650097</v>
      </c>
      <c r="E194">
        <v>1.29970267591675</v>
      </c>
      <c r="F194">
        <v>1.04866204162537</v>
      </c>
      <c r="G194">
        <v>0.66061446977205196</v>
      </c>
      <c r="H194">
        <v>1.0309217046580801</v>
      </c>
      <c r="I194">
        <v>0.84939544103072295</v>
      </c>
      <c r="J194">
        <v>1.2231912784935599</v>
      </c>
      <c r="K194">
        <v>1.3623389494549101</v>
      </c>
      <c r="L194">
        <v>15000</v>
      </c>
      <c r="M194">
        <v>224.35257314190301</v>
      </c>
      <c r="O194">
        <v>66.853737908919797</v>
      </c>
      <c r="P194">
        <v>0.30401266701669799</v>
      </c>
      <c r="Q194">
        <v>1.3623650548286601</v>
      </c>
      <c r="R194">
        <v>0.35704263199884501</v>
      </c>
      <c r="S194" t="s">
        <v>2196</v>
      </c>
      <c r="T194" t="s">
        <v>4002</v>
      </c>
      <c r="U194" t="s">
        <v>4002</v>
      </c>
      <c r="V194" t="s">
        <v>4002</v>
      </c>
      <c r="W194" t="s">
        <v>4196</v>
      </c>
      <c r="X194">
        <v>1</v>
      </c>
      <c r="Y194" t="s">
        <v>6169</v>
      </c>
      <c r="Z194" t="s">
        <v>8092</v>
      </c>
      <c r="AA194">
        <v>1.037886382916793</v>
      </c>
      <c r="AB194" t="str">
        <f>HYPERLINK("Melting_Curves/meltCurve_C9JM82_SEPT5.pdf", "Melting_Curves/meltCurve_C9JM82_SEPT5.pdf")</f>
        <v>Melting_Curves/meltCurve_C9JM82_SEPT5.pdf</v>
      </c>
    </row>
    <row r="195" spans="1:28" x14ac:dyDescent="0.25">
      <c r="A195" t="s">
        <v>199</v>
      </c>
      <c r="B195">
        <v>1</v>
      </c>
      <c r="C195">
        <v>1.096848833678</v>
      </c>
      <c r="D195">
        <v>0.95748311616943105</v>
      </c>
      <c r="E195">
        <v>1.18283706199656</v>
      </c>
      <c r="F195">
        <v>1.45670942457592</v>
      </c>
      <c r="G195">
        <v>1.7184630291110501</v>
      </c>
      <c r="H195">
        <v>1.7693675975068299</v>
      </c>
      <c r="I195">
        <v>3.67279353280597</v>
      </c>
      <c r="J195">
        <v>3.6292643422175299</v>
      </c>
      <c r="K195">
        <v>3.63316895399789</v>
      </c>
      <c r="L195">
        <v>2996.9480545312699</v>
      </c>
      <c r="M195">
        <v>59.362968262163001</v>
      </c>
      <c r="O195">
        <v>50.4279482208836</v>
      </c>
      <c r="P195">
        <v>0.147148049670495</v>
      </c>
      <c r="Q195">
        <v>1.5</v>
      </c>
      <c r="R195">
        <v>-0.15027425952648099</v>
      </c>
      <c r="S195" t="s">
        <v>2197</v>
      </c>
      <c r="T195" t="s">
        <v>4002</v>
      </c>
      <c r="U195" t="s">
        <v>4002</v>
      </c>
      <c r="V195" t="s">
        <v>4002</v>
      </c>
      <c r="W195" t="s">
        <v>4197</v>
      </c>
      <c r="X195">
        <v>3</v>
      </c>
      <c r="Y195" t="s">
        <v>6170</v>
      </c>
      <c r="Z195" t="s">
        <v>8093</v>
      </c>
      <c r="AA195">
        <v>1.324458953223945</v>
      </c>
      <c r="AB195" t="str">
        <f>HYPERLINK("Melting_Curves/meltCurve_C9JMC5_ALDH3A1.pdf", "Melting_Curves/meltCurve_C9JMC5_ALDH3A1.pdf")</f>
        <v>Melting_Curves/meltCurve_C9JMC5_ALDH3A1.pdf</v>
      </c>
    </row>
    <row r="196" spans="1:28" x14ac:dyDescent="0.25">
      <c r="A196" t="s">
        <v>200</v>
      </c>
      <c r="B196">
        <v>1</v>
      </c>
      <c r="C196">
        <v>1.0713615023474199</v>
      </c>
      <c r="D196">
        <v>1.20758998435055</v>
      </c>
      <c r="E196">
        <v>1.12120500782473</v>
      </c>
      <c r="F196">
        <v>0.98599374021909203</v>
      </c>
      <c r="G196">
        <v>0.88935837245696403</v>
      </c>
      <c r="H196">
        <v>0.73731611893583704</v>
      </c>
      <c r="I196">
        <v>0.839671361502347</v>
      </c>
      <c r="J196">
        <v>1.7625978090766801</v>
      </c>
      <c r="K196">
        <v>0.622949921752739</v>
      </c>
      <c r="L196">
        <v>15000</v>
      </c>
      <c r="M196">
        <v>213.78305683935699</v>
      </c>
      <c r="Q196">
        <v>0</v>
      </c>
      <c r="R196">
        <v>0.153632238959648</v>
      </c>
      <c r="S196" t="s">
        <v>2198</v>
      </c>
      <c r="T196" t="s">
        <v>4002</v>
      </c>
      <c r="U196" t="s">
        <v>4002</v>
      </c>
      <c r="V196" t="s">
        <v>4002</v>
      </c>
      <c r="W196" t="s">
        <v>4198</v>
      </c>
      <c r="X196">
        <v>3</v>
      </c>
      <c r="Y196" t="s">
        <v>6171</v>
      </c>
      <c r="Z196" t="s">
        <v>8094</v>
      </c>
      <c r="AA196">
        <v>0.99490201706970194</v>
      </c>
      <c r="AB196" t="str">
        <f>HYPERLINK("Melting_Curves/meltCurve_C9JMU5_DDX17.pdf", "Melting_Curves/meltCurve_C9JMU5_DDX17.pdf")</f>
        <v>Melting_Curves/meltCurve_C9JMU5_DDX17.pdf</v>
      </c>
    </row>
    <row r="197" spans="1:28" x14ac:dyDescent="0.25">
      <c r="A197" t="s">
        <v>201</v>
      </c>
      <c r="B197">
        <v>1</v>
      </c>
      <c r="C197">
        <v>1.0482831832491399</v>
      </c>
      <c r="D197">
        <v>0.94875173878029095</v>
      </c>
      <c r="E197">
        <v>1.3140420235742001</v>
      </c>
      <c r="F197">
        <v>1.58477926641775</v>
      </c>
      <c r="G197">
        <v>1.5235742001610699</v>
      </c>
      <c r="H197">
        <v>1.94223588842521</v>
      </c>
      <c r="I197">
        <v>1.6894721429094399</v>
      </c>
      <c r="J197">
        <v>2.2369499963394102</v>
      </c>
      <c r="K197">
        <v>1.63745515777143</v>
      </c>
      <c r="L197">
        <v>12473.799631394701</v>
      </c>
      <c r="M197">
        <v>250</v>
      </c>
      <c r="O197">
        <v>49.892005625187302</v>
      </c>
      <c r="P197">
        <v>0.62635285319718004</v>
      </c>
      <c r="Q197">
        <v>1.5</v>
      </c>
      <c r="R197">
        <v>0.49398318764576499</v>
      </c>
      <c r="S197" t="s">
        <v>2199</v>
      </c>
      <c r="T197" t="s">
        <v>4002</v>
      </c>
      <c r="U197" t="s">
        <v>4002</v>
      </c>
      <c r="V197" t="s">
        <v>4002</v>
      </c>
      <c r="W197" t="s">
        <v>4199</v>
      </c>
      <c r="X197">
        <v>2</v>
      </c>
      <c r="Y197" t="s">
        <v>6172</v>
      </c>
      <c r="Z197" t="s">
        <v>8095</v>
      </c>
      <c r="AA197">
        <v>1.3350362419252511</v>
      </c>
      <c r="AB197" t="str">
        <f>HYPERLINK("Melting_Curves/meltCurve_C9JNP9_UFD1L.pdf", "Melting_Curves/meltCurve_C9JNP9_UFD1L.pdf")</f>
        <v>Melting_Curves/meltCurve_C9JNP9_UFD1L.pdf</v>
      </c>
    </row>
    <row r="198" spans="1:28" x14ac:dyDescent="0.25">
      <c r="A198" t="s">
        <v>202</v>
      </c>
      <c r="B198">
        <v>1</v>
      </c>
      <c r="C198">
        <v>1.0472182360083899</v>
      </c>
      <c r="D198">
        <v>1.1920189866431199</v>
      </c>
      <c r="E198">
        <v>1.3718953526879301</v>
      </c>
      <c r="F198">
        <v>1.38271332376642</v>
      </c>
      <c r="G198">
        <v>1.7531736394745601</v>
      </c>
      <c r="H198">
        <v>1.59118004194723</v>
      </c>
      <c r="I198">
        <v>2.2887184015895801</v>
      </c>
      <c r="J198">
        <v>1.5386080141295899</v>
      </c>
      <c r="K198">
        <v>1.7866210398498701</v>
      </c>
      <c r="L198">
        <v>1180.80200402674</v>
      </c>
      <c r="M198">
        <v>25.033054004892598</v>
      </c>
      <c r="O198">
        <v>46.871807088652801</v>
      </c>
      <c r="P198">
        <v>6.6760276532737195E-2</v>
      </c>
      <c r="Q198">
        <v>1.5</v>
      </c>
      <c r="R198">
        <v>0.41672273954313199</v>
      </c>
      <c r="S198" t="s">
        <v>2200</v>
      </c>
      <c r="T198" t="s">
        <v>4002</v>
      </c>
      <c r="U198" t="s">
        <v>4002</v>
      </c>
      <c r="V198" t="s">
        <v>4002</v>
      </c>
      <c r="W198" t="s">
        <v>4200</v>
      </c>
      <c r="X198">
        <v>5</v>
      </c>
      <c r="Y198" t="s">
        <v>6173</v>
      </c>
      <c r="Z198" t="s">
        <v>8096</v>
      </c>
      <c r="AA198">
        <v>1.3760669265662939</v>
      </c>
      <c r="AB198" t="str">
        <f>HYPERLINK("Melting_Curves/meltCurve_C9JP35_FAM3C.pdf", "Melting_Curves/meltCurve_C9JP35_FAM3C.pdf")</f>
        <v>Melting_Curves/meltCurve_C9JP35_FAM3C.pdf</v>
      </c>
    </row>
    <row r="199" spans="1:28" x14ac:dyDescent="0.25">
      <c r="A199" t="s">
        <v>203</v>
      </c>
      <c r="B199">
        <v>1</v>
      </c>
      <c r="C199">
        <v>0.84932814340894502</v>
      </c>
      <c r="D199">
        <v>0.97979210475295697</v>
      </c>
      <c r="E199">
        <v>1.09605834190864</v>
      </c>
      <c r="F199">
        <v>1.2123544062159799</v>
      </c>
      <c r="G199">
        <v>1.4013094119577101</v>
      </c>
      <c r="H199">
        <v>0.97328978569191504</v>
      </c>
      <c r="I199">
        <v>1.42245686248192</v>
      </c>
      <c r="J199">
        <v>1.0172997479605701</v>
      </c>
      <c r="K199">
        <v>1.1296437146734699</v>
      </c>
      <c r="L199">
        <v>12500.315932453601</v>
      </c>
      <c r="M199">
        <v>250</v>
      </c>
      <c r="O199">
        <v>49.998084434752897</v>
      </c>
      <c r="P199">
        <v>0.24091641700990801</v>
      </c>
      <c r="Q199">
        <v>1.1927256711838301</v>
      </c>
      <c r="R199">
        <v>0.36222474099505397</v>
      </c>
      <c r="S199" t="s">
        <v>2201</v>
      </c>
      <c r="T199" t="s">
        <v>4002</v>
      </c>
      <c r="U199" t="s">
        <v>4002</v>
      </c>
      <c r="V199" t="s">
        <v>4002</v>
      </c>
      <c r="W199" t="s">
        <v>4201</v>
      </c>
      <c r="X199">
        <v>4</v>
      </c>
      <c r="Y199" t="s">
        <v>6156</v>
      </c>
      <c r="Z199" t="s">
        <v>8097</v>
      </c>
      <c r="AA199">
        <v>1.1284587503948931</v>
      </c>
      <c r="AB199" t="str">
        <f>HYPERLINK("Melting_Curves/meltCurve_C9JPQ9_FGG.pdf", "Melting_Curves/meltCurve_C9JPQ9_FGG.pdf")</f>
        <v>Melting_Curves/meltCurve_C9JPQ9_FGG.pdf</v>
      </c>
    </row>
    <row r="200" spans="1:28" x14ac:dyDescent="0.25">
      <c r="A200" t="s">
        <v>204</v>
      </c>
      <c r="B200">
        <v>1</v>
      </c>
      <c r="C200">
        <v>0.81926702071671198</v>
      </c>
      <c r="D200">
        <v>1.02696043251519</v>
      </c>
      <c r="E200">
        <v>0.90282761590354499</v>
      </c>
      <c r="F200">
        <v>0.98308693363953903</v>
      </c>
      <c r="G200">
        <v>0.95459547390077004</v>
      </c>
      <c r="H200">
        <v>0.86890579398114898</v>
      </c>
      <c r="I200">
        <v>0.90139227788144105</v>
      </c>
      <c r="J200">
        <v>1.04609827280991</v>
      </c>
      <c r="K200">
        <v>0.92335294961963599</v>
      </c>
      <c r="L200">
        <v>10223.024642586801</v>
      </c>
      <c r="M200">
        <v>250</v>
      </c>
      <c r="O200">
        <v>40.889481758633003</v>
      </c>
      <c r="P200">
        <v>-9.7402099931631805E-2</v>
      </c>
      <c r="Q200">
        <v>0.93627645787788905</v>
      </c>
      <c r="R200">
        <v>7.7427188807252606E-2</v>
      </c>
      <c r="S200" t="s">
        <v>2202</v>
      </c>
      <c r="T200" t="s">
        <v>4002</v>
      </c>
      <c r="U200" t="s">
        <v>4002</v>
      </c>
      <c r="V200" t="s">
        <v>4002</v>
      </c>
      <c r="W200" t="s">
        <v>4202</v>
      </c>
      <c r="X200">
        <v>2</v>
      </c>
      <c r="Y200" t="s">
        <v>6174</v>
      </c>
      <c r="Z200" t="s">
        <v>8098</v>
      </c>
      <c r="AA200">
        <v>0.93817720125604487</v>
      </c>
      <c r="AB200" t="str">
        <f>HYPERLINK("Melting_Curves/meltCurve_C9JQ41_CCDC58.pdf", "Melting_Curves/meltCurve_C9JQ41_CCDC58.pdf")</f>
        <v>Melting_Curves/meltCurve_C9JQ41_CCDC58.pdf</v>
      </c>
    </row>
    <row r="201" spans="1:28" x14ac:dyDescent="0.25">
      <c r="A201" t="s">
        <v>205</v>
      </c>
      <c r="B201">
        <v>1</v>
      </c>
      <c r="C201">
        <v>0.99161653957277496</v>
      </c>
      <c r="D201">
        <v>0.93406905697911202</v>
      </c>
      <c r="E201">
        <v>1.0528110642732</v>
      </c>
      <c r="F201">
        <v>1.1125372992942699</v>
      </c>
      <c r="G201">
        <v>1.2185383413063</v>
      </c>
      <c r="H201">
        <v>1.3791029223700999</v>
      </c>
      <c r="I201">
        <v>1.6847439965897799</v>
      </c>
      <c r="J201">
        <v>1.7300241557334299</v>
      </c>
      <c r="K201">
        <v>1.6336854070951501</v>
      </c>
      <c r="L201">
        <v>1909.5902634010699</v>
      </c>
      <c r="M201">
        <v>33.443103116933202</v>
      </c>
      <c r="O201">
        <v>56.896671717912803</v>
      </c>
      <c r="P201">
        <v>7.3473641140181803E-2</v>
      </c>
      <c r="Q201">
        <v>1.5</v>
      </c>
      <c r="R201">
        <v>0.84987493052130203</v>
      </c>
      <c r="S201" t="s">
        <v>2203</v>
      </c>
      <c r="T201" t="s">
        <v>4002</v>
      </c>
      <c r="U201" t="s">
        <v>4002</v>
      </c>
      <c r="V201" t="s">
        <v>4002</v>
      </c>
      <c r="W201" t="s">
        <v>4203</v>
      </c>
      <c r="X201">
        <v>1</v>
      </c>
      <c r="Y201" t="s">
        <v>6175</v>
      </c>
      <c r="Z201" t="s">
        <v>8099</v>
      </c>
      <c r="AA201">
        <v>1.212267947685056</v>
      </c>
      <c r="AB201" t="str">
        <f>HYPERLINK("Melting_Curves/meltCurve_C9JQT2_ACTL6A.pdf", "Melting_Curves/meltCurve_C9JQT2_ACTL6A.pdf")</f>
        <v>Melting_Curves/meltCurve_C9JQT2_ACTL6A.pdf</v>
      </c>
    </row>
    <row r="202" spans="1:28" x14ac:dyDescent="0.25">
      <c r="A202" t="s">
        <v>206</v>
      </c>
      <c r="B202">
        <v>1</v>
      </c>
      <c r="C202">
        <v>0.95726943389638197</v>
      </c>
      <c r="D202">
        <v>0.78486316616472396</v>
      </c>
      <c r="E202">
        <v>0.92507238153434301</v>
      </c>
      <c r="F202">
        <v>1.09478707462209</v>
      </c>
      <c r="G202">
        <v>1.1209026231940999</v>
      </c>
      <c r="H202">
        <v>1.2240263046862501</v>
      </c>
      <c r="I202">
        <v>1.5010257081751099</v>
      </c>
      <c r="J202">
        <v>1.2916502989830201</v>
      </c>
      <c r="K202">
        <v>1.3538911439919701</v>
      </c>
      <c r="L202">
        <v>1631.7598127113299</v>
      </c>
      <c r="M202">
        <v>27.908461255136402</v>
      </c>
      <c r="O202">
        <v>58.170577273838198</v>
      </c>
      <c r="P202">
        <v>4.5385613735323502E-2</v>
      </c>
      <c r="Q202">
        <v>1.37839186252831</v>
      </c>
      <c r="R202">
        <v>0.78256594680712899</v>
      </c>
      <c r="S202" t="s">
        <v>2204</v>
      </c>
      <c r="T202" t="s">
        <v>4002</v>
      </c>
      <c r="U202" t="s">
        <v>4002</v>
      </c>
      <c r="V202" t="s">
        <v>4002</v>
      </c>
      <c r="W202" t="s">
        <v>4204</v>
      </c>
      <c r="X202">
        <v>1</v>
      </c>
      <c r="Y202" t="s">
        <v>6176</v>
      </c>
      <c r="Z202" t="s">
        <v>8100</v>
      </c>
      <c r="AA202">
        <v>1.142695177289166</v>
      </c>
      <c r="AB202" t="str">
        <f>HYPERLINK("Melting_Curves/meltCurve_C9JRV0_RNF13.pdf", "Melting_Curves/meltCurve_C9JRV0_RNF13.pdf")</f>
        <v>Melting_Curves/meltCurve_C9JRV0_RNF13.pdf</v>
      </c>
    </row>
    <row r="203" spans="1:28" x14ac:dyDescent="0.25">
      <c r="A203" t="s">
        <v>207</v>
      </c>
      <c r="B203">
        <v>1</v>
      </c>
      <c r="C203">
        <v>0.91299219427580203</v>
      </c>
      <c r="D203">
        <v>1.11510841283608</v>
      </c>
      <c r="E203">
        <v>1.1062966175195099</v>
      </c>
      <c r="F203">
        <v>1.10091934084996</v>
      </c>
      <c r="G203">
        <v>1.15240242844753</v>
      </c>
      <c r="H203">
        <v>1.40532523850824</v>
      </c>
      <c r="I203">
        <v>1.2644579358196</v>
      </c>
      <c r="J203">
        <v>7.9339115351257599</v>
      </c>
      <c r="K203">
        <v>1.2957328707719</v>
      </c>
      <c r="L203">
        <v>3364.7458903593201</v>
      </c>
      <c r="M203">
        <v>58.145096323550497</v>
      </c>
      <c r="O203">
        <v>57.799765272530202</v>
      </c>
      <c r="P203">
        <v>0.12574689001375999</v>
      </c>
      <c r="Q203">
        <v>1.5</v>
      </c>
      <c r="R203">
        <v>1.3935084766468801E-3</v>
      </c>
      <c r="S203" t="s">
        <v>2205</v>
      </c>
      <c r="T203" t="s">
        <v>4002</v>
      </c>
      <c r="U203" t="s">
        <v>4002</v>
      </c>
      <c r="V203" t="s">
        <v>4002</v>
      </c>
      <c r="W203" t="s">
        <v>4205</v>
      </c>
      <c r="X203">
        <v>2</v>
      </c>
      <c r="Y203" t="s">
        <v>6177</v>
      </c>
      <c r="Z203" t="s">
        <v>8101</v>
      </c>
      <c r="AA203">
        <v>1.2012571166998109</v>
      </c>
      <c r="AB203" t="str">
        <f>HYPERLINK("Melting_Curves/meltCurve_C9JSQ1_CKMT1B.pdf", "Melting_Curves/meltCurve_C9JSQ1_CKMT1B.pdf")</f>
        <v>Melting_Curves/meltCurve_C9JSQ1_CKMT1B.pdf</v>
      </c>
    </row>
    <row r="204" spans="1:28" x14ac:dyDescent="0.25">
      <c r="A204" t="s">
        <v>208</v>
      </c>
      <c r="B204">
        <v>1</v>
      </c>
      <c r="C204">
        <v>0.86400788360095104</v>
      </c>
      <c r="D204">
        <v>0.86847139296272702</v>
      </c>
      <c r="E204">
        <v>0.95530693872818995</v>
      </c>
      <c r="F204">
        <v>0.86992058431395303</v>
      </c>
      <c r="G204">
        <v>0.97147991420787205</v>
      </c>
      <c r="H204">
        <v>1.0526346298765299</v>
      </c>
      <c r="I204">
        <v>1.1710625470987199</v>
      </c>
      <c r="J204">
        <v>1.4675091299055101</v>
      </c>
      <c r="K204">
        <v>1.13181844530752</v>
      </c>
      <c r="L204">
        <v>15000</v>
      </c>
      <c r="M204">
        <v>234.660570008398</v>
      </c>
      <c r="O204">
        <v>63.917476269475799</v>
      </c>
      <c r="P204">
        <v>0.27503643218076901</v>
      </c>
      <c r="Q204">
        <v>1.2996606298201301</v>
      </c>
      <c r="R204">
        <v>0.63148913602186696</v>
      </c>
      <c r="S204" t="s">
        <v>2206</v>
      </c>
      <c r="T204" t="s">
        <v>4002</v>
      </c>
      <c r="U204" t="s">
        <v>4002</v>
      </c>
      <c r="V204" t="s">
        <v>4002</v>
      </c>
      <c r="W204" t="s">
        <v>4206</v>
      </c>
      <c r="X204">
        <v>3</v>
      </c>
      <c r="Y204" t="s">
        <v>6178</v>
      </c>
      <c r="Z204" t="s">
        <v>8102</v>
      </c>
      <c r="AA204">
        <v>1.060671936088353</v>
      </c>
      <c r="AB204" t="str">
        <f>HYPERLINK("Melting_Curves/meltCurve_C9JSR2_PDLIM2.pdf", "Melting_Curves/meltCurve_C9JSR2_PDLIM2.pdf")</f>
        <v>Melting_Curves/meltCurve_C9JSR2_PDLIM2.pdf</v>
      </c>
    </row>
    <row r="205" spans="1:28" x14ac:dyDescent="0.25">
      <c r="A205" t="s">
        <v>209</v>
      </c>
      <c r="B205">
        <v>1</v>
      </c>
      <c r="C205">
        <v>0.89690489950555496</v>
      </c>
      <c r="D205">
        <v>1.05901239324472</v>
      </c>
      <c r="E205">
        <v>1.04873820073204</v>
      </c>
      <c r="F205">
        <v>0.83920888717652398</v>
      </c>
      <c r="G205">
        <v>0.94933538817183605</v>
      </c>
      <c r="H205">
        <v>0.95674136860806103</v>
      </c>
      <c r="I205">
        <v>0.93877223399473497</v>
      </c>
      <c r="J205">
        <v>0.96336608232196796</v>
      </c>
      <c r="K205">
        <v>0.93128063528757099</v>
      </c>
      <c r="L205">
        <v>4681.1632227610398</v>
      </c>
      <c r="M205">
        <v>91.292774795195896</v>
      </c>
      <c r="O205">
        <v>51.2517927512718</v>
      </c>
      <c r="P205">
        <v>-3.08134191717058E-2</v>
      </c>
      <c r="Q205">
        <v>0.930805352589129</v>
      </c>
      <c r="R205">
        <v>0.27911588545709498</v>
      </c>
      <c r="S205" t="s">
        <v>2207</v>
      </c>
      <c r="T205" t="s">
        <v>4002</v>
      </c>
      <c r="U205" t="s">
        <v>4002</v>
      </c>
      <c r="V205" t="s">
        <v>4002</v>
      </c>
      <c r="W205" t="s">
        <v>4207</v>
      </c>
      <c r="X205">
        <v>3</v>
      </c>
      <c r="Y205" t="s">
        <v>6179</v>
      </c>
      <c r="Z205" t="s">
        <v>8103</v>
      </c>
      <c r="AA205">
        <v>0.95686095822211981</v>
      </c>
      <c r="AB205" t="str">
        <f>HYPERLINK("Melting_Curves/meltCurve_C9JSU1_LRRFIP2.pdf", "Melting_Curves/meltCurve_C9JSU1_LRRFIP2.pdf")</f>
        <v>Melting_Curves/meltCurve_C9JSU1_LRRFIP2.pdf</v>
      </c>
    </row>
    <row r="206" spans="1:28" x14ac:dyDescent="0.25">
      <c r="A206" t="s">
        <v>210</v>
      </c>
      <c r="B206">
        <v>1</v>
      </c>
      <c r="C206">
        <v>0.95825542462060298</v>
      </c>
      <c r="D206">
        <v>1.1338870287428799</v>
      </c>
      <c r="E206">
        <v>1.1228855937730999</v>
      </c>
      <c r="F206">
        <v>1.0278297169196</v>
      </c>
      <c r="G206">
        <v>0.93538287602730796</v>
      </c>
      <c r="H206">
        <v>1.33234769752576</v>
      </c>
      <c r="I206">
        <v>1.0226986128625499</v>
      </c>
      <c r="J206">
        <v>2.58968561116667</v>
      </c>
      <c r="K206">
        <v>1.0178718963343001</v>
      </c>
      <c r="L206">
        <v>2656.6312381941498</v>
      </c>
      <c r="M206">
        <v>43.316763863787799</v>
      </c>
      <c r="O206">
        <v>61.200047123144302</v>
      </c>
      <c r="P206">
        <v>8.84738522152312E-2</v>
      </c>
      <c r="Q206">
        <v>1.5</v>
      </c>
      <c r="R206">
        <v>0.24983238707850899</v>
      </c>
      <c r="S206" t="s">
        <v>2208</v>
      </c>
      <c r="T206" t="s">
        <v>4002</v>
      </c>
      <c r="U206" t="s">
        <v>4002</v>
      </c>
      <c r="V206" t="s">
        <v>4002</v>
      </c>
      <c r="W206" t="s">
        <v>4208</v>
      </c>
      <c r="X206">
        <v>3</v>
      </c>
      <c r="Y206" t="s">
        <v>6180</v>
      </c>
      <c r="Z206" t="s">
        <v>8104</v>
      </c>
      <c r="AA206">
        <v>1.1428406398213431</v>
      </c>
      <c r="AB206" t="str">
        <f>HYPERLINK("Melting_Curves/meltCurve_C9JTH1_IL36RN.pdf", "Melting_Curves/meltCurve_C9JTH1_IL36RN.pdf")</f>
        <v>Melting_Curves/meltCurve_C9JTH1_IL36RN.pdf</v>
      </c>
    </row>
    <row r="207" spans="1:28" x14ac:dyDescent="0.25">
      <c r="A207" t="s">
        <v>211</v>
      </c>
      <c r="B207">
        <v>1</v>
      </c>
      <c r="C207">
        <v>1.0029125045131799</v>
      </c>
      <c r="D207">
        <v>1.1004693705620401</v>
      </c>
      <c r="E207">
        <v>0.97479841136117495</v>
      </c>
      <c r="F207">
        <v>0.89514983752557498</v>
      </c>
      <c r="G207">
        <v>0.98286195691418898</v>
      </c>
      <c r="H207">
        <v>0.96914189433144804</v>
      </c>
      <c r="I207">
        <v>0.93864484294138895</v>
      </c>
      <c r="J207">
        <v>1.15513298832591</v>
      </c>
      <c r="K207">
        <v>0.94141292574317004</v>
      </c>
      <c r="L207">
        <v>12053.8286267317</v>
      </c>
      <c r="M207">
        <v>250</v>
      </c>
      <c r="O207">
        <v>48.212229052350999</v>
      </c>
      <c r="P207">
        <v>-2.6456430250483901E-2</v>
      </c>
      <c r="Q207">
        <v>0.97959162442405201</v>
      </c>
      <c r="R207">
        <v>5.1023338186958901E-2</v>
      </c>
      <c r="S207" t="s">
        <v>2209</v>
      </c>
      <c r="T207" t="s">
        <v>4002</v>
      </c>
      <c r="U207" t="s">
        <v>4002</v>
      </c>
      <c r="V207" t="s">
        <v>4002</v>
      </c>
      <c r="W207" t="s">
        <v>4209</v>
      </c>
      <c r="X207">
        <v>1</v>
      </c>
      <c r="Y207" t="s">
        <v>6181</v>
      </c>
      <c r="Z207" t="s">
        <v>8105</v>
      </c>
      <c r="AA207">
        <v>0.98518205878654264</v>
      </c>
      <c r="AB207" t="str">
        <f>HYPERLINK("Melting_Curves/meltCurve_C9JTK6_OLA1.pdf", "Melting_Curves/meltCurve_C9JTK6_OLA1.pdf")</f>
        <v>Melting_Curves/meltCurve_C9JTK6_OLA1.pdf</v>
      </c>
    </row>
    <row r="208" spans="1:28" x14ac:dyDescent="0.25">
      <c r="A208" t="s">
        <v>212</v>
      </c>
      <c r="B208">
        <v>1</v>
      </c>
      <c r="C208">
        <v>0.89819004524886903</v>
      </c>
      <c r="D208">
        <v>0.88064618559974595</v>
      </c>
      <c r="E208">
        <v>0.87687544653488902</v>
      </c>
      <c r="F208">
        <v>0.83095181392395001</v>
      </c>
      <c r="G208">
        <v>0.93323807255695801</v>
      </c>
      <c r="H208">
        <v>0.64420100023815197</v>
      </c>
      <c r="I208">
        <v>1.6912360085734699</v>
      </c>
      <c r="J208">
        <v>1.34385171072478</v>
      </c>
      <c r="K208">
        <v>1.50504088274986</v>
      </c>
      <c r="L208">
        <v>15000</v>
      </c>
      <c r="M208">
        <v>239.830332914606</v>
      </c>
      <c r="O208">
        <v>62.539868556894902</v>
      </c>
      <c r="P208">
        <v>0.47935490410194798</v>
      </c>
      <c r="Q208">
        <v>1.5</v>
      </c>
      <c r="R208">
        <v>0.74160097107093703</v>
      </c>
      <c r="S208" t="s">
        <v>2210</v>
      </c>
      <c r="T208" t="s">
        <v>4002</v>
      </c>
      <c r="U208" t="s">
        <v>4002</v>
      </c>
      <c r="V208" t="s">
        <v>4002</v>
      </c>
      <c r="W208" t="s">
        <v>4210</v>
      </c>
      <c r="X208">
        <v>6</v>
      </c>
      <c r="Y208" t="s">
        <v>6182</v>
      </c>
      <c r="Z208" t="s">
        <v>8106</v>
      </c>
      <c r="AA208">
        <v>1.1242034404751391</v>
      </c>
      <c r="AB208" t="str">
        <f>HYPERLINK("Melting_Curves/meltCurve_C9JV77_AHSG.pdf", "Melting_Curves/meltCurve_C9JV77_AHSG.pdf")</f>
        <v>Melting_Curves/meltCurve_C9JV77_AHSG.pdf</v>
      </c>
    </row>
    <row r="209" spans="1:28" x14ac:dyDescent="0.25">
      <c r="A209" t="s">
        <v>213</v>
      </c>
      <c r="B209">
        <v>1</v>
      </c>
      <c r="C209">
        <v>0.74958800033518602</v>
      </c>
      <c r="D209">
        <v>0.890645512695176</v>
      </c>
      <c r="E209">
        <v>0.71014776123571999</v>
      </c>
      <c r="F209">
        <v>0.726264629479623</v>
      </c>
      <c r="G209">
        <v>0.73757716264908801</v>
      </c>
      <c r="H209">
        <v>0.73740956956509596</v>
      </c>
      <c r="I209">
        <v>0.88447250076813499</v>
      </c>
      <c r="J209">
        <v>0.83209966202061403</v>
      </c>
      <c r="K209">
        <v>0.76902879807826596</v>
      </c>
      <c r="L209">
        <v>10257.3570876634</v>
      </c>
      <c r="M209">
        <v>250</v>
      </c>
      <c r="O209">
        <v>41.026802783340798</v>
      </c>
      <c r="P209">
        <v>-0.33223018241360402</v>
      </c>
      <c r="Q209">
        <v>0.78191452572839804</v>
      </c>
      <c r="R209">
        <v>0.52800220628114503</v>
      </c>
      <c r="S209" t="s">
        <v>2211</v>
      </c>
      <c r="T209" t="s">
        <v>4002</v>
      </c>
      <c r="U209" t="s">
        <v>4002</v>
      </c>
      <c r="V209" t="s">
        <v>4002</v>
      </c>
      <c r="W209" t="s">
        <v>4211</v>
      </c>
      <c r="X209">
        <v>1</v>
      </c>
      <c r="Y209" t="s">
        <v>6183</v>
      </c>
      <c r="Z209" t="s">
        <v>8107</v>
      </c>
      <c r="AA209">
        <v>0.78941548062167499</v>
      </c>
      <c r="AB209" t="str">
        <f>HYPERLINK("Melting_Curves/meltCurve_C9JVL0_SELENBP1.pdf", "Melting_Curves/meltCurve_C9JVL0_SELENBP1.pdf")</f>
        <v>Melting_Curves/meltCurve_C9JVL0_SELENBP1.pdf</v>
      </c>
    </row>
    <row r="210" spans="1:28" x14ac:dyDescent="0.25">
      <c r="A210" t="s">
        <v>214</v>
      </c>
      <c r="B210">
        <v>1</v>
      </c>
      <c r="C210">
        <v>0.80122580915998498</v>
      </c>
      <c r="D210">
        <v>0.91121279543260103</v>
      </c>
      <c r="E210">
        <v>0.96314176566894805</v>
      </c>
      <c r="F210">
        <v>0.93837370387473196</v>
      </c>
      <c r="G210">
        <v>1.0232567902271099</v>
      </c>
      <c r="H210">
        <v>0.97791864321397104</v>
      </c>
      <c r="I210">
        <v>1.12648503421351</v>
      </c>
      <c r="J210">
        <v>1.0088157508081099</v>
      </c>
      <c r="K210">
        <v>0.91683808404349099</v>
      </c>
      <c r="L210">
        <v>1.0000000000000001E-5</v>
      </c>
      <c r="M210">
        <v>1.0000000000000001E-5</v>
      </c>
      <c r="Q210">
        <v>0.93345400290063296</v>
      </c>
      <c r="R210">
        <v>-6.3627596524895596E-9</v>
      </c>
      <c r="S210" t="s">
        <v>2212</v>
      </c>
      <c r="T210" t="s">
        <v>4002</v>
      </c>
      <c r="U210" t="s">
        <v>4002</v>
      </c>
      <c r="V210" t="s">
        <v>4002</v>
      </c>
      <c r="W210" t="s">
        <v>4212</v>
      </c>
      <c r="X210">
        <v>8</v>
      </c>
      <c r="Y210" t="s">
        <v>6184</v>
      </c>
      <c r="Z210" t="s">
        <v>8108</v>
      </c>
      <c r="AA210">
        <v>0.966726838188673</v>
      </c>
      <c r="AB210" t="str">
        <f>HYPERLINK("Melting_Curves/meltCurve_C9JWS0_GPR64.pdf", "Melting_Curves/meltCurve_C9JWS0_GPR64.pdf")</f>
        <v>Melting_Curves/meltCurve_C9JWS0_GPR64.pdf</v>
      </c>
    </row>
    <row r="211" spans="1:28" x14ac:dyDescent="0.25">
      <c r="A211" t="s">
        <v>215</v>
      </c>
      <c r="B211">
        <v>1</v>
      </c>
      <c r="C211">
        <v>0.917825181516294</v>
      </c>
      <c r="D211">
        <v>0.94622990187801403</v>
      </c>
      <c r="E211">
        <v>0.88292902572184395</v>
      </c>
      <c r="F211">
        <v>0.87276036096883702</v>
      </c>
      <c r="G211">
        <v>1.0134519052175399</v>
      </c>
      <c r="H211">
        <v>0.66233278925348504</v>
      </c>
      <c r="I211">
        <v>1.3134650381794</v>
      </c>
      <c r="J211">
        <v>0.83480610119885201</v>
      </c>
      <c r="K211">
        <v>0.90266599125720004</v>
      </c>
      <c r="L211">
        <v>10259.496983450401</v>
      </c>
      <c r="M211">
        <v>250</v>
      </c>
      <c r="O211">
        <v>41.035356093950902</v>
      </c>
      <c r="P211">
        <v>-0.11059816793189001</v>
      </c>
      <c r="Q211">
        <v>0.92738502673991197</v>
      </c>
      <c r="R211">
        <v>1.9286909770707499E-2</v>
      </c>
      <c r="S211" t="s">
        <v>2213</v>
      </c>
      <c r="T211" t="s">
        <v>4002</v>
      </c>
      <c r="U211" t="s">
        <v>4002</v>
      </c>
      <c r="V211" t="s">
        <v>4002</v>
      </c>
      <c r="W211" t="s">
        <v>4213</v>
      </c>
      <c r="X211">
        <v>4</v>
      </c>
      <c r="Y211" t="s">
        <v>6185</v>
      </c>
      <c r="Z211" t="s">
        <v>8109</v>
      </c>
      <c r="AA211">
        <v>0.92990327525511418</v>
      </c>
      <c r="AB211" t="str">
        <f>HYPERLINK("Melting_Curves/meltCurve_C9JXG8_RANBP1.pdf", "Melting_Curves/meltCurve_C9JXG8_RANBP1.pdf")</f>
        <v>Melting_Curves/meltCurve_C9JXG8_RANBP1.pdf</v>
      </c>
    </row>
    <row r="212" spans="1:28" x14ac:dyDescent="0.25">
      <c r="A212" t="s">
        <v>216</v>
      </c>
      <c r="B212">
        <v>1</v>
      </c>
      <c r="C212">
        <v>0.90365880060619197</v>
      </c>
      <c r="D212">
        <v>0.99701234033340502</v>
      </c>
      <c r="E212">
        <v>1.0729595150465501</v>
      </c>
      <c r="F212">
        <v>1.0135527170383201</v>
      </c>
      <c r="G212">
        <v>1.14830049794328</v>
      </c>
      <c r="H212">
        <v>0.81324962113011501</v>
      </c>
      <c r="I212">
        <v>1.2077505953669601</v>
      </c>
      <c r="J212">
        <v>0.88512665079021402</v>
      </c>
      <c r="K212">
        <v>1.0680233816843501</v>
      </c>
      <c r="L212">
        <v>15000</v>
      </c>
      <c r="M212">
        <v>212.437016045408</v>
      </c>
      <c r="Q212">
        <v>1.5</v>
      </c>
      <c r="R212">
        <v>2.6048314508281899E-2</v>
      </c>
      <c r="S212" t="s">
        <v>2214</v>
      </c>
      <c r="T212" t="s">
        <v>4002</v>
      </c>
      <c r="U212" t="s">
        <v>4002</v>
      </c>
      <c r="V212" t="s">
        <v>4002</v>
      </c>
      <c r="W212" t="s">
        <v>4214</v>
      </c>
      <c r="X212">
        <v>3</v>
      </c>
      <c r="Y212" t="s">
        <v>6186</v>
      </c>
      <c r="Z212" t="s">
        <v>8110</v>
      </c>
      <c r="AA212">
        <v>1.000788447331237</v>
      </c>
      <c r="AB212" t="str">
        <f>HYPERLINK("Melting_Curves/meltCurve_C9JXR7_CASP3.pdf", "Melting_Curves/meltCurve_C9JXR7_CASP3.pdf")</f>
        <v>Melting_Curves/meltCurve_C9JXR7_CASP3.pdf</v>
      </c>
    </row>
    <row r="213" spans="1:28" x14ac:dyDescent="0.25">
      <c r="A213" t="s">
        <v>217</v>
      </c>
      <c r="B213">
        <v>1</v>
      </c>
      <c r="C213">
        <v>0.85995396153560499</v>
      </c>
      <c r="D213">
        <v>1.1290933392737801</v>
      </c>
      <c r="E213">
        <v>1.04674389247791</v>
      </c>
      <c r="F213">
        <v>0.87521348481473205</v>
      </c>
      <c r="G213">
        <v>0.90996509987376595</v>
      </c>
      <c r="H213">
        <v>0.76758001039578205</v>
      </c>
      <c r="I213">
        <v>0.88379000519789097</v>
      </c>
      <c r="J213">
        <v>0.82768990866562697</v>
      </c>
      <c r="K213">
        <v>0.745266206282023</v>
      </c>
      <c r="L213">
        <v>1259.15562188072</v>
      </c>
      <c r="M213">
        <v>22.8665095406189</v>
      </c>
      <c r="O213">
        <v>54.649540359182602</v>
      </c>
      <c r="P213">
        <v>-2.0578282394935199E-2</v>
      </c>
      <c r="Q213">
        <v>0.803280505085324</v>
      </c>
      <c r="R213">
        <v>0.55105574551717895</v>
      </c>
      <c r="S213" t="s">
        <v>2215</v>
      </c>
      <c r="T213" t="s">
        <v>4002</v>
      </c>
      <c r="U213" t="s">
        <v>4002</v>
      </c>
      <c r="V213" t="s">
        <v>4002</v>
      </c>
      <c r="W213" t="s">
        <v>4215</v>
      </c>
      <c r="X213">
        <v>1</v>
      </c>
      <c r="Y213" t="s">
        <v>6187</v>
      </c>
      <c r="Z213" t="s">
        <v>8111</v>
      </c>
      <c r="AA213">
        <v>0.9041874199320824</v>
      </c>
      <c r="AB213" t="str">
        <f>HYPERLINK("Melting_Curves/meltCurve_C9JY51_ANKRD44.pdf", "Melting_Curves/meltCurve_C9JY51_ANKRD44.pdf")</f>
        <v>Melting_Curves/meltCurve_C9JY51_ANKRD44.pdf</v>
      </c>
    </row>
    <row r="214" spans="1:28" x14ac:dyDescent="0.25">
      <c r="A214" t="s">
        <v>218</v>
      </c>
      <c r="B214">
        <v>1</v>
      </c>
      <c r="C214">
        <v>1.01953111823242</v>
      </c>
      <c r="D214">
        <v>1.00850059031877</v>
      </c>
      <c r="E214">
        <v>1.00647664024287</v>
      </c>
      <c r="F214">
        <v>1.13961882273571</v>
      </c>
      <c r="G214">
        <v>1.0091415078428101</v>
      </c>
      <c r="H214">
        <v>0.943194467869793</v>
      </c>
      <c r="I214">
        <v>0.955506830831506</v>
      </c>
      <c r="J214">
        <v>0.83764547141170498</v>
      </c>
      <c r="K214">
        <v>1.0103558778883499</v>
      </c>
      <c r="L214">
        <v>8711.2317889096394</v>
      </c>
      <c r="M214">
        <v>144.674377855177</v>
      </c>
      <c r="O214">
        <v>60.201175006042902</v>
      </c>
      <c r="P214">
        <v>-3.93631514520527E-2</v>
      </c>
      <c r="Q214">
        <v>0.93448161378989203</v>
      </c>
      <c r="R214">
        <v>0.30448380477158299</v>
      </c>
      <c r="S214" t="s">
        <v>2216</v>
      </c>
      <c r="T214" t="s">
        <v>4002</v>
      </c>
      <c r="U214" t="s">
        <v>4002</v>
      </c>
      <c r="V214" t="s">
        <v>4002</v>
      </c>
      <c r="W214" t="s">
        <v>4216</v>
      </c>
      <c r="X214">
        <v>2</v>
      </c>
      <c r="Y214" t="s">
        <v>6188</v>
      </c>
      <c r="Z214" t="s">
        <v>8112</v>
      </c>
      <c r="AA214">
        <v>0.9786456990838146</v>
      </c>
      <c r="AB214" t="str">
        <f>HYPERLINK("Melting_Curves/meltCurve_C9K080_LRIG3.pdf", "Melting_Curves/meltCurve_C9K080_LRIG3.pdf")</f>
        <v>Melting_Curves/meltCurve_C9K080_LRIG3.pdf</v>
      </c>
    </row>
    <row r="215" spans="1:28" x14ac:dyDescent="0.25">
      <c r="A215" t="s">
        <v>219</v>
      </c>
      <c r="B215">
        <v>1</v>
      </c>
      <c r="C215">
        <v>0.93659592897358201</v>
      </c>
      <c r="D215">
        <v>0.91925075790385502</v>
      </c>
      <c r="E215">
        <v>0.81530965786054599</v>
      </c>
      <c r="F215">
        <v>0.66123863144218298</v>
      </c>
      <c r="G215">
        <v>0.73830662624512799</v>
      </c>
      <c r="H215">
        <v>0.68222174101342603</v>
      </c>
      <c r="I215">
        <v>0.74802944997834597</v>
      </c>
      <c r="J215">
        <v>1.75329146816804</v>
      </c>
      <c r="K215">
        <v>0.71346903421394503</v>
      </c>
      <c r="L215">
        <v>1483.0582143077499</v>
      </c>
      <c r="M215">
        <v>34.315557019121002</v>
      </c>
      <c r="O215">
        <v>43.072279105218698</v>
      </c>
      <c r="P215">
        <v>-2.4648162756518301E-2</v>
      </c>
      <c r="Q215">
        <v>0.87624876068776303</v>
      </c>
      <c r="R215">
        <v>1.64120462881201E-2</v>
      </c>
      <c r="S215" t="s">
        <v>2217</v>
      </c>
      <c r="T215" t="s">
        <v>4002</v>
      </c>
      <c r="U215" t="s">
        <v>4002</v>
      </c>
      <c r="V215" t="s">
        <v>4002</v>
      </c>
      <c r="W215" t="s">
        <v>4217</v>
      </c>
      <c r="X215">
        <v>1</v>
      </c>
      <c r="Y215" t="s">
        <v>6189</v>
      </c>
      <c r="Z215" t="s">
        <v>8113</v>
      </c>
      <c r="AA215">
        <v>0.89028724177277541</v>
      </c>
      <c r="AB215" t="str">
        <f>HYPERLINK("Melting_Curves/meltCurve_D6R937_AIMP1.pdf", "Melting_Curves/meltCurve_D6R937_AIMP1.pdf")</f>
        <v>Melting_Curves/meltCurve_D6R937_AIMP1.pdf</v>
      </c>
    </row>
    <row r="216" spans="1:28" x14ac:dyDescent="0.25">
      <c r="A216" t="s">
        <v>220</v>
      </c>
      <c r="B216">
        <v>1</v>
      </c>
      <c r="C216">
        <v>0.82476859892523602</v>
      </c>
      <c r="D216">
        <v>1.0022067387262199</v>
      </c>
      <c r="E216">
        <v>0.95173780674689901</v>
      </c>
      <c r="F216">
        <v>0.75768782820130398</v>
      </c>
      <c r="G216">
        <v>0.92597208884166604</v>
      </c>
      <c r="H216">
        <v>0.85778794875462305</v>
      </c>
      <c r="I216">
        <v>0.91743119266054995</v>
      </c>
      <c r="J216">
        <v>0.85737929343495201</v>
      </c>
      <c r="K216">
        <v>0.77836578737663698</v>
      </c>
      <c r="L216">
        <v>120.700619196741</v>
      </c>
      <c r="M216">
        <v>0.13653028248235499</v>
      </c>
      <c r="O216">
        <v>49.413085200046197</v>
      </c>
      <c r="P216">
        <v>-4.07353267696141E-3</v>
      </c>
      <c r="Q216">
        <v>0</v>
      </c>
      <c r="R216">
        <v>0.226455372690375</v>
      </c>
      <c r="S216" t="s">
        <v>2218</v>
      </c>
      <c r="T216" t="s">
        <v>4002</v>
      </c>
      <c r="U216" t="s">
        <v>4002</v>
      </c>
      <c r="V216" t="s">
        <v>4002</v>
      </c>
      <c r="W216" t="s">
        <v>4218</v>
      </c>
      <c r="X216">
        <v>2</v>
      </c>
      <c r="Y216" t="s">
        <v>6190</v>
      </c>
      <c r="Z216" t="s">
        <v>8114</v>
      </c>
      <c r="AA216">
        <v>0.8874554722041964</v>
      </c>
      <c r="AB216" t="str">
        <f>HYPERLINK("Melting_Curves/meltCurve_D6R939_IQGAP2.pdf", "Melting_Curves/meltCurve_D6R939_IQGAP2.pdf")</f>
        <v>Melting_Curves/meltCurve_D6R939_IQGAP2.pdf</v>
      </c>
    </row>
    <row r="217" spans="1:28" x14ac:dyDescent="0.25">
      <c r="A217" t="s">
        <v>221</v>
      </c>
      <c r="B217">
        <v>1</v>
      </c>
      <c r="C217">
        <v>0.60098728496634302</v>
      </c>
      <c r="D217">
        <v>0.87606581899775604</v>
      </c>
      <c r="E217">
        <v>0.76080777860882598</v>
      </c>
      <c r="F217">
        <v>0.76985789080029898</v>
      </c>
      <c r="G217">
        <v>0.67697830964846695</v>
      </c>
      <c r="H217">
        <v>1.52729992520568</v>
      </c>
      <c r="I217">
        <v>1.4320867614061299</v>
      </c>
      <c r="J217">
        <v>1.36417352281227</v>
      </c>
      <c r="K217">
        <v>1.26432311144353</v>
      </c>
      <c r="L217">
        <v>6203.78170241711</v>
      </c>
      <c r="M217">
        <v>104.81693843422801</v>
      </c>
      <c r="O217">
        <v>59.165291177856197</v>
      </c>
      <c r="P217">
        <v>0.176361889209388</v>
      </c>
      <c r="Q217">
        <v>1.3981990599527501</v>
      </c>
      <c r="R217">
        <v>0.58505713579921104</v>
      </c>
      <c r="S217" t="s">
        <v>2219</v>
      </c>
      <c r="T217" t="s">
        <v>4002</v>
      </c>
      <c r="U217" t="s">
        <v>4002</v>
      </c>
      <c r="V217" t="s">
        <v>4002</v>
      </c>
      <c r="W217" t="s">
        <v>4219</v>
      </c>
      <c r="X217">
        <v>1</v>
      </c>
      <c r="Y217" t="s">
        <v>6191</v>
      </c>
      <c r="Z217" t="s">
        <v>8115</v>
      </c>
      <c r="AA217">
        <v>1.1432910084464589</v>
      </c>
      <c r="AB217" t="str">
        <f>HYPERLINK("Melting_Curves/meltCurve_D6R959_GCLC.pdf", "Melting_Curves/meltCurve_D6R959_GCLC.pdf")</f>
        <v>Melting_Curves/meltCurve_D6R959_GCLC.pdf</v>
      </c>
    </row>
    <row r="218" spans="1:28" x14ac:dyDescent="0.25">
      <c r="A218" t="s">
        <v>222</v>
      </c>
      <c r="B218">
        <v>1</v>
      </c>
      <c r="C218">
        <v>0.91585283459247002</v>
      </c>
      <c r="D218">
        <v>0.96241017136539497</v>
      </c>
      <c r="E218">
        <v>1.0161537989067</v>
      </c>
      <c r="F218">
        <v>1.06553651495608</v>
      </c>
      <c r="G218">
        <v>1.05693753454947</v>
      </c>
      <c r="H218">
        <v>1.00651065659358</v>
      </c>
      <c r="I218">
        <v>1.1526319022173099</v>
      </c>
      <c r="J218">
        <v>1.2544069774583899</v>
      </c>
      <c r="K218">
        <v>0.98059087279651103</v>
      </c>
      <c r="L218">
        <v>931.77259808859606</v>
      </c>
      <c r="M218">
        <v>16.584707518864501</v>
      </c>
      <c r="O218">
        <v>55.384841853981698</v>
      </c>
      <c r="P218">
        <v>8.5023656263406907E-3</v>
      </c>
      <c r="Q218">
        <v>1.1135673289493999</v>
      </c>
      <c r="R218">
        <v>0.336800295966251</v>
      </c>
      <c r="S218" t="s">
        <v>2220</v>
      </c>
      <c r="T218" t="s">
        <v>4002</v>
      </c>
      <c r="U218" t="s">
        <v>4002</v>
      </c>
      <c r="V218" t="s">
        <v>4002</v>
      </c>
      <c r="W218" t="s">
        <v>4220</v>
      </c>
      <c r="X218">
        <v>3</v>
      </c>
      <c r="Y218" t="s">
        <v>6192</v>
      </c>
      <c r="Z218" t="s">
        <v>8116</v>
      </c>
      <c r="AA218">
        <v>1.050499628475088</v>
      </c>
      <c r="AB218" t="str">
        <f>HYPERLINK("Melting_Curves/meltCurve_D6R9P3_HNRNPAB.pdf", "Melting_Curves/meltCurve_D6R9P3_HNRNPAB.pdf")</f>
        <v>Melting_Curves/meltCurve_D6R9P3_HNRNPAB.pdf</v>
      </c>
    </row>
    <row r="219" spans="1:28" x14ac:dyDescent="0.25">
      <c r="A219" t="s">
        <v>223</v>
      </c>
      <c r="B219">
        <v>1</v>
      </c>
      <c r="C219">
        <v>1.0172477516323799</v>
      </c>
      <c r="D219">
        <v>1.0217444868793899</v>
      </c>
      <c r="E219">
        <v>0.949673524701244</v>
      </c>
      <c r="F219">
        <v>0.81926820253788302</v>
      </c>
      <c r="G219">
        <v>0.74953800665270398</v>
      </c>
      <c r="H219">
        <v>0.53552420845139803</v>
      </c>
      <c r="I219">
        <v>0.614857706049033</v>
      </c>
      <c r="J219">
        <v>1.2380189725268</v>
      </c>
      <c r="K219">
        <v>0.56302205248244397</v>
      </c>
      <c r="L219">
        <v>2216.2798256598699</v>
      </c>
      <c r="M219">
        <v>42.730626812151897</v>
      </c>
      <c r="O219">
        <v>51.753112537973898</v>
      </c>
      <c r="P219">
        <v>-5.3752851116404002E-2</v>
      </c>
      <c r="Q219">
        <v>0.73958986152375294</v>
      </c>
      <c r="R219">
        <v>0.30763207708693702</v>
      </c>
      <c r="S219" t="s">
        <v>2221</v>
      </c>
      <c r="T219" t="s">
        <v>4002</v>
      </c>
      <c r="U219" t="s">
        <v>4002</v>
      </c>
      <c r="V219" t="s">
        <v>4002</v>
      </c>
      <c r="W219" t="s">
        <v>4108</v>
      </c>
      <c r="X219">
        <v>3</v>
      </c>
      <c r="Y219" t="s">
        <v>6193</v>
      </c>
      <c r="Z219" t="s">
        <v>8117</v>
      </c>
      <c r="AA219">
        <v>0.84341055469667336</v>
      </c>
      <c r="AB219" t="str">
        <f>HYPERLINK("Melting_Curves/meltCurve_D6RA82_ANXA3.pdf", "Melting_Curves/meltCurve_D6RA82_ANXA3.pdf")</f>
        <v>Melting_Curves/meltCurve_D6RA82_ANXA3.pdf</v>
      </c>
    </row>
    <row r="220" spans="1:28" x14ac:dyDescent="0.25">
      <c r="A220" t="s">
        <v>224</v>
      </c>
      <c r="B220">
        <v>1</v>
      </c>
      <c r="C220">
        <v>0.95395563990036802</v>
      </c>
      <c r="D220">
        <v>0.96683667417862695</v>
      </c>
      <c r="E220">
        <v>1.01366385956589</v>
      </c>
      <c r="F220">
        <v>0.969849365437077</v>
      </c>
      <c r="G220">
        <v>1.1400782825287601</v>
      </c>
      <c r="H220">
        <v>0.89436603012691296</v>
      </c>
      <c r="I220">
        <v>1.0575732416083501</v>
      </c>
      <c r="J220">
        <v>0.78308622939153105</v>
      </c>
      <c r="K220">
        <v>0.80194520222986598</v>
      </c>
      <c r="L220">
        <v>15000</v>
      </c>
      <c r="M220">
        <v>228.277555214736</v>
      </c>
      <c r="O220">
        <v>65.704439217840303</v>
      </c>
      <c r="P220">
        <v>-0.181204640683506</v>
      </c>
      <c r="Q220">
        <v>0.79137766277767796</v>
      </c>
      <c r="R220">
        <v>0.63892084564297702</v>
      </c>
      <c r="S220" t="s">
        <v>2222</v>
      </c>
      <c r="T220" t="s">
        <v>4002</v>
      </c>
      <c r="U220" t="s">
        <v>4002</v>
      </c>
      <c r="V220" t="s">
        <v>4002</v>
      </c>
      <c r="W220" t="s">
        <v>4221</v>
      </c>
      <c r="X220">
        <v>1</v>
      </c>
      <c r="Y220" t="s">
        <v>6194</v>
      </c>
      <c r="Z220" t="s">
        <v>8118</v>
      </c>
      <c r="AA220">
        <v>0.97019226044114282</v>
      </c>
      <c r="AB220" t="str">
        <f>HYPERLINK("Melting_Curves/meltCurve_D6RAE8_FYB.pdf", "Melting_Curves/meltCurve_D6RAE8_FYB.pdf")</f>
        <v>Melting_Curves/meltCurve_D6RAE8_FYB.pdf</v>
      </c>
    </row>
    <row r="221" spans="1:28" x14ac:dyDescent="0.25">
      <c r="A221" t="s">
        <v>225</v>
      </c>
      <c r="B221">
        <v>1</v>
      </c>
      <c r="C221">
        <v>0.95497648600724705</v>
      </c>
      <c r="D221">
        <v>1.07139002389947</v>
      </c>
      <c r="E221">
        <v>1.20867704880117</v>
      </c>
      <c r="F221">
        <v>1.08166294040552</v>
      </c>
      <c r="G221">
        <v>1.124720530414</v>
      </c>
      <c r="H221">
        <v>1.02235756687996</v>
      </c>
      <c r="I221">
        <v>1.2906483694395201</v>
      </c>
      <c r="J221">
        <v>1.18533651992907</v>
      </c>
      <c r="K221">
        <v>1.1043481612828601</v>
      </c>
      <c r="L221">
        <v>11501.6535848536</v>
      </c>
      <c r="M221">
        <v>250</v>
      </c>
      <c r="O221">
        <v>46.003670178548703</v>
      </c>
      <c r="P221">
        <v>0.19752910362227399</v>
      </c>
      <c r="Q221">
        <v>1.1453930197038</v>
      </c>
      <c r="R221">
        <v>0.46819229600858697</v>
      </c>
      <c r="S221" t="s">
        <v>2223</v>
      </c>
      <c r="T221" t="s">
        <v>4002</v>
      </c>
      <c r="U221" t="s">
        <v>4002</v>
      </c>
      <c r="V221" t="s">
        <v>4002</v>
      </c>
      <c r="W221" t="s">
        <v>4222</v>
      </c>
      <c r="X221">
        <v>5</v>
      </c>
      <c r="Y221" t="s">
        <v>6195</v>
      </c>
      <c r="Z221" t="s">
        <v>8119</v>
      </c>
      <c r="AA221">
        <v>1.1162706206415569</v>
      </c>
      <c r="AB221" t="str">
        <f>HYPERLINK("Melting_Curves/meltCurve_D6RAF8_HNRNPD.pdf", "Melting_Curves/meltCurve_D6RAF8_HNRNPD.pdf")</f>
        <v>Melting_Curves/meltCurve_D6RAF8_HNRNPD.pdf</v>
      </c>
    </row>
    <row r="222" spans="1:28" x14ac:dyDescent="0.25">
      <c r="A222" t="s">
        <v>226</v>
      </c>
      <c r="B222">
        <v>1</v>
      </c>
      <c r="C222">
        <v>0.92083149049093305</v>
      </c>
      <c r="D222">
        <v>0.975169014974411</v>
      </c>
      <c r="E222">
        <v>0.87856195109622803</v>
      </c>
      <c r="F222">
        <v>0.93631136665192405</v>
      </c>
      <c r="G222">
        <v>0.96746066847791701</v>
      </c>
      <c r="H222">
        <v>0.82630947115688402</v>
      </c>
      <c r="I222">
        <v>1.0827067669172901</v>
      </c>
      <c r="J222">
        <v>0.95817274278132303</v>
      </c>
      <c r="K222">
        <v>0.967776584317938</v>
      </c>
      <c r="L222">
        <v>10241.732363347501</v>
      </c>
      <c r="M222">
        <v>250</v>
      </c>
      <c r="O222">
        <v>40.964289436609398</v>
      </c>
      <c r="P222">
        <v>-8.2507464694834207E-2</v>
      </c>
      <c r="Q222">
        <v>0.94592222096477996</v>
      </c>
      <c r="R222">
        <v>6.1413709890641502E-2</v>
      </c>
      <c r="S222" t="s">
        <v>2224</v>
      </c>
      <c r="T222" t="s">
        <v>4002</v>
      </c>
      <c r="U222" t="s">
        <v>4002</v>
      </c>
      <c r="V222" t="s">
        <v>4002</v>
      </c>
      <c r="W222" t="s">
        <v>4223</v>
      </c>
      <c r="X222">
        <v>4</v>
      </c>
      <c r="Y222" t="s">
        <v>6196</v>
      </c>
      <c r="Z222" t="s">
        <v>8120</v>
      </c>
      <c r="AA222">
        <v>0.94766975136803289</v>
      </c>
      <c r="AB222" t="str">
        <f>HYPERLINK("Melting_Curves/meltCurve_D6RAM3_DOK3.pdf", "Melting_Curves/meltCurve_D6RAM3_DOK3.pdf")</f>
        <v>Melting_Curves/meltCurve_D6RAM3_DOK3.pdf</v>
      </c>
    </row>
    <row r="223" spans="1:28" x14ac:dyDescent="0.25">
      <c r="A223" t="s">
        <v>227</v>
      </c>
      <c r="B223">
        <v>1</v>
      </c>
      <c r="C223">
        <v>0.87127309828817601</v>
      </c>
      <c r="D223">
        <v>1.2550731209613399</v>
      </c>
      <c r="E223">
        <v>1.3694592449835601</v>
      </c>
      <c r="F223">
        <v>1.6711824056229501</v>
      </c>
      <c r="G223">
        <v>2.11642670898991</v>
      </c>
      <c r="H223">
        <v>2.2270717605713601</v>
      </c>
      <c r="I223">
        <v>2.4388958168008199</v>
      </c>
      <c r="J223">
        <v>6.6177304160526003</v>
      </c>
      <c r="K223">
        <v>2.5945471035029999</v>
      </c>
      <c r="S223" t="s">
        <v>2225</v>
      </c>
      <c r="T223" t="s">
        <v>4002</v>
      </c>
      <c r="U223" t="s">
        <v>4003</v>
      </c>
      <c r="V223" t="s">
        <v>4002</v>
      </c>
      <c r="W223" t="s">
        <v>4224</v>
      </c>
      <c r="X223">
        <v>2</v>
      </c>
      <c r="Y223" t="s">
        <v>6197</v>
      </c>
      <c r="Z223" t="s">
        <v>8121</v>
      </c>
      <c r="AB223" t="str">
        <f>HYPERLINK("Melting_Curves/meltCurve_D6RAU2_GNB2L1.pdf", "Melting_Curves/meltCurve_D6RAU2_GNB2L1.pdf")</f>
        <v>Melting_Curves/meltCurve_D6RAU2_GNB2L1.pdf</v>
      </c>
    </row>
    <row r="224" spans="1:28" x14ac:dyDescent="0.25">
      <c r="A224" t="s">
        <v>228</v>
      </c>
      <c r="B224">
        <v>1</v>
      </c>
      <c r="C224">
        <v>0.92117007746560298</v>
      </c>
      <c r="D224">
        <v>0.86477049369869297</v>
      </c>
      <c r="E224">
        <v>1.0960110995490799</v>
      </c>
      <c r="F224">
        <v>1.2015261879986101</v>
      </c>
      <c r="G224">
        <v>1.4275407561567801</v>
      </c>
      <c r="H224">
        <v>1.5286853971557399</v>
      </c>
      <c r="I224">
        <v>1.66564920800093</v>
      </c>
      <c r="J224">
        <v>1.74029367556943</v>
      </c>
      <c r="K224">
        <v>1.4432419932940199</v>
      </c>
      <c r="L224">
        <v>1765.2329363424301</v>
      </c>
      <c r="M224">
        <v>33.030487064400603</v>
      </c>
      <c r="O224">
        <v>53.247788206786097</v>
      </c>
      <c r="P224">
        <v>7.7539923069992897E-2</v>
      </c>
      <c r="Q224">
        <v>1.5</v>
      </c>
      <c r="R224">
        <v>0.86643693287441803</v>
      </c>
      <c r="S224" t="s">
        <v>2226</v>
      </c>
      <c r="T224" t="s">
        <v>4002</v>
      </c>
      <c r="U224" t="s">
        <v>4002</v>
      </c>
      <c r="V224" t="s">
        <v>4002</v>
      </c>
      <c r="W224" t="s">
        <v>4225</v>
      </c>
      <c r="X224">
        <v>2</v>
      </c>
      <c r="Y224" t="s">
        <v>6198</v>
      </c>
      <c r="Z224" t="s">
        <v>8122</v>
      </c>
      <c r="AA224">
        <v>1.2732570391067</v>
      </c>
      <c r="AB224" t="str">
        <f>HYPERLINK("Melting_Curves/meltCurve_D6RAX3_PCDH1.pdf", "Melting_Curves/meltCurve_D6RAX3_PCDH1.pdf")</f>
        <v>Melting_Curves/meltCurve_D6RAX3_PCDH1.pdf</v>
      </c>
    </row>
    <row r="225" spans="1:28" x14ac:dyDescent="0.25">
      <c r="A225" t="s">
        <v>229</v>
      </c>
      <c r="B225">
        <v>1</v>
      </c>
      <c r="C225">
        <v>0.81871152811809</v>
      </c>
      <c r="D225">
        <v>0.88681049423295299</v>
      </c>
      <c r="E225">
        <v>0.86212872766389803</v>
      </c>
      <c r="F225">
        <v>0.77415884778581301</v>
      </c>
      <c r="G225">
        <v>0.75620032271559201</v>
      </c>
      <c r="H225">
        <v>0.71624932767585003</v>
      </c>
      <c r="I225">
        <v>0.73764417617880795</v>
      </c>
      <c r="J225">
        <v>0.83867208510129698</v>
      </c>
      <c r="K225">
        <v>0.69664734357258096</v>
      </c>
      <c r="L225">
        <v>423.99851969944098</v>
      </c>
      <c r="M225">
        <v>9.2685203525316293</v>
      </c>
      <c r="O225">
        <v>43.767828194224997</v>
      </c>
      <c r="P225">
        <v>-1.4212738257122401E-2</v>
      </c>
      <c r="Q225">
        <v>0.73171258369954995</v>
      </c>
      <c r="R225">
        <v>0.65509041715872396</v>
      </c>
      <c r="S225" t="s">
        <v>2227</v>
      </c>
      <c r="T225" t="s">
        <v>4002</v>
      </c>
      <c r="U225" t="s">
        <v>4002</v>
      </c>
      <c r="V225" t="s">
        <v>4002</v>
      </c>
      <c r="W225" t="s">
        <v>4226</v>
      </c>
      <c r="X225">
        <v>1</v>
      </c>
      <c r="Y225" t="s">
        <v>6199</v>
      </c>
      <c r="Z225" t="s">
        <v>8123</v>
      </c>
      <c r="AA225">
        <v>0.80246518038401515</v>
      </c>
      <c r="AB225" t="str">
        <f>HYPERLINK("Melting_Curves/meltCurve_D6RBV0_LEMD2.pdf", "Melting_Curves/meltCurve_D6RBV0_LEMD2.pdf")</f>
        <v>Melting_Curves/meltCurve_D6RBV0_LEMD2.pdf</v>
      </c>
    </row>
    <row r="226" spans="1:28" x14ac:dyDescent="0.25">
      <c r="A226" t="s">
        <v>230</v>
      </c>
      <c r="B226">
        <v>1</v>
      </c>
      <c r="C226">
        <v>0.80890804597701105</v>
      </c>
      <c r="D226">
        <v>1.1042905271502199</v>
      </c>
      <c r="E226">
        <v>0.89526357510899701</v>
      </c>
      <c r="F226">
        <v>1.0848692033293701</v>
      </c>
      <c r="G226">
        <v>0.95724336107808194</v>
      </c>
      <c r="H226">
        <v>1.2223543400713399</v>
      </c>
      <c r="I226">
        <v>1.0743162901308001</v>
      </c>
      <c r="J226">
        <v>1.0380499405469701</v>
      </c>
      <c r="K226">
        <v>1.07956797463337</v>
      </c>
      <c r="L226">
        <v>14704.8941033381</v>
      </c>
      <c r="M226">
        <v>250</v>
      </c>
      <c r="O226">
        <v>58.815812370449699</v>
      </c>
      <c r="P226">
        <v>0.11005541454995001</v>
      </c>
      <c r="Q226">
        <v>1.1035679776440099</v>
      </c>
      <c r="R226">
        <v>0.29147876215893698</v>
      </c>
      <c r="S226" t="s">
        <v>2228</v>
      </c>
      <c r="T226" t="s">
        <v>4002</v>
      </c>
      <c r="U226" t="s">
        <v>4002</v>
      </c>
      <c r="V226" t="s">
        <v>4002</v>
      </c>
      <c r="W226" t="s">
        <v>4227</v>
      </c>
      <c r="X226">
        <v>1</v>
      </c>
      <c r="Y226" t="s">
        <v>6200</v>
      </c>
      <c r="Z226" t="s">
        <v>8124</v>
      </c>
      <c r="AA226">
        <v>1.03858710427843</v>
      </c>
      <c r="AB226" t="str">
        <f>HYPERLINK("Melting_Curves/meltCurve_D6RC73_CCL28.pdf", "Melting_Curves/meltCurve_D6RC73_CCL28.pdf")</f>
        <v>Melting_Curves/meltCurve_D6RC73_CCL28.pdf</v>
      </c>
    </row>
    <row r="227" spans="1:28" x14ac:dyDescent="0.25">
      <c r="A227" t="s">
        <v>231</v>
      </c>
      <c r="B227">
        <v>1</v>
      </c>
      <c r="C227">
        <v>0.84938633938100305</v>
      </c>
      <c r="D227">
        <v>0.76281572394165797</v>
      </c>
      <c r="E227">
        <v>0.68104766986837395</v>
      </c>
      <c r="F227">
        <v>0.56282461757381697</v>
      </c>
      <c r="G227">
        <v>0.52217182497331904</v>
      </c>
      <c r="H227">
        <v>0.414327641408751</v>
      </c>
      <c r="I227">
        <v>0.45482924226254001</v>
      </c>
      <c r="J227">
        <v>0.95971184631803597</v>
      </c>
      <c r="K227">
        <v>0.39214692280327301</v>
      </c>
      <c r="L227">
        <v>781.98079867229603</v>
      </c>
      <c r="M227">
        <v>17.124755008281401</v>
      </c>
      <c r="O227">
        <v>45.0547149233483</v>
      </c>
      <c r="P227">
        <v>-4.30583269241935E-2</v>
      </c>
      <c r="Q227">
        <v>0.54688655999753899</v>
      </c>
      <c r="R227">
        <v>0.49696561638988801</v>
      </c>
      <c r="S227" t="s">
        <v>2229</v>
      </c>
      <c r="T227" t="s">
        <v>4002</v>
      </c>
      <c r="U227" t="s">
        <v>4002</v>
      </c>
      <c r="V227" t="s">
        <v>4002</v>
      </c>
      <c r="W227" t="s">
        <v>4228</v>
      </c>
      <c r="X227">
        <v>1</v>
      </c>
      <c r="Y227" t="s">
        <v>6201</v>
      </c>
      <c r="Z227" t="s">
        <v>8125</v>
      </c>
      <c r="AA227">
        <v>0.64265545993556017</v>
      </c>
      <c r="AB227" t="str">
        <f>HYPERLINK("Melting_Curves/meltCurve_D6RCN3_ANXA5.pdf", "Melting_Curves/meltCurve_D6RCN3_ANXA5.pdf")</f>
        <v>Melting_Curves/meltCurve_D6RCN3_ANXA5.pdf</v>
      </c>
    </row>
    <row r="228" spans="1:28" x14ac:dyDescent="0.25">
      <c r="A228" t="s">
        <v>232</v>
      </c>
      <c r="B228">
        <v>1</v>
      </c>
      <c r="C228">
        <v>1.0377248135692401</v>
      </c>
      <c r="D228">
        <v>0.97251060096505304</v>
      </c>
      <c r="E228">
        <v>1.22846907442609</v>
      </c>
      <c r="F228">
        <v>1.02741628893113</v>
      </c>
      <c r="G228">
        <v>0.85706974703904104</v>
      </c>
      <c r="H228">
        <v>0.596030121362772</v>
      </c>
      <c r="I228">
        <v>0.94801871618657696</v>
      </c>
      <c r="J228">
        <v>8.67012721158064</v>
      </c>
      <c r="K228">
        <v>0.62415557830092105</v>
      </c>
      <c r="L228">
        <v>15000</v>
      </c>
      <c r="M228">
        <v>231.44425946009801</v>
      </c>
      <c r="O228">
        <v>64.805587712357493</v>
      </c>
      <c r="P228">
        <v>0.44642037610596802</v>
      </c>
      <c r="Q228">
        <v>1.5</v>
      </c>
      <c r="R228">
        <v>3.5701797930168797E-2</v>
      </c>
      <c r="S228" t="s">
        <v>2230</v>
      </c>
      <c r="T228" t="s">
        <v>4002</v>
      </c>
      <c r="U228" t="s">
        <v>4002</v>
      </c>
      <c r="V228" t="s">
        <v>4002</v>
      </c>
      <c r="W228" t="s">
        <v>4229</v>
      </c>
      <c r="X228">
        <v>1</v>
      </c>
      <c r="Y228" t="s">
        <v>6202</v>
      </c>
      <c r="Z228" t="s">
        <v>8126</v>
      </c>
      <c r="AA228">
        <v>1.0864266181667559</v>
      </c>
      <c r="AB228" t="str">
        <f>HYPERLINK("Melting_Curves/meltCurve_D6RD47_RPS23.pdf", "Melting_Curves/meltCurve_D6RD47_RPS23.pdf")</f>
        <v>Melting_Curves/meltCurve_D6RD47_RPS23.pdf</v>
      </c>
    </row>
    <row r="229" spans="1:28" x14ac:dyDescent="0.25">
      <c r="A229" t="s">
        <v>233</v>
      </c>
      <c r="B229">
        <v>1</v>
      </c>
      <c r="C229">
        <v>0.89534937636203504</v>
      </c>
      <c r="D229">
        <v>0.93124913061621895</v>
      </c>
      <c r="E229">
        <v>1.0196364816618</v>
      </c>
      <c r="F229">
        <v>0.93070431678026599</v>
      </c>
      <c r="G229">
        <v>1.0742105995270601</v>
      </c>
      <c r="H229">
        <v>1.0909491352529299</v>
      </c>
      <c r="I229">
        <v>1.48803727917652</v>
      </c>
      <c r="J229">
        <v>1.41860249455186</v>
      </c>
      <c r="K229">
        <v>1.5068159688412901</v>
      </c>
      <c r="L229">
        <v>15000</v>
      </c>
      <c r="M229">
        <v>244.47128032128001</v>
      </c>
      <c r="O229">
        <v>61.352794408780802</v>
      </c>
      <c r="P229">
        <v>0.46935338867798698</v>
      </c>
      <c r="Q229">
        <v>1.47115786982181</v>
      </c>
      <c r="R229">
        <v>0.94110810421958901</v>
      </c>
      <c r="S229" t="s">
        <v>2231</v>
      </c>
      <c r="T229" t="s">
        <v>4002</v>
      </c>
      <c r="U229" t="s">
        <v>4002</v>
      </c>
      <c r="V229" t="s">
        <v>4002</v>
      </c>
      <c r="W229" t="s">
        <v>4230</v>
      </c>
      <c r="X229">
        <v>3</v>
      </c>
      <c r="Y229" t="s">
        <v>6203</v>
      </c>
      <c r="Z229" t="s">
        <v>8127</v>
      </c>
      <c r="AA229">
        <v>1.1356890906927899</v>
      </c>
      <c r="AB229" t="str">
        <f>HYPERLINK("Melting_Curves/meltCurve_D6RD70_SULT1B1.pdf", "Melting_Curves/meltCurve_D6RD70_SULT1B1.pdf")</f>
        <v>Melting_Curves/meltCurve_D6RD70_SULT1B1.pdf</v>
      </c>
    </row>
    <row r="230" spans="1:28" x14ac:dyDescent="0.25">
      <c r="A230" t="s">
        <v>234</v>
      </c>
      <c r="B230">
        <v>1</v>
      </c>
      <c r="C230">
        <v>1.01873079650201</v>
      </c>
      <c r="D230">
        <v>0.948002836208934</v>
      </c>
      <c r="E230">
        <v>1.03187780666509</v>
      </c>
      <c r="F230">
        <v>0.935889860553061</v>
      </c>
      <c r="G230">
        <v>0.88726069487118897</v>
      </c>
      <c r="H230">
        <v>0.924781375561333</v>
      </c>
      <c r="I230">
        <v>0.98268730796502002</v>
      </c>
      <c r="J230">
        <v>1.34586977073978</v>
      </c>
      <c r="K230">
        <v>0.95819546206570505</v>
      </c>
      <c r="L230">
        <v>15000</v>
      </c>
      <c r="M230">
        <v>230.28383047620599</v>
      </c>
      <c r="O230">
        <v>65.132096993848904</v>
      </c>
      <c r="P230">
        <v>0.134205319915921</v>
      </c>
      <c r="Q230">
        <v>1.1518313090969201</v>
      </c>
      <c r="R230">
        <v>0.31008261230023898</v>
      </c>
      <c r="S230" t="s">
        <v>2232</v>
      </c>
      <c r="T230" t="s">
        <v>4002</v>
      </c>
      <c r="U230" t="s">
        <v>4002</v>
      </c>
      <c r="V230" t="s">
        <v>4002</v>
      </c>
      <c r="W230" t="s">
        <v>4231</v>
      </c>
      <c r="X230">
        <v>1</v>
      </c>
      <c r="Y230" t="s">
        <v>6204</v>
      </c>
      <c r="Z230" t="s">
        <v>8128</v>
      </c>
      <c r="AA230">
        <v>1.0245913519221499</v>
      </c>
      <c r="AB230" t="str">
        <f>HYPERLINK("Melting_Curves/meltCurve_D6RDM7_UBE2K.pdf", "Melting_Curves/meltCurve_D6RDM7_UBE2K.pdf")</f>
        <v>Melting_Curves/meltCurve_D6RDM7_UBE2K.pdf</v>
      </c>
    </row>
    <row r="231" spans="1:28" x14ac:dyDescent="0.25">
      <c r="A231" t="s">
        <v>235</v>
      </c>
      <c r="B231">
        <v>1</v>
      </c>
      <c r="C231">
        <v>0.93615237182558697</v>
      </c>
      <c r="D231">
        <v>1.0107810253953</v>
      </c>
      <c r="E231">
        <v>1.2084930522280799</v>
      </c>
      <c r="F231">
        <v>1.45741494968855</v>
      </c>
      <c r="G231">
        <v>1.5434834690943899</v>
      </c>
      <c r="H231">
        <v>1.4233948251078099</v>
      </c>
      <c r="I231">
        <v>1.90303066602779</v>
      </c>
      <c r="J231">
        <v>1.4775994250119799</v>
      </c>
      <c r="K231">
        <v>1.52904887398179</v>
      </c>
      <c r="L231">
        <v>2479.0718197910501</v>
      </c>
      <c r="M231">
        <v>49.243837560284497</v>
      </c>
      <c r="O231">
        <v>50.259976118201699</v>
      </c>
      <c r="P231">
        <v>0.12247292127817</v>
      </c>
      <c r="Q231">
        <v>1.5</v>
      </c>
      <c r="R231">
        <v>0.79004697004417301</v>
      </c>
      <c r="S231" t="s">
        <v>2233</v>
      </c>
      <c r="T231" t="s">
        <v>4002</v>
      </c>
      <c r="U231" t="s">
        <v>4002</v>
      </c>
      <c r="V231" t="s">
        <v>4002</v>
      </c>
      <c r="W231" t="s">
        <v>4232</v>
      </c>
      <c r="X231">
        <v>9</v>
      </c>
      <c r="Y231" t="s">
        <v>6205</v>
      </c>
      <c r="Z231" t="s">
        <v>8129</v>
      </c>
      <c r="AA231">
        <v>1.326475408010785</v>
      </c>
      <c r="AB231" t="str">
        <f>HYPERLINK("Melting_Curves/meltCurve_D6REQ6_RNASET2.pdf", "Melting_Curves/meltCurve_D6REQ6_RNASET2.pdf")</f>
        <v>Melting_Curves/meltCurve_D6REQ6_RNASET2.pdf</v>
      </c>
    </row>
    <row r="232" spans="1:28" x14ac:dyDescent="0.25">
      <c r="A232" t="s">
        <v>236</v>
      </c>
      <c r="B232">
        <v>1</v>
      </c>
      <c r="C232">
        <v>0.86223064900458601</v>
      </c>
      <c r="D232">
        <v>0.93819980014860704</v>
      </c>
      <c r="E232">
        <v>0.92682364395705796</v>
      </c>
      <c r="F232">
        <v>0.925235081605985</v>
      </c>
      <c r="G232">
        <v>0.93105126956878204</v>
      </c>
      <c r="H232">
        <v>0.82331087140331505</v>
      </c>
      <c r="I232">
        <v>1.06172333393118</v>
      </c>
      <c r="J232">
        <v>0.84685746496195102</v>
      </c>
      <c r="K232">
        <v>0.87142893745676298</v>
      </c>
      <c r="L232">
        <v>10240.1455242879</v>
      </c>
      <c r="M232">
        <v>250</v>
      </c>
      <c r="O232">
        <v>40.957969038386899</v>
      </c>
      <c r="P232">
        <v>-0.13786814584729301</v>
      </c>
      <c r="Q232">
        <v>0.90965123003721404</v>
      </c>
      <c r="R232">
        <v>0.155019131344699</v>
      </c>
      <c r="S232" t="s">
        <v>2234</v>
      </c>
      <c r="T232" t="s">
        <v>4002</v>
      </c>
      <c r="U232" t="s">
        <v>4002</v>
      </c>
      <c r="V232" t="s">
        <v>4002</v>
      </c>
      <c r="W232" t="s">
        <v>4233</v>
      </c>
      <c r="X232">
        <v>2</v>
      </c>
      <c r="Y232" t="s">
        <v>6206</v>
      </c>
      <c r="Z232" t="s">
        <v>8130</v>
      </c>
      <c r="AA232">
        <v>0.91255179023638244</v>
      </c>
      <c r="AB232" t="str">
        <f>HYPERLINK("Melting_Curves/meltCurve_D6REX5_SEPP1.pdf", "Melting_Curves/meltCurve_D6REX5_SEPP1.pdf")</f>
        <v>Melting_Curves/meltCurve_D6REX5_SEPP1.pdf</v>
      </c>
    </row>
    <row r="233" spans="1:28" x14ac:dyDescent="0.25">
      <c r="A233" t="s">
        <v>237</v>
      </c>
      <c r="B233">
        <v>1</v>
      </c>
      <c r="C233">
        <v>0.92196240256762996</v>
      </c>
      <c r="D233">
        <v>0.89540577716643699</v>
      </c>
      <c r="E233">
        <v>0.778743695552499</v>
      </c>
      <c r="F233">
        <v>0.73263640531866103</v>
      </c>
      <c r="G233">
        <v>0.82725355341586404</v>
      </c>
      <c r="H233">
        <v>0.64074277854195305</v>
      </c>
      <c r="I233">
        <v>1.02338376891334</v>
      </c>
      <c r="J233">
        <v>0.67405777166437397</v>
      </c>
      <c r="K233">
        <v>0.76462173314993098</v>
      </c>
      <c r="L233">
        <v>1045.65213846386</v>
      </c>
      <c r="M233">
        <v>23.1290349534782</v>
      </c>
      <c r="O233">
        <v>44.875587846112097</v>
      </c>
      <c r="P233">
        <v>-2.90007785943441E-2</v>
      </c>
      <c r="Q233">
        <v>0.77493158844600396</v>
      </c>
      <c r="R233">
        <v>0.37454598765520902</v>
      </c>
      <c r="S233" t="s">
        <v>2235</v>
      </c>
      <c r="T233" t="s">
        <v>4002</v>
      </c>
      <c r="U233" t="s">
        <v>4002</v>
      </c>
      <c r="V233" t="s">
        <v>4002</v>
      </c>
      <c r="W233" t="s">
        <v>4234</v>
      </c>
      <c r="X233">
        <v>27</v>
      </c>
      <c r="Y233" t="s">
        <v>6207</v>
      </c>
      <c r="Z233" t="s">
        <v>8131</v>
      </c>
      <c r="AA233">
        <v>0.81665934477581203</v>
      </c>
      <c r="AB233" t="str">
        <f>HYPERLINK("Melting_Curves/meltCurve_D6RF35_GC.pdf", "Melting_Curves/meltCurve_D6RF35_GC.pdf")</f>
        <v>Melting_Curves/meltCurve_D6RF35_GC.pdf</v>
      </c>
    </row>
    <row r="234" spans="1:28" x14ac:dyDescent="0.25">
      <c r="A234" t="s">
        <v>238</v>
      </c>
      <c r="B234">
        <v>1</v>
      </c>
      <c r="C234">
        <v>0.78372144722947801</v>
      </c>
      <c r="D234">
        <v>1.04640693603068</v>
      </c>
      <c r="E234">
        <v>1.1101261601734</v>
      </c>
      <c r="F234">
        <v>1.13316289668204</v>
      </c>
      <c r="G234">
        <v>1.2813594175512699</v>
      </c>
      <c r="H234">
        <v>2.2046073473017298</v>
      </c>
      <c r="I234">
        <v>1.65611626743734</v>
      </c>
      <c r="J234">
        <v>2.00450175068082</v>
      </c>
      <c r="K234">
        <v>1.5595509364753</v>
      </c>
      <c r="L234">
        <v>2393.75908338831</v>
      </c>
      <c r="M234">
        <v>43.484974983319802</v>
      </c>
      <c r="O234">
        <v>54.9319216144672</v>
      </c>
      <c r="P234">
        <v>9.8952117253811395E-2</v>
      </c>
      <c r="Q234">
        <v>1.5</v>
      </c>
      <c r="R234">
        <v>0.55084763130983005</v>
      </c>
      <c r="S234" t="s">
        <v>2236</v>
      </c>
      <c r="T234" t="s">
        <v>4002</v>
      </c>
      <c r="U234" t="s">
        <v>4002</v>
      </c>
      <c r="V234" t="s">
        <v>4002</v>
      </c>
      <c r="W234" t="s">
        <v>4235</v>
      </c>
      <c r="X234">
        <v>2</v>
      </c>
      <c r="Y234" t="s">
        <v>6208</v>
      </c>
      <c r="Z234" t="s">
        <v>8132</v>
      </c>
      <c r="AA234">
        <v>1.247595982411638</v>
      </c>
      <c r="AB234" t="str">
        <f>HYPERLINK("Melting_Curves/meltCurve_D6RFE4_ADH5.pdf", "Melting_Curves/meltCurve_D6RFE4_ADH5.pdf")</f>
        <v>Melting_Curves/meltCurve_D6RFE4_ADH5.pdf</v>
      </c>
    </row>
    <row r="235" spans="1:28" x14ac:dyDescent="0.25">
      <c r="A235" t="s">
        <v>239</v>
      </c>
      <c r="B235">
        <v>1</v>
      </c>
      <c r="C235">
        <v>1.03362785669015</v>
      </c>
      <c r="D235">
        <v>1.37449204041308</v>
      </c>
      <c r="E235">
        <v>1.2815121351079299</v>
      </c>
      <c r="F235">
        <v>1.3720314655333099</v>
      </c>
      <c r="G235">
        <v>1.5266375871453599</v>
      </c>
      <c r="H235">
        <v>1.8200425008388299</v>
      </c>
      <c r="I235">
        <v>1.8656749804272501</v>
      </c>
      <c r="J235">
        <v>2.3871677291876399</v>
      </c>
      <c r="K235">
        <v>1.6338217201655301</v>
      </c>
      <c r="L235">
        <v>946.03192164135203</v>
      </c>
      <c r="M235">
        <v>20.6151358226318</v>
      </c>
      <c r="O235">
        <v>45.4648934046213</v>
      </c>
      <c r="P235">
        <v>5.66803568457818E-2</v>
      </c>
      <c r="Q235">
        <v>1.5</v>
      </c>
      <c r="R235">
        <v>0.30731743058151301</v>
      </c>
      <c r="S235" t="s">
        <v>2237</v>
      </c>
      <c r="T235" t="s">
        <v>4002</v>
      </c>
      <c r="U235" t="s">
        <v>4002</v>
      </c>
      <c r="V235" t="s">
        <v>4002</v>
      </c>
      <c r="W235" t="s">
        <v>4236</v>
      </c>
      <c r="X235">
        <v>3</v>
      </c>
      <c r="Y235" t="s">
        <v>6209</v>
      </c>
      <c r="Z235" t="s">
        <v>8133</v>
      </c>
      <c r="AA235">
        <v>1.394564083798687</v>
      </c>
      <c r="AB235" t="str">
        <f>HYPERLINK("Melting_Curves/meltCurve_D6RG15_TWF2.pdf", "Melting_Curves/meltCurve_D6RG15_TWF2.pdf")</f>
        <v>Melting_Curves/meltCurve_D6RG15_TWF2.pdf</v>
      </c>
    </row>
    <row r="236" spans="1:28" x14ac:dyDescent="0.25">
      <c r="A236" t="s">
        <v>240</v>
      </c>
      <c r="B236">
        <v>1</v>
      </c>
      <c r="C236">
        <v>0.88496981251985996</v>
      </c>
      <c r="D236">
        <v>1.2597712106768399</v>
      </c>
      <c r="E236">
        <v>1.4279869717191001</v>
      </c>
      <c r="F236">
        <v>1.3936685732443601</v>
      </c>
      <c r="G236">
        <v>1.69852240228789</v>
      </c>
      <c r="H236">
        <v>1.88540673657452</v>
      </c>
      <c r="I236">
        <v>2.1074435970765801</v>
      </c>
      <c r="J236">
        <v>3.07566730219256</v>
      </c>
      <c r="K236">
        <v>1.8040991420400401</v>
      </c>
      <c r="L236">
        <v>11496.402364802399</v>
      </c>
      <c r="M236">
        <v>250</v>
      </c>
      <c r="O236">
        <v>45.982666701587398</v>
      </c>
      <c r="P236">
        <v>0.67960390924160496</v>
      </c>
      <c r="Q236">
        <v>1.5</v>
      </c>
      <c r="R236">
        <v>0.121265633940737</v>
      </c>
      <c r="S236" t="s">
        <v>2238</v>
      </c>
      <c r="T236" t="s">
        <v>4002</v>
      </c>
      <c r="U236" t="s">
        <v>4002</v>
      </c>
      <c r="V236" t="s">
        <v>4002</v>
      </c>
      <c r="W236" t="s">
        <v>4237</v>
      </c>
      <c r="X236">
        <v>3</v>
      </c>
      <c r="Y236" t="s">
        <v>6210</v>
      </c>
      <c r="Z236" t="s">
        <v>8134</v>
      </c>
      <c r="AA236">
        <v>1.4001994903320529</v>
      </c>
      <c r="AB236" t="str">
        <f>HYPERLINK("Melting_Curves/meltCurve_D6RHZ5_SEC31A.pdf", "Melting_Curves/meltCurve_D6RHZ5_SEC31A.pdf")</f>
        <v>Melting_Curves/meltCurve_D6RHZ5_SEC31A.pdf</v>
      </c>
    </row>
    <row r="237" spans="1:28" x14ac:dyDescent="0.25">
      <c r="A237" t="s">
        <v>241</v>
      </c>
      <c r="B237">
        <v>1</v>
      </c>
      <c r="C237">
        <v>1.18147684605757</v>
      </c>
      <c r="D237">
        <v>1.2956088727931201</v>
      </c>
      <c r="E237">
        <v>1.7361063030916299</v>
      </c>
      <c r="F237">
        <v>2.16475381460869</v>
      </c>
      <c r="G237">
        <v>2.5043005885015801</v>
      </c>
      <c r="H237">
        <v>2.5467206348360998</v>
      </c>
      <c r="I237">
        <v>2.66263680664661</v>
      </c>
      <c r="J237">
        <v>2.99177162943041</v>
      </c>
      <c r="K237">
        <v>2.60676909967246</v>
      </c>
      <c r="L237">
        <v>1547.08136629356</v>
      </c>
      <c r="M237">
        <v>34.989221013621098</v>
      </c>
      <c r="O237">
        <v>44.072261404671501</v>
      </c>
      <c r="P237">
        <v>9.9238578725329499E-2</v>
      </c>
      <c r="Q237">
        <v>1.5</v>
      </c>
      <c r="R237">
        <v>-0.62829904778304502</v>
      </c>
      <c r="S237" t="s">
        <v>2239</v>
      </c>
      <c r="T237" t="s">
        <v>4002</v>
      </c>
      <c r="U237" t="s">
        <v>4002</v>
      </c>
      <c r="V237" t="s">
        <v>4002</v>
      </c>
      <c r="W237" t="s">
        <v>4238</v>
      </c>
      <c r="X237">
        <v>2</v>
      </c>
      <c r="Y237" t="s">
        <v>6211</v>
      </c>
      <c r="Z237" t="s">
        <v>8135</v>
      </c>
      <c r="AA237">
        <v>1.427325701628319</v>
      </c>
      <c r="AB237" t="str">
        <f>HYPERLINK("Melting_Curves/meltCurve_D6RIU4_LMAN2.pdf", "Melting_Curves/meltCurve_D6RIU4_LMAN2.pdf")</f>
        <v>Melting_Curves/meltCurve_D6RIU4_LMAN2.pdf</v>
      </c>
    </row>
    <row r="238" spans="1:28" x14ac:dyDescent="0.25">
      <c r="A238" t="s">
        <v>242</v>
      </c>
      <c r="B238">
        <v>1</v>
      </c>
      <c r="C238">
        <v>0.949927149101506</v>
      </c>
      <c r="D238">
        <v>1.04152501214182</v>
      </c>
      <c r="E238">
        <v>1.10924396956451</v>
      </c>
      <c r="F238">
        <v>0.95211267605633798</v>
      </c>
      <c r="G238">
        <v>0.95033187631536298</v>
      </c>
      <c r="H238">
        <v>0.99460903351141305</v>
      </c>
      <c r="I238">
        <v>0.96538772867087597</v>
      </c>
      <c r="J238">
        <v>0.87175004047272098</v>
      </c>
      <c r="K238">
        <v>0.91346932167718997</v>
      </c>
      <c r="L238">
        <v>15000</v>
      </c>
      <c r="M238">
        <v>233.63201362277201</v>
      </c>
      <c r="O238">
        <v>64.198823101024004</v>
      </c>
      <c r="P238">
        <v>-9.7705035534389501E-2</v>
      </c>
      <c r="Q238">
        <v>0.89260806456667996</v>
      </c>
      <c r="R238">
        <v>0.45101570770568</v>
      </c>
      <c r="S238" t="s">
        <v>2240</v>
      </c>
      <c r="T238" t="s">
        <v>4002</v>
      </c>
      <c r="U238" t="s">
        <v>4002</v>
      </c>
      <c r="V238" t="s">
        <v>4002</v>
      </c>
      <c r="W238" t="s">
        <v>4239</v>
      </c>
      <c r="X238">
        <v>4</v>
      </c>
      <c r="Y238" t="s">
        <v>6212</v>
      </c>
      <c r="Z238" t="s">
        <v>8136</v>
      </c>
      <c r="AA238">
        <v>0.97926405151102724</v>
      </c>
      <c r="AB238" t="str">
        <f>HYPERLINK("Melting_Curves/meltCurve_D6RIU8_SIL1.pdf", "Melting_Curves/meltCurve_D6RIU8_SIL1.pdf")</f>
        <v>Melting_Curves/meltCurve_D6RIU8_SIL1.pdf</v>
      </c>
    </row>
    <row r="239" spans="1:28" x14ac:dyDescent="0.25">
      <c r="A239" t="s">
        <v>243</v>
      </c>
      <c r="B239">
        <v>1</v>
      </c>
      <c r="C239">
        <v>0.76376354995461104</v>
      </c>
      <c r="D239">
        <v>1.04458802798099</v>
      </c>
      <c r="E239">
        <v>0.91306669514604599</v>
      </c>
      <c r="F239">
        <v>0.75586052224061495</v>
      </c>
      <c r="G239">
        <v>0.84605115608479697</v>
      </c>
      <c r="H239">
        <v>1.1072248624979999</v>
      </c>
      <c r="I239">
        <v>0.59299407272921401</v>
      </c>
      <c r="J239">
        <v>0.97810647727879496</v>
      </c>
      <c r="K239">
        <v>0.860842633630587</v>
      </c>
      <c r="L239">
        <v>434.18686118278902</v>
      </c>
      <c r="M239">
        <v>10.534730621960501</v>
      </c>
      <c r="Q239">
        <v>0.86436759409174901</v>
      </c>
      <c r="R239">
        <v>3.2266599917820001E-2</v>
      </c>
      <c r="S239" t="s">
        <v>2241</v>
      </c>
      <c r="T239" t="s">
        <v>4002</v>
      </c>
      <c r="U239" t="s">
        <v>4002</v>
      </c>
      <c r="V239" t="s">
        <v>4002</v>
      </c>
      <c r="W239" t="s">
        <v>4240</v>
      </c>
      <c r="X239">
        <v>1</v>
      </c>
      <c r="Y239" t="s">
        <v>6213</v>
      </c>
      <c r="Z239" t="s">
        <v>8137</v>
      </c>
      <c r="AA239">
        <v>0.8828861062150789</v>
      </c>
      <c r="AB239" t="str">
        <f>HYPERLINK("Melting_Curves/meltCurve_D6RJC7_MRPS27.pdf", "Melting_Curves/meltCurve_D6RJC7_MRPS27.pdf")</f>
        <v>Melting_Curves/meltCurve_D6RJC7_MRPS27.pdf</v>
      </c>
    </row>
    <row r="240" spans="1:28" x14ac:dyDescent="0.25">
      <c r="A240" t="s">
        <v>244</v>
      </c>
      <c r="B240">
        <v>1</v>
      </c>
      <c r="C240">
        <v>1.0934685414371801</v>
      </c>
      <c r="D240">
        <v>1.1661698956780899</v>
      </c>
      <c r="E240">
        <v>1.17449620942137</v>
      </c>
      <c r="F240">
        <v>1.10616859975377</v>
      </c>
      <c r="G240">
        <v>1.29524395775287</v>
      </c>
      <c r="H240">
        <v>0.85508326313743299</v>
      </c>
      <c r="I240">
        <v>1.29880774962742</v>
      </c>
      <c r="J240">
        <v>1.0218687228665799</v>
      </c>
      <c r="K240">
        <v>1.0610380353787301</v>
      </c>
      <c r="L240">
        <v>10674.631345063701</v>
      </c>
      <c r="M240">
        <v>250</v>
      </c>
      <c r="O240">
        <v>42.695796500495902</v>
      </c>
      <c r="P240">
        <v>0.17911535553191399</v>
      </c>
      <c r="Q240">
        <v>1.1223595540354601</v>
      </c>
      <c r="R240">
        <v>8.2063427246101397E-2</v>
      </c>
      <c r="S240" t="s">
        <v>2242</v>
      </c>
      <c r="T240" t="s">
        <v>4002</v>
      </c>
      <c r="U240" t="s">
        <v>4002</v>
      </c>
      <c r="V240" t="s">
        <v>4002</v>
      </c>
      <c r="W240" t="s">
        <v>4241</v>
      </c>
      <c r="X240">
        <v>1</v>
      </c>
      <c r="Y240" t="s">
        <v>6214</v>
      </c>
      <c r="Z240" t="s">
        <v>8138</v>
      </c>
      <c r="AA240">
        <v>1.1113440395605521</v>
      </c>
      <c r="AB240" t="str">
        <f>HYPERLINK("Melting_Curves/meltCurve_D6RJC9_UBA5.pdf", "Melting_Curves/meltCurve_D6RJC9_UBA5.pdf")</f>
        <v>Melting_Curves/meltCurve_D6RJC9_UBA5.pdf</v>
      </c>
    </row>
    <row r="241" spans="1:28" x14ac:dyDescent="0.25">
      <c r="A241" t="s">
        <v>245</v>
      </c>
      <c r="B241">
        <v>1</v>
      </c>
      <c r="C241">
        <v>0.91840545313431499</v>
      </c>
      <c r="D241">
        <v>0.79286413281891499</v>
      </c>
      <c r="E241">
        <v>0.93695375859082397</v>
      </c>
      <c r="F241">
        <v>0.92522187102797404</v>
      </c>
      <c r="G241">
        <v>1.2978189712383199</v>
      </c>
      <c r="H241">
        <v>0.98284647312239204</v>
      </c>
      <c r="I241">
        <v>1.35743450727197</v>
      </c>
      <c r="J241">
        <v>1.6713721696680699</v>
      </c>
      <c r="K241">
        <v>1.5765497227315199</v>
      </c>
      <c r="L241">
        <v>15000</v>
      </c>
      <c r="M241">
        <v>235.294221335299</v>
      </c>
      <c r="O241">
        <v>63.745380338305303</v>
      </c>
      <c r="P241">
        <v>0.46139475384580703</v>
      </c>
      <c r="Q241">
        <v>1.5</v>
      </c>
      <c r="R241">
        <v>0.78328005423596703</v>
      </c>
      <c r="S241" t="s">
        <v>2243</v>
      </c>
      <c r="T241" t="s">
        <v>4002</v>
      </c>
      <c r="U241" t="s">
        <v>4002</v>
      </c>
      <c r="V241" t="s">
        <v>4002</v>
      </c>
      <c r="W241" t="s">
        <v>4242</v>
      </c>
      <c r="X241">
        <v>1</v>
      </c>
      <c r="Y241" t="s">
        <v>6215</v>
      </c>
      <c r="Z241" t="s">
        <v>8139</v>
      </c>
      <c r="AA241">
        <v>1.1041039820089169</v>
      </c>
      <c r="AB241" t="str">
        <f>HYPERLINK("Melting_Curves/meltCurve_E0CX15_UNC5C.pdf", "Melting_Curves/meltCurve_E0CX15_UNC5C.pdf")</f>
        <v>Melting_Curves/meltCurve_E0CX15_UNC5C.pdf</v>
      </c>
    </row>
    <row r="242" spans="1:28" x14ac:dyDescent="0.25">
      <c r="A242" t="s">
        <v>246</v>
      </c>
      <c r="B242">
        <v>1</v>
      </c>
      <c r="C242">
        <v>1.0161497995070401</v>
      </c>
      <c r="D242">
        <v>1.21697384394658</v>
      </c>
      <c r="E242">
        <v>1.1076040172166399</v>
      </c>
      <c r="F242">
        <v>1.0988853327447301</v>
      </c>
      <c r="G242">
        <v>0.90806754221388397</v>
      </c>
      <c r="H242">
        <v>0.96335945259905098</v>
      </c>
      <c r="I242">
        <v>1.3733583489681001</v>
      </c>
      <c r="J242">
        <v>1.05058308501637</v>
      </c>
      <c r="K242">
        <v>1.17319648309605</v>
      </c>
      <c r="L242">
        <v>136.98621131698701</v>
      </c>
      <c r="M242">
        <v>0.98826384518070598</v>
      </c>
      <c r="O242">
        <v>49.094587080198501</v>
      </c>
      <c r="P242">
        <v>3.4542723961964298E-3</v>
      </c>
      <c r="Q242">
        <v>1.5</v>
      </c>
      <c r="R242">
        <v>5.9609629467167503E-2</v>
      </c>
      <c r="S242" t="s">
        <v>2244</v>
      </c>
      <c r="T242" t="s">
        <v>4002</v>
      </c>
      <c r="U242" t="s">
        <v>4002</v>
      </c>
      <c r="V242" t="s">
        <v>4002</v>
      </c>
      <c r="W242" t="s">
        <v>4243</v>
      </c>
      <c r="X242">
        <v>1</v>
      </c>
      <c r="Y242" t="s">
        <v>6216</v>
      </c>
      <c r="Z242" t="s">
        <v>8140</v>
      </c>
      <c r="AA242">
        <v>1.090224461937455</v>
      </c>
      <c r="AB242" t="str">
        <f>HYPERLINK("Melting_Curves/meltCurve_E5RFP0_NUDCD2.pdf", "Melting_Curves/meltCurve_E5RFP0_NUDCD2.pdf")</f>
        <v>Melting_Curves/meltCurve_E5RFP0_NUDCD2.pdf</v>
      </c>
    </row>
    <row r="243" spans="1:28" x14ac:dyDescent="0.25">
      <c r="A243" t="s">
        <v>247</v>
      </c>
      <c r="B243">
        <v>1</v>
      </c>
      <c r="C243">
        <v>1.0863646445602799</v>
      </c>
      <c r="D243">
        <v>1.0681767771986199</v>
      </c>
      <c r="E243">
        <v>1.21226572030609</v>
      </c>
      <c r="F243">
        <v>1.02367749805922</v>
      </c>
      <c r="G243">
        <v>1.1237662193634199</v>
      </c>
      <c r="H243">
        <v>1.08722413219474</v>
      </c>
      <c r="I243">
        <v>1.24168237773095</v>
      </c>
      <c r="J243">
        <v>1.23400243983587</v>
      </c>
      <c r="K243">
        <v>1.14178773427969</v>
      </c>
      <c r="L243">
        <v>217.28099714867099</v>
      </c>
      <c r="M243">
        <v>3.6354011569361502</v>
      </c>
      <c r="O243">
        <v>47.511353462765904</v>
      </c>
      <c r="P243">
        <v>5.8628619918065696E-3</v>
      </c>
      <c r="Q243">
        <v>1.3012528781411601</v>
      </c>
      <c r="R243">
        <v>0.39488219458573198</v>
      </c>
      <c r="S243" t="s">
        <v>2245</v>
      </c>
      <c r="T243" t="s">
        <v>4002</v>
      </c>
      <c r="U243" t="s">
        <v>4002</v>
      </c>
      <c r="V243" t="s">
        <v>4002</v>
      </c>
      <c r="W243" t="s">
        <v>4244</v>
      </c>
      <c r="X243">
        <v>2</v>
      </c>
      <c r="Y243" t="s">
        <v>6217</v>
      </c>
      <c r="Z243" t="s">
        <v>8141</v>
      </c>
      <c r="AA243">
        <v>1.1229572294333141</v>
      </c>
      <c r="AB243" t="str">
        <f>HYPERLINK("Melting_Curves/meltCurve_E5RFQ2_LAMA4.pdf", "Melting_Curves/meltCurve_E5RFQ2_LAMA4.pdf")</f>
        <v>Melting_Curves/meltCurve_E5RFQ2_LAMA4.pdf</v>
      </c>
    </row>
    <row r="244" spans="1:28" x14ac:dyDescent="0.25">
      <c r="A244" t="s">
        <v>248</v>
      </c>
      <c r="B244">
        <v>1</v>
      </c>
      <c r="C244">
        <v>0.94471309192200603</v>
      </c>
      <c r="D244">
        <v>1.01681337047354</v>
      </c>
      <c r="E244">
        <v>1.0356211699164299</v>
      </c>
      <c r="F244">
        <v>0.97115320334261801</v>
      </c>
      <c r="G244">
        <v>0.993192200557103</v>
      </c>
      <c r="H244">
        <v>0.79069637883008403</v>
      </c>
      <c r="I244">
        <v>1.0319665738161601</v>
      </c>
      <c r="J244">
        <v>0.83675766016713105</v>
      </c>
      <c r="K244">
        <v>0.93439554317548701</v>
      </c>
      <c r="L244">
        <v>14400.070878475601</v>
      </c>
      <c r="M244">
        <v>250</v>
      </c>
      <c r="O244">
        <v>57.5965917565727</v>
      </c>
      <c r="P244">
        <v>-0.110190901273579</v>
      </c>
      <c r="Q244">
        <v>0.89845406432136099</v>
      </c>
      <c r="R244">
        <v>0.349917325040496</v>
      </c>
      <c r="S244" t="s">
        <v>2246</v>
      </c>
      <c r="T244" t="s">
        <v>4002</v>
      </c>
      <c r="U244" t="s">
        <v>4002</v>
      </c>
      <c r="V244" t="s">
        <v>4002</v>
      </c>
      <c r="W244" t="s">
        <v>4245</v>
      </c>
      <c r="X244">
        <v>1</v>
      </c>
      <c r="Y244" t="s">
        <v>6218</v>
      </c>
      <c r="Z244" t="s">
        <v>8142</v>
      </c>
      <c r="AA244">
        <v>0.95803890461068553</v>
      </c>
      <c r="AB244" t="str">
        <f>HYPERLINK("Melting_Curves/meltCurve_E5RFX6_SPINK7.pdf", "Melting_Curves/meltCurve_E5RFX6_SPINK7.pdf")</f>
        <v>Melting_Curves/meltCurve_E5RFX6_SPINK7.pdf</v>
      </c>
    </row>
    <row r="245" spans="1:28" x14ac:dyDescent="0.25">
      <c r="A245" t="s">
        <v>249</v>
      </c>
      <c r="B245">
        <v>1</v>
      </c>
      <c r="C245">
        <v>1.0199333535292301</v>
      </c>
      <c r="D245">
        <v>1.0310814904574399</v>
      </c>
      <c r="E245">
        <v>1.06616176916086</v>
      </c>
      <c r="F245">
        <v>1.04513783701909</v>
      </c>
      <c r="G245">
        <v>1.21660102999091</v>
      </c>
      <c r="H245">
        <v>1.2684641017873399</v>
      </c>
      <c r="I245">
        <v>1.4869433504998499</v>
      </c>
      <c r="J245">
        <v>1.6652529536504099</v>
      </c>
      <c r="K245">
        <v>1.4493789760678599</v>
      </c>
      <c r="L245">
        <v>1378.18186511055</v>
      </c>
      <c r="M245">
        <v>23.6487903607979</v>
      </c>
      <c r="O245">
        <v>57.865145354086103</v>
      </c>
      <c r="P245">
        <v>5.1086856209087199E-2</v>
      </c>
      <c r="Q245">
        <v>1.5</v>
      </c>
      <c r="R245">
        <v>0.89177587399927605</v>
      </c>
      <c r="S245" t="s">
        <v>2247</v>
      </c>
      <c r="T245" t="s">
        <v>4002</v>
      </c>
      <c r="U245" t="s">
        <v>4002</v>
      </c>
      <c r="V245" t="s">
        <v>4002</v>
      </c>
      <c r="W245" t="s">
        <v>4246</v>
      </c>
      <c r="X245">
        <v>2</v>
      </c>
      <c r="Y245" t="s">
        <v>6219</v>
      </c>
      <c r="Z245" t="s">
        <v>8143</v>
      </c>
      <c r="AA245">
        <v>1.1907734081697341</v>
      </c>
      <c r="AB245" t="str">
        <f>HYPERLINK("Melting_Curves/meltCurve_E5RGR0_LYPLA1.pdf", "Melting_Curves/meltCurve_E5RGR0_LYPLA1.pdf")</f>
        <v>Melting_Curves/meltCurve_E5RGR0_LYPLA1.pdf</v>
      </c>
    </row>
    <row r="246" spans="1:28" x14ac:dyDescent="0.25">
      <c r="A246" t="s">
        <v>250</v>
      </c>
      <c r="B246">
        <v>1</v>
      </c>
      <c r="C246">
        <v>1.0021269296741</v>
      </c>
      <c r="D246">
        <v>0.96029159519725604</v>
      </c>
      <c r="E246">
        <v>0.93644939965694696</v>
      </c>
      <c r="F246">
        <v>0.81461406518010304</v>
      </c>
      <c r="G246">
        <v>0.94094339622641499</v>
      </c>
      <c r="H246">
        <v>0.531440823327616</v>
      </c>
      <c r="I246">
        <v>1.0175814751286401</v>
      </c>
      <c r="J246">
        <v>0.471835334476844</v>
      </c>
      <c r="K246">
        <v>0.67615780445969098</v>
      </c>
      <c r="L246">
        <v>427.57349392962101</v>
      </c>
      <c r="M246">
        <v>6.6389606555851701</v>
      </c>
      <c r="O246">
        <v>59.312932484772404</v>
      </c>
      <c r="P246">
        <v>-1.6547115659285901E-2</v>
      </c>
      <c r="Q246">
        <v>0.40999475090367499</v>
      </c>
      <c r="R246">
        <v>0.45265267129501602</v>
      </c>
      <c r="S246" t="s">
        <v>2248</v>
      </c>
      <c r="T246" t="s">
        <v>4002</v>
      </c>
      <c r="U246" t="s">
        <v>4002</v>
      </c>
      <c r="V246" t="s">
        <v>4002</v>
      </c>
      <c r="W246" t="s">
        <v>4247</v>
      </c>
      <c r="X246">
        <v>1</v>
      </c>
      <c r="Y246" t="s">
        <v>6220</v>
      </c>
      <c r="Z246" t="s">
        <v>8144</v>
      </c>
      <c r="AA246">
        <v>0.83888209773609868</v>
      </c>
      <c r="AB246" t="str">
        <f>HYPERLINK("Melting_Curves/meltCurve_E5RGS4_PFDN1.pdf", "Melting_Curves/meltCurve_E5RGS4_PFDN1.pdf")</f>
        <v>Melting_Curves/meltCurve_E5RGS4_PFDN1.pdf</v>
      </c>
    </row>
    <row r="247" spans="1:28" x14ac:dyDescent="0.25">
      <c r="A247" t="s">
        <v>251</v>
      </c>
      <c r="B247">
        <v>1</v>
      </c>
      <c r="C247">
        <v>0.93651307936291395</v>
      </c>
      <c r="D247">
        <v>1.06154292145561</v>
      </c>
      <c r="E247">
        <v>1.00046042085877</v>
      </c>
      <c r="F247">
        <v>0.79177040346509298</v>
      </c>
      <c r="G247">
        <v>0.94904675829610197</v>
      </c>
      <c r="H247">
        <v>0.28102725009378898</v>
      </c>
      <c r="I247">
        <v>1.0729681798028701</v>
      </c>
      <c r="J247">
        <v>0.20241465161488401</v>
      </c>
      <c r="K247">
        <v>0.34214385593942898</v>
      </c>
      <c r="L247">
        <v>640.34678938755599</v>
      </c>
      <c r="M247">
        <v>9.7997413024466091</v>
      </c>
      <c r="N247">
        <v>65.343227188477499</v>
      </c>
      <c r="O247">
        <v>62.796600636999401</v>
      </c>
      <c r="P247">
        <v>-3.9034320450624202E-2</v>
      </c>
      <c r="Q247">
        <v>0</v>
      </c>
      <c r="R247">
        <v>0.51885942997572498</v>
      </c>
      <c r="S247" t="s">
        <v>2249</v>
      </c>
      <c r="T247" t="s">
        <v>4002</v>
      </c>
      <c r="U247" t="s">
        <v>4002</v>
      </c>
      <c r="V247" t="s">
        <v>4002</v>
      </c>
      <c r="W247" t="s">
        <v>4248</v>
      </c>
      <c r="X247">
        <v>3</v>
      </c>
      <c r="Y247" t="s">
        <v>6221</v>
      </c>
      <c r="Z247" t="s">
        <v>8145</v>
      </c>
      <c r="AA247">
        <v>0.78414746243059286</v>
      </c>
      <c r="AB247" t="str">
        <f>HYPERLINK("Melting_Curves/meltCurve_E5RGX5_STMN2.pdf", "Melting_Curves/meltCurve_E5RGX5_STMN2.pdf")</f>
        <v>Melting_Curves/meltCurve_E5RGX5_STMN2.pdf</v>
      </c>
    </row>
    <row r="248" spans="1:28" x14ac:dyDescent="0.25">
      <c r="A248" t="s">
        <v>252</v>
      </c>
      <c r="B248">
        <v>1</v>
      </c>
      <c r="C248">
        <v>1.1261770244821101</v>
      </c>
      <c r="D248">
        <v>1.1512868801004399</v>
      </c>
      <c r="E248">
        <v>0.85319702268854802</v>
      </c>
      <c r="F248">
        <v>1.5157384987893501</v>
      </c>
      <c r="G248">
        <v>1.6904313514483</v>
      </c>
      <c r="H248">
        <v>1.4218455743879499</v>
      </c>
      <c r="I248">
        <v>2.1169401847367899</v>
      </c>
      <c r="J248">
        <v>1.9950677069321101</v>
      </c>
      <c r="K248">
        <v>1.4949331898484399</v>
      </c>
      <c r="L248">
        <v>12921.532553331799</v>
      </c>
      <c r="M248">
        <v>250</v>
      </c>
      <c r="O248">
        <v>51.682822655536299</v>
      </c>
      <c r="P248">
        <v>0.60464963866221799</v>
      </c>
      <c r="Q248">
        <v>1.5</v>
      </c>
      <c r="R248">
        <v>0.53217748863437297</v>
      </c>
      <c r="S248" t="s">
        <v>2250</v>
      </c>
      <c r="T248" t="s">
        <v>4002</v>
      </c>
      <c r="U248" t="s">
        <v>4002</v>
      </c>
      <c r="V248" t="s">
        <v>4002</v>
      </c>
      <c r="W248" t="s">
        <v>4249</v>
      </c>
      <c r="X248">
        <v>1</v>
      </c>
      <c r="Y248" t="s">
        <v>6222</v>
      </c>
      <c r="Z248" t="s">
        <v>8146</v>
      </c>
      <c r="AA248">
        <v>1.3051858089341679</v>
      </c>
      <c r="AB248" t="str">
        <f>HYPERLINK("Melting_Curves/meltCurve_E5RHG8_TCEB1.pdf", "Melting_Curves/meltCurve_E5RHG8_TCEB1.pdf")</f>
        <v>Melting_Curves/meltCurve_E5RHG8_TCEB1.pdf</v>
      </c>
    </row>
    <row r="249" spans="1:28" x14ac:dyDescent="0.25">
      <c r="A249" t="s">
        <v>253</v>
      </c>
      <c r="B249">
        <v>1</v>
      </c>
      <c r="C249">
        <v>0.69073579680131703</v>
      </c>
      <c r="D249">
        <v>0.71715861174180995</v>
      </c>
      <c r="E249">
        <v>0.66164325457221995</v>
      </c>
      <c r="F249">
        <v>0.65216198008932402</v>
      </c>
      <c r="G249">
        <v>0.77279872252301696</v>
      </c>
      <c r="H249">
        <v>0.59195588712293201</v>
      </c>
      <c r="I249">
        <v>1.0213827690311601</v>
      </c>
      <c r="J249">
        <v>0.80169165897352701</v>
      </c>
      <c r="K249">
        <v>0.84647820554405095</v>
      </c>
      <c r="L249">
        <v>10250.7461749056</v>
      </c>
      <c r="M249">
        <v>250</v>
      </c>
      <c r="O249">
        <v>41.000360967268101</v>
      </c>
      <c r="P249">
        <v>-0.38007714644757401</v>
      </c>
      <c r="Q249">
        <v>0.75066719823138695</v>
      </c>
      <c r="R249">
        <v>0.29596190286174801</v>
      </c>
      <c r="S249" t="s">
        <v>2251</v>
      </c>
      <c r="T249" t="s">
        <v>4002</v>
      </c>
      <c r="U249" t="s">
        <v>4002</v>
      </c>
      <c r="V249" t="s">
        <v>4002</v>
      </c>
      <c r="W249" t="s">
        <v>4250</v>
      </c>
      <c r="X249">
        <v>1</v>
      </c>
      <c r="Y249" t="s">
        <v>6223</v>
      </c>
      <c r="Z249" t="s">
        <v>8147</v>
      </c>
      <c r="AA249">
        <v>0.75902347634425871</v>
      </c>
      <c r="AB249" t="str">
        <f>HYPERLINK("Melting_Curves/meltCurve_E5RHV6_ST3GAL1.pdf", "Melting_Curves/meltCurve_E5RHV6_ST3GAL1.pdf")</f>
        <v>Melting_Curves/meltCurve_E5RHV6_ST3GAL1.pdf</v>
      </c>
    </row>
    <row r="250" spans="1:28" x14ac:dyDescent="0.25">
      <c r="A250" t="s">
        <v>254</v>
      </c>
      <c r="B250">
        <v>1</v>
      </c>
      <c r="C250">
        <v>0.52254869151997896</v>
      </c>
      <c r="D250">
        <v>0.39884880530084998</v>
      </c>
      <c r="E250">
        <v>1.04341074894585</v>
      </c>
      <c r="F250">
        <v>0.86470785088012903</v>
      </c>
      <c r="G250">
        <v>0.66017000200789799</v>
      </c>
      <c r="H250">
        <v>0.95873100863395999</v>
      </c>
      <c r="I250">
        <v>1.0195301519309301</v>
      </c>
      <c r="J250">
        <v>6.4519108493407398</v>
      </c>
      <c r="K250">
        <v>0.93175824911317895</v>
      </c>
      <c r="L250">
        <v>15000</v>
      </c>
      <c r="M250">
        <v>231.94521670255301</v>
      </c>
      <c r="O250">
        <v>64.665636633660796</v>
      </c>
      <c r="P250">
        <v>0.44835486209908698</v>
      </c>
      <c r="Q250">
        <v>1.5</v>
      </c>
      <c r="R250">
        <v>0.117306649628498</v>
      </c>
      <c r="S250" t="s">
        <v>2252</v>
      </c>
      <c r="T250" t="s">
        <v>4002</v>
      </c>
      <c r="U250" t="s">
        <v>4002</v>
      </c>
      <c r="V250" t="s">
        <v>4002</v>
      </c>
      <c r="W250" t="s">
        <v>4251</v>
      </c>
      <c r="X250">
        <v>2</v>
      </c>
      <c r="Y250" t="s">
        <v>6224</v>
      </c>
      <c r="Z250" t="s">
        <v>8148</v>
      </c>
      <c r="AA250">
        <v>1.088760015477003</v>
      </c>
      <c r="AB250" t="str">
        <f>HYPERLINK("Melting_Curves/meltCurve_E5RI99_RPL30.pdf", "Melting_Curves/meltCurve_E5RI99_RPL30.pdf")</f>
        <v>Melting_Curves/meltCurve_E5RI99_RPL30.pdf</v>
      </c>
    </row>
    <row r="251" spans="1:28" x14ac:dyDescent="0.25">
      <c r="A251" t="s">
        <v>255</v>
      </c>
      <c r="B251">
        <v>1</v>
      </c>
      <c r="C251">
        <v>0.93061423861277304</v>
      </c>
      <c r="D251">
        <v>1.0385395042129699</v>
      </c>
      <c r="E251">
        <v>1.10963487605324</v>
      </c>
      <c r="F251">
        <v>1.0543167663939399</v>
      </c>
      <c r="G251">
        <v>1.1320551959946299</v>
      </c>
      <c r="H251">
        <v>0.83604835755281504</v>
      </c>
      <c r="I251">
        <v>1.6359018195139801</v>
      </c>
      <c r="J251">
        <v>0.82811088044938297</v>
      </c>
      <c r="K251">
        <v>1.0166320674075</v>
      </c>
      <c r="L251">
        <v>11511.0361134137</v>
      </c>
      <c r="M251">
        <v>250</v>
      </c>
      <c r="O251">
        <v>46.041197729706603</v>
      </c>
      <c r="P251">
        <v>0.11881826776198499</v>
      </c>
      <c r="Q251">
        <v>1.0875285660443501</v>
      </c>
      <c r="R251">
        <v>4.56266327977305E-2</v>
      </c>
      <c r="S251" t="s">
        <v>2253</v>
      </c>
      <c r="T251" t="s">
        <v>4002</v>
      </c>
      <c r="U251" t="s">
        <v>4002</v>
      </c>
      <c r="V251" t="s">
        <v>4002</v>
      </c>
      <c r="W251" t="s">
        <v>4252</v>
      </c>
      <c r="X251">
        <v>13</v>
      </c>
      <c r="Y251" t="s">
        <v>6225</v>
      </c>
      <c r="Z251" t="s">
        <v>8149</v>
      </c>
      <c r="AA251">
        <v>1.069886983245014</v>
      </c>
      <c r="AB251" t="str">
        <f>HYPERLINK("Melting_Curves/meltCurve_E5RIW3_TBCA.pdf", "Melting_Curves/meltCurve_E5RIW3_TBCA.pdf")</f>
        <v>Melting_Curves/meltCurve_E5RIW3_TBCA.pdf</v>
      </c>
    </row>
    <row r="252" spans="1:28" x14ac:dyDescent="0.25">
      <c r="A252" t="s">
        <v>256</v>
      </c>
      <c r="B252">
        <v>1</v>
      </c>
      <c r="C252">
        <v>0.94974842963842598</v>
      </c>
      <c r="D252">
        <v>1.11887871495984</v>
      </c>
      <c r="E252">
        <v>1.40620019375605</v>
      </c>
      <c r="F252">
        <v>1.5083908872152301</v>
      </c>
      <c r="G252">
        <v>1.39054345448295</v>
      </c>
      <c r="H252">
        <v>1.02968842776337</v>
      </c>
      <c r="I252">
        <v>1.75449232788525</v>
      </c>
      <c r="J252">
        <v>1.05887683990125</v>
      </c>
      <c r="K252">
        <v>1.5672989780930699</v>
      </c>
      <c r="L252">
        <v>11537.5722583481</v>
      </c>
      <c r="M252">
        <v>250</v>
      </c>
      <c r="O252">
        <v>46.147328402824499</v>
      </c>
      <c r="P252">
        <v>0.52539233272580099</v>
      </c>
      <c r="Q252">
        <v>1.38792730151473</v>
      </c>
      <c r="R252">
        <v>0.41014940379003001</v>
      </c>
      <c r="S252" t="s">
        <v>2254</v>
      </c>
      <c r="T252" t="s">
        <v>4002</v>
      </c>
      <c r="U252" t="s">
        <v>4002</v>
      </c>
      <c r="V252" t="s">
        <v>4002</v>
      </c>
      <c r="W252" t="s">
        <v>4253</v>
      </c>
      <c r="X252">
        <v>1</v>
      </c>
      <c r="Y252" t="s">
        <v>6226</v>
      </c>
      <c r="Z252" t="s">
        <v>8150</v>
      </c>
      <c r="AA252">
        <v>1.308367047828352</v>
      </c>
      <c r="AB252" t="str">
        <f>HYPERLINK("Melting_Curves/meltCurve_E5RJJ7_LY96.pdf", "Melting_Curves/meltCurve_E5RJJ7_LY96.pdf")</f>
        <v>Melting_Curves/meltCurve_E5RJJ7_LY96.pdf</v>
      </c>
    </row>
    <row r="253" spans="1:28" x14ac:dyDescent="0.25">
      <c r="A253" t="s">
        <v>257</v>
      </c>
      <c r="B253">
        <v>1</v>
      </c>
      <c r="C253">
        <v>0.97860873430381201</v>
      </c>
      <c r="D253">
        <v>1.08245360595622</v>
      </c>
      <c r="E253">
        <v>1.07698077564174</v>
      </c>
      <c r="F253">
        <v>0.96419046560729005</v>
      </c>
      <c r="G253">
        <v>1.0436159573285899</v>
      </c>
      <c r="H253">
        <v>0.78950438937659695</v>
      </c>
      <c r="I253">
        <v>1.1353761529058799</v>
      </c>
      <c r="J253">
        <v>0.88915435048338698</v>
      </c>
      <c r="K253">
        <v>0.88832092454717204</v>
      </c>
      <c r="L253">
        <v>930.01559940863001</v>
      </c>
      <c r="M253">
        <v>11.2159850349208</v>
      </c>
      <c r="Q253">
        <v>0</v>
      </c>
      <c r="R253">
        <v>0.15902306648336201</v>
      </c>
      <c r="S253" t="s">
        <v>2255</v>
      </c>
      <c r="T253" t="s">
        <v>4002</v>
      </c>
      <c r="U253" t="s">
        <v>4002</v>
      </c>
      <c r="V253" t="s">
        <v>4002</v>
      </c>
      <c r="W253" t="s">
        <v>4254</v>
      </c>
      <c r="X253">
        <v>6</v>
      </c>
      <c r="Y253" t="s">
        <v>6227</v>
      </c>
      <c r="Z253" t="s">
        <v>8151</v>
      </c>
      <c r="AA253">
        <v>0.98178903534754958</v>
      </c>
      <c r="AB253" t="str">
        <f>HYPERLINK("Melting_Curves/meltCurve_E5RJU9_MTDH.pdf", "Melting_Curves/meltCurve_E5RJU9_MTDH.pdf")</f>
        <v>Melting_Curves/meltCurve_E5RJU9_MTDH.pdf</v>
      </c>
    </row>
    <row r="254" spans="1:28" x14ac:dyDescent="0.25">
      <c r="A254" t="s">
        <v>258</v>
      </c>
      <c r="B254">
        <v>1</v>
      </c>
      <c r="C254">
        <v>0.86788468765098503</v>
      </c>
      <c r="D254">
        <v>1.14220782706727</v>
      </c>
      <c r="E254">
        <v>0.89175599019379803</v>
      </c>
      <c r="F254">
        <v>0.87350356995866396</v>
      </c>
      <c r="G254">
        <v>0.92822504160478103</v>
      </c>
      <c r="H254">
        <v>0.83719556931446104</v>
      </c>
      <c r="I254">
        <v>0.85795322369951499</v>
      </c>
      <c r="J254">
        <v>1.10670508025697</v>
      </c>
      <c r="K254">
        <v>0.83053880428752902</v>
      </c>
      <c r="L254">
        <v>12040.3593130316</v>
      </c>
      <c r="M254">
        <v>250</v>
      </c>
      <c r="O254">
        <v>48.158355256613497</v>
      </c>
      <c r="P254">
        <v>-0.124983908426977</v>
      </c>
      <c r="Q254">
        <v>0.90369568873274198</v>
      </c>
      <c r="R254">
        <v>0.18391267276482301</v>
      </c>
      <c r="S254" t="s">
        <v>2256</v>
      </c>
      <c r="T254" t="s">
        <v>4002</v>
      </c>
      <c r="U254" t="s">
        <v>4002</v>
      </c>
      <c r="V254" t="s">
        <v>4002</v>
      </c>
      <c r="W254" t="s">
        <v>4255</v>
      </c>
      <c r="X254">
        <v>1</v>
      </c>
      <c r="Y254" t="s">
        <v>6228</v>
      </c>
      <c r="Z254" t="s">
        <v>8152</v>
      </c>
      <c r="AA254">
        <v>0.92990321507146978</v>
      </c>
      <c r="AB254" t="str">
        <f>HYPERLINK("Melting_Curves/meltCurve_E5RK31_ATP6V1H.pdf", "Melting_Curves/meltCurve_E5RK31_ATP6V1H.pdf")</f>
        <v>Melting_Curves/meltCurve_E5RK31_ATP6V1H.pdf</v>
      </c>
    </row>
    <row r="255" spans="1:28" x14ac:dyDescent="0.25">
      <c r="A255" t="s">
        <v>259</v>
      </c>
      <c r="B255">
        <v>1</v>
      </c>
      <c r="C255">
        <v>0.96323741007194197</v>
      </c>
      <c r="D255">
        <v>0.95942446043165497</v>
      </c>
      <c r="E255">
        <v>0.99805755395683404</v>
      </c>
      <c r="F255">
        <v>0.99741007194244602</v>
      </c>
      <c r="G255">
        <v>1.0900000000000001</v>
      </c>
      <c r="H255">
        <v>0.89410071942446001</v>
      </c>
      <c r="I255">
        <v>1.2966906474820099</v>
      </c>
      <c r="J255">
        <v>1.04805755395683</v>
      </c>
      <c r="K255">
        <v>1.01460431654676</v>
      </c>
      <c r="L255">
        <v>1301.6048939930299</v>
      </c>
      <c r="M255">
        <v>22.369733963724201</v>
      </c>
      <c r="O255">
        <v>57.726972468440003</v>
      </c>
      <c r="P255">
        <v>8.0696596930628708E-3</v>
      </c>
      <c r="Q255">
        <v>1.0832959898369201</v>
      </c>
      <c r="R255">
        <v>0.15420983516829601</v>
      </c>
      <c r="S255" t="s">
        <v>2257</v>
      </c>
      <c r="T255" t="s">
        <v>4002</v>
      </c>
      <c r="U255" t="s">
        <v>4002</v>
      </c>
      <c r="V255" t="s">
        <v>4002</v>
      </c>
      <c r="W255" t="s">
        <v>4256</v>
      </c>
      <c r="X255">
        <v>4</v>
      </c>
      <c r="Y255" t="s">
        <v>6229</v>
      </c>
      <c r="Z255" t="s">
        <v>8153</v>
      </c>
      <c r="AA255">
        <v>1.0319763425890001</v>
      </c>
      <c r="AB255" t="str">
        <f>HYPERLINK("Melting_Curves/meltCurve_E7EMB1_SWAP70.pdf", "Melting_Curves/meltCurve_E7EMB1_SWAP70.pdf")</f>
        <v>Melting_Curves/meltCurve_E7EMB1_SWAP70.pdf</v>
      </c>
    </row>
    <row r="256" spans="1:28" x14ac:dyDescent="0.25">
      <c r="A256" t="s">
        <v>260</v>
      </c>
      <c r="B256">
        <v>1</v>
      </c>
      <c r="C256">
        <v>1.0019518818687101</v>
      </c>
      <c r="D256">
        <v>1.12110154028939</v>
      </c>
      <c r="E256">
        <v>1.0876649552340101</v>
      </c>
      <c r="F256">
        <v>1.01506343616073</v>
      </c>
      <c r="G256">
        <v>1.10892349471719</v>
      </c>
      <c r="H256">
        <v>0.58259430559680903</v>
      </c>
      <c r="I256">
        <v>1.12110154028939</v>
      </c>
      <c r="J256">
        <v>0.44227097212203498</v>
      </c>
      <c r="K256">
        <v>0.78800865617176596</v>
      </c>
      <c r="L256">
        <v>4611.7148396600096</v>
      </c>
      <c r="M256">
        <v>78.366002070302102</v>
      </c>
      <c r="O256">
        <v>58.810107952256899</v>
      </c>
      <c r="P256">
        <v>-8.8588132151195806E-2</v>
      </c>
      <c r="Q256">
        <v>0.73407456335945798</v>
      </c>
      <c r="R256">
        <v>0.42092530198774802</v>
      </c>
      <c r="S256" t="s">
        <v>2258</v>
      </c>
      <c r="T256" t="s">
        <v>4002</v>
      </c>
      <c r="U256" t="s">
        <v>4002</v>
      </c>
      <c r="V256" t="s">
        <v>4002</v>
      </c>
      <c r="W256" t="s">
        <v>4257</v>
      </c>
      <c r="X256">
        <v>1</v>
      </c>
      <c r="Y256" t="s">
        <v>6230</v>
      </c>
      <c r="Z256" t="s">
        <v>8154</v>
      </c>
      <c r="AA256">
        <v>0.90143035046172981</v>
      </c>
      <c r="AB256" t="str">
        <f>HYPERLINK("Melting_Curves/meltCurve_E7EMB8_PTPN18.pdf", "Melting_Curves/meltCurve_E7EMB8_PTPN18.pdf")</f>
        <v>Melting_Curves/meltCurve_E7EMB8_PTPN18.pdf</v>
      </c>
    </row>
    <row r="257" spans="1:28" x14ac:dyDescent="0.25">
      <c r="A257" t="s">
        <v>261</v>
      </c>
      <c r="B257">
        <v>1</v>
      </c>
      <c r="C257">
        <v>0.89528368295086602</v>
      </c>
      <c r="D257">
        <v>1.0060115444178499</v>
      </c>
      <c r="E257">
        <v>0.94817682669294701</v>
      </c>
      <c r="F257">
        <v>0.74074334788117702</v>
      </c>
      <c r="G257">
        <v>0.78366887230747595</v>
      </c>
      <c r="H257">
        <v>0.399169365057018</v>
      </c>
      <c r="I257">
        <v>0.77410953118400705</v>
      </c>
      <c r="J257">
        <v>0.42558074053216999</v>
      </c>
      <c r="K257">
        <v>0.49450936224130598</v>
      </c>
      <c r="L257">
        <v>725.64396545773798</v>
      </c>
      <c r="M257">
        <v>13.045948324844099</v>
      </c>
      <c r="N257">
        <v>69.561632688608597</v>
      </c>
      <c r="O257">
        <v>54.363927685901999</v>
      </c>
      <c r="P257">
        <v>-3.2198786576896898E-2</v>
      </c>
      <c r="Q257">
        <v>0.463389710199752</v>
      </c>
      <c r="R257">
        <v>0.74199117745308996</v>
      </c>
      <c r="S257" t="s">
        <v>2259</v>
      </c>
      <c r="T257" t="s">
        <v>4002</v>
      </c>
      <c r="U257" t="s">
        <v>4002</v>
      </c>
      <c r="V257" t="s">
        <v>4002</v>
      </c>
      <c r="W257" t="s">
        <v>4108</v>
      </c>
      <c r="X257">
        <v>1</v>
      </c>
      <c r="Y257" t="s">
        <v>6231</v>
      </c>
      <c r="Z257" t="s">
        <v>8155</v>
      </c>
      <c r="AA257">
        <v>0.75385101955706735</v>
      </c>
      <c r="AB257" t="str">
        <f>HYPERLINK("Melting_Curves/meltCurve_E7EMC6_ANXA6.pdf", "Melting_Curves/meltCurve_E7EMC6_ANXA6.pdf")</f>
        <v>Melting_Curves/meltCurve_E7EMC6_ANXA6.pdf</v>
      </c>
    </row>
    <row r="258" spans="1:28" x14ac:dyDescent="0.25">
      <c r="A258" t="s">
        <v>262</v>
      </c>
      <c r="B258">
        <v>1</v>
      </c>
      <c r="C258">
        <v>1.24424955024415</v>
      </c>
      <c r="D258">
        <v>1.27884862503213</v>
      </c>
      <c r="E258">
        <v>0.949402467232074</v>
      </c>
      <c r="F258">
        <v>0.38251734772551998</v>
      </c>
      <c r="G258">
        <v>1.29250192752506</v>
      </c>
      <c r="H258">
        <v>0.39649190439475701</v>
      </c>
      <c r="I258">
        <v>1.3220894371626799</v>
      </c>
      <c r="J258">
        <v>0.84605499871498302</v>
      </c>
      <c r="K258">
        <v>0.92331662811616599</v>
      </c>
      <c r="L258">
        <v>12528.180656103499</v>
      </c>
      <c r="M258">
        <v>250</v>
      </c>
      <c r="O258">
        <v>50.109515182198997</v>
      </c>
      <c r="P258">
        <v>-0.17399940459346699</v>
      </c>
      <c r="Q258">
        <v>0.86049558570448703</v>
      </c>
      <c r="R258">
        <v>9.7189934044400794E-2</v>
      </c>
      <c r="S258" t="s">
        <v>2260</v>
      </c>
      <c r="T258" t="s">
        <v>4002</v>
      </c>
      <c r="U258" t="s">
        <v>4002</v>
      </c>
      <c r="V258" t="s">
        <v>4002</v>
      </c>
      <c r="W258" t="s">
        <v>4258</v>
      </c>
      <c r="X258">
        <v>1</v>
      </c>
      <c r="Y258" t="s">
        <v>6232</v>
      </c>
      <c r="Z258" t="s">
        <v>8156</v>
      </c>
      <c r="AA258">
        <v>0.90753350292767487</v>
      </c>
      <c r="AB258" t="str">
        <f>HYPERLINK("Melting_Curves/meltCurve_E7EMM2_AP3D1.pdf", "Melting_Curves/meltCurve_E7EMM2_AP3D1.pdf")</f>
        <v>Melting_Curves/meltCurve_E7EMM2_AP3D1.pdf</v>
      </c>
    </row>
    <row r="259" spans="1:28" x14ac:dyDescent="0.25">
      <c r="A259" t="s">
        <v>263</v>
      </c>
      <c r="B259">
        <v>1</v>
      </c>
      <c r="C259">
        <v>0.93121548844502</v>
      </c>
      <c r="D259">
        <v>1.0253596018815201</v>
      </c>
      <c r="E259">
        <v>1.00688526825278</v>
      </c>
      <c r="F259">
        <v>0.92051264571545399</v>
      </c>
      <c r="G259">
        <v>0.97920785329606697</v>
      </c>
      <c r="H259">
        <v>0.92678437521303403</v>
      </c>
      <c r="I259">
        <v>1.1638830186106801</v>
      </c>
      <c r="J259">
        <v>1.0940759424637001</v>
      </c>
      <c r="K259">
        <v>1.09025836798691</v>
      </c>
      <c r="L259">
        <v>6339.29956538434</v>
      </c>
      <c r="M259">
        <v>101.28153016696101</v>
      </c>
      <c r="O259">
        <v>62.566473838979903</v>
      </c>
      <c r="P259">
        <v>4.7035134028578299E-2</v>
      </c>
      <c r="Q259">
        <v>1.1162234731918801</v>
      </c>
      <c r="R259">
        <v>0.607293088417446</v>
      </c>
      <c r="S259" t="s">
        <v>2261</v>
      </c>
      <c r="T259" t="s">
        <v>4002</v>
      </c>
      <c r="U259" t="s">
        <v>4002</v>
      </c>
      <c r="V259" t="s">
        <v>4002</v>
      </c>
      <c r="W259" t="s">
        <v>4259</v>
      </c>
      <c r="X259">
        <v>2</v>
      </c>
      <c r="Y259" t="s">
        <v>6233</v>
      </c>
      <c r="Z259" t="s">
        <v>8157</v>
      </c>
      <c r="AA259">
        <v>1.028626003625096</v>
      </c>
      <c r="AB259" t="str">
        <f>HYPERLINK("Melting_Curves/meltCurve_E7EMN6_PPP1R2.pdf", "Melting_Curves/meltCurve_E7EMN6_PPP1R2.pdf")</f>
        <v>Melting_Curves/meltCurve_E7EMN6_PPP1R2.pdf</v>
      </c>
    </row>
    <row r="260" spans="1:28" x14ac:dyDescent="0.25">
      <c r="A260" t="s">
        <v>264</v>
      </c>
      <c r="B260">
        <v>1</v>
      </c>
      <c r="C260">
        <v>0.95470934834227394</v>
      </c>
      <c r="D260">
        <v>0.96543839591944403</v>
      </c>
      <c r="E260">
        <v>0.97168234983730495</v>
      </c>
      <c r="F260">
        <v>0.97977310702664699</v>
      </c>
      <c r="G260">
        <v>1.0259431888136501</v>
      </c>
      <c r="H260">
        <v>0.82759651745668805</v>
      </c>
      <c r="I260">
        <v>1.1877583326004699</v>
      </c>
      <c r="J260">
        <v>0.90748395040014096</v>
      </c>
      <c r="K260">
        <v>0.847902559141676</v>
      </c>
      <c r="L260">
        <v>15000</v>
      </c>
      <c r="M260">
        <v>224.31938074432199</v>
      </c>
      <c r="O260">
        <v>66.863628640773598</v>
      </c>
      <c r="P260">
        <v>-0.12758321604245301</v>
      </c>
      <c r="Q260">
        <v>0.84788337536792902</v>
      </c>
      <c r="R260">
        <v>0.227842697453806</v>
      </c>
      <c r="S260" t="s">
        <v>2262</v>
      </c>
      <c r="T260" t="s">
        <v>4002</v>
      </c>
      <c r="U260" t="s">
        <v>4002</v>
      </c>
      <c r="V260" t="s">
        <v>4002</v>
      </c>
      <c r="W260" t="s">
        <v>4260</v>
      </c>
      <c r="X260">
        <v>4</v>
      </c>
      <c r="Y260" t="s">
        <v>6234</v>
      </c>
      <c r="Z260" t="s">
        <v>8158</v>
      </c>
      <c r="AA260">
        <v>0.98414590913124644</v>
      </c>
      <c r="AB260" t="str">
        <f>HYPERLINK("Melting_Curves/meltCurve_E7EMZ9_TACC2.pdf", "Melting_Curves/meltCurve_E7EMZ9_TACC2.pdf")</f>
        <v>Melting_Curves/meltCurve_E7EMZ9_TACC2.pdf</v>
      </c>
    </row>
    <row r="261" spans="1:28" x14ac:dyDescent="0.25">
      <c r="A261" t="s">
        <v>265</v>
      </c>
      <c r="B261">
        <v>1</v>
      </c>
      <c r="C261">
        <v>0.84457234372654</v>
      </c>
      <c r="D261">
        <v>1.02877733847155</v>
      </c>
      <c r="E261">
        <v>1.03628447024673</v>
      </c>
      <c r="F261">
        <v>1.0674140433411701</v>
      </c>
      <c r="G261">
        <v>1.34928181772684</v>
      </c>
      <c r="H261">
        <v>0.84759521545468197</v>
      </c>
      <c r="I261">
        <v>1.5494719983984799</v>
      </c>
      <c r="J261">
        <v>0.86428106701366303</v>
      </c>
      <c r="K261">
        <v>1.05870577048196</v>
      </c>
      <c r="L261">
        <v>9943.3878854975192</v>
      </c>
      <c r="M261">
        <v>187.625557385908</v>
      </c>
      <c r="O261">
        <v>52.9898866262333</v>
      </c>
      <c r="P261">
        <v>0.118498267910396</v>
      </c>
      <c r="Q261">
        <v>1.1338668492852499</v>
      </c>
      <c r="R261">
        <v>0.114316176182232</v>
      </c>
      <c r="S261" t="s">
        <v>2263</v>
      </c>
      <c r="T261" t="s">
        <v>4002</v>
      </c>
      <c r="U261" t="s">
        <v>4002</v>
      </c>
      <c r="V261" t="s">
        <v>4002</v>
      </c>
      <c r="W261" t="s">
        <v>4261</v>
      </c>
      <c r="X261">
        <v>1</v>
      </c>
      <c r="Y261" t="s">
        <v>6235</v>
      </c>
      <c r="Z261" t="s">
        <v>8159</v>
      </c>
      <c r="AA261">
        <v>1.0758540058541619</v>
      </c>
      <c r="AB261" t="str">
        <f>HYPERLINK("Melting_Curves/meltCurve_E7EN86_ZNF143.pdf", "Melting_Curves/meltCurve_E7EN86_ZNF143.pdf")</f>
        <v>Melting_Curves/meltCurve_E7EN86_ZNF143.pdf</v>
      </c>
    </row>
    <row r="262" spans="1:28" x14ac:dyDescent="0.25">
      <c r="A262" t="s">
        <v>266</v>
      </c>
      <c r="B262">
        <v>1</v>
      </c>
      <c r="C262">
        <v>0.91852001617468704</v>
      </c>
      <c r="D262">
        <v>0.95979916430785805</v>
      </c>
      <c r="E262">
        <v>1.0020555330907099</v>
      </c>
      <c r="F262">
        <v>0.97775980590376099</v>
      </c>
      <c r="G262">
        <v>1.00326863458687</v>
      </c>
      <c r="H262">
        <v>0.93482949184526198</v>
      </c>
      <c r="I262">
        <v>1.1813586736757</v>
      </c>
      <c r="J262">
        <v>2.0821202318371701</v>
      </c>
      <c r="K262">
        <v>1.0456934896886401</v>
      </c>
      <c r="L262">
        <v>15000</v>
      </c>
      <c r="M262">
        <v>233.81245530350299</v>
      </c>
      <c r="O262">
        <v>64.149288307500299</v>
      </c>
      <c r="P262">
        <v>0.45560220131252499</v>
      </c>
      <c r="Q262">
        <v>1.5</v>
      </c>
      <c r="R262">
        <v>0.49096681885256099</v>
      </c>
      <c r="S262" t="s">
        <v>2264</v>
      </c>
      <c r="T262" t="s">
        <v>4002</v>
      </c>
      <c r="U262" t="s">
        <v>4002</v>
      </c>
      <c r="V262" t="s">
        <v>4002</v>
      </c>
      <c r="W262" t="s">
        <v>4262</v>
      </c>
      <c r="X262">
        <v>11</v>
      </c>
      <c r="Y262" t="s">
        <v>6236</v>
      </c>
      <c r="Z262" t="s">
        <v>8160</v>
      </c>
      <c r="AA262">
        <v>1.097369275452261</v>
      </c>
      <c r="AB262" t="str">
        <f>HYPERLINK("Melting_Curves/meltCurve_E7EN95_FLNB.pdf", "Melting_Curves/meltCurve_E7EN95_FLNB.pdf")</f>
        <v>Melting_Curves/meltCurve_E7EN95_FLNB.pdf</v>
      </c>
    </row>
    <row r="263" spans="1:28" x14ac:dyDescent="0.25">
      <c r="A263" t="s">
        <v>267</v>
      </c>
      <c r="B263">
        <v>1</v>
      </c>
      <c r="C263">
        <v>0.88167405515065</v>
      </c>
      <c r="D263">
        <v>0.954496956946427</v>
      </c>
      <c r="E263">
        <v>0.76418964610413997</v>
      </c>
      <c r="F263">
        <v>0.677466376136449</v>
      </c>
      <c r="G263">
        <v>0.78348485986926097</v>
      </c>
      <c r="H263">
        <v>0.66954692313472097</v>
      </c>
      <c r="I263">
        <v>0.80085656322789101</v>
      </c>
      <c r="J263">
        <v>0.94376737546021505</v>
      </c>
      <c r="K263">
        <v>0.71991885190472604</v>
      </c>
      <c r="L263">
        <v>2860.1571784247899</v>
      </c>
      <c r="M263">
        <v>60.8457488304335</v>
      </c>
      <c r="O263">
        <v>46.955992319168701</v>
      </c>
      <c r="P263">
        <v>-7.6190881458110898E-2</v>
      </c>
      <c r="Q263">
        <v>0.76480742725901496</v>
      </c>
      <c r="R263">
        <v>0.47932702099409702</v>
      </c>
      <c r="S263" t="s">
        <v>2265</v>
      </c>
      <c r="T263" t="s">
        <v>4002</v>
      </c>
      <c r="U263" t="s">
        <v>4002</v>
      </c>
      <c r="V263" t="s">
        <v>4002</v>
      </c>
      <c r="W263" t="s">
        <v>4263</v>
      </c>
      <c r="X263">
        <v>7</v>
      </c>
      <c r="Y263" t="s">
        <v>6237</v>
      </c>
      <c r="Z263" t="s">
        <v>8161</v>
      </c>
      <c r="AA263">
        <v>0.82006694194232588</v>
      </c>
      <c r="AB263" t="str">
        <f>HYPERLINK("Melting_Curves/meltCurve_E7END7_RAB1A.pdf", "Melting_Curves/meltCurve_E7END7_RAB1A.pdf")</f>
        <v>Melting_Curves/meltCurve_E7END7_RAB1A.pdf</v>
      </c>
    </row>
    <row r="264" spans="1:28" x14ac:dyDescent="0.25">
      <c r="A264" t="s">
        <v>268</v>
      </c>
      <c r="B264">
        <v>1</v>
      </c>
      <c r="C264">
        <v>0.91913390764762204</v>
      </c>
      <c r="D264">
        <v>1.0278905502194899</v>
      </c>
      <c r="E264">
        <v>0.91497508004092798</v>
      </c>
      <c r="F264">
        <v>1.0448889328976501</v>
      </c>
      <c r="G264">
        <v>1.0646928738818999</v>
      </c>
      <c r="H264">
        <v>1.21167112255339</v>
      </c>
      <c r="I264">
        <v>1.11859259992739</v>
      </c>
      <c r="J264">
        <v>1.1928903851866499</v>
      </c>
      <c r="K264">
        <v>1.18698220945968</v>
      </c>
      <c r="L264">
        <v>14281.710815344</v>
      </c>
      <c r="M264">
        <v>250</v>
      </c>
      <c r="O264">
        <v>57.123166121830003</v>
      </c>
      <c r="P264">
        <v>0.19424476482046399</v>
      </c>
      <c r="Q264">
        <v>1.1775340821987901</v>
      </c>
      <c r="R264">
        <v>0.79559539440335603</v>
      </c>
      <c r="S264" t="s">
        <v>2266</v>
      </c>
      <c r="T264" t="s">
        <v>4002</v>
      </c>
      <c r="U264" t="s">
        <v>4002</v>
      </c>
      <c r="V264" t="s">
        <v>4002</v>
      </c>
      <c r="W264" t="s">
        <v>4264</v>
      </c>
      <c r="X264">
        <v>1</v>
      </c>
      <c r="Y264" t="s">
        <v>6238</v>
      </c>
      <c r="Z264" t="s">
        <v>8162</v>
      </c>
      <c r="AA264">
        <v>1.0761630032348419</v>
      </c>
      <c r="AB264" t="str">
        <f>HYPERLINK("Melting_Curves/meltCurve_E7ENL6_COL6A3.pdf", "Melting_Curves/meltCurve_E7ENL6_COL6A3.pdf")</f>
        <v>Melting_Curves/meltCurve_E7ENL6_COL6A3.pdf</v>
      </c>
    </row>
    <row r="265" spans="1:28" x14ac:dyDescent="0.25">
      <c r="A265" t="s">
        <v>269</v>
      </c>
      <c r="B265">
        <v>1</v>
      </c>
      <c r="C265">
        <v>0.85584666512095198</v>
      </c>
      <c r="D265">
        <v>0.91583584511940597</v>
      </c>
      <c r="E265">
        <v>0.92379627482803905</v>
      </c>
      <c r="F265">
        <v>0.94214390602055798</v>
      </c>
      <c r="G265">
        <v>0.74889867841409696</v>
      </c>
      <c r="H265">
        <v>0.69150629878661396</v>
      </c>
      <c r="I265">
        <v>0.84085323440760495</v>
      </c>
      <c r="J265">
        <v>0.66317335188190696</v>
      </c>
      <c r="K265">
        <v>0.65346626478089498</v>
      </c>
      <c r="L265">
        <v>245.59578022219401</v>
      </c>
      <c r="M265">
        <v>2.83982871695846</v>
      </c>
      <c r="O265">
        <v>62.113090451728297</v>
      </c>
      <c r="P265">
        <v>-1.18428286895412E-2</v>
      </c>
      <c r="Q265">
        <v>0</v>
      </c>
      <c r="R265">
        <v>0.712638662906107</v>
      </c>
      <c r="S265" t="s">
        <v>2267</v>
      </c>
      <c r="T265" t="s">
        <v>4002</v>
      </c>
      <c r="U265" t="s">
        <v>4002</v>
      </c>
      <c r="V265" t="s">
        <v>4002</v>
      </c>
      <c r="W265" t="s">
        <v>4265</v>
      </c>
      <c r="X265">
        <v>2</v>
      </c>
      <c r="Y265" t="s">
        <v>6239</v>
      </c>
      <c r="Z265" t="s">
        <v>8163</v>
      </c>
      <c r="AA265">
        <v>0.82795537459922541</v>
      </c>
      <c r="AB265" t="str">
        <f>HYPERLINK("Melting_Curves/meltCurve_E7ENM0_ELN.pdf", "Melting_Curves/meltCurve_E7ENM0_ELN.pdf")</f>
        <v>Melting_Curves/meltCurve_E7ENM0_ELN.pdf</v>
      </c>
    </row>
    <row r="266" spans="1:28" x14ac:dyDescent="0.25">
      <c r="A266" t="s">
        <v>270</v>
      </c>
      <c r="B266">
        <v>1</v>
      </c>
      <c r="C266">
        <v>0.90695460765066305</v>
      </c>
      <c r="D266">
        <v>0.99946457255041898</v>
      </c>
      <c r="E266">
        <v>1.0655601166041999</v>
      </c>
      <c r="F266">
        <v>1.03762865131775</v>
      </c>
      <c r="G266">
        <v>1.0580343863406501</v>
      </c>
      <c r="H266">
        <v>0.88880956630376595</v>
      </c>
      <c r="I266">
        <v>1.1776429293830699</v>
      </c>
      <c r="J266">
        <v>0.99247426973645103</v>
      </c>
      <c r="K266">
        <v>0.91522398714974096</v>
      </c>
      <c r="L266">
        <v>15000</v>
      </c>
      <c r="M266">
        <v>221.550241949211</v>
      </c>
      <c r="O266">
        <v>67.6992175753049</v>
      </c>
      <c r="P266">
        <v>-6.9407386363968093E-2</v>
      </c>
      <c r="Q266">
        <v>0.91516460336926098</v>
      </c>
      <c r="R266">
        <v>0.10285117329684</v>
      </c>
      <c r="S266" t="s">
        <v>2268</v>
      </c>
      <c r="T266" t="s">
        <v>4002</v>
      </c>
      <c r="U266" t="s">
        <v>4002</v>
      </c>
      <c r="V266" t="s">
        <v>4002</v>
      </c>
      <c r="W266" t="s">
        <v>4266</v>
      </c>
      <c r="X266">
        <v>4</v>
      </c>
      <c r="Y266" t="s">
        <v>6240</v>
      </c>
      <c r="Z266" t="s">
        <v>8164</v>
      </c>
      <c r="AA266">
        <v>0.99352152099290592</v>
      </c>
      <c r="AB266" t="str">
        <f>HYPERLINK("Melting_Curves/meltCurve_E7ENN3_SYNE1.pdf", "Melting_Curves/meltCurve_E7ENN3_SYNE1.pdf")</f>
        <v>Melting_Curves/meltCurve_E7ENN3_SYNE1.pdf</v>
      </c>
    </row>
    <row r="267" spans="1:28" x14ac:dyDescent="0.25">
      <c r="A267" t="s">
        <v>271</v>
      </c>
      <c r="B267">
        <v>1</v>
      </c>
      <c r="C267">
        <v>0.81790520772381503</v>
      </c>
      <c r="D267">
        <v>0.89274429490930396</v>
      </c>
      <c r="E267">
        <v>0.91647162083089495</v>
      </c>
      <c r="F267">
        <v>0.72498537156231702</v>
      </c>
      <c r="G267">
        <v>0.89098888238736096</v>
      </c>
      <c r="H267">
        <v>0.88218256290228203</v>
      </c>
      <c r="I267">
        <v>1.0050321825629001</v>
      </c>
      <c r="J267">
        <v>1.0648917495611501</v>
      </c>
      <c r="K267">
        <v>0.81676418958455199</v>
      </c>
      <c r="L267">
        <v>10236.967209659901</v>
      </c>
      <c r="M267">
        <v>250</v>
      </c>
      <c r="O267">
        <v>40.9452490071059</v>
      </c>
      <c r="P267">
        <v>-0.16757364091075799</v>
      </c>
      <c r="Q267">
        <v>0.89021849036519496</v>
      </c>
      <c r="R267">
        <v>0.116345002300405</v>
      </c>
      <c r="S267" t="s">
        <v>2269</v>
      </c>
      <c r="T267" t="s">
        <v>4002</v>
      </c>
      <c r="U267" t="s">
        <v>4002</v>
      </c>
      <c r="V267" t="s">
        <v>4002</v>
      </c>
      <c r="W267" t="s">
        <v>4267</v>
      </c>
      <c r="X267">
        <v>1</v>
      </c>
      <c r="Y267" t="s">
        <v>6241</v>
      </c>
      <c r="Z267" t="s">
        <v>8165</v>
      </c>
      <c r="AA267">
        <v>0.89369651085591506</v>
      </c>
      <c r="AB267" t="str">
        <f>HYPERLINK("Melting_Curves/meltCurve_E7ENR9_PROC.pdf", "Melting_Curves/meltCurve_E7ENR9_PROC.pdf")</f>
        <v>Melting_Curves/meltCurve_E7ENR9_PROC.pdf</v>
      </c>
    </row>
    <row r="268" spans="1:28" x14ac:dyDescent="0.25">
      <c r="A268" t="s">
        <v>272</v>
      </c>
      <c r="B268">
        <v>1</v>
      </c>
      <c r="C268">
        <v>0.95821251241310801</v>
      </c>
      <c r="D268">
        <v>0.71292949354518398</v>
      </c>
      <c r="E268">
        <v>1.0852830188679199</v>
      </c>
      <c r="F268">
        <v>1.1993843098311801</v>
      </c>
      <c r="G268">
        <v>1.16748758689176</v>
      </c>
      <c r="H268">
        <v>0.88019860973187702</v>
      </c>
      <c r="I268">
        <v>1.33475670307845</v>
      </c>
      <c r="J268">
        <v>15.051241310824199</v>
      </c>
      <c r="K268">
        <v>1.1698907646474701</v>
      </c>
      <c r="L268">
        <v>15000</v>
      </c>
      <c r="M268">
        <v>235.088426220743</v>
      </c>
      <c r="O268">
        <v>63.801178048750799</v>
      </c>
      <c r="P268">
        <v>0.46058806658859802</v>
      </c>
      <c r="Q268">
        <v>1.5</v>
      </c>
      <c r="R268">
        <v>-4.1712712827166799E-2</v>
      </c>
      <c r="S268" t="s">
        <v>2270</v>
      </c>
      <c r="T268" t="s">
        <v>4002</v>
      </c>
      <c r="U268" t="s">
        <v>4002</v>
      </c>
      <c r="V268" t="s">
        <v>4002</v>
      </c>
      <c r="W268" t="s">
        <v>4268</v>
      </c>
      <c r="X268">
        <v>2</v>
      </c>
      <c r="Y268" t="s">
        <v>6242</v>
      </c>
      <c r="Z268" t="s">
        <v>8166</v>
      </c>
      <c r="AA268">
        <v>1.1031737097429919</v>
      </c>
      <c r="AB268" t="str">
        <f>HYPERLINK("Melting_Curves/meltCurve_E7EPB3_RPL14.pdf", "Melting_Curves/meltCurve_E7EPB3_RPL14.pdf")</f>
        <v>Melting_Curves/meltCurve_E7EPB3_RPL14.pdf</v>
      </c>
    </row>
    <row r="269" spans="1:28" x14ac:dyDescent="0.25">
      <c r="A269" t="s">
        <v>273</v>
      </c>
      <c r="B269">
        <v>1</v>
      </c>
      <c r="C269">
        <v>0.92679530925206899</v>
      </c>
      <c r="D269">
        <v>0.84529552496372096</v>
      </c>
      <c r="E269">
        <v>0.898380201592344</v>
      </c>
      <c r="F269">
        <v>0.85825783425501101</v>
      </c>
      <c r="G269">
        <v>0.97366356826293299</v>
      </c>
      <c r="H269">
        <v>0.82864650743224699</v>
      </c>
      <c r="I269">
        <v>1.07285170804408</v>
      </c>
      <c r="J269">
        <v>0.94042436365062598</v>
      </c>
      <c r="K269">
        <v>0.90359650154920201</v>
      </c>
      <c r="L269">
        <v>10646.1730654688</v>
      </c>
      <c r="M269">
        <v>250</v>
      </c>
      <c r="O269">
        <v>42.581959961301898</v>
      </c>
      <c r="P269">
        <v>-0.12455459182023999</v>
      </c>
      <c r="Q269">
        <v>0.91513952751728</v>
      </c>
      <c r="R269">
        <v>0.12473939637677101</v>
      </c>
      <c r="S269" t="s">
        <v>2271</v>
      </c>
      <c r="T269" t="s">
        <v>4002</v>
      </c>
      <c r="U269" t="s">
        <v>4002</v>
      </c>
      <c r="V269" t="s">
        <v>4002</v>
      </c>
      <c r="W269" t="s">
        <v>4269</v>
      </c>
      <c r="X269">
        <v>2</v>
      </c>
      <c r="Y269" t="s">
        <v>6243</v>
      </c>
      <c r="Z269" t="s">
        <v>8167</v>
      </c>
      <c r="AA269">
        <v>0.92245714319762484</v>
      </c>
      <c r="AB269" t="str">
        <f>HYPERLINK("Melting_Curves/meltCurve_E7EPD0_TOM1.pdf", "Melting_Curves/meltCurve_E7EPD0_TOM1.pdf")</f>
        <v>Melting_Curves/meltCurve_E7EPD0_TOM1.pdf</v>
      </c>
    </row>
    <row r="270" spans="1:28" x14ac:dyDescent="0.25">
      <c r="A270" t="s">
        <v>274</v>
      </c>
      <c r="B270">
        <v>1</v>
      </c>
      <c r="C270">
        <v>0.94600963281371397</v>
      </c>
      <c r="D270">
        <v>0.98498109689781999</v>
      </c>
      <c r="E270">
        <v>1.02027551918794</v>
      </c>
      <c r="F270">
        <v>1.1010927546739899</v>
      </c>
      <c r="G270">
        <v>0.97384639287378905</v>
      </c>
      <c r="H270">
        <v>1.02351235175307</v>
      </c>
      <c r="I270">
        <v>1.1989227821223301</v>
      </c>
      <c r="J270">
        <v>1.22284944844373</v>
      </c>
      <c r="K270">
        <v>1.00367704179398</v>
      </c>
      <c r="L270">
        <v>15000</v>
      </c>
      <c r="M270">
        <v>244.28694737330301</v>
      </c>
      <c r="O270">
        <v>61.399083591719702</v>
      </c>
      <c r="P270">
        <v>0.14106060275878901</v>
      </c>
      <c r="Q270">
        <v>1.14181669238543</v>
      </c>
      <c r="R270">
        <v>0.46904330445216402</v>
      </c>
      <c r="S270" t="s">
        <v>2272</v>
      </c>
      <c r="T270" t="s">
        <v>4002</v>
      </c>
      <c r="U270" t="s">
        <v>4002</v>
      </c>
      <c r="V270" t="s">
        <v>4002</v>
      </c>
      <c r="W270" t="s">
        <v>4270</v>
      </c>
      <c r="X270">
        <v>1</v>
      </c>
      <c r="Y270" t="s">
        <v>6244</v>
      </c>
      <c r="Z270" t="s">
        <v>8168</v>
      </c>
      <c r="AA270">
        <v>1.040622991186527</v>
      </c>
      <c r="AB270" t="str">
        <f>HYPERLINK("Melting_Curves/meltCurve_E7EPN9_PRRC2C.pdf", "Melting_Curves/meltCurve_E7EPN9_PRRC2C.pdf")</f>
        <v>Melting_Curves/meltCurve_E7EPN9_PRRC2C.pdf</v>
      </c>
    </row>
    <row r="271" spans="1:28" x14ac:dyDescent="0.25">
      <c r="A271" t="s">
        <v>275</v>
      </c>
      <c r="B271">
        <v>1</v>
      </c>
      <c r="C271">
        <v>0.97158313564534105</v>
      </c>
      <c r="D271">
        <v>1.0483237313451601</v>
      </c>
      <c r="E271">
        <v>1.1711036638174499</v>
      </c>
      <c r="F271">
        <v>1.21833540435039</v>
      </c>
      <c r="G271">
        <v>1.1790613899662401</v>
      </c>
      <c r="H271">
        <v>1.14758193068996</v>
      </c>
      <c r="I271">
        <v>1.6540522900428001</v>
      </c>
      <c r="J271">
        <v>1.4402982264563</v>
      </c>
      <c r="K271">
        <v>1.40527921075423</v>
      </c>
      <c r="L271">
        <v>591.10312401272597</v>
      </c>
      <c r="M271">
        <v>10.5025649380894</v>
      </c>
      <c r="O271">
        <v>54.356174081220601</v>
      </c>
      <c r="P271">
        <v>2.41619249663893E-2</v>
      </c>
      <c r="Q271">
        <v>1.5</v>
      </c>
      <c r="R271">
        <v>0.69673977134711595</v>
      </c>
      <c r="S271" t="s">
        <v>2273</v>
      </c>
      <c r="T271" t="s">
        <v>4002</v>
      </c>
      <c r="U271" t="s">
        <v>4002</v>
      </c>
      <c r="V271" t="s">
        <v>4002</v>
      </c>
      <c r="W271" t="s">
        <v>4271</v>
      </c>
      <c r="X271">
        <v>2</v>
      </c>
      <c r="Y271" t="s">
        <v>6245</v>
      </c>
      <c r="Z271" t="s">
        <v>8169</v>
      </c>
      <c r="AA271">
        <v>1.2187553305110079</v>
      </c>
      <c r="AB271" t="str">
        <f>HYPERLINK("Melting_Curves/meltCurve_E7EQ29_GLB1.pdf", "Melting_Curves/meltCurve_E7EQ29_GLB1.pdf")</f>
        <v>Melting_Curves/meltCurve_E7EQ29_GLB1.pdf</v>
      </c>
    </row>
    <row r="272" spans="1:28" x14ac:dyDescent="0.25">
      <c r="A272" t="s">
        <v>276</v>
      </c>
      <c r="B272">
        <v>1</v>
      </c>
      <c r="C272">
        <v>0.86538221945359095</v>
      </c>
      <c r="D272">
        <v>0.84899884310759099</v>
      </c>
      <c r="E272">
        <v>0.88061760256296195</v>
      </c>
      <c r="F272">
        <v>0.75395568212156305</v>
      </c>
      <c r="G272">
        <v>0.85127703123609499</v>
      </c>
      <c r="H272">
        <v>0.69348580582005903</v>
      </c>
      <c r="I272">
        <v>0.79232001423867604</v>
      </c>
      <c r="J272">
        <v>0.74055352852184797</v>
      </c>
      <c r="K272">
        <v>0.76170686126190301</v>
      </c>
      <c r="L272">
        <v>431.14379445784601</v>
      </c>
      <c r="M272">
        <v>9.3940978167904596</v>
      </c>
      <c r="O272">
        <v>43.959553721642003</v>
      </c>
      <c r="P272">
        <v>-1.3666097183866299E-2</v>
      </c>
      <c r="Q272">
        <v>0.74435651385649904</v>
      </c>
      <c r="R272">
        <v>0.682809825032065</v>
      </c>
      <c r="S272" t="s">
        <v>2274</v>
      </c>
      <c r="T272" t="s">
        <v>4002</v>
      </c>
      <c r="U272" t="s">
        <v>4002</v>
      </c>
      <c r="V272" t="s">
        <v>4002</v>
      </c>
      <c r="W272" t="s">
        <v>4272</v>
      </c>
      <c r="X272">
        <v>1</v>
      </c>
      <c r="Y272" t="s">
        <v>6246</v>
      </c>
      <c r="Z272" t="s">
        <v>8170</v>
      </c>
      <c r="AA272">
        <v>0.81242622330721292</v>
      </c>
      <c r="AB272" t="str">
        <f>HYPERLINK("Melting_Curves/meltCurve_E7EQR8_YIPF3.pdf", "Melting_Curves/meltCurve_E7EQR8_YIPF3.pdf")</f>
        <v>Melting_Curves/meltCurve_E7EQR8_YIPF3.pdf</v>
      </c>
    </row>
    <row r="273" spans="1:28" x14ac:dyDescent="0.25">
      <c r="A273" t="s">
        <v>277</v>
      </c>
      <c r="B273">
        <v>1</v>
      </c>
      <c r="C273">
        <v>0.85366008911521296</v>
      </c>
      <c r="D273">
        <v>1.0057288351368601</v>
      </c>
      <c r="E273">
        <v>1.0827498408656899</v>
      </c>
      <c r="F273">
        <v>1.0757479312539799</v>
      </c>
      <c r="G273">
        <v>1.23657967324422</v>
      </c>
      <c r="H273">
        <v>0.73594313600678996</v>
      </c>
      <c r="I273">
        <v>1.2324421812009301</v>
      </c>
      <c r="J273">
        <v>0.928845745809463</v>
      </c>
      <c r="K273">
        <v>0.93900912370040301</v>
      </c>
      <c r="L273">
        <v>15000</v>
      </c>
      <c r="M273">
        <v>227.29564727340801</v>
      </c>
      <c r="O273">
        <v>65.988235886661997</v>
      </c>
      <c r="P273">
        <v>-5.7642729908417997E-2</v>
      </c>
      <c r="Q273">
        <v>0.93306089060104502</v>
      </c>
      <c r="R273">
        <v>3.5442210069348098E-2</v>
      </c>
      <c r="S273" t="s">
        <v>2275</v>
      </c>
      <c r="T273" t="s">
        <v>4002</v>
      </c>
      <c r="U273" t="s">
        <v>4002</v>
      </c>
      <c r="V273" t="s">
        <v>4002</v>
      </c>
      <c r="W273" t="s">
        <v>4273</v>
      </c>
      <c r="X273">
        <v>1</v>
      </c>
      <c r="Y273" t="s">
        <v>6247</v>
      </c>
      <c r="Z273" t="s">
        <v>8171</v>
      </c>
      <c r="AA273">
        <v>0.99106931309657875</v>
      </c>
      <c r="AB273" t="str">
        <f>HYPERLINK("Melting_Curves/meltCurve_E7EQT4_ACIN1.pdf", "Melting_Curves/meltCurve_E7EQT4_ACIN1.pdf")</f>
        <v>Melting_Curves/meltCurve_E7EQT4_ACIN1.pdf</v>
      </c>
    </row>
    <row r="274" spans="1:28" x14ac:dyDescent="0.25">
      <c r="A274" t="s">
        <v>278</v>
      </c>
      <c r="B274">
        <v>1</v>
      </c>
      <c r="C274">
        <v>0.89604626143087696</v>
      </c>
      <c r="D274">
        <v>0.96861215707369597</v>
      </c>
      <c r="E274">
        <v>0.95424959655728903</v>
      </c>
      <c r="F274">
        <v>0.92372243141473898</v>
      </c>
      <c r="G274">
        <v>1.1391608391608401</v>
      </c>
      <c r="H274">
        <v>0.77404518558364699</v>
      </c>
      <c r="I274">
        <v>1.2383808499193101</v>
      </c>
      <c r="J274">
        <v>1.4732651963421199</v>
      </c>
      <c r="K274">
        <v>0.94846691769768698</v>
      </c>
      <c r="L274">
        <v>15000</v>
      </c>
      <c r="M274">
        <v>238.916886970983</v>
      </c>
      <c r="O274">
        <v>62.778947062983796</v>
      </c>
      <c r="P274">
        <v>0.20995289427188499</v>
      </c>
      <c r="Q274">
        <v>1.22067289371577</v>
      </c>
      <c r="R274">
        <v>0.37152063882458303</v>
      </c>
      <c r="S274" t="s">
        <v>2276</v>
      </c>
      <c r="T274" t="s">
        <v>4002</v>
      </c>
      <c r="U274" t="s">
        <v>4002</v>
      </c>
      <c r="V274" t="s">
        <v>4002</v>
      </c>
      <c r="W274" t="s">
        <v>4274</v>
      </c>
      <c r="X274">
        <v>6</v>
      </c>
      <c r="Y274" t="s">
        <v>6248</v>
      </c>
      <c r="Z274" t="s">
        <v>8172</v>
      </c>
      <c r="AA274">
        <v>1.053057422700002</v>
      </c>
      <c r="AB274" t="str">
        <f>HYPERLINK("Melting_Curves/meltCurve_E7EQV3_PABPC1.pdf", "Melting_Curves/meltCurve_E7EQV3_PABPC1.pdf")</f>
        <v>Melting_Curves/meltCurve_E7EQV3_PABPC1.pdf</v>
      </c>
    </row>
    <row r="275" spans="1:28" x14ac:dyDescent="0.25">
      <c r="A275" t="s">
        <v>279</v>
      </c>
      <c r="B275">
        <v>1</v>
      </c>
      <c r="C275">
        <v>0.83260766682442</v>
      </c>
      <c r="D275">
        <v>0.81386654046379603</v>
      </c>
      <c r="E275">
        <v>0.82744912446758201</v>
      </c>
      <c r="F275">
        <v>0.76919072408897304</v>
      </c>
      <c r="G275">
        <v>0.82352106010411696</v>
      </c>
      <c r="H275">
        <v>0.82834831992427804</v>
      </c>
      <c r="I275">
        <v>0.94491244675816399</v>
      </c>
      <c r="J275">
        <v>0.86862281116895401</v>
      </c>
      <c r="K275">
        <v>0.82948414576431595</v>
      </c>
      <c r="L275">
        <v>10279.025017456501</v>
      </c>
      <c r="M275">
        <v>250</v>
      </c>
      <c r="O275">
        <v>41.113468922910599</v>
      </c>
      <c r="P275">
        <v>-0.246945606459191</v>
      </c>
      <c r="Q275">
        <v>0.83755535196401998</v>
      </c>
      <c r="R275">
        <v>0.56615314133668104</v>
      </c>
      <c r="S275" t="s">
        <v>2277</v>
      </c>
      <c r="T275" t="s">
        <v>4002</v>
      </c>
      <c r="U275" t="s">
        <v>4002</v>
      </c>
      <c r="V275" t="s">
        <v>4002</v>
      </c>
      <c r="W275" t="s">
        <v>4275</v>
      </c>
      <c r="X275">
        <v>58</v>
      </c>
      <c r="Y275" t="s">
        <v>6249</v>
      </c>
      <c r="Z275" t="s">
        <v>8173</v>
      </c>
      <c r="AA275">
        <v>0.84361133755292528</v>
      </c>
      <c r="AB275" t="str">
        <f>HYPERLINK("Melting_Curves/meltCurve_E7ER44_LTF.pdf", "Melting_Curves/meltCurve_E7ER44_LTF.pdf")</f>
        <v>Melting_Curves/meltCurve_E7ER44_LTF.pdf</v>
      </c>
    </row>
    <row r="276" spans="1:28" x14ac:dyDescent="0.25">
      <c r="A276" t="s">
        <v>280</v>
      </c>
      <c r="B276">
        <v>1</v>
      </c>
      <c r="C276">
        <v>0.99789995092276595</v>
      </c>
      <c r="D276">
        <v>1.04568748074004</v>
      </c>
      <c r="E276">
        <v>1.05106314984535</v>
      </c>
      <c r="F276">
        <v>0.959733841606081</v>
      </c>
      <c r="G276">
        <v>0.97928484198272003</v>
      </c>
      <c r="H276">
        <v>0.81913327322323304</v>
      </c>
      <c r="I276">
        <v>1.05827636189324</v>
      </c>
      <c r="J276">
        <v>0.83024983736032998</v>
      </c>
      <c r="K276">
        <v>0.95288585548466598</v>
      </c>
      <c r="L276">
        <v>14314.428709420999</v>
      </c>
      <c r="M276">
        <v>250</v>
      </c>
      <c r="O276">
        <v>57.254050739414097</v>
      </c>
      <c r="P276">
        <v>-9.2639363375114803E-2</v>
      </c>
      <c r="Q276">
        <v>0.91513633914440595</v>
      </c>
      <c r="R276">
        <v>0.308104951360676</v>
      </c>
      <c r="S276" t="s">
        <v>2278</v>
      </c>
      <c r="T276" t="s">
        <v>4002</v>
      </c>
      <c r="U276" t="s">
        <v>4002</v>
      </c>
      <c r="V276" t="s">
        <v>4002</v>
      </c>
      <c r="W276" t="s">
        <v>4276</v>
      </c>
      <c r="X276">
        <v>2</v>
      </c>
      <c r="Y276" t="s">
        <v>6250</v>
      </c>
      <c r="Z276" t="s">
        <v>8174</v>
      </c>
      <c r="AA276">
        <v>0.96396329542563364</v>
      </c>
      <c r="AB276" t="str">
        <f>HYPERLINK("Melting_Curves/meltCurve_E7ERB7_GMIP.pdf", "Melting_Curves/meltCurve_E7ERB7_GMIP.pdf")</f>
        <v>Melting_Curves/meltCurve_E7ERB7_GMIP.pdf</v>
      </c>
    </row>
    <row r="277" spans="1:28" x14ac:dyDescent="0.25">
      <c r="A277" t="s">
        <v>281</v>
      </c>
      <c r="B277">
        <v>1</v>
      </c>
      <c r="C277">
        <v>1.0624280782508599</v>
      </c>
      <c r="D277">
        <v>1.1992951668584599</v>
      </c>
      <c r="E277">
        <v>1.42455408515535</v>
      </c>
      <c r="F277">
        <v>1.4721662830840001</v>
      </c>
      <c r="G277">
        <v>1.6016254315304901</v>
      </c>
      <c r="H277">
        <v>1.58803222094361</v>
      </c>
      <c r="I277">
        <v>1.8988780207134599</v>
      </c>
      <c r="J277">
        <v>2.0546605293440701</v>
      </c>
      <c r="K277">
        <v>1.6068757192174901</v>
      </c>
      <c r="L277">
        <v>1302.0483161688201</v>
      </c>
      <c r="M277">
        <v>27.933758362344498</v>
      </c>
      <c r="O277">
        <v>46.375074991572397</v>
      </c>
      <c r="P277">
        <v>7.5293678929487601E-2</v>
      </c>
      <c r="Q277">
        <v>1.5</v>
      </c>
      <c r="R277">
        <v>0.51821140761731299</v>
      </c>
      <c r="S277" t="s">
        <v>2279</v>
      </c>
      <c r="T277" t="s">
        <v>4002</v>
      </c>
      <c r="U277" t="s">
        <v>4002</v>
      </c>
      <c r="V277" t="s">
        <v>4002</v>
      </c>
      <c r="W277" t="s">
        <v>4277</v>
      </c>
      <c r="X277">
        <v>1</v>
      </c>
      <c r="Y277" t="s">
        <v>6251</v>
      </c>
      <c r="Z277" t="s">
        <v>8175</v>
      </c>
      <c r="AA277">
        <v>1.386280422819157</v>
      </c>
      <c r="AB277" t="str">
        <f>HYPERLINK("Melting_Curves/meltCurve_E7ERH2_SKP1.pdf", "Melting_Curves/meltCurve_E7ERH2_SKP1.pdf")</f>
        <v>Melting_Curves/meltCurve_E7ERH2_SKP1.pdf</v>
      </c>
    </row>
    <row r="278" spans="1:28" x14ac:dyDescent="0.25">
      <c r="A278" t="s">
        <v>282</v>
      </c>
      <c r="B278">
        <v>1</v>
      </c>
      <c r="C278">
        <v>0.85792628992629005</v>
      </c>
      <c r="D278">
        <v>0.92129729729729704</v>
      </c>
      <c r="E278">
        <v>0.96328255528255502</v>
      </c>
      <c r="F278">
        <v>0.94468796068796101</v>
      </c>
      <c r="G278">
        <v>0.98085503685503705</v>
      </c>
      <c r="H278">
        <v>0.96957248157248199</v>
      </c>
      <c r="I278">
        <v>1.1436068796068799</v>
      </c>
      <c r="J278">
        <v>1.0045601965602</v>
      </c>
      <c r="K278">
        <v>0.95302211302211304</v>
      </c>
      <c r="L278">
        <v>15000</v>
      </c>
      <c r="M278">
        <v>211.275745534815</v>
      </c>
      <c r="Q278">
        <v>0</v>
      </c>
      <c r="R278">
        <v>-9.5932450280372394E-2</v>
      </c>
      <c r="S278" t="s">
        <v>2280</v>
      </c>
      <c r="T278" t="s">
        <v>4002</v>
      </c>
      <c r="U278" t="s">
        <v>4002</v>
      </c>
      <c r="V278" t="s">
        <v>4002</v>
      </c>
      <c r="W278" t="s">
        <v>4278</v>
      </c>
      <c r="X278">
        <v>3</v>
      </c>
      <c r="Y278" t="s">
        <v>6252</v>
      </c>
      <c r="Z278" t="s">
        <v>8176</v>
      </c>
      <c r="AA278">
        <v>0.99948094216975614</v>
      </c>
      <c r="AB278" t="str">
        <f>HYPERLINK("Melting_Curves/meltCurve_E7ERV9_ASAH1.pdf", "Melting_Curves/meltCurve_E7ERV9_ASAH1.pdf")</f>
        <v>Melting_Curves/meltCurve_E7ERV9_ASAH1.pdf</v>
      </c>
    </row>
    <row r="279" spans="1:28" x14ac:dyDescent="0.25">
      <c r="A279" t="s">
        <v>283</v>
      </c>
      <c r="B279">
        <v>1</v>
      </c>
      <c r="C279">
        <v>0.88464044176956003</v>
      </c>
      <c r="D279">
        <v>0.81406279084196798</v>
      </c>
      <c r="E279">
        <v>0.95659862257243899</v>
      </c>
      <c r="F279">
        <v>0.88960414469194005</v>
      </c>
      <c r="G279">
        <v>1.0404076441025001</v>
      </c>
      <c r="H279">
        <v>0.87116088602097197</v>
      </c>
      <c r="I279">
        <v>1.1371378048023799</v>
      </c>
      <c r="J279">
        <v>0.74491220450455997</v>
      </c>
      <c r="K279">
        <v>0.893497549171682</v>
      </c>
      <c r="L279">
        <v>10245.536615295599</v>
      </c>
      <c r="M279">
        <v>250</v>
      </c>
      <c r="O279">
        <v>40.979523909896997</v>
      </c>
      <c r="P279">
        <v>-0.130142619331616</v>
      </c>
      <c r="Q279">
        <v>0.91466907888181204</v>
      </c>
      <c r="R279">
        <v>5.6286645826402998E-2</v>
      </c>
      <c r="S279" t="s">
        <v>2281</v>
      </c>
      <c r="T279" t="s">
        <v>4002</v>
      </c>
      <c r="U279" t="s">
        <v>4002</v>
      </c>
      <c r="V279" t="s">
        <v>4002</v>
      </c>
      <c r="W279" t="s">
        <v>4279</v>
      </c>
      <c r="X279">
        <v>1</v>
      </c>
      <c r="Y279" t="s">
        <v>6253</v>
      </c>
      <c r="Z279" t="s">
        <v>8177</v>
      </c>
      <c r="AA279">
        <v>0.91746974850216068</v>
      </c>
      <c r="AB279" t="str">
        <f>HYPERLINK("Melting_Curves/meltCurve_E7ES28_SLC40A1.pdf", "Melting_Curves/meltCurve_E7ES28_SLC40A1.pdf")</f>
        <v>Melting_Curves/meltCurve_E7ES28_SLC40A1.pdf</v>
      </c>
    </row>
    <row r="280" spans="1:28" x14ac:dyDescent="0.25">
      <c r="A280" t="s">
        <v>284</v>
      </c>
      <c r="B280">
        <v>1</v>
      </c>
      <c r="C280">
        <v>1.30531478453993</v>
      </c>
      <c r="D280">
        <v>1.4967148894166999</v>
      </c>
      <c r="E280">
        <v>1.4460038866097</v>
      </c>
      <c r="F280">
        <v>1.66260526234615</v>
      </c>
      <c r="G280">
        <v>1.7566550479656999</v>
      </c>
      <c r="H280">
        <v>1.1836268854684</v>
      </c>
      <c r="I280">
        <v>2.50461149326012</v>
      </c>
      <c r="J280">
        <v>1.80937104784231</v>
      </c>
      <c r="K280">
        <v>2.0988926246953898</v>
      </c>
      <c r="L280">
        <v>3708.7339743651601</v>
      </c>
      <c r="M280">
        <v>86.900318681278307</v>
      </c>
      <c r="O280">
        <v>42.655439664845801</v>
      </c>
      <c r="P280">
        <v>0.25465781360069101</v>
      </c>
      <c r="Q280">
        <v>1.5</v>
      </c>
      <c r="R280">
        <v>7.1727687130657802E-2</v>
      </c>
      <c r="S280" t="s">
        <v>2282</v>
      </c>
      <c r="T280" t="s">
        <v>4002</v>
      </c>
      <c r="U280" t="s">
        <v>4002</v>
      </c>
      <c r="V280" t="s">
        <v>4002</v>
      </c>
      <c r="W280" t="s">
        <v>4280</v>
      </c>
      <c r="X280">
        <v>1</v>
      </c>
      <c r="Y280" t="s">
        <v>6254</v>
      </c>
      <c r="Z280" t="s">
        <v>8178</v>
      </c>
      <c r="AA280">
        <v>1.4550349022149689</v>
      </c>
      <c r="AB280" t="str">
        <f>HYPERLINK("Melting_Curves/meltCurve_E7ES35_TTC38.pdf", "Melting_Curves/meltCurve_E7ES35_TTC38.pdf")</f>
        <v>Melting_Curves/meltCurve_E7ES35_TTC38.pdf</v>
      </c>
    </row>
    <row r="281" spans="1:28" x14ac:dyDescent="0.25">
      <c r="A281" t="s">
        <v>285</v>
      </c>
      <c r="B281">
        <v>1</v>
      </c>
      <c r="C281">
        <v>0.99444023909582102</v>
      </c>
      <c r="D281">
        <v>1.1066795437341801</v>
      </c>
      <c r="E281">
        <v>1.08492339014904</v>
      </c>
      <c r="F281">
        <v>0.94421967581112498</v>
      </c>
      <c r="G281">
        <v>1.20748610059774</v>
      </c>
      <c r="H281">
        <v>0.971300670825611</v>
      </c>
      <c r="I281">
        <v>1.2668815744825199</v>
      </c>
      <c r="J281">
        <v>1.4029913079794301</v>
      </c>
      <c r="K281">
        <v>1.0410456526846099</v>
      </c>
      <c r="L281">
        <v>671.02334082602204</v>
      </c>
      <c r="M281">
        <v>11.571798197938399</v>
      </c>
      <c r="O281">
        <v>56.337208696058397</v>
      </c>
      <c r="P281">
        <v>1.2244462691877501E-2</v>
      </c>
      <c r="Q281">
        <v>1.2383821397022301</v>
      </c>
      <c r="R281">
        <v>0.25358903496952301</v>
      </c>
      <c r="S281" t="s">
        <v>2283</v>
      </c>
      <c r="T281" t="s">
        <v>4002</v>
      </c>
      <c r="U281" t="s">
        <v>4002</v>
      </c>
      <c r="V281" t="s">
        <v>4002</v>
      </c>
      <c r="W281" t="s">
        <v>4281</v>
      </c>
      <c r="X281">
        <v>3</v>
      </c>
      <c r="Y281" t="s">
        <v>6255</v>
      </c>
      <c r="Z281" t="s">
        <v>8179</v>
      </c>
      <c r="AA281">
        <v>1.0924997911410781</v>
      </c>
      <c r="AB281" t="str">
        <f>HYPERLINK("Melting_Curves/meltCurve_E7ESM1_NDRG1.pdf", "Melting_Curves/meltCurve_E7ESM1_NDRG1.pdf")</f>
        <v>Melting_Curves/meltCurve_E7ESM1_NDRG1.pdf</v>
      </c>
    </row>
    <row r="282" spans="1:28" x14ac:dyDescent="0.25">
      <c r="A282" t="s">
        <v>286</v>
      </c>
      <c r="B282">
        <v>1</v>
      </c>
      <c r="C282">
        <v>0.89266871931430503</v>
      </c>
      <c r="D282">
        <v>1.0207372888408099</v>
      </c>
      <c r="E282">
        <v>1.0850628276608101</v>
      </c>
      <c r="F282">
        <v>1.0314887243072299</v>
      </c>
      <c r="G282">
        <v>1.1775318299076301</v>
      </c>
      <c r="H282">
        <v>1.0387617541815799</v>
      </c>
      <c r="I282">
        <v>1.4133976866106399</v>
      </c>
      <c r="J282">
        <v>1.3628026961804101</v>
      </c>
      <c r="K282">
        <v>1.20279603894483</v>
      </c>
      <c r="L282">
        <v>878.43822982315896</v>
      </c>
      <c r="M282">
        <v>14.964800499563401</v>
      </c>
      <c r="O282">
        <v>57.6820044596912</v>
      </c>
      <c r="P282">
        <v>2.1569644490329599E-2</v>
      </c>
      <c r="Q282">
        <v>1.3325278940124701</v>
      </c>
      <c r="R282">
        <v>0.63874202697716398</v>
      </c>
      <c r="S282" t="s">
        <v>2284</v>
      </c>
      <c r="T282" t="s">
        <v>4002</v>
      </c>
      <c r="U282" t="s">
        <v>4002</v>
      </c>
      <c r="V282" t="s">
        <v>4002</v>
      </c>
      <c r="W282" t="s">
        <v>4282</v>
      </c>
      <c r="X282">
        <v>5</v>
      </c>
      <c r="Y282" t="s">
        <v>6256</v>
      </c>
      <c r="Z282" t="s">
        <v>8180</v>
      </c>
      <c r="AA282">
        <v>1.1214496349514489</v>
      </c>
      <c r="AB282" t="str">
        <f>HYPERLINK("Melting_Curves/meltCurve_E7ESV4_RAP1B.pdf", "Melting_Curves/meltCurve_E7ESV4_RAP1B.pdf")</f>
        <v>Melting_Curves/meltCurve_E7ESV4_RAP1B.pdf</v>
      </c>
    </row>
    <row r="283" spans="1:28" x14ac:dyDescent="0.25">
      <c r="A283" t="s">
        <v>287</v>
      </c>
      <c r="B283">
        <v>1</v>
      </c>
      <c r="C283">
        <v>0.99106755944476299</v>
      </c>
      <c r="D283">
        <v>1.11304639557152</v>
      </c>
      <c r="E283">
        <v>1.1133119923955399</v>
      </c>
      <c r="F283">
        <v>1.11712819939332</v>
      </c>
      <c r="G283">
        <v>1.18653284314411</v>
      </c>
      <c r="H283">
        <v>1.1320435578791399</v>
      </c>
      <c r="I283">
        <v>1.5840753735829001</v>
      </c>
      <c r="J283">
        <v>1.30493311153669</v>
      </c>
      <c r="K283">
        <v>1.3092665334022999</v>
      </c>
      <c r="L283">
        <v>497.54117748086998</v>
      </c>
      <c r="M283">
        <v>8.5925366223943698</v>
      </c>
      <c r="O283">
        <v>55.023538760733999</v>
      </c>
      <c r="P283">
        <v>1.7873387378167301E-2</v>
      </c>
      <c r="Q283">
        <v>1.4574234744788099</v>
      </c>
      <c r="R283">
        <v>0.62043297329894098</v>
      </c>
      <c r="S283" t="s">
        <v>2285</v>
      </c>
      <c r="T283" t="s">
        <v>4002</v>
      </c>
      <c r="U283" t="s">
        <v>4002</v>
      </c>
      <c r="V283" t="s">
        <v>4002</v>
      </c>
      <c r="W283" t="s">
        <v>4283</v>
      </c>
      <c r="X283">
        <v>4</v>
      </c>
      <c r="Y283" t="s">
        <v>6257</v>
      </c>
      <c r="Z283" t="s">
        <v>8181</v>
      </c>
      <c r="AA283">
        <v>1.181367629795121</v>
      </c>
      <c r="AB283" t="str">
        <f>HYPERLINK("Melting_Curves/meltCurve_E7ET33_ITIH3.pdf", "Melting_Curves/meltCurve_E7ET33_ITIH3.pdf")</f>
        <v>Melting_Curves/meltCurve_E7ET33_ITIH3.pdf</v>
      </c>
    </row>
    <row r="284" spans="1:28" x14ac:dyDescent="0.25">
      <c r="A284" t="s">
        <v>288</v>
      </c>
      <c r="B284">
        <v>1</v>
      </c>
      <c r="C284">
        <v>1.0457185684841701</v>
      </c>
      <c r="D284">
        <v>1.02129785772282</v>
      </c>
      <c r="E284">
        <v>0.93841733808007</v>
      </c>
      <c r="F284">
        <v>1.00206108300543</v>
      </c>
      <c r="G284">
        <v>0.83411404659296695</v>
      </c>
      <c r="H284">
        <v>0.89732059209293602</v>
      </c>
      <c r="I284">
        <v>1.1613890450315401</v>
      </c>
      <c r="J284">
        <v>0.942039847604772</v>
      </c>
      <c r="K284">
        <v>0.91836862157266896</v>
      </c>
      <c r="L284">
        <v>15000</v>
      </c>
      <c r="M284">
        <v>224.77173826486199</v>
      </c>
      <c r="O284">
        <v>66.729089032276605</v>
      </c>
      <c r="P284">
        <v>-6.8766517292191007E-2</v>
      </c>
      <c r="Q284">
        <v>0.91833979049529502</v>
      </c>
      <c r="R284">
        <v>5.7476276310882701E-2</v>
      </c>
      <c r="S284" t="s">
        <v>2286</v>
      </c>
      <c r="T284" t="s">
        <v>4002</v>
      </c>
      <c r="U284" t="s">
        <v>4002</v>
      </c>
      <c r="V284" t="s">
        <v>4002</v>
      </c>
      <c r="W284" t="s">
        <v>4116</v>
      </c>
      <c r="X284">
        <v>31</v>
      </c>
      <c r="Z284" t="s">
        <v>8182</v>
      </c>
      <c r="AA284">
        <v>0.99112273492033998</v>
      </c>
      <c r="AB284" t="str">
        <f>HYPERLINK("Melting_Curves/meltCurve_E7ETN3_.pdf", "Melting_Curves/meltCurve_E7ETN3_.pdf")</f>
        <v>Melting_Curves/meltCurve_E7ETN3_.pdf</v>
      </c>
    </row>
    <row r="285" spans="1:28" x14ac:dyDescent="0.25">
      <c r="A285" t="s">
        <v>289</v>
      </c>
      <c r="B285">
        <v>1</v>
      </c>
      <c r="C285">
        <v>0.95715023231801799</v>
      </c>
      <c r="D285">
        <v>0.94432971949750499</v>
      </c>
      <c r="E285">
        <v>0.82743933918430601</v>
      </c>
      <c r="F285">
        <v>0.78325589399414897</v>
      </c>
      <c r="G285">
        <v>0.865771812080537</v>
      </c>
      <c r="H285">
        <v>0.59245396661504002</v>
      </c>
      <c r="I285">
        <v>1.04766821545345</v>
      </c>
      <c r="J285">
        <v>0.772328342798141</v>
      </c>
      <c r="K285">
        <v>0.77387712958182797</v>
      </c>
      <c r="L285">
        <v>1422.6812110149301</v>
      </c>
      <c r="M285">
        <v>30.299262950165499</v>
      </c>
      <c r="O285">
        <v>46.751207045027797</v>
      </c>
      <c r="P285">
        <v>-3.16498496730667E-2</v>
      </c>
      <c r="Q285">
        <v>0.80466067354441695</v>
      </c>
      <c r="R285">
        <v>0.32260639675428199</v>
      </c>
      <c r="S285" t="s">
        <v>2287</v>
      </c>
      <c r="T285" t="s">
        <v>4002</v>
      </c>
      <c r="U285" t="s">
        <v>4002</v>
      </c>
      <c r="V285" t="s">
        <v>4002</v>
      </c>
      <c r="W285" t="s">
        <v>4284</v>
      </c>
      <c r="X285">
        <v>1</v>
      </c>
      <c r="Y285" t="s">
        <v>6258</v>
      </c>
      <c r="Z285" t="s">
        <v>8183</v>
      </c>
      <c r="AA285">
        <v>0.85108963055342712</v>
      </c>
      <c r="AB285" t="str">
        <f>HYPERLINK("Melting_Curves/meltCurve_E7ETY4_MARK2.pdf", "Melting_Curves/meltCurve_E7ETY4_MARK2.pdf")</f>
        <v>Melting_Curves/meltCurve_E7ETY4_MARK2.pdf</v>
      </c>
    </row>
    <row r="286" spans="1:28" x14ac:dyDescent="0.25">
      <c r="A286" t="s">
        <v>290</v>
      </c>
      <c r="B286">
        <v>1</v>
      </c>
      <c r="C286">
        <v>0.90535646925688396</v>
      </c>
      <c r="D286">
        <v>0.99909468125235801</v>
      </c>
      <c r="E286">
        <v>0.99007921539041899</v>
      </c>
      <c r="F286">
        <v>0.86001508864579401</v>
      </c>
      <c r="G286">
        <v>0.78061109015465902</v>
      </c>
      <c r="H286">
        <v>0.87053941908713695</v>
      </c>
      <c r="I286">
        <v>0.64892493398717499</v>
      </c>
      <c r="J286">
        <v>0.74149377593360999</v>
      </c>
      <c r="K286">
        <v>0.55254620897774398</v>
      </c>
      <c r="L286">
        <v>391.46714181400398</v>
      </c>
      <c r="M286">
        <v>5.17809421779583</v>
      </c>
      <c r="O286">
        <v>66.510149635700998</v>
      </c>
      <c r="P286">
        <v>-1.9569294851255501E-2</v>
      </c>
      <c r="Q286">
        <v>0</v>
      </c>
      <c r="R286">
        <v>0.81632658351162501</v>
      </c>
      <c r="S286" t="s">
        <v>2288</v>
      </c>
      <c r="T286" t="s">
        <v>4002</v>
      </c>
      <c r="U286" t="s">
        <v>4002</v>
      </c>
      <c r="V286" t="s">
        <v>4002</v>
      </c>
      <c r="W286" t="s">
        <v>4285</v>
      </c>
      <c r="X286">
        <v>4</v>
      </c>
      <c r="Y286" t="s">
        <v>6259</v>
      </c>
      <c r="Z286" t="s">
        <v>8184</v>
      </c>
      <c r="AA286">
        <v>0.84595546411650491</v>
      </c>
      <c r="AB286" t="str">
        <f>HYPERLINK("Melting_Curves/meltCurve_E7ETZ0_CALM1.pdf", "Melting_Curves/meltCurve_E7ETZ0_CALM1.pdf")</f>
        <v>Melting_Curves/meltCurve_E7ETZ0_CALM1.pdf</v>
      </c>
    </row>
    <row r="287" spans="1:28" x14ac:dyDescent="0.25">
      <c r="A287" t="s">
        <v>291</v>
      </c>
      <c r="B287">
        <v>1</v>
      </c>
      <c r="C287">
        <v>1.01829985416569</v>
      </c>
      <c r="D287">
        <v>1.1395775509243999</v>
      </c>
      <c r="E287">
        <v>1.22500823258221</v>
      </c>
      <c r="F287">
        <v>1.2607141177023999</v>
      </c>
      <c r="G287">
        <v>1.9249188502610901</v>
      </c>
      <c r="H287">
        <v>2.3890483134967302</v>
      </c>
      <c r="I287">
        <v>4.0970033400762098</v>
      </c>
      <c r="J287">
        <v>3.2362045443853802</v>
      </c>
      <c r="K287">
        <v>3.4438537893399799</v>
      </c>
      <c r="L287">
        <v>1881.8163162327101</v>
      </c>
      <c r="M287">
        <v>37.1237310775727</v>
      </c>
      <c r="O287">
        <v>50.543971560433903</v>
      </c>
      <c r="P287">
        <v>9.1810737633813103E-2</v>
      </c>
      <c r="Q287">
        <v>1.5</v>
      </c>
      <c r="R287">
        <v>-0.21701985584150699</v>
      </c>
      <c r="S287" t="s">
        <v>2289</v>
      </c>
      <c r="T287" t="s">
        <v>4002</v>
      </c>
      <c r="U287" t="s">
        <v>4002</v>
      </c>
      <c r="V287" t="s">
        <v>4002</v>
      </c>
      <c r="W287" t="s">
        <v>4286</v>
      </c>
      <c r="X287">
        <v>18</v>
      </c>
      <c r="Y287" t="s">
        <v>6260</v>
      </c>
      <c r="Z287" t="s">
        <v>8185</v>
      </c>
      <c r="AA287">
        <v>1.31979044876289</v>
      </c>
      <c r="AB287" t="str">
        <f>HYPERLINK("Melting_Curves/meltCurve_E7EU23_GDI2.pdf", "Melting_Curves/meltCurve_E7EU23_GDI2.pdf")</f>
        <v>Melting_Curves/meltCurve_E7EU23_GDI2.pdf</v>
      </c>
    </row>
    <row r="288" spans="1:28" x14ac:dyDescent="0.25">
      <c r="A288" t="s">
        <v>292</v>
      </c>
      <c r="B288">
        <v>1</v>
      </c>
      <c r="C288">
        <v>0.92183451373294201</v>
      </c>
      <c r="D288">
        <v>0.92085564576495604</v>
      </c>
      <c r="E288">
        <v>0.92456958599643002</v>
      </c>
      <c r="F288">
        <v>0.74725053261933505</v>
      </c>
      <c r="G288">
        <v>0.58757989290032797</v>
      </c>
      <c r="H288">
        <v>0.49035527149190999</v>
      </c>
      <c r="I288">
        <v>0.79135717164737696</v>
      </c>
      <c r="J288">
        <v>0.97328266252087303</v>
      </c>
      <c r="K288">
        <v>0.51252375194334099</v>
      </c>
      <c r="L288">
        <v>2348.5017888637499</v>
      </c>
      <c r="M288">
        <v>45.728976008918103</v>
      </c>
      <c r="O288">
        <v>51.259050449887297</v>
      </c>
      <c r="P288">
        <v>-7.31287781212272E-2</v>
      </c>
      <c r="Q288">
        <v>0.67211100630604104</v>
      </c>
      <c r="R288">
        <v>0.45997454033892998</v>
      </c>
      <c r="S288" t="s">
        <v>2290</v>
      </c>
      <c r="T288" t="s">
        <v>4002</v>
      </c>
      <c r="U288" t="s">
        <v>4002</v>
      </c>
      <c r="V288" t="s">
        <v>4002</v>
      </c>
      <c r="W288" t="s">
        <v>4287</v>
      </c>
      <c r="X288">
        <v>7</v>
      </c>
      <c r="Y288" t="s">
        <v>6261</v>
      </c>
      <c r="Z288" t="s">
        <v>8186</v>
      </c>
      <c r="AA288">
        <v>0.79712745256742712</v>
      </c>
      <c r="AB288" t="str">
        <f>HYPERLINK("Melting_Curves/meltCurve_E7EUC7_UGP2.pdf", "Melting_Curves/meltCurve_E7EUC7_UGP2.pdf")</f>
        <v>Melting_Curves/meltCurve_E7EUC7_UGP2.pdf</v>
      </c>
    </row>
    <row r="289" spans="1:28" x14ac:dyDescent="0.25">
      <c r="A289" t="s">
        <v>293</v>
      </c>
      <c r="B289">
        <v>1</v>
      </c>
      <c r="C289">
        <v>0.82850840915357005</v>
      </c>
      <c r="D289">
        <v>0.95481803143093502</v>
      </c>
      <c r="E289">
        <v>0.954059829059829</v>
      </c>
      <c r="F289">
        <v>0.93424317617866004</v>
      </c>
      <c r="G289">
        <v>0.88847532395919504</v>
      </c>
      <c r="H289">
        <v>0.69241108354011605</v>
      </c>
      <c r="I289">
        <v>0.82640612076095998</v>
      </c>
      <c r="J289">
        <v>0.83495312930796795</v>
      </c>
      <c r="K289">
        <v>0.80614143920595505</v>
      </c>
      <c r="L289">
        <v>223.26286812709901</v>
      </c>
      <c r="M289">
        <v>3.3681964736632999</v>
      </c>
      <c r="O289">
        <v>51.211130473520598</v>
      </c>
      <c r="P289">
        <v>-6.5040527929861799E-3</v>
      </c>
      <c r="Q289">
        <v>0.61293986356763597</v>
      </c>
      <c r="R289">
        <v>0.42450305893210599</v>
      </c>
      <c r="S289" t="s">
        <v>2291</v>
      </c>
      <c r="T289" t="s">
        <v>4002</v>
      </c>
      <c r="U289" t="s">
        <v>4002</v>
      </c>
      <c r="V289" t="s">
        <v>4002</v>
      </c>
      <c r="W289" t="s">
        <v>4288</v>
      </c>
      <c r="X289">
        <v>1</v>
      </c>
      <c r="Y289" t="s">
        <v>6262</v>
      </c>
      <c r="Z289" t="s">
        <v>8187</v>
      </c>
      <c r="AA289">
        <v>0.87284581433067998</v>
      </c>
      <c r="AB289" t="str">
        <f>HYPERLINK("Melting_Curves/meltCurve_E7EUF8_EPB41L3.pdf", "Melting_Curves/meltCurve_E7EUF8_EPB41L3.pdf")</f>
        <v>Melting_Curves/meltCurve_E7EUF8_EPB41L3.pdf</v>
      </c>
    </row>
    <row r="290" spans="1:28" x14ac:dyDescent="0.25">
      <c r="A290" t="s">
        <v>294</v>
      </c>
      <c r="B290">
        <v>1</v>
      </c>
      <c r="C290">
        <v>1.03076298701299</v>
      </c>
      <c r="D290">
        <v>0.92612012987013004</v>
      </c>
      <c r="E290">
        <v>1.0254870129870099</v>
      </c>
      <c r="F290">
        <v>0.94886363636363602</v>
      </c>
      <c r="G290">
        <v>1.1731168831168799</v>
      </c>
      <c r="H290">
        <v>0.86993506493506501</v>
      </c>
      <c r="I290">
        <v>1.35159090909091</v>
      </c>
      <c r="J290">
        <v>0.86952922077922101</v>
      </c>
      <c r="K290">
        <v>1.01068181818182</v>
      </c>
      <c r="L290">
        <v>2942.6120271464001</v>
      </c>
      <c r="M290">
        <v>54.026426802980801</v>
      </c>
      <c r="O290">
        <v>54.391703120847403</v>
      </c>
      <c r="P290">
        <v>1.29110938955775E-2</v>
      </c>
      <c r="Q290">
        <v>1.0519935016734301</v>
      </c>
      <c r="R290">
        <v>4.5358059489460603E-2</v>
      </c>
      <c r="S290" t="s">
        <v>2292</v>
      </c>
      <c r="T290" t="s">
        <v>4002</v>
      </c>
      <c r="U290" t="s">
        <v>4002</v>
      </c>
      <c r="V290" t="s">
        <v>4002</v>
      </c>
      <c r="W290" t="s">
        <v>4289</v>
      </c>
      <c r="X290">
        <v>4</v>
      </c>
      <c r="Y290" t="s">
        <v>6263</v>
      </c>
      <c r="Z290" t="s">
        <v>8188</v>
      </c>
      <c r="AA290">
        <v>1.0268150720531439</v>
      </c>
      <c r="AB290" t="str">
        <f>HYPERLINK("Melting_Curves/meltCurve_E7EUU1_LTBP4.pdf", "Melting_Curves/meltCurve_E7EUU1_LTBP4.pdf")</f>
        <v>Melting_Curves/meltCurve_E7EUU1_LTBP4.pdf</v>
      </c>
    </row>
    <row r="291" spans="1:28" x14ac:dyDescent="0.25">
      <c r="A291" t="s">
        <v>295</v>
      </c>
      <c r="B291">
        <v>1</v>
      </c>
      <c r="C291">
        <v>0.88359891719923001</v>
      </c>
      <c r="D291">
        <v>1.0055814472692799</v>
      </c>
      <c r="E291">
        <v>0.99321854156782896</v>
      </c>
      <c r="F291">
        <v>0.90653866547595796</v>
      </c>
      <c r="G291">
        <v>0.97044623670917896</v>
      </c>
      <c r="H291">
        <v>0.81731923087656599</v>
      </c>
      <c r="I291">
        <v>1.03569335528703</v>
      </c>
      <c r="J291">
        <v>0.84511483827756495</v>
      </c>
      <c r="K291">
        <v>0.94276225825356497</v>
      </c>
      <c r="L291">
        <v>166.849036838969</v>
      </c>
      <c r="M291">
        <v>2.63096740679295</v>
      </c>
      <c r="O291">
        <v>43.898965813655103</v>
      </c>
      <c r="P291">
        <v>-2.41987938142169E-3</v>
      </c>
      <c r="Q291">
        <v>0.84538930706742199</v>
      </c>
      <c r="R291">
        <v>7.8344592393439799E-2</v>
      </c>
      <c r="S291" t="s">
        <v>2293</v>
      </c>
      <c r="T291" t="s">
        <v>4002</v>
      </c>
      <c r="U291" t="s">
        <v>4002</v>
      </c>
      <c r="V291" t="s">
        <v>4002</v>
      </c>
      <c r="W291" t="s">
        <v>4290</v>
      </c>
      <c r="X291">
        <v>4</v>
      </c>
      <c r="Y291" t="s">
        <v>6264</v>
      </c>
      <c r="Z291" t="s">
        <v>8189</v>
      </c>
      <c r="AA291">
        <v>0.9398115554588452</v>
      </c>
      <c r="AB291" t="str">
        <f>HYPERLINK("Melting_Curves/meltCurve_E7EV99_ADD1.pdf", "Melting_Curves/meltCurve_E7EV99_ADD1.pdf")</f>
        <v>Melting_Curves/meltCurve_E7EV99_ADD1.pdf</v>
      </c>
    </row>
    <row r="292" spans="1:28" x14ac:dyDescent="0.25">
      <c r="A292" t="s">
        <v>296</v>
      </c>
      <c r="B292">
        <v>1</v>
      </c>
      <c r="C292">
        <v>0.92648160228068899</v>
      </c>
      <c r="D292">
        <v>1.0614626368050999</v>
      </c>
      <c r="E292">
        <v>0.98516585731197603</v>
      </c>
      <c r="F292">
        <v>0.93474426807760103</v>
      </c>
      <c r="G292">
        <v>0.928970065956367</v>
      </c>
      <c r="H292">
        <v>0.82034741852093496</v>
      </c>
      <c r="I292">
        <v>0.94576115580681797</v>
      </c>
      <c r="J292">
        <v>1.04430914933198</v>
      </c>
      <c r="K292">
        <v>0.84677828513444997</v>
      </c>
      <c r="L292">
        <v>2672.5640168623199</v>
      </c>
      <c r="M292">
        <v>51.771484470954597</v>
      </c>
      <c r="O292">
        <v>51.545469950136898</v>
      </c>
      <c r="P292">
        <v>-2.0807254861649499E-2</v>
      </c>
      <c r="Q292">
        <v>0.91713438990914098</v>
      </c>
      <c r="R292">
        <v>0.24396829876712101</v>
      </c>
      <c r="S292" t="s">
        <v>2294</v>
      </c>
      <c r="T292" t="s">
        <v>4002</v>
      </c>
      <c r="U292" t="s">
        <v>4002</v>
      </c>
      <c r="V292" t="s">
        <v>4002</v>
      </c>
      <c r="W292" t="s">
        <v>4291</v>
      </c>
      <c r="X292">
        <v>8</v>
      </c>
      <c r="Y292" t="s">
        <v>6265</v>
      </c>
      <c r="Z292" t="s">
        <v>8190</v>
      </c>
      <c r="AA292">
        <v>0.9494133315258847</v>
      </c>
      <c r="AB292" t="str">
        <f>HYPERLINK("Melting_Curves/meltCurve_E7EVA0_MAP4.pdf", "Melting_Curves/meltCurve_E7EVA0_MAP4.pdf")</f>
        <v>Melting_Curves/meltCurve_E7EVA0_MAP4.pdf</v>
      </c>
    </row>
    <row r="293" spans="1:28" x14ac:dyDescent="0.25">
      <c r="A293" t="s">
        <v>297</v>
      </c>
      <c r="B293">
        <v>1</v>
      </c>
      <c r="C293">
        <v>1.0065058711520201</v>
      </c>
      <c r="D293">
        <v>1.0612381905622099</v>
      </c>
      <c r="E293">
        <v>1.27151331689574</v>
      </c>
      <c r="F293">
        <v>1.4782852818397101</v>
      </c>
      <c r="G293">
        <v>1.2085174425701199</v>
      </c>
      <c r="H293">
        <v>0.94736713619607904</v>
      </c>
      <c r="I293">
        <v>1.44117862461246</v>
      </c>
      <c r="J293">
        <v>1.6756585211044099</v>
      </c>
      <c r="K293">
        <v>1.0605424407391999</v>
      </c>
      <c r="L293">
        <v>2609.9360485532602</v>
      </c>
      <c r="M293">
        <v>55.352469725239203</v>
      </c>
      <c r="O293">
        <v>47.089789073116897</v>
      </c>
      <c r="P293">
        <v>8.8015015145330694E-2</v>
      </c>
      <c r="Q293">
        <v>1.29950649971568</v>
      </c>
      <c r="R293">
        <v>0.29614369796511097</v>
      </c>
      <c r="S293" t="s">
        <v>2295</v>
      </c>
      <c r="T293" t="s">
        <v>4002</v>
      </c>
      <c r="U293" t="s">
        <v>4002</v>
      </c>
      <c r="V293" t="s">
        <v>4002</v>
      </c>
      <c r="W293" t="s">
        <v>4292</v>
      </c>
      <c r="X293">
        <v>2</v>
      </c>
      <c r="Y293" t="s">
        <v>6266</v>
      </c>
      <c r="Z293" t="s">
        <v>8191</v>
      </c>
      <c r="AA293">
        <v>1.2276039577492279</v>
      </c>
      <c r="AB293" t="str">
        <f>HYPERLINK("Melting_Curves/meltCurve_E7EW20_MYO6.pdf", "Melting_Curves/meltCurve_E7EW20_MYO6.pdf")</f>
        <v>Melting_Curves/meltCurve_E7EW20_MYO6.pdf</v>
      </c>
    </row>
    <row r="294" spans="1:28" x14ac:dyDescent="0.25">
      <c r="A294" t="s">
        <v>298</v>
      </c>
      <c r="B294">
        <v>1</v>
      </c>
      <c r="C294">
        <v>1.01073883161512</v>
      </c>
      <c r="D294">
        <v>1.1591924398625399</v>
      </c>
      <c r="E294">
        <v>1.3266323024055</v>
      </c>
      <c r="F294">
        <v>1.1909793814433001</v>
      </c>
      <c r="G294">
        <v>1.30120274914089</v>
      </c>
      <c r="H294">
        <v>1.2908934707903801</v>
      </c>
      <c r="I294">
        <v>1.3222508591065301</v>
      </c>
      <c r="J294">
        <v>1.3272336769759401</v>
      </c>
      <c r="K294">
        <v>1.3152061855670101</v>
      </c>
      <c r="L294">
        <v>4961.2116566585501</v>
      </c>
      <c r="M294">
        <v>108.001970695941</v>
      </c>
      <c r="O294">
        <v>45.920577297180799</v>
      </c>
      <c r="P294">
        <v>0.17424645569128</v>
      </c>
      <c r="Q294">
        <v>1.29634626138756</v>
      </c>
      <c r="R294">
        <v>0.90588320900469999</v>
      </c>
      <c r="S294" t="s">
        <v>2296</v>
      </c>
      <c r="T294" t="s">
        <v>4002</v>
      </c>
      <c r="U294" t="s">
        <v>4002</v>
      </c>
      <c r="V294" t="s">
        <v>4002</v>
      </c>
      <c r="W294" t="s">
        <v>4293</v>
      </c>
      <c r="X294">
        <v>3</v>
      </c>
      <c r="Y294" t="s">
        <v>6267</v>
      </c>
      <c r="Z294" t="s">
        <v>8192</v>
      </c>
      <c r="AA294">
        <v>1.2375780497140589</v>
      </c>
      <c r="AB294" t="str">
        <f>HYPERLINK("Melting_Curves/meltCurve_E7EW52_RPE.pdf", "Melting_Curves/meltCurve_E7EW52_RPE.pdf")</f>
        <v>Melting_Curves/meltCurve_E7EW52_RPE.pdf</v>
      </c>
    </row>
    <row r="295" spans="1:28" x14ac:dyDescent="0.25">
      <c r="A295" t="s">
        <v>299</v>
      </c>
      <c r="B295">
        <v>1</v>
      </c>
      <c r="C295">
        <v>0.89633962831991598</v>
      </c>
      <c r="D295">
        <v>1.0135241893010301</v>
      </c>
      <c r="E295">
        <v>1.0450492814686601</v>
      </c>
      <c r="F295">
        <v>0.98408697614927398</v>
      </c>
      <c r="G295">
        <v>1.0521781656760201</v>
      </c>
      <c r="H295">
        <v>0.86129711835076395</v>
      </c>
      <c r="I295">
        <v>1.0561470167782701</v>
      </c>
      <c r="J295">
        <v>0.87295914528628404</v>
      </c>
      <c r="K295">
        <v>0.97981716951320397</v>
      </c>
      <c r="L295">
        <v>3980.36662957931</v>
      </c>
      <c r="M295">
        <v>67.768600950605702</v>
      </c>
      <c r="O295">
        <v>58.68360482232</v>
      </c>
      <c r="P295">
        <v>-1.6093926774174799E-2</v>
      </c>
      <c r="Q295">
        <v>0.94425446779718603</v>
      </c>
      <c r="R295">
        <v>0.124800185335098</v>
      </c>
      <c r="S295" t="s">
        <v>2297</v>
      </c>
      <c r="T295" t="s">
        <v>4002</v>
      </c>
      <c r="U295" t="s">
        <v>4002</v>
      </c>
      <c r="V295" t="s">
        <v>4002</v>
      </c>
      <c r="W295" t="s">
        <v>4294</v>
      </c>
      <c r="X295">
        <v>8</v>
      </c>
      <c r="Y295" t="s">
        <v>6268</v>
      </c>
      <c r="Z295" t="s">
        <v>8193</v>
      </c>
      <c r="AA295">
        <v>0.97914532035678303</v>
      </c>
      <c r="AB295" t="str">
        <f>HYPERLINK("Melting_Curves/meltCurve_E7EX17_EIF4B.pdf", "Melting_Curves/meltCurve_E7EX17_EIF4B.pdf")</f>
        <v>Melting_Curves/meltCurve_E7EX17_EIF4B.pdf</v>
      </c>
    </row>
    <row r="296" spans="1:28" x14ac:dyDescent="0.25">
      <c r="A296" t="s">
        <v>300</v>
      </c>
      <c r="B296">
        <v>1</v>
      </c>
      <c r="C296">
        <v>0.85840319536496501</v>
      </c>
      <c r="D296">
        <v>1.1530088223675501</v>
      </c>
      <c r="E296">
        <v>1.0297151384804499</v>
      </c>
      <c r="F296">
        <v>1.0776895053329201</v>
      </c>
      <c r="G296">
        <v>1.0420050037308499</v>
      </c>
      <c r="H296">
        <v>0.76675591449765201</v>
      </c>
      <c r="I296">
        <v>0.83439406575077901</v>
      </c>
      <c r="J296">
        <v>13.9885001975157</v>
      </c>
      <c r="K296">
        <v>0.79853399464512997</v>
      </c>
      <c r="L296">
        <v>15000</v>
      </c>
      <c r="M296">
        <v>231.27305344846701</v>
      </c>
      <c r="O296">
        <v>64.853550047277807</v>
      </c>
      <c r="P296">
        <v>0.44576020959652202</v>
      </c>
      <c r="Q296">
        <v>1.5</v>
      </c>
      <c r="R296">
        <v>-2.2699944277449601E-2</v>
      </c>
      <c r="S296" t="s">
        <v>2298</v>
      </c>
      <c r="T296" t="s">
        <v>4002</v>
      </c>
      <c r="U296" t="s">
        <v>4002</v>
      </c>
      <c r="V296" t="s">
        <v>4002</v>
      </c>
      <c r="W296" t="s">
        <v>4295</v>
      </c>
      <c r="X296">
        <v>1</v>
      </c>
      <c r="Y296" t="s">
        <v>6269</v>
      </c>
      <c r="Z296" t="s">
        <v>8194</v>
      </c>
      <c r="AA296">
        <v>1.0856268434762311</v>
      </c>
      <c r="AB296" t="str">
        <f>HYPERLINK("Melting_Curves/meltCurve_E7EX53_RPL15.pdf", "Melting_Curves/meltCurve_E7EX53_RPL15.pdf")</f>
        <v>Melting_Curves/meltCurve_E7EX53_RPL15.pdf</v>
      </c>
    </row>
    <row r="297" spans="1:28" x14ac:dyDescent="0.25">
      <c r="A297" t="s">
        <v>301</v>
      </c>
      <c r="B297">
        <v>1</v>
      </c>
      <c r="C297">
        <v>0.91957080485313802</v>
      </c>
      <c r="D297">
        <v>0.90642782585272197</v>
      </c>
      <c r="E297">
        <v>0.86874978955520399</v>
      </c>
      <c r="F297">
        <v>0.93931333265991002</v>
      </c>
      <c r="G297">
        <v>0.95283791822395802</v>
      </c>
      <c r="H297">
        <v>0.82118365377060998</v>
      </c>
      <c r="I297">
        <v>0.96275968887841301</v>
      </c>
      <c r="J297">
        <v>1.55392437455807</v>
      </c>
      <c r="K297">
        <v>0.89367767713839996</v>
      </c>
      <c r="L297">
        <v>10658.5571643571</v>
      </c>
      <c r="M297">
        <v>163.793630681633</v>
      </c>
      <c r="O297">
        <v>65.063407617276397</v>
      </c>
      <c r="P297">
        <v>0.13957985399971901</v>
      </c>
      <c r="Q297">
        <v>1.2217800041314999</v>
      </c>
      <c r="R297">
        <v>0.24414480689447801</v>
      </c>
      <c r="S297" t="s">
        <v>2299</v>
      </c>
      <c r="T297" t="s">
        <v>4002</v>
      </c>
      <c r="U297" t="s">
        <v>4002</v>
      </c>
      <c r="V297" t="s">
        <v>4002</v>
      </c>
      <c r="W297" t="s">
        <v>4296</v>
      </c>
      <c r="X297">
        <v>3</v>
      </c>
      <c r="Y297" t="s">
        <v>6270</v>
      </c>
      <c r="Z297" t="s">
        <v>8195</v>
      </c>
      <c r="AA297">
        <v>1.036364039181557</v>
      </c>
      <c r="AB297" t="str">
        <f>HYPERLINK("Melting_Curves/meltCurve_E7EX73_EIF4G1.pdf", "Melting_Curves/meltCurve_E7EX73_EIF4G1.pdf")</f>
        <v>Melting_Curves/meltCurve_E7EX73_EIF4G1.pdf</v>
      </c>
    </row>
    <row r="298" spans="1:28" x14ac:dyDescent="0.25">
      <c r="A298" t="s">
        <v>302</v>
      </c>
      <c r="B298">
        <v>1</v>
      </c>
      <c r="C298">
        <v>0.88751119377281795</v>
      </c>
      <c r="D298">
        <v>1.02355858648481</v>
      </c>
      <c r="E298">
        <v>1.06020527657229</v>
      </c>
      <c r="F298">
        <v>0.93407728869601203</v>
      </c>
      <c r="G298">
        <v>0.90659227113039897</v>
      </c>
      <c r="H298">
        <v>0.74051112488806203</v>
      </c>
      <c r="I298">
        <v>0.95212509471653906</v>
      </c>
      <c r="J298">
        <v>0.93566163807949299</v>
      </c>
      <c r="K298">
        <v>0.70248673968450803</v>
      </c>
      <c r="L298">
        <v>371.46052542801402</v>
      </c>
      <c r="M298">
        <v>4.01097772926222</v>
      </c>
      <c r="Q298">
        <v>0</v>
      </c>
      <c r="R298">
        <v>0.393407272390079</v>
      </c>
      <c r="S298" t="s">
        <v>2300</v>
      </c>
      <c r="T298" t="s">
        <v>4002</v>
      </c>
      <c r="U298" t="s">
        <v>4002</v>
      </c>
      <c r="V298" t="s">
        <v>4002</v>
      </c>
      <c r="W298" t="s">
        <v>4297</v>
      </c>
      <c r="X298">
        <v>2</v>
      </c>
      <c r="Y298" t="s">
        <v>6271</v>
      </c>
      <c r="Z298" t="s">
        <v>8196</v>
      </c>
      <c r="AA298">
        <v>0.92215846092514053</v>
      </c>
      <c r="AB298" t="str">
        <f>HYPERLINK("Melting_Curves/meltCurve_E7EX90_DCTN1.pdf", "Melting_Curves/meltCurve_E7EX90_DCTN1.pdf")</f>
        <v>Melting_Curves/meltCurve_E7EX90_DCTN1.pdf</v>
      </c>
    </row>
    <row r="299" spans="1:28" x14ac:dyDescent="0.25">
      <c r="A299" t="s">
        <v>303</v>
      </c>
      <c r="B299">
        <v>1</v>
      </c>
      <c r="C299">
        <v>0.78929471596247602</v>
      </c>
      <c r="D299">
        <v>0.96368435966652299</v>
      </c>
      <c r="E299">
        <v>1.0803716573951201</v>
      </c>
      <c r="F299">
        <v>1.0147499664434501</v>
      </c>
      <c r="G299">
        <v>1.27690862179535</v>
      </c>
      <c r="H299">
        <v>0.76672980268750601</v>
      </c>
      <c r="I299">
        <v>1.90795066441962</v>
      </c>
      <c r="J299">
        <v>0.48123070498575699</v>
      </c>
      <c r="K299">
        <v>1.20312896153674</v>
      </c>
      <c r="L299">
        <v>1639.8961694099401</v>
      </c>
      <c r="M299">
        <v>31.742542976744001</v>
      </c>
      <c r="O299">
        <v>51.458660497727102</v>
      </c>
      <c r="P299">
        <v>1.8543526019785098E-2</v>
      </c>
      <c r="Q299">
        <v>1.12024493983893</v>
      </c>
      <c r="R299">
        <v>4.2491059613909102E-2</v>
      </c>
      <c r="S299" t="s">
        <v>2301</v>
      </c>
      <c r="T299" t="s">
        <v>4002</v>
      </c>
      <c r="U299" t="s">
        <v>4002</v>
      </c>
      <c r="V299" t="s">
        <v>4002</v>
      </c>
      <c r="W299" t="s">
        <v>4298</v>
      </c>
      <c r="X299">
        <v>2</v>
      </c>
      <c r="Y299" t="s">
        <v>6272</v>
      </c>
      <c r="Z299" t="s">
        <v>8197</v>
      </c>
      <c r="AA299">
        <v>1.072817271986116</v>
      </c>
      <c r="AB299" t="str">
        <f>HYPERLINK("Melting_Curves/meltCurve_E7EXA8_PRB4.pdf", "Melting_Curves/meltCurve_E7EXA8_PRB4.pdf")</f>
        <v>Melting_Curves/meltCurve_E7EXA8_PRB4.pdf</v>
      </c>
    </row>
    <row r="300" spans="1:28" x14ac:dyDescent="0.25">
      <c r="A300" t="s">
        <v>304</v>
      </c>
      <c r="B300">
        <v>1</v>
      </c>
      <c r="C300">
        <v>0.91891658013153299</v>
      </c>
      <c r="D300">
        <v>1.0019037729318101</v>
      </c>
      <c r="E300">
        <v>0.953184492904119</v>
      </c>
      <c r="F300">
        <v>0.95335756317064702</v>
      </c>
      <c r="G300">
        <v>0.91857043959847695</v>
      </c>
      <c r="H300">
        <v>0.79640879196953995</v>
      </c>
      <c r="I300">
        <v>1.1432156455520901</v>
      </c>
      <c r="J300">
        <v>0.91112841813776402</v>
      </c>
      <c r="K300">
        <v>0.82468847352024899</v>
      </c>
      <c r="L300">
        <v>155.53363815441199</v>
      </c>
      <c r="M300">
        <v>1.0000000000000001E-5</v>
      </c>
      <c r="O300">
        <v>64.822960050443598</v>
      </c>
      <c r="P300">
        <v>-2.8240354069794102E-3</v>
      </c>
      <c r="Q300">
        <v>0</v>
      </c>
      <c r="R300">
        <v>7.2771029407840596E-2</v>
      </c>
      <c r="S300" t="s">
        <v>2302</v>
      </c>
      <c r="T300" t="s">
        <v>4002</v>
      </c>
      <c r="U300" t="s">
        <v>4002</v>
      </c>
      <c r="V300" t="s">
        <v>4002</v>
      </c>
      <c r="W300" t="s">
        <v>4299</v>
      </c>
      <c r="X300">
        <v>2</v>
      </c>
      <c r="Y300" t="s">
        <v>6273</v>
      </c>
      <c r="Z300" t="s">
        <v>8198</v>
      </c>
      <c r="AA300">
        <v>0.94316406338383296</v>
      </c>
      <c r="AB300" t="str">
        <f>HYPERLINK("Melting_Curves/meltCurve_E9PB61_ALYREF.pdf", "Melting_Curves/meltCurve_E9PB61_ALYREF.pdf")</f>
        <v>Melting_Curves/meltCurve_E9PB61_ALYREF.pdf</v>
      </c>
    </row>
    <row r="301" spans="1:28" x14ac:dyDescent="0.25">
      <c r="A301" t="s">
        <v>305</v>
      </c>
      <c r="B301">
        <v>1</v>
      </c>
      <c r="C301">
        <v>1.1446401253684599</v>
      </c>
      <c r="D301">
        <v>1.1066564680422399</v>
      </c>
      <c r="E301">
        <v>1.08443714786762</v>
      </c>
      <c r="F301">
        <v>1.0459684340136599</v>
      </c>
      <c r="G301">
        <v>1.0844184918473201</v>
      </c>
      <c r="H301">
        <v>1.02233125629641</v>
      </c>
      <c r="I301">
        <v>1.21631655535241</v>
      </c>
      <c r="J301">
        <v>2.9868288496697901</v>
      </c>
      <c r="K301">
        <v>1.1005186373642799</v>
      </c>
      <c r="L301">
        <v>15000</v>
      </c>
      <c r="M301">
        <v>234.105677751744</v>
      </c>
      <c r="O301">
        <v>64.068951668175401</v>
      </c>
      <c r="P301">
        <v>0.45674556881915102</v>
      </c>
      <c r="Q301">
        <v>1.5</v>
      </c>
      <c r="R301">
        <v>0.26099760299423203</v>
      </c>
      <c r="S301" t="s">
        <v>2303</v>
      </c>
      <c r="T301" t="s">
        <v>4002</v>
      </c>
      <c r="U301" t="s">
        <v>4002</v>
      </c>
      <c r="V301" t="s">
        <v>4002</v>
      </c>
      <c r="W301" t="s">
        <v>4300</v>
      </c>
      <c r="X301">
        <v>2</v>
      </c>
      <c r="Y301" t="s">
        <v>6274</v>
      </c>
      <c r="Z301" t="s">
        <v>8199</v>
      </c>
      <c r="AA301">
        <v>1.0987087546306971</v>
      </c>
      <c r="AB301" t="str">
        <f>HYPERLINK("Melting_Curves/meltCurve_E9PB90_HK2.pdf", "Melting_Curves/meltCurve_E9PB90_HK2.pdf")</f>
        <v>Melting_Curves/meltCurve_E9PB90_HK2.pdf</v>
      </c>
    </row>
    <row r="302" spans="1:28" x14ac:dyDescent="0.25">
      <c r="A302" t="s">
        <v>306</v>
      </c>
      <c r="B302">
        <v>1</v>
      </c>
      <c r="C302">
        <v>0.87159656099132998</v>
      </c>
      <c r="D302">
        <v>0.88830518161808503</v>
      </c>
      <c r="E302">
        <v>0.95027543686841098</v>
      </c>
      <c r="F302">
        <v>0.90781073291744196</v>
      </c>
      <c r="G302">
        <v>0.98112679824401405</v>
      </c>
      <c r="H302">
        <v>0.85863339535223104</v>
      </c>
      <c r="I302">
        <v>1.10003283353398</v>
      </c>
      <c r="J302">
        <v>0.889083457979157</v>
      </c>
      <c r="K302">
        <v>0.92095630707866705</v>
      </c>
      <c r="L302">
        <v>10233.9190628133</v>
      </c>
      <c r="M302">
        <v>250</v>
      </c>
      <c r="O302">
        <v>40.933044981184402</v>
      </c>
      <c r="P302">
        <v>-0.107251478678072</v>
      </c>
      <c r="Q302">
        <v>0.92975790637078704</v>
      </c>
      <c r="R302">
        <v>9.0867443625304106E-2</v>
      </c>
      <c r="S302" t="s">
        <v>2304</v>
      </c>
      <c r="T302" t="s">
        <v>4002</v>
      </c>
      <c r="U302" t="s">
        <v>4002</v>
      </c>
      <c r="V302" t="s">
        <v>4002</v>
      </c>
      <c r="W302" t="s">
        <v>4301</v>
      </c>
      <c r="X302">
        <v>51</v>
      </c>
      <c r="Y302" t="s">
        <v>6275</v>
      </c>
      <c r="Z302" t="s">
        <v>8200</v>
      </c>
      <c r="AA302">
        <v>0.93195479463945829</v>
      </c>
      <c r="AB302" t="str">
        <f>HYPERLINK("Melting_Curves/meltCurve_E9PBJ0_MUC5B.pdf", "Melting_Curves/meltCurve_E9PBJ0_MUC5B.pdf")</f>
        <v>Melting_Curves/meltCurve_E9PBJ0_MUC5B.pdf</v>
      </c>
    </row>
    <row r="303" spans="1:28" x14ac:dyDescent="0.25">
      <c r="A303" t="s">
        <v>307</v>
      </c>
      <c r="B303">
        <v>1</v>
      </c>
      <c r="C303">
        <v>0.92166785459729195</v>
      </c>
      <c r="D303">
        <v>1.0074126870990701</v>
      </c>
      <c r="E303">
        <v>1.17163221667855</v>
      </c>
      <c r="F303">
        <v>1.55694939415538</v>
      </c>
      <c r="G303">
        <v>1.6647184604419101</v>
      </c>
      <c r="H303">
        <v>1.5866714183891699</v>
      </c>
      <c r="I303">
        <v>1.93570919458304</v>
      </c>
      <c r="J303">
        <v>2.02252316464718</v>
      </c>
      <c r="K303">
        <v>1.72815395580898</v>
      </c>
      <c r="L303">
        <v>12532.4388785106</v>
      </c>
      <c r="M303">
        <v>250</v>
      </c>
      <c r="O303">
        <v>50.126551436069498</v>
      </c>
      <c r="P303">
        <v>0.62342214985768096</v>
      </c>
      <c r="Q303">
        <v>1.5</v>
      </c>
      <c r="R303">
        <v>0.62008166371032003</v>
      </c>
      <c r="S303" t="s">
        <v>2305</v>
      </c>
      <c r="T303" t="s">
        <v>4002</v>
      </c>
      <c r="U303" t="s">
        <v>4002</v>
      </c>
      <c r="V303" t="s">
        <v>4002</v>
      </c>
      <c r="W303" t="s">
        <v>4302</v>
      </c>
      <c r="X303">
        <v>3</v>
      </c>
      <c r="Y303" t="s">
        <v>6276</v>
      </c>
      <c r="Z303" t="s">
        <v>8201</v>
      </c>
      <c r="AA303">
        <v>1.331126752962259</v>
      </c>
      <c r="AB303" t="str">
        <f>HYPERLINK("Melting_Curves/meltCurve_E9PBT8_SUMF2.pdf", "Melting_Curves/meltCurve_E9PBT8_SUMF2.pdf")</f>
        <v>Melting_Curves/meltCurve_E9PBT8_SUMF2.pdf</v>
      </c>
    </row>
    <row r="304" spans="1:28" x14ac:dyDescent="0.25">
      <c r="A304" t="s">
        <v>308</v>
      </c>
      <c r="B304">
        <v>1</v>
      </c>
      <c r="C304">
        <v>0.94194219653179201</v>
      </c>
      <c r="D304">
        <v>1.0906820809248601</v>
      </c>
      <c r="E304">
        <v>1.16739884393064</v>
      </c>
      <c r="F304">
        <v>1.0283468208092501</v>
      </c>
      <c r="G304">
        <v>0.95105202312138704</v>
      </c>
      <c r="H304">
        <v>0.73815028901734103</v>
      </c>
      <c r="I304">
        <v>0.83227745664739905</v>
      </c>
      <c r="J304">
        <v>0.68742196531791899</v>
      </c>
      <c r="K304">
        <v>0.66319075144508699</v>
      </c>
      <c r="L304">
        <v>2509.1627689239299</v>
      </c>
      <c r="M304">
        <v>42.608331203034901</v>
      </c>
      <c r="O304">
        <v>58.759733118306499</v>
      </c>
      <c r="P304">
        <v>-5.1623318928711401E-2</v>
      </c>
      <c r="Q304">
        <v>0.71523239968504104</v>
      </c>
      <c r="R304">
        <v>0.78936898173269698</v>
      </c>
      <c r="S304" t="s">
        <v>2306</v>
      </c>
      <c r="T304" t="s">
        <v>4002</v>
      </c>
      <c r="U304" t="s">
        <v>4002</v>
      </c>
      <c r="V304" t="s">
        <v>4002</v>
      </c>
      <c r="W304" t="s">
        <v>4303</v>
      </c>
      <c r="X304">
        <v>7</v>
      </c>
      <c r="Y304" t="s">
        <v>6277</v>
      </c>
      <c r="Z304" t="s">
        <v>8202</v>
      </c>
      <c r="AA304">
        <v>0.89552983266685282</v>
      </c>
      <c r="AB304" t="str">
        <f>HYPERLINK("Melting_Curves/meltCurve_E9PC28_PTPRC.pdf", "Melting_Curves/meltCurve_E9PC28_PTPRC.pdf")</f>
        <v>Melting_Curves/meltCurve_E9PC28_PTPRC.pdf</v>
      </c>
    </row>
    <row r="305" spans="1:28" x14ac:dyDescent="0.25">
      <c r="A305" t="s">
        <v>309</v>
      </c>
      <c r="B305">
        <v>1</v>
      </c>
      <c r="C305">
        <v>0.97548502572953599</v>
      </c>
      <c r="D305">
        <v>0.94673506568223198</v>
      </c>
      <c r="E305">
        <v>1.0402403554191799</v>
      </c>
      <c r="F305">
        <v>1.0188576725157401</v>
      </c>
      <c r="G305">
        <v>1.0279509061271499</v>
      </c>
      <c r="H305">
        <v>1.0531850289257501</v>
      </c>
      <c r="I305">
        <v>1.2290408156742401</v>
      </c>
      <c r="J305">
        <v>2.7693610764854402</v>
      </c>
      <c r="K305">
        <v>1.12057723655192</v>
      </c>
      <c r="L305">
        <v>15000</v>
      </c>
      <c r="M305">
        <v>234.20829383354601</v>
      </c>
      <c r="O305">
        <v>64.040898583502894</v>
      </c>
      <c r="P305">
        <v>0.45714603972645901</v>
      </c>
      <c r="Q305">
        <v>1.5</v>
      </c>
      <c r="R305">
        <v>0.35392323833001699</v>
      </c>
      <c r="S305" t="s">
        <v>2307</v>
      </c>
      <c r="T305" t="s">
        <v>4002</v>
      </c>
      <c r="U305" t="s">
        <v>4002</v>
      </c>
      <c r="V305" t="s">
        <v>4002</v>
      </c>
      <c r="W305" t="s">
        <v>4304</v>
      </c>
      <c r="X305">
        <v>4</v>
      </c>
      <c r="Y305" t="s">
        <v>6278</v>
      </c>
      <c r="Z305" t="s">
        <v>8203</v>
      </c>
      <c r="AA305">
        <v>1.0991767261464589</v>
      </c>
      <c r="AB305" t="str">
        <f>HYPERLINK("Melting_Curves/meltCurve_E9PCY7_HNRNPH1.pdf", "Melting_Curves/meltCurve_E9PCY7_HNRNPH1.pdf")</f>
        <v>Melting_Curves/meltCurve_E9PCY7_HNRNPH1.pdf</v>
      </c>
    </row>
    <row r="306" spans="1:28" x14ac:dyDescent="0.25">
      <c r="A306" t="s">
        <v>310</v>
      </c>
      <c r="B306">
        <v>1</v>
      </c>
      <c r="C306">
        <v>0.90114190590228105</v>
      </c>
      <c r="D306">
        <v>0.97105808825676798</v>
      </c>
      <c r="E306">
        <v>1.02140708507345</v>
      </c>
      <c r="F306">
        <v>0.95298034520019903</v>
      </c>
      <c r="G306">
        <v>0.98384977074267699</v>
      </c>
      <c r="H306">
        <v>0.81601004643555997</v>
      </c>
      <c r="I306">
        <v>1.0813352413773001</v>
      </c>
      <c r="J306">
        <v>0.92307467655734399</v>
      </c>
      <c r="K306">
        <v>0.87734003095704005</v>
      </c>
      <c r="L306">
        <v>148.71468287508401</v>
      </c>
      <c r="M306">
        <v>1.0000000000000001E-5</v>
      </c>
      <c r="O306">
        <v>61.980973555061702</v>
      </c>
      <c r="P306">
        <v>-2.12525118151671E-3</v>
      </c>
      <c r="Q306">
        <v>0.28043563561419099</v>
      </c>
      <c r="R306">
        <v>5.54321607522755E-2</v>
      </c>
      <c r="S306" t="s">
        <v>2308</v>
      </c>
      <c r="T306" t="s">
        <v>4002</v>
      </c>
      <c r="U306" t="s">
        <v>4002</v>
      </c>
      <c r="V306" t="s">
        <v>4002</v>
      </c>
      <c r="W306" t="s">
        <v>4305</v>
      </c>
      <c r="X306">
        <v>13</v>
      </c>
      <c r="Y306" t="s">
        <v>6279</v>
      </c>
      <c r="Z306" t="s">
        <v>8204</v>
      </c>
      <c r="AA306">
        <v>0.95428686381709982</v>
      </c>
      <c r="AB306" t="str">
        <f>HYPERLINK("Melting_Curves/meltCurve_E9PDE4_CAST.pdf", "Melting_Curves/meltCurve_E9PDE4_CAST.pdf")</f>
        <v>Melting_Curves/meltCurve_E9PDE4_CAST.pdf</v>
      </c>
    </row>
    <row r="307" spans="1:28" x14ac:dyDescent="0.25">
      <c r="A307" t="s">
        <v>311</v>
      </c>
      <c r="B307">
        <v>1</v>
      </c>
      <c r="C307">
        <v>0.74941382384993904</v>
      </c>
      <c r="D307">
        <v>1.00614246557247</v>
      </c>
      <c r="E307">
        <v>1.0310095439384399</v>
      </c>
      <c r="F307">
        <v>0.90604669594795395</v>
      </c>
      <c r="G307">
        <v>1.0256596545688701</v>
      </c>
      <c r="H307">
        <v>1.1183910703081099</v>
      </c>
      <c r="I307">
        <v>0.97113701661107599</v>
      </c>
      <c r="J307">
        <v>1.8823354578778799</v>
      </c>
      <c r="K307">
        <v>1.07509659522473</v>
      </c>
      <c r="L307">
        <v>15000</v>
      </c>
      <c r="M307">
        <v>230.33760319615001</v>
      </c>
      <c r="O307">
        <v>65.116890629860194</v>
      </c>
      <c r="P307">
        <v>0.42310618886942303</v>
      </c>
      <c r="Q307">
        <v>1.4784518088148899</v>
      </c>
      <c r="R307">
        <v>0.48987802188993101</v>
      </c>
      <c r="S307" t="s">
        <v>2309</v>
      </c>
      <c r="T307" t="s">
        <v>4002</v>
      </c>
      <c r="U307" t="s">
        <v>4002</v>
      </c>
      <c r="V307" t="s">
        <v>4002</v>
      </c>
      <c r="W307" t="s">
        <v>4306</v>
      </c>
      <c r="X307">
        <v>2</v>
      </c>
      <c r="Y307" t="s">
        <v>6280</v>
      </c>
      <c r="Z307" t="s">
        <v>8205</v>
      </c>
      <c r="AA307">
        <v>1.07773499009663</v>
      </c>
      <c r="AB307" t="str">
        <f>HYPERLINK("Melting_Curves/meltCurve_E9PDE8_HSPA4L.pdf", "Melting_Curves/meltCurve_E9PDE8_HSPA4L.pdf")</f>
        <v>Melting_Curves/meltCurve_E9PDE8_HSPA4L.pdf</v>
      </c>
    </row>
    <row r="308" spans="1:28" x14ac:dyDescent="0.25">
      <c r="A308" t="s">
        <v>312</v>
      </c>
      <c r="B308">
        <v>1</v>
      </c>
      <c r="C308">
        <v>1.0115746739224301</v>
      </c>
      <c r="D308">
        <v>1.05303619245055</v>
      </c>
      <c r="E308">
        <v>0.99585384814718803</v>
      </c>
      <c r="F308">
        <v>0.95266476634706698</v>
      </c>
      <c r="G308">
        <v>0.98039215686274495</v>
      </c>
      <c r="H308">
        <v>0.79990498402003996</v>
      </c>
      <c r="I308">
        <v>1.0203852466096599</v>
      </c>
      <c r="J308">
        <v>1.22691543577784</v>
      </c>
      <c r="K308">
        <v>0.89099075753649504</v>
      </c>
      <c r="L308">
        <v>15000</v>
      </c>
      <c r="M308">
        <v>212.18461254769099</v>
      </c>
      <c r="Q308">
        <v>0</v>
      </c>
      <c r="R308">
        <v>0.10475435848217</v>
      </c>
      <c r="S308" t="s">
        <v>2310</v>
      </c>
      <c r="T308" t="s">
        <v>4002</v>
      </c>
      <c r="U308" t="s">
        <v>4002</v>
      </c>
      <c r="V308" t="s">
        <v>4002</v>
      </c>
      <c r="W308" t="s">
        <v>4307</v>
      </c>
      <c r="X308">
        <v>6</v>
      </c>
      <c r="Y308" t="s">
        <v>6281</v>
      </c>
      <c r="Z308" t="s">
        <v>8206</v>
      </c>
      <c r="AA308">
        <v>0.99875533127262495</v>
      </c>
      <c r="AB308" t="str">
        <f>HYPERLINK("Melting_Curves/meltCurve_E9PDI4_LAD1.pdf", "Melting_Curves/meltCurve_E9PDI4_LAD1.pdf")</f>
        <v>Melting_Curves/meltCurve_E9PDI4_LAD1.pdf</v>
      </c>
    </row>
    <row r="309" spans="1:28" x14ac:dyDescent="0.25">
      <c r="A309" t="s">
        <v>313</v>
      </c>
      <c r="B309">
        <v>1</v>
      </c>
      <c r="C309">
        <v>0.92453554144542205</v>
      </c>
      <c r="D309">
        <v>0.95325090044929595</v>
      </c>
      <c r="E309">
        <v>1.0460188382656901</v>
      </c>
      <c r="F309">
        <v>1.0133922493285299</v>
      </c>
      <c r="G309">
        <v>1.0819996781899399</v>
      </c>
      <c r="H309">
        <v>0.89124057777282695</v>
      </c>
      <c r="I309">
        <v>1.36558860297303</v>
      </c>
      <c r="J309">
        <v>1.1884816753926699</v>
      </c>
      <c r="K309">
        <v>0.96216256358843</v>
      </c>
      <c r="L309">
        <v>15000</v>
      </c>
      <c r="M309">
        <v>240.42782956170299</v>
      </c>
      <c r="O309">
        <v>62.384448411563902</v>
      </c>
      <c r="P309">
        <v>0.16563134042559199</v>
      </c>
      <c r="Q309">
        <v>1.17190727073774</v>
      </c>
      <c r="R309">
        <v>0.38818158325752899</v>
      </c>
      <c r="S309" t="s">
        <v>2311</v>
      </c>
      <c r="T309" t="s">
        <v>4002</v>
      </c>
      <c r="U309" t="s">
        <v>4002</v>
      </c>
      <c r="V309" t="s">
        <v>4002</v>
      </c>
      <c r="W309" t="s">
        <v>4308</v>
      </c>
      <c r="X309">
        <v>1</v>
      </c>
      <c r="Y309" t="s">
        <v>6282</v>
      </c>
      <c r="Z309" t="s">
        <v>8207</v>
      </c>
      <c r="AA309">
        <v>1.043593759246737</v>
      </c>
      <c r="AB309" t="str">
        <f>HYPERLINK("Melting_Curves/meltCurve_E9PE20_SRP9.pdf", "Melting_Curves/meltCurve_E9PE20_SRP9.pdf")</f>
        <v>Melting_Curves/meltCurve_E9PE20_SRP9.pdf</v>
      </c>
    </row>
    <row r="310" spans="1:28" x14ac:dyDescent="0.25">
      <c r="A310" t="s">
        <v>314</v>
      </c>
      <c r="B310">
        <v>1</v>
      </c>
      <c r="C310">
        <v>0.92992277341247098</v>
      </c>
      <c r="D310">
        <v>0.948740430985061</v>
      </c>
      <c r="E310">
        <v>0.91120628604188403</v>
      </c>
      <c r="F310">
        <v>0.81054193504872996</v>
      </c>
      <c r="G310">
        <v>0.83532863453950701</v>
      </c>
      <c r="H310">
        <v>0.69588237277847098</v>
      </c>
      <c r="I310">
        <v>0.91488213671466601</v>
      </c>
      <c r="J310">
        <v>0.85488820692678602</v>
      </c>
      <c r="K310">
        <v>0.82237884868310096</v>
      </c>
      <c r="L310">
        <v>760.69292218269197</v>
      </c>
      <c r="M310">
        <v>16.021432090390601</v>
      </c>
      <c r="O310">
        <v>46.758500105078099</v>
      </c>
      <c r="P310">
        <v>-1.54844981427802E-2</v>
      </c>
      <c r="Q310">
        <v>0.81924833785460205</v>
      </c>
      <c r="R310">
        <v>0.541628597730619</v>
      </c>
      <c r="S310" t="s">
        <v>2312</v>
      </c>
      <c r="T310" t="s">
        <v>4002</v>
      </c>
      <c r="U310" t="s">
        <v>4002</v>
      </c>
      <c r="V310" t="s">
        <v>4002</v>
      </c>
      <c r="W310" t="s">
        <v>4309</v>
      </c>
      <c r="X310">
        <v>6</v>
      </c>
      <c r="Y310" t="s">
        <v>6283</v>
      </c>
      <c r="Z310" t="s">
        <v>8208</v>
      </c>
      <c r="AA310">
        <v>0.86848673944960975</v>
      </c>
      <c r="AB310" t="str">
        <f>HYPERLINK("Melting_Curves/meltCurve_E9PEB5_FUBP1.pdf", "Melting_Curves/meltCurve_E9PEB5_FUBP1.pdf")</f>
        <v>Melting_Curves/meltCurve_E9PEB5_FUBP1.pdf</v>
      </c>
    </row>
    <row r="311" spans="1:28" x14ac:dyDescent="0.25">
      <c r="A311" t="s">
        <v>315</v>
      </c>
      <c r="B311">
        <v>1</v>
      </c>
      <c r="C311">
        <v>1.0482499608784099</v>
      </c>
      <c r="D311">
        <v>1.21798549893068</v>
      </c>
      <c r="E311">
        <v>2.1693182410933201</v>
      </c>
      <c r="F311">
        <v>2.0086589118981801</v>
      </c>
      <c r="G311">
        <v>2.6166605810860202</v>
      </c>
      <c r="H311">
        <v>4.4121850712012902</v>
      </c>
      <c r="I311">
        <v>4.1248761149653097</v>
      </c>
      <c r="J311">
        <v>5.31740649940014</v>
      </c>
      <c r="K311">
        <v>3.6872359292681698</v>
      </c>
      <c r="L311">
        <v>11511.8463743018</v>
      </c>
      <c r="M311">
        <v>250</v>
      </c>
      <c r="O311">
        <v>46.044438591583202</v>
      </c>
      <c r="P311">
        <v>0.67869216937895505</v>
      </c>
      <c r="Q311">
        <v>1.5</v>
      </c>
      <c r="R311">
        <v>-0.71962772308324696</v>
      </c>
      <c r="S311" t="s">
        <v>2313</v>
      </c>
      <c r="T311" t="s">
        <v>4002</v>
      </c>
      <c r="U311" t="s">
        <v>4002</v>
      </c>
      <c r="V311" t="s">
        <v>4002</v>
      </c>
      <c r="W311" t="s">
        <v>4310</v>
      </c>
      <c r="X311">
        <v>1</v>
      </c>
      <c r="Y311" t="s">
        <v>6284</v>
      </c>
      <c r="Z311" t="s">
        <v>8209</v>
      </c>
      <c r="AA311">
        <v>1.3991698354907669</v>
      </c>
      <c r="AB311" t="str">
        <f>HYPERLINK("Melting_Curves/meltCurve_E9PEF9_AKR1B1.pdf", "Melting_Curves/meltCurve_E9PEF9_AKR1B1.pdf")</f>
        <v>Melting_Curves/meltCurve_E9PEF9_AKR1B1.pdf</v>
      </c>
    </row>
    <row r="312" spans="1:28" x14ac:dyDescent="0.25">
      <c r="A312" t="s">
        <v>316</v>
      </c>
      <c r="B312">
        <v>1</v>
      </c>
      <c r="C312">
        <v>0.98341975685215</v>
      </c>
      <c r="D312">
        <v>1.1968277484857699</v>
      </c>
      <c r="E312">
        <v>1.2605124406292201</v>
      </c>
      <c r="F312">
        <v>1.1506819469257901</v>
      </c>
      <c r="G312">
        <v>1.33979694104318</v>
      </c>
      <c r="H312">
        <v>1.4877990326375901</v>
      </c>
      <c r="I312">
        <v>2.9297572878992502</v>
      </c>
      <c r="J312">
        <v>3.5378447862651998</v>
      </c>
      <c r="K312">
        <v>3.4883872935639899</v>
      </c>
      <c r="L312">
        <v>1491.5614640313499</v>
      </c>
      <c r="M312">
        <v>28.439690931444002</v>
      </c>
      <c r="O312">
        <v>52.189217178333003</v>
      </c>
      <c r="P312">
        <v>6.8117329114440697E-2</v>
      </c>
      <c r="Q312">
        <v>1.5</v>
      </c>
      <c r="R312">
        <v>-4.3985308744453097E-2</v>
      </c>
      <c r="S312" t="s">
        <v>2314</v>
      </c>
      <c r="T312" t="s">
        <v>4002</v>
      </c>
      <c r="U312" t="s">
        <v>4002</v>
      </c>
      <c r="V312" t="s">
        <v>4002</v>
      </c>
      <c r="W312" t="s">
        <v>4311</v>
      </c>
      <c r="X312">
        <v>2</v>
      </c>
      <c r="Y312" t="s">
        <v>6285</v>
      </c>
      <c r="Z312" t="s">
        <v>8210</v>
      </c>
      <c r="AA312">
        <v>1.2889862244576671</v>
      </c>
      <c r="AB312" t="str">
        <f>HYPERLINK("Melting_Curves/meltCurve_E9PES6_HMGB3.pdf", "Melting_Curves/meltCurve_E9PES6_HMGB3.pdf")</f>
        <v>Melting_Curves/meltCurve_E9PES6_HMGB3.pdf</v>
      </c>
    </row>
    <row r="313" spans="1:28" x14ac:dyDescent="0.25">
      <c r="A313" t="s">
        <v>317</v>
      </c>
      <c r="B313">
        <v>1</v>
      </c>
      <c r="C313">
        <v>0.91725299772074098</v>
      </c>
      <c r="D313">
        <v>1.14688831632147</v>
      </c>
      <c r="E313">
        <v>1.07045882469527</v>
      </c>
      <c r="F313">
        <v>1.1331136656426499</v>
      </c>
      <c r="G313">
        <v>1.1566742641958201</v>
      </c>
      <c r="H313">
        <v>0.97703399068476904</v>
      </c>
      <c r="I313">
        <v>1.1639332078089399</v>
      </c>
      <c r="J313">
        <v>1.66036567238133</v>
      </c>
      <c r="K313">
        <v>1.0764790407293601</v>
      </c>
      <c r="L313">
        <v>379.56660656205599</v>
      </c>
      <c r="M313">
        <v>5.7043827473203903</v>
      </c>
      <c r="O313">
        <v>59.719449950366503</v>
      </c>
      <c r="P313">
        <v>1.19862169066222E-2</v>
      </c>
      <c r="Q313">
        <v>1.5</v>
      </c>
      <c r="R313">
        <v>0.253993041545716</v>
      </c>
      <c r="S313" t="s">
        <v>2315</v>
      </c>
      <c r="T313" t="s">
        <v>4002</v>
      </c>
      <c r="U313" t="s">
        <v>4002</v>
      </c>
      <c r="V313" t="s">
        <v>4002</v>
      </c>
      <c r="W313" t="s">
        <v>4312</v>
      </c>
      <c r="X313">
        <v>2</v>
      </c>
      <c r="Y313" t="s">
        <v>6286</v>
      </c>
      <c r="Z313" t="s">
        <v>8211</v>
      </c>
      <c r="AA313">
        <v>1.1275698415811199</v>
      </c>
      <c r="AB313" t="str">
        <f>HYPERLINK("Melting_Curves/meltCurve_E9PEX6_DLD.pdf", "Melting_Curves/meltCurve_E9PEX6_DLD.pdf")</f>
        <v>Melting_Curves/meltCurve_E9PEX6_DLD.pdf</v>
      </c>
    </row>
    <row r="314" spans="1:28" x14ac:dyDescent="0.25">
      <c r="A314" t="s">
        <v>318</v>
      </c>
      <c r="B314">
        <v>1</v>
      </c>
      <c r="C314">
        <v>0.85212547219432899</v>
      </c>
      <c r="D314">
        <v>0.88366088079185201</v>
      </c>
      <c r="E314">
        <v>0.94704250944388702</v>
      </c>
      <c r="F314">
        <v>0.91304451776407003</v>
      </c>
      <c r="G314">
        <v>0.98049060393056997</v>
      </c>
      <c r="H314">
        <v>0.79871371873954</v>
      </c>
      <c r="I314">
        <v>1.2365992444890701</v>
      </c>
      <c r="J314">
        <v>0.92609859895758595</v>
      </c>
      <c r="K314">
        <v>0.94058719456797202</v>
      </c>
      <c r="L314">
        <v>4.6825384043315101E-3</v>
      </c>
      <c r="M314">
        <v>15.267397099933399</v>
      </c>
      <c r="Q314">
        <v>0.94783627831764905</v>
      </c>
      <c r="R314">
        <v>-7.4096284663482897E-13</v>
      </c>
      <c r="S314" t="s">
        <v>2316</v>
      </c>
      <c r="T314" t="s">
        <v>4002</v>
      </c>
      <c r="U314" t="s">
        <v>4002</v>
      </c>
      <c r="V314" t="s">
        <v>4002</v>
      </c>
      <c r="W314" t="s">
        <v>4313</v>
      </c>
      <c r="X314">
        <v>19</v>
      </c>
      <c r="Y314" t="s">
        <v>6287</v>
      </c>
      <c r="Z314" t="s">
        <v>8212</v>
      </c>
      <c r="AA314">
        <v>0.94783629053171015</v>
      </c>
      <c r="AB314" t="str">
        <f>HYPERLINK("Melting_Curves/meltCurve_E9PFZ2_CP.pdf", "Melting_Curves/meltCurve_E9PFZ2_CP.pdf")</f>
        <v>Melting_Curves/meltCurve_E9PFZ2_CP.pdf</v>
      </c>
    </row>
    <row r="315" spans="1:28" x14ac:dyDescent="0.25">
      <c r="A315" t="s">
        <v>319</v>
      </c>
      <c r="B315">
        <v>1</v>
      </c>
      <c r="C315">
        <v>0.85294233212400605</v>
      </c>
      <c r="D315">
        <v>0.96484656389569201</v>
      </c>
      <c r="E315">
        <v>1.03465573469896</v>
      </c>
      <c r="F315">
        <v>0.94400859189794495</v>
      </c>
      <c r="G315">
        <v>1.0369084884284401</v>
      </c>
      <c r="H315">
        <v>0.91853413838718501</v>
      </c>
      <c r="I315">
        <v>1.1398933871200101</v>
      </c>
      <c r="J315">
        <v>1.09523123469241</v>
      </c>
      <c r="K315">
        <v>0.976463962489031</v>
      </c>
      <c r="L315">
        <v>2860.4117758761399</v>
      </c>
      <c r="M315">
        <v>45.828602111596801</v>
      </c>
      <c r="O315">
        <v>62.296943671394899</v>
      </c>
      <c r="P315">
        <v>1.1128997181074299E-2</v>
      </c>
      <c r="Q315">
        <v>1.0605125626073799</v>
      </c>
      <c r="R315">
        <v>0.14171420971111801</v>
      </c>
      <c r="S315" t="s">
        <v>2317</v>
      </c>
      <c r="T315" t="s">
        <v>4002</v>
      </c>
      <c r="U315" t="s">
        <v>4002</v>
      </c>
      <c r="V315" t="s">
        <v>4002</v>
      </c>
      <c r="W315" t="s">
        <v>4314</v>
      </c>
      <c r="X315">
        <v>2</v>
      </c>
      <c r="Y315" t="s">
        <v>6288</v>
      </c>
      <c r="Z315" t="s">
        <v>8213</v>
      </c>
      <c r="AA315">
        <v>1.015125494764302</v>
      </c>
      <c r="AB315" t="str">
        <f>HYPERLINK("Melting_Curves/meltCurve_E9PG40_APP.pdf", "Melting_Curves/meltCurve_E9PG40_APP.pdf")</f>
        <v>Melting_Curves/meltCurve_E9PG40_APP.pdf</v>
      </c>
    </row>
    <row r="316" spans="1:28" x14ac:dyDescent="0.25">
      <c r="A316" t="s">
        <v>320</v>
      </c>
      <c r="B316">
        <v>1</v>
      </c>
      <c r="C316">
        <v>0.92658054776181098</v>
      </c>
      <c r="D316">
        <v>1.51581615940068</v>
      </c>
      <c r="E316">
        <v>0.87458163018244495</v>
      </c>
      <c r="F316">
        <v>1.0016378733283</v>
      </c>
      <c r="G316">
        <v>1.1941378377223599</v>
      </c>
      <c r="H316">
        <v>1.0807685186503899</v>
      </c>
      <c r="I316">
        <v>1.11046387421133</v>
      </c>
      <c r="J316">
        <v>0.99649637531511204</v>
      </c>
      <c r="K316">
        <v>0.78286072379758698</v>
      </c>
      <c r="L316">
        <v>7483.3124044733204</v>
      </c>
      <c r="M316">
        <v>106.21981368498101</v>
      </c>
      <c r="Q316">
        <v>0.35269642926974698</v>
      </c>
      <c r="R316">
        <v>6.4767324094279696E-2</v>
      </c>
      <c r="S316" t="s">
        <v>2318</v>
      </c>
      <c r="T316" t="s">
        <v>4002</v>
      </c>
      <c r="U316" t="s">
        <v>4002</v>
      </c>
      <c r="V316" t="s">
        <v>4002</v>
      </c>
      <c r="W316" t="s">
        <v>4315</v>
      </c>
      <c r="X316">
        <v>1</v>
      </c>
      <c r="Y316" t="s">
        <v>6289</v>
      </c>
      <c r="Z316" t="s">
        <v>8214</v>
      </c>
      <c r="AA316">
        <v>0.99434737893334391</v>
      </c>
      <c r="AB316" t="str">
        <f>HYPERLINK("Melting_Curves/meltCurve_E9PG46_AAK1.pdf", "Melting_Curves/meltCurve_E9PG46_AAK1.pdf")</f>
        <v>Melting_Curves/meltCurve_E9PG46_AAK1.pdf</v>
      </c>
    </row>
    <row r="317" spans="1:28" x14ac:dyDescent="0.25">
      <c r="A317" t="s">
        <v>321</v>
      </c>
      <c r="B317">
        <v>1</v>
      </c>
      <c r="C317">
        <v>0.83223197148341099</v>
      </c>
      <c r="D317">
        <v>0.83199890320811598</v>
      </c>
      <c r="E317">
        <v>0.95715656704140395</v>
      </c>
      <c r="F317">
        <v>1.04780641623252</v>
      </c>
      <c r="G317">
        <v>1.06261310666301</v>
      </c>
      <c r="H317">
        <v>1.06726076227036</v>
      </c>
      <c r="I317">
        <v>1.9056758979983499</v>
      </c>
      <c r="J317">
        <v>1.43241020016452</v>
      </c>
      <c r="K317">
        <v>1.5533315053468599</v>
      </c>
      <c r="L317">
        <v>15000</v>
      </c>
      <c r="M317">
        <v>244.043849678491</v>
      </c>
      <c r="O317">
        <v>61.460218008604897</v>
      </c>
      <c r="P317">
        <v>0.496345003311296</v>
      </c>
      <c r="Q317">
        <v>1.5</v>
      </c>
      <c r="R317">
        <v>0.78439659078644797</v>
      </c>
      <c r="S317" t="s">
        <v>2319</v>
      </c>
      <c r="T317" t="s">
        <v>4002</v>
      </c>
      <c r="U317" t="s">
        <v>4002</v>
      </c>
      <c r="V317" t="s">
        <v>4002</v>
      </c>
      <c r="W317" t="s">
        <v>4316</v>
      </c>
      <c r="X317">
        <v>2</v>
      </c>
      <c r="Y317" t="s">
        <v>6290</v>
      </c>
      <c r="Z317" t="s">
        <v>8215</v>
      </c>
      <c r="AA317">
        <v>1.14220400068311</v>
      </c>
      <c r="AB317" t="str">
        <f>HYPERLINK("Melting_Curves/meltCurve_E9PGM4_GBE1.pdf", "Melting_Curves/meltCurve_E9PGM4_GBE1.pdf")</f>
        <v>Melting_Curves/meltCurve_E9PGM4_GBE1.pdf</v>
      </c>
    </row>
    <row r="318" spans="1:28" x14ac:dyDescent="0.25">
      <c r="A318" t="s">
        <v>322</v>
      </c>
      <c r="B318">
        <v>1</v>
      </c>
      <c r="C318">
        <v>1.0080333040621801</v>
      </c>
      <c r="D318">
        <v>1.2306403876801</v>
      </c>
      <c r="E318">
        <v>1.5060168471720801</v>
      </c>
      <c r="F318">
        <v>1.5594041695124701</v>
      </c>
      <c r="G318">
        <v>1.99759326113117</v>
      </c>
      <c r="H318">
        <v>2.1767977363645201</v>
      </c>
      <c r="I318">
        <v>2.64334731843757</v>
      </c>
      <c r="J318">
        <v>2.2868897778645101</v>
      </c>
      <c r="K318">
        <v>2.2437961427131099</v>
      </c>
      <c r="L318">
        <v>3731.72702252824</v>
      </c>
      <c r="M318">
        <v>80.970293127933104</v>
      </c>
      <c r="O318">
        <v>46.059516798409803</v>
      </c>
      <c r="P318">
        <v>0.219743684249078</v>
      </c>
      <c r="Q318">
        <v>1.5</v>
      </c>
      <c r="R318">
        <v>-4.55948753820112E-2</v>
      </c>
      <c r="S318" t="s">
        <v>2320</v>
      </c>
      <c r="T318" t="s">
        <v>4002</v>
      </c>
      <c r="U318" t="s">
        <v>4002</v>
      </c>
      <c r="V318" t="s">
        <v>4002</v>
      </c>
      <c r="W318" t="s">
        <v>4317</v>
      </c>
      <c r="X318">
        <v>7</v>
      </c>
      <c r="Y318" t="s">
        <v>6291</v>
      </c>
      <c r="Z318" t="s">
        <v>8216</v>
      </c>
      <c r="AA318">
        <v>1.3981535984484299</v>
      </c>
      <c r="AB318" t="str">
        <f>HYPERLINK("Melting_Curves/meltCurve_E9PGN7_SERPING1.pdf", "Melting_Curves/meltCurve_E9PGN7_SERPING1.pdf")</f>
        <v>Melting_Curves/meltCurve_E9PGN7_SERPING1.pdf</v>
      </c>
    </row>
    <row r="319" spans="1:28" x14ac:dyDescent="0.25">
      <c r="A319" t="s">
        <v>323</v>
      </c>
      <c r="B319">
        <v>1</v>
      </c>
      <c r="C319">
        <v>0.88787727861340804</v>
      </c>
      <c r="D319">
        <v>0.90528937145134003</v>
      </c>
      <c r="E319">
        <v>0.79597569479031804</v>
      </c>
      <c r="F319">
        <v>0.69261878673174604</v>
      </c>
      <c r="G319">
        <v>0.70620579739017797</v>
      </c>
      <c r="H319">
        <v>0.54425739615499502</v>
      </c>
      <c r="I319">
        <v>0.86070325729654396</v>
      </c>
      <c r="J319">
        <v>0.64805259487996802</v>
      </c>
      <c r="K319">
        <v>0.62699472058969996</v>
      </c>
      <c r="L319">
        <v>679.04419624409297</v>
      </c>
      <c r="M319">
        <v>14.263002613676999</v>
      </c>
      <c r="O319">
        <v>46.702243043478603</v>
      </c>
      <c r="P319">
        <v>-2.5728630510052201E-2</v>
      </c>
      <c r="Q319">
        <v>0.66306201148420996</v>
      </c>
      <c r="R319">
        <v>0.67628510487228799</v>
      </c>
      <c r="S319" t="s">
        <v>2321</v>
      </c>
      <c r="T319" t="s">
        <v>4002</v>
      </c>
      <c r="U319" t="s">
        <v>4002</v>
      </c>
      <c r="V319" t="s">
        <v>4002</v>
      </c>
      <c r="W319" t="s">
        <v>4318</v>
      </c>
      <c r="X319">
        <v>3</v>
      </c>
      <c r="Y319" t="s">
        <v>6292</v>
      </c>
      <c r="Z319" t="s">
        <v>8217</v>
      </c>
      <c r="AA319">
        <v>0.75829249787851294</v>
      </c>
      <c r="AB319" t="str">
        <f>HYPERLINK("Melting_Curves/meltCurve_E9PGT1_TSN.pdf", "Melting_Curves/meltCurve_E9PGT1_TSN.pdf")</f>
        <v>Melting_Curves/meltCurve_E9PGT1_TSN.pdf</v>
      </c>
    </row>
    <row r="320" spans="1:28" x14ac:dyDescent="0.25">
      <c r="A320" t="s">
        <v>324</v>
      </c>
      <c r="B320">
        <v>1</v>
      </c>
      <c r="C320">
        <v>0.97922077922077899</v>
      </c>
      <c r="D320">
        <v>1.21186147186147</v>
      </c>
      <c r="E320">
        <v>1.37264069264069</v>
      </c>
      <c r="F320">
        <v>1.20571428571429</v>
      </c>
      <c r="G320">
        <v>1.3542857142857101</v>
      </c>
      <c r="H320">
        <v>1.3043290043289999</v>
      </c>
      <c r="I320">
        <v>1.4496969696969699</v>
      </c>
      <c r="J320">
        <v>1.42034632034632</v>
      </c>
      <c r="K320">
        <v>1.28112554112554</v>
      </c>
      <c r="L320">
        <v>11477.2857416517</v>
      </c>
      <c r="M320">
        <v>250</v>
      </c>
      <c r="O320">
        <v>45.906205500421798</v>
      </c>
      <c r="P320">
        <v>0.46448329641209102</v>
      </c>
      <c r="Q320">
        <v>1.34116264702611</v>
      </c>
      <c r="R320">
        <v>0.81902966905727403</v>
      </c>
      <c r="S320" t="s">
        <v>2322</v>
      </c>
      <c r="T320" t="s">
        <v>4002</v>
      </c>
      <c r="U320" t="s">
        <v>4002</v>
      </c>
      <c r="V320" t="s">
        <v>4002</v>
      </c>
      <c r="W320" t="s">
        <v>4319</v>
      </c>
      <c r="X320">
        <v>4</v>
      </c>
      <c r="Y320" t="s">
        <v>6293</v>
      </c>
      <c r="Z320" t="s">
        <v>8218</v>
      </c>
      <c r="AA320">
        <v>1.2739358644043841</v>
      </c>
      <c r="AB320" t="str">
        <f>HYPERLINK("Melting_Curves/meltCurve_E9PH29_PRDX3.pdf", "Melting_Curves/meltCurve_E9PH29_PRDX3.pdf")</f>
        <v>Melting_Curves/meltCurve_E9PH29_PRDX3.pdf</v>
      </c>
    </row>
    <row r="321" spans="1:28" x14ac:dyDescent="0.25">
      <c r="A321" t="s">
        <v>325</v>
      </c>
      <c r="B321">
        <v>1</v>
      </c>
      <c r="C321">
        <v>0.80078173470653902</v>
      </c>
      <c r="D321">
        <v>0.89508623898746698</v>
      </c>
      <c r="E321">
        <v>0.950366050378459</v>
      </c>
      <c r="F321">
        <v>0.88273979401910896</v>
      </c>
      <c r="G321">
        <v>0.97232907308599104</v>
      </c>
      <c r="H321">
        <v>0.99063159200893403</v>
      </c>
      <c r="I321">
        <v>0.99559498697108795</v>
      </c>
      <c r="J321">
        <v>1.0148281424494401</v>
      </c>
      <c r="K321">
        <v>0.85184266037970002</v>
      </c>
      <c r="L321">
        <v>10223.4625185643</v>
      </c>
      <c r="M321">
        <v>250</v>
      </c>
      <c r="O321">
        <v>40.891233150122801</v>
      </c>
      <c r="P321">
        <v>-0.10967412329121801</v>
      </c>
      <c r="Q321">
        <v>0.92824463776687405</v>
      </c>
      <c r="R321">
        <v>9.6044340179984602E-2</v>
      </c>
      <c r="S321" t="s">
        <v>2323</v>
      </c>
      <c r="T321" t="s">
        <v>4002</v>
      </c>
      <c r="U321" t="s">
        <v>4002</v>
      </c>
      <c r="V321" t="s">
        <v>4002</v>
      </c>
      <c r="W321" t="s">
        <v>4320</v>
      </c>
      <c r="X321">
        <v>1</v>
      </c>
      <c r="Y321" t="s">
        <v>6294</v>
      </c>
      <c r="Z321" t="s">
        <v>8219</v>
      </c>
      <c r="AA321">
        <v>0.93038912819056729</v>
      </c>
      <c r="AB321" t="str">
        <f>HYPERLINK("Melting_Curves/meltCurve_E9PHH3_SDC1.pdf", "Melting_Curves/meltCurve_E9PHH3_SDC1.pdf")</f>
        <v>Melting_Curves/meltCurve_E9PHH3_SDC1.pdf</v>
      </c>
    </row>
    <row r="322" spans="1:28" x14ac:dyDescent="0.25">
      <c r="A322" t="s">
        <v>326</v>
      </c>
      <c r="B322">
        <v>1</v>
      </c>
      <c r="C322">
        <v>0.82748676248108899</v>
      </c>
      <c r="D322">
        <v>0.78985438729198199</v>
      </c>
      <c r="E322">
        <v>0.90700642965204203</v>
      </c>
      <c r="F322">
        <v>0.70782904689863801</v>
      </c>
      <c r="G322">
        <v>0.68466338880484101</v>
      </c>
      <c r="H322">
        <v>0.51744515885022702</v>
      </c>
      <c r="I322">
        <v>0.65639183055975803</v>
      </c>
      <c r="J322">
        <v>0.75231656580938</v>
      </c>
      <c r="K322">
        <v>0.58708396369137705</v>
      </c>
      <c r="L322">
        <v>397.67230342131199</v>
      </c>
      <c r="M322">
        <v>8.1733216400577096</v>
      </c>
      <c r="O322">
        <v>46.002546712626099</v>
      </c>
      <c r="P322">
        <v>-1.81516032682516E-2</v>
      </c>
      <c r="Q322">
        <v>0.59176976539417903</v>
      </c>
      <c r="R322">
        <v>0.65540143234279002</v>
      </c>
      <c r="S322" t="s">
        <v>2324</v>
      </c>
      <c r="T322" t="s">
        <v>4002</v>
      </c>
      <c r="U322" t="s">
        <v>4002</v>
      </c>
      <c r="V322" t="s">
        <v>4002</v>
      </c>
      <c r="W322" t="s">
        <v>4321</v>
      </c>
      <c r="X322">
        <v>1</v>
      </c>
      <c r="Y322" t="s">
        <v>6295</v>
      </c>
      <c r="Z322" t="s">
        <v>8220</v>
      </c>
      <c r="AA322">
        <v>0.73667313250253486</v>
      </c>
      <c r="AB322" t="str">
        <f>HYPERLINK("Melting_Curves/meltCurve_E9PHI6_DYNC1LI1.pdf", "Melting_Curves/meltCurve_E9PHI6_DYNC1LI1.pdf")</f>
        <v>Melting_Curves/meltCurve_E9PHI6_DYNC1LI1.pdf</v>
      </c>
    </row>
    <row r="323" spans="1:28" x14ac:dyDescent="0.25">
      <c r="A323" t="s">
        <v>327</v>
      </c>
      <c r="B323">
        <v>1</v>
      </c>
      <c r="C323">
        <v>0.92993726474278504</v>
      </c>
      <c r="D323">
        <v>0.905294855708908</v>
      </c>
      <c r="E323">
        <v>1.24145545796738</v>
      </c>
      <c r="F323">
        <v>1.4318695106649899</v>
      </c>
      <c r="G323">
        <v>1.5586951066499399</v>
      </c>
      <c r="H323">
        <v>1.3743538268506901</v>
      </c>
      <c r="I323">
        <v>1.72521957340025</v>
      </c>
      <c r="J323">
        <v>1.63191969887077</v>
      </c>
      <c r="K323">
        <v>1.3430865746549601</v>
      </c>
      <c r="L323">
        <v>2453.7077677499801</v>
      </c>
      <c r="M323">
        <v>48.902790127837299</v>
      </c>
      <c r="O323">
        <v>50.091520113858202</v>
      </c>
      <c r="P323">
        <v>0.12203371811939</v>
      </c>
      <c r="Q323">
        <v>1.5</v>
      </c>
      <c r="R323">
        <v>0.83246077551396003</v>
      </c>
      <c r="S323" t="s">
        <v>2325</v>
      </c>
      <c r="T323" t="s">
        <v>4002</v>
      </c>
      <c r="U323" t="s">
        <v>4002</v>
      </c>
      <c r="V323" t="s">
        <v>4002</v>
      </c>
      <c r="W323" t="s">
        <v>4322</v>
      </c>
      <c r="X323">
        <v>1</v>
      </c>
      <c r="Y323" t="s">
        <v>6296</v>
      </c>
      <c r="Z323" t="s">
        <v>8221</v>
      </c>
      <c r="AA323">
        <v>1.329256021544696</v>
      </c>
      <c r="AB323" t="str">
        <f>HYPERLINK("Melting_Curves/meltCurve_E9PHT6_PANK4.pdf", "Melting_Curves/meltCurve_E9PHT6_PANK4.pdf")</f>
        <v>Melting_Curves/meltCurve_E9PHT6_PANK4.pdf</v>
      </c>
    </row>
    <row r="324" spans="1:28" x14ac:dyDescent="0.25">
      <c r="A324" t="s">
        <v>328</v>
      </c>
      <c r="B324">
        <v>1</v>
      </c>
      <c r="C324">
        <v>0.973321234119782</v>
      </c>
      <c r="D324">
        <v>1.0391107078039901</v>
      </c>
      <c r="E324">
        <v>0.90264065335753196</v>
      </c>
      <c r="F324">
        <v>0.91152450090744097</v>
      </c>
      <c r="G324">
        <v>0.93520871143375695</v>
      </c>
      <c r="H324">
        <v>0.91370235934664201</v>
      </c>
      <c r="I324">
        <v>1.08239564428312</v>
      </c>
      <c r="J324">
        <v>1.79555353901996</v>
      </c>
      <c r="K324">
        <v>0.95426497277676903</v>
      </c>
      <c r="L324">
        <v>15000</v>
      </c>
      <c r="M324">
        <v>233.11182254408001</v>
      </c>
      <c r="O324">
        <v>64.342040265832196</v>
      </c>
      <c r="P324">
        <v>0.33954888845138498</v>
      </c>
      <c r="Q324">
        <v>1.3748806278421599</v>
      </c>
      <c r="R324">
        <v>0.404964594910527</v>
      </c>
      <c r="S324" t="s">
        <v>2326</v>
      </c>
      <c r="T324" t="s">
        <v>4002</v>
      </c>
      <c r="U324" t="s">
        <v>4002</v>
      </c>
      <c r="V324" t="s">
        <v>4002</v>
      </c>
      <c r="W324" t="s">
        <v>4323</v>
      </c>
      <c r="X324">
        <v>2</v>
      </c>
      <c r="Y324" t="s">
        <v>6297</v>
      </c>
      <c r="Z324" t="s">
        <v>8222</v>
      </c>
      <c r="AA324">
        <v>1.070593803879841</v>
      </c>
      <c r="AB324" t="str">
        <f>HYPERLINK("Melting_Curves/meltCurve_E9PID8_CSTF2.pdf", "Melting_Curves/meltCurve_E9PID8_CSTF2.pdf")</f>
        <v>Melting_Curves/meltCurve_E9PID8_CSTF2.pdf</v>
      </c>
    </row>
    <row r="325" spans="1:28" x14ac:dyDescent="0.25">
      <c r="A325" t="s">
        <v>329</v>
      </c>
      <c r="B325">
        <v>1</v>
      </c>
      <c r="C325">
        <v>1.0023476297968399</v>
      </c>
      <c r="D325">
        <v>1.1527313769751699</v>
      </c>
      <c r="E325">
        <v>1.5086230248307</v>
      </c>
      <c r="F325">
        <v>1.6507674943566599</v>
      </c>
      <c r="G325">
        <v>1.5975846501128701</v>
      </c>
      <c r="H325">
        <v>1.60979683972912</v>
      </c>
      <c r="I325">
        <v>2.0501805869074499</v>
      </c>
      <c r="J325">
        <v>2.0698419864559798</v>
      </c>
      <c r="K325">
        <v>1.75785553047404</v>
      </c>
      <c r="L325">
        <v>11537.7852250427</v>
      </c>
      <c r="M325">
        <v>250</v>
      </c>
      <c r="O325">
        <v>46.148178067705601</v>
      </c>
      <c r="P325">
        <v>0.677166356609743</v>
      </c>
      <c r="Q325">
        <v>1.5</v>
      </c>
      <c r="R325">
        <v>0.449264978945282</v>
      </c>
      <c r="S325" t="s">
        <v>2327</v>
      </c>
      <c r="T325" t="s">
        <v>4002</v>
      </c>
      <c r="U325" t="s">
        <v>4002</v>
      </c>
      <c r="V325" t="s">
        <v>4002</v>
      </c>
      <c r="W325" t="s">
        <v>4324</v>
      </c>
      <c r="X325">
        <v>3</v>
      </c>
      <c r="Y325" t="s">
        <v>6298</v>
      </c>
      <c r="Z325" t="s">
        <v>8223</v>
      </c>
      <c r="AA325">
        <v>1.397440487730149</v>
      </c>
      <c r="AB325" t="str">
        <f>HYPERLINK("Melting_Curves/meltCurve_E9PIR7_TXNRD1.pdf", "Melting_Curves/meltCurve_E9PIR7_TXNRD1.pdf")</f>
        <v>Melting_Curves/meltCurve_E9PIR7_TXNRD1.pdf</v>
      </c>
    </row>
    <row r="326" spans="1:28" x14ac:dyDescent="0.25">
      <c r="A326" t="s">
        <v>330</v>
      </c>
      <c r="B326">
        <v>1</v>
      </c>
      <c r="C326">
        <v>0.94410398936629303</v>
      </c>
      <c r="D326">
        <v>0.93493759602271698</v>
      </c>
      <c r="E326">
        <v>1.0202489254086899</v>
      </c>
      <c r="F326">
        <v>1.0320910079580199</v>
      </c>
      <c r="G326">
        <v>1.2273127449118699</v>
      </c>
      <c r="H326">
        <v>0.79102004177527696</v>
      </c>
      <c r="I326">
        <v>1.4933453020076299</v>
      </c>
      <c r="J326">
        <v>1.1354589238550601</v>
      </c>
      <c r="K326">
        <v>1.11408793523106</v>
      </c>
      <c r="L326">
        <v>881.844061060277</v>
      </c>
      <c r="M326">
        <v>15.442858326733001</v>
      </c>
      <c r="O326">
        <v>56.171835136008902</v>
      </c>
      <c r="P326">
        <v>1.29191714653969E-2</v>
      </c>
      <c r="Q326">
        <v>1.18795177831687</v>
      </c>
      <c r="R326">
        <v>0.20318959111052801</v>
      </c>
      <c r="S326" t="s">
        <v>2328</v>
      </c>
      <c r="T326" t="s">
        <v>4002</v>
      </c>
      <c r="U326" t="s">
        <v>4002</v>
      </c>
      <c r="V326" t="s">
        <v>4002</v>
      </c>
      <c r="W326" t="s">
        <v>4325</v>
      </c>
      <c r="X326">
        <v>1</v>
      </c>
      <c r="Y326" t="s">
        <v>6299</v>
      </c>
      <c r="Z326" t="s">
        <v>8224</v>
      </c>
      <c r="AA326">
        <v>1.0779134064794831</v>
      </c>
      <c r="AB326" t="str">
        <f>HYPERLINK("Melting_Curves/meltCurve_E9PIZ7_S100PBP.pdf", "Melting_Curves/meltCurve_E9PIZ7_S100PBP.pdf")</f>
        <v>Melting_Curves/meltCurve_E9PIZ7_S100PBP.pdf</v>
      </c>
    </row>
    <row r="327" spans="1:28" x14ac:dyDescent="0.25">
      <c r="A327" t="s">
        <v>331</v>
      </c>
      <c r="B327">
        <v>1</v>
      </c>
      <c r="C327">
        <v>0.76819828722002603</v>
      </c>
      <c r="D327">
        <v>0.97249670619235795</v>
      </c>
      <c r="E327">
        <v>0.92226613965744397</v>
      </c>
      <c r="F327">
        <v>1.0447957839262201</v>
      </c>
      <c r="G327">
        <v>1.20018115942029</v>
      </c>
      <c r="H327">
        <v>1.0323616600790499</v>
      </c>
      <c r="I327">
        <v>1.05047760210804</v>
      </c>
      <c r="J327">
        <v>1.98583662714097</v>
      </c>
      <c r="K327">
        <v>0.99258893280632399</v>
      </c>
      <c r="L327">
        <v>15000</v>
      </c>
      <c r="M327">
        <v>232.239684232581</v>
      </c>
      <c r="O327">
        <v>64.583655217438604</v>
      </c>
      <c r="P327">
        <v>0.43973707654263799</v>
      </c>
      <c r="Q327">
        <v>1.4891468532076599</v>
      </c>
      <c r="R327">
        <v>0.39337129744016402</v>
      </c>
      <c r="S327" t="s">
        <v>2329</v>
      </c>
      <c r="T327" t="s">
        <v>4002</v>
      </c>
      <c r="U327" t="s">
        <v>4002</v>
      </c>
      <c r="V327" t="s">
        <v>4002</v>
      </c>
      <c r="W327" t="s">
        <v>4326</v>
      </c>
      <c r="X327">
        <v>1</v>
      </c>
      <c r="Y327" t="s">
        <v>6300</v>
      </c>
      <c r="Z327" t="s">
        <v>8225</v>
      </c>
      <c r="AA327">
        <v>1.088170589310296</v>
      </c>
      <c r="AB327" t="str">
        <f>HYPERLINK("Melting_Curves/meltCurve_E9PJA7_BCLAF1.pdf", "Melting_Curves/meltCurve_E9PJA7_BCLAF1.pdf")</f>
        <v>Melting_Curves/meltCurve_E9PJA7_BCLAF1.pdf</v>
      </c>
    </row>
    <row r="328" spans="1:28" x14ac:dyDescent="0.25">
      <c r="A328" t="s">
        <v>332</v>
      </c>
      <c r="B328">
        <v>1</v>
      </c>
      <c r="C328">
        <v>0.74165048543689305</v>
      </c>
      <c r="D328">
        <v>0.95570873786407795</v>
      </c>
      <c r="E328">
        <v>0.855883495145631</v>
      </c>
      <c r="F328">
        <v>0.82102912621359203</v>
      </c>
      <c r="G328">
        <v>0.81866019417475699</v>
      </c>
      <c r="H328">
        <v>0.91048543689320405</v>
      </c>
      <c r="I328">
        <v>0.71042718446601905</v>
      </c>
      <c r="J328">
        <v>4.1273786407767004</v>
      </c>
      <c r="K328">
        <v>0.905825242718447</v>
      </c>
      <c r="L328">
        <v>6809.1234038523799</v>
      </c>
      <c r="M328">
        <v>105.181224298828</v>
      </c>
      <c r="O328">
        <v>64.713669396399894</v>
      </c>
      <c r="P328">
        <v>0.203166560633642</v>
      </c>
      <c r="Q328">
        <v>1.5</v>
      </c>
      <c r="R328">
        <v>0.21033985476466899</v>
      </c>
      <c r="S328" t="s">
        <v>2330</v>
      </c>
      <c r="T328" t="s">
        <v>4002</v>
      </c>
      <c r="U328" t="s">
        <v>4002</v>
      </c>
      <c r="V328" t="s">
        <v>4002</v>
      </c>
      <c r="W328" t="s">
        <v>4327</v>
      </c>
      <c r="X328">
        <v>2</v>
      </c>
      <c r="Y328" t="s">
        <v>6301</v>
      </c>
      <c r="Z328" t="s">
        <v>8226</v>
      </c>
      <c r="AA328">
        <v>1.08739888950554</v>
      </c>
      <c r="AB328" t="str">
        <f>HYPERLINK("Melting_Curves/meltCurve_E9PJD9_RPL27A.pdf", "Melting_Curves/meltCurve_E9PJD9_RPL27A.pdf")</f>
        <v>Melting_Curves/meltCurve_E9PJD9_RPL27A.pdf</v>
      </c>
    </row>
    <row r="329" spans="1:28" x14ac:dyDescent="0.25">
      <c r="A329" t="s">
        <v>333</v>
      </c>
      <c r="B329">
        <v>1</v>
      </c>
      <c r="C329">
        <v>1.2726186613174399</v>
      </c>
      <c r="D329">
        <v>1.1866721732204499</v>
      </c>
      <c r="E329">
        <v>1.30980264904569</v>
      </c>
      <c r="F329">
        <v>0.98638602908640405</v>
      </c>
      <c r="G329">
        <v>1.3505708132983301</v>
      </c>
      <c r="H329">
        <v>1.35127879878462</v>
      </c>
      <c r="I329">
        <v>1.44878904982448</v>
      </c>
      <c r="J329">
        <v>1.17838284315172</v>
      </c>
      <c r="K329">
        <v>1.1863181804773</v>
      </c>
      <c r="L329">
        <v>10265.877588900899</v>
      </c>
      <c r="M329">
        <v>250</v>
      </c>
      <c r="O329">
        <v>41.0608818026218</v>
      </c>
      <c r="P329">
        <v>0.38405436266314402</v>
      </c>
      <c r="Q329">
        <v>1.25231377703744</v>
      </c>
      <c r="R329">
        <v>0.28098164448450802</v>
      </c>
      <c r="S329" t="s">
        <v>2331</v>
      </c>
      <c r="T329" t="s">
        <v>4002</v>
      </c>
      <c r="U329" t="s">
        <v>4002</v>
      </c>
      <c r="V329" t="s">
        <v>4002</v>
      </c>
      <c r="W329" t="s">
        <v>4328</v>
      </c>
      <c r="X329">
        <v>1</v>
      </c>
      <c r="Y329" t="s">
        <v>6302</v>
      </c>
      <c r="Z329" t="s">
        <v>8227</v>
      </c>
      <c r="AA329">
        <v>1.2433492961206321</v>
      </c>
      <c r="AB329" t="str">
        <f>HYPERLINK("Melting_Curves/meltCurve_E9PJK6_ASRGL1.pdf", "Melting_Curves/meltCurve_E9PJK6_ASRGL1.pdf")</f>
        <v>Melting_Curves/meltCurve_E9PJK6_ASRGL1.pdf</v>
      </c>
    </row>
    <row r="330" spans="1:28" x14ac:dyDescent="0.25">
      <c r="A330" t="s">
        <v>334</v>
      </c>
      <c r="B330">
        <v>1</v>
      </c>
      <c r="C330">
        <v>0.86043433710935302</v>
      </c>
      <c r="D330">
        <v>0.84469459782546796</v>
      </c>
      <c r="E330">
        <v>0.76004724768030996</v>
      </c>
      <c r="F330">
        <v>0.62216086981271701</v>
      </c>
      <c r="G330">
        <v>0.68386747879546905</v>
      </c>
      <c r="H330">
        <v>0.58944327432117005</v>
      </c>
      <c r="I330">
        <v>0.69236352251380395</v>
      </c>
      <c r="J330">
        <v>0.95582626515625901</v>
      </c>
      <c r="K330">
        <v>0.72838276313542405</v>
      </c>
      <c r="L330">
        <v>947.33566462751196</v>
      </c>
      <c r="M330">
        <v>21.434745822904102</v>
      </c>
      <c r="O330">
        <v>43.816978907513203</v>
      </c>
      <c r="P330">
        <v>-3.4624284032971103E-2</v>
      </c>
      <c r="Q330">
        <v>0.71689070621599604</v>
      </c>
      <c r="R330">
        <v>0.46871529977318699</v>
      </c>
      <c r="S330" t="s">
        <v>2332</v>
      </c>
      <c r="T330" t="s">
        <v>4002</v>
      </c>
      <c r="U330" t="s">
        <v>4002</v>
      </c>
      <c r="V330" t="s">
        <v>4002</v>
      </c>
      <c r="W330" t="s">
        <v>4329</v>
      </c>
      <c r="X330">
        <v>1</v>
      </c>
      <c r="Y330" t="s">
        <v>6303</v>
      </c>
      <c r="Z330" t="s">
        <v>8228</v>
      </c>
      <c r="AA330">
        <v>0.76102847311911836</v>
      </c>
      <c r="AB330" t="str">
        <f>HYPERLINK("Melting_Curves/meltCurve_E9PJP1_AAMDC.pdf", "Melting_Curves/meltCurve_E9PJP1_AAMDC.pdf")</f>
        <v>Melting_Curves/meltCurve_E9PJP1_AAMDC.pdf</v>
      </c>
    </row>
    <row r="331" spans="1:28" x14ac:dyDescent="0.25">
      <c r="A331" t="s">
        <v>335</v>
      </c>
      <c r="B331">
        <v>1</v>
      </c>
      <c r="C331">
        <v>0.89450084179293599</v>
      </c>
      <c r="D331">
        <v>0.93964094614192095</v>
      </c>
      <c r="E331">
        <v>1.0057842009634801</v>
      </c>
      <c r="F331">
        <v>0.99073194312480195</v>
      </c>
      <c r="G331">
        <v>1.0390725275457999</v>
      </c>
      <c r="H331">
        <v>0.76874864563017797</v>
      </c>
      <c r="I331">
        <v>1.2132653231318</v>
      </c>
      <c r="J331">
        <v>0.66606657665316504</v>
      </c>
      <c r="K331">
        <v>0.90118517777666696</v>
      </c>
      <c r="L331">
        <v>15000</v>
      </c>
      <c r="M331">
        <v>228.83132568854401</v>
      </c>
      <c r="O331">
        <v>65.545437336355207</v>
      </c>
      <c r="P331">
        <v>-0.188784447131667</v>
      </c>
      <c r="Q331">
        <v>0.78370158493332098</v>
      </c>
      <c r="R331">
        <v>0.29156916702181701</v>
      </c>
      <c r="S331" t="s">
        <v>2333</v>
      </c>
      <c r="T331" t="s">
        <v>4002</v>
      </c>
      <c r="U331" t="s">
        <v>4002</v>
      </c>
      <c r="V331" t="s">
        <v>4002</v>
      </c>
      <c r="W331" t="s">
        <v>4330</v>
      </c>
      <c r="X331">
        <v>1</v>
      </c>
      <c r="Y331" t="s">
        <v>6304</v>
      </c>
      <c r="Z331" t="s">
        <v>8229</v>
      </c>
      <c r="AA331">
        <v>0.96794879363847963</v>
      </c>
      <c r="AB331" t="str">
        <f>HYPERLINK("Melting_Curves/meltCurve_E9PJS5_ACER3.pdf", "Melting_Curves/meltCurve_E9PJS5_ACER3.pdf")</f>
        <v>Melting_Curves/meltCurve_E9PJS5_ACER3.pdf</v>
      </c>
    </row>
    <row r="332" spans="1:28" x14ac:dyDescent="0.25">
      <c r="A332" t="s">
        <v>336</v>
      </c>
      <c r="B332">
        <v>1</v>
      </c>
      <c r="C332">
        <v>0.91389037353762104</v>
      </c>
      <c r="D332">
        <v>0.87249836688639504</v>
      </c>
      <c r="E332">
        <v>0.96448720232792895</v>
      </c>
      <c r="F332">
        <v>0.89078923926598996</v>
      </c>
      <c r="G332">
        <v>1.00671061226914</v>
      </c>
      <c r="H332">
        <v>0.80521408634716996</v>
      </c>
      <c r="I332">
        <v>0.982896846606093</v>
      </c>
      <c r="J332">
        <v>1.2121859967931601</v>
      </c>
      <c r="K332">
        <v>0.94114852425915996</v>
      </c>
      <c r="L332">
        <v>1437.48271307594</v>
      </c>
      <c r="M332">
        <v>21.601622548045299</v>
      </c>
      <c r="O332">
        <v>65.982711752360402</v>
      </c>
      <c r="P332">
        <v>3.5327530507497898E-3</v>
      </c>
      <c r="Q332">
        <v>1.0431625053660201</v>
      </c>
      <c r="R332">
        <v>-0.141113328012588</v>
      </c>
      <c r="S332" t="s">
        <v>2334</v>
      </c>
      <c r="T332" t="s">
        <v>4002</v>
      </c>
      <c r="U332" t="s">
        <v>4002</v>
      </c>
      <c r="V332" t="s">
        <v>4002</v>
      </c>
      <c r="W332" t="s">
        <v>4331</v>
      </c>
      <c r="X332">
        <v>4</v>
      </c>
      <c r="Y332" t="s">
        <v>6305</v>
      </c>
      <c r="Z332" t="s">
        <v>8230</v>
      </c>
      <c r="AA332">
        <v>1.005906786441682</v>
      </c>
      <c r="AB332" t="str">
        <f>HYPERLINK("Melting_Curves/meltCurve_E9PJT3_SF3B2.pdf", "Melting_Curves/meltCurve_E9PJT3_SF3B2.pdf")</f>
        <v>Melting_Curves/meltCurve_E9PJT3_SF3B2.pdf</v>
      </c>
    </row>
    <row r="333" spans="1:28" x14ac:dyDescent="0.25">
      <c r="A333" t="s">
        <v>337</v>
      </c>
      <c r="B333">
        <v>1</v>
      </c>
      <c r="C333">
        <v>0.89541181597459996</v>
      </c>
      <c r="D333">
        <v>0.91751229533710998</v>
      </c>
      <c r="E333">
        <v>0.91673410944406397</v>
      </c>
      <c r="F333">
        <v>0.90322480234078295</v>
      </c>
      <c r="G333">
        <v>0.93861669675652104</v>
      </c>
      <c r="H333">
        <v>0.91791695200149404</v>
      </c>
      <c r="I333">
        <v>1.09649505073772</v>
      </c>
      <c r="J333">
        <v>1.6007595094316101</v>
      </c>
      <c r="K333">
        <v>0.99757206001369603</v>
      </c>
      <c r="L333">
        <v>15000</v>
      </c>
      <c r="M333">
        <v>233.63417118821101</v>
      </c>
      <c r="O333">
        <v>64.198230411359305</v>
      </c>
      <c r="P333">
        <v>0.27217390237240902</v>
      </c>
      <c r="Q333">
        <v>1.2991528755816499</v>
      </c>
      <c r="R333">
        <v>0.449476350789424</v>
      </c>
      <c r="S333" t="s">
        <v>2335</v>
      </c>
      <c r="T333" t="s">
        <v>4002</v>
      </c>
      <c r="U333" t="s">
        <v>4002</v>
      </c>
      <c r="V333" t="s">
        <v>4002</v>
      </c>
      <c r="W333" t="s">
        <v>4332</v>
      </c>
      <c r="X333">
        <v>7</v>
      </c>
      <c r="Y333" t="s">
        <v>6306</v>
      </c>
      <c r="Z333" t="s">
        <v>8231</v>
      </c>
      <c r="AA333">
        <v>1.057768338418057</v>
      </c>
      <c r="AB333" t="str">
        <f>HYPERLINK("Melting_Curves/meltCurve_E9PK01_EEF1D.pdf", "Melting_Curves/meltCurve_E9PK01_EEF1D.pdf")</f>
        <v>Melting_Curves/meltCurve_E9PK01_EEF1D.pdf</v>
      </c>
    </row>
    <row r="334" spans="1:28" x14ac:dyDescent="0.25">
      <c r="A334" t="s">
        <v>338</v>
      </c>
      <c r="B334">
        <v>1</v>
      </c>
      <c r="C334">
        <v>0.86930225155184404</v>
      </c>
      <c r="D334">
        <v>0.91254575951614303</v>
      </c>
      <c r="E334">
        <v>1.0006366541376399</v>
      </c>
      <c r="F334">
        <v>0.93752219106970103</v>
      </c>
      <c r="G334">
        <v>0.87200803163681295</v>
      </c>
      <c r="H334">
        <v>1.1363174455477101</v>
      </c>
      <c r="I334">
        <v>0.91182340193689804</v>
      </c>
      <c r="J334">
        <v>1.1085250437699701</v>
      </c>
      <c r="K334">
        <v>0.842575021119777</v>
      </c>
      <c r="L334">
        <v>10222.3345563804</v>
      </c>
      <c r="M334">
        <v>250</v>
      </c>
      <c r="O334">
        <v>40.886721590946998</v>
      </c>
      <c r="P334">
        <v>-6.9423381827017697E-2</v>
      </c>
      <c r="Q334">
        <v>0.95458408831179398</v>
      </c>
      <c r="R334">
        <v>2.03477805003737E-2</v>
      </c>
      <c r="S334" t="s">
        <v>2336</v>
      </c>
      <c r="T334" t="s">
        <v>4002</v>
      </c>
      <c r="U334" t="s">
        <v>4002</v>
      </c>
      <c r="V334" t="s">
        <v>4002</v>
      </c>
      <c r="W334" t="s">
        <v>4333</v>
      </c>
      <c r="X334">
        <v>1</v>
      </c>
      <c r="Y334" t="s">
        <v>6307</v>
      </c>
      <c r="Z334" t="s">
        <v>8232</v>
      </c>
      <c r="AA334">
        <v>0.95593458888684357</v>
      </c>
      <c r="AB334" t="str">
        <f>HYPERLINK("Melting_Curves/meltCurve_E9PK08_PPP6R3.pdf", "Melting_Curves/meltCurve_E9PK08_PPP6R3.pdf")</f>
        <v>Melting_Curves/meltCurve_E9PK08_PPP6R3.pdf</v>
      </c>
    </row>
    <row r="335" spans="1:28" x14ac:dyDescent="0.25">
      <c r="A335" t="s">
        <v>339</v>
      </c>
      <c r="B335">
        <v>1</v>
      </c>
      <c r="C335">
        <v>0.91191748851915999</v>
      </c>
      <c r="D335">
        <v>0.97505583578007005</v>
      </c>
      <c r="E335">
        <v>0.92466561268789704</v>
      </c>
      <c r="F335">
        <v>0.93568220030615601</v>
      </c>
      <c r="G335">
        <v>0.86340937037315901</v>
      </c>
      <c r="H335">
        <v>0.72195036261888601</v>
      </c>
      <c r="I335">
        <v>1.11026625511305</v>
      </c>
      <c r="J335">
        <v>0.82769956586112603</v>
      </c>
      <c r="K335">
        <v>0.96491756380335802</v>
      </c>
      <c r="L335">
        <v>588.26550459702196</v>
      </c>
      <c r="M335">
        <v>13.4120535762933</v>
      </c>
      <c r="O335">
        <v>42.920306213172601</v>
      </c>
      <c r="P335">
        <v>-7.5398671949258303E-3</v>
      </c>
      <c r="Q335">
        <v>0.90350089539330203</v>
      </c>
      <c r="R335">
        <v>6.7479462155794395E-2</v>
      </c>
      <c r="S335" t="s">
        <v>2337</v>
      </c>
      <c r="T335" t="s">
        <v>4002</v>
      </c>
      <c r="U335" t="s">
        <v>4002</v>
      </c>
      <c r="V335" t="s">
        <v>4002</v>
      </c>
      <c r="W335" t="s">
        <v>4334</v>
      </c>
      <c r="X335">
        <v>3</v>
      </c>
      <c r="Y335" t="s">
        <v>6308</v>
      </c>
      <c r="Z335" t="s">
        <v>8233</v>
      </c>
      <c r="AA335">
        <v>0.92036261744170966</v>
      </c>
      <c r="AB335" t="str">
        <f>HYPERLINK("Melting_Curves/meltCurve_E9PKB5_PPM1A.pdf", "Melting_Curves/meltCurve_E9PKB5_PPM1A.pdf")</f>
        <v>Melting_Curves/meltCurve_E9PKB5_PPM1A.pdf</v>
      </c>
    </row>
    <row r="336" spans="1:28" x14ac:dyDescent="0.25">
      <c r="A336" t="s">
        <v>340</v>
      </c>
      <c r="B336">
        <v>1</v>
      </c>
      <c r="C336">
        <v>1.07395690834473</v>
      </c>
      <c r="D336">
        <v>0.89936730506156004</v>
      </c>
      <c r="E336">
        <v>1.0223580711354301</v>
      </c>
      <c r="F336">
        <v>1.0466826265389899</v>
      </c>
      <c r="G336">
        <v>0.92048563611491097</v>
      </c>
      <c r="H336">
        <v>1.01474863201094</v>
      </c>
      <c r="I336">
        <v>1.1244870041039701</v>
      </c>
      <c r="J336">
        <v>1.0815235978112201</v>
      </c>
      <c r="K336">
        <v>1.1488115595075199</v>
      </c>
      <c r="L336">
        <v>15000</v>
      </c>
      <c r="M336">
        <v>243.953254122044</v>
      </c>
      <c r="O336">
        <v>61.483057394052601</v>
      </c>
      <c r="P336">
        <v>0.11732472436378399</v>
      </c>
      <c r="Q336">
        <v>1.1182764752360901</v>
      </c>
      <c r="R336">
        <v>0.53628725290746404</v>
      </c>
      <c r="S336" t="s">
        <v>2338</v>
      </c>
      <c r="T336" t="s">
        <v>4002</v>
      </c>
      <c r="U336" t="s">
        <v>4002</v>
      </c>
      <c r="V336" t="s">
        <v>4002</v>
      </c>
      <c r="W336" t="s">
        <v>4335</v>
      </c>
      <c r="X336">
        <v>1</v>
      </c>
      <c r="Y336" t="s">
        <v>6309</v>
      </c>
      <c r="Z336" t="s">
        <v>8234</v>
      </c>
      <c r="AA336">
        <v>1.0335487696510299</v>
      </c>
      <c r="AB336" t="str">
        <f>HYPERLINK("Melting_Curves/meltCurve_E9PKD1_TOR1AIP1.pdf", "Melting_Curves/meltCurve_E9PKD1_TOR1AIP1.pdf")</f>
        <v>Melting_Curves/meltCurve_E9PKD1_TOR1AIP1.pdf</v>
      </c>
    </row>
    <row r="337" spans="1:28" x14ac:dyDescent="0.25">
      <c r="A337" t="s">
        <v>341</v>
      </c>
      <c r="B337">
        <v>1</v>
      </c>
      <c r="C337">
        <v>0.94382409177820303</v>
      </c>
      <c r="D337">
        <v>1.0137667304015301</v>
      </c>
      <c r="E337">
        <v>0.952418738049713</v>
      </c>
      <c r="F337">
        <v>0.77103250478011498</v>
      </c>
      <c r="G337">
        <v>0.90981835564053504</v>
      </c>
      <c r="H337">
        <v>0.78029636711281103</v>
      </c>
      <c r="I337">
        <v>0.895248565965583</v>
      </c>
      <c r="J337">
        <v>0.80994263862332705</v>
      </c>
      <c r="K337">
        <v>0.82319311663479899</v>
      </c>
      <c r="L337">
        <v>12546.5966316103</v>
      </c>
      <c r="M337">
        <v>250</v>
      </c>
      <c r="O337">
        <v>50.183174955835597</v>
      </c>
      <c r="P337">
        <v>-0.209745867385771</v>
      </c>
      <c r="Q337">
        <v>0.83158858333361096</v>
      </c>
      <c r="R337">
        <v>0.71608118521123398</v>
      </c>
      <c r="S337" t="s">
        <v>2339</v>
      </c>
      <c r="T337" t="s">
        <v>4002</v>
      </c>
      <c r="U337" t="s">
        <v>4002</v>
      </c>
      <c r="V337" t="s">
        <v>4002</v>
      </c>
      <c r="W337" t="s">
        <v>4336</v>
      </c>
      <c r="X337">
        <v>1</v>
      </c>
      <c r="Y337" t="s">
        <v>6310</v>
      </c>
      <c r="Z337" t="s">
        <v>8235</v>
      </c>
      <c r="AA337">
        <v>0.88878687591364247</v>
      </c>
      <c r="AB337" t="str">
        <f>HYPERLINK("Melting_Curves/meltCurve_E9PKG3_CTTN.pdf", "Melting_Curves/meltCurve_E9PKG3_CTTN.pdf")</f>
        <v>Melting_Curves/meltCurve_E9PKG3_CTTN.pdf</v>
      </c>
    </row>
    <row r="338" spans="1:28" x14ac:dyDescent="0.25">
      <c r="A338" t="s">
        <v>342</v>
      </c>
      <c r="B338">
        <v>1</v>
      </c>
      <c r="C338">
        <v>1.0080375083724</v>
      </c>
      <c r="D338">
        <v>1.0521321723599</v>
      </c>
      <c r="E338">
        <v>1.2786894396070601</v>
      </c>
      <c r="F338">
        <v>1.4600915382898001</v>
      </c>
      <c r="G338">
        <v>1.9383232864478701</v>
      </c>
      <c r="H338">
        <v>1.73392498325519</v>
      </c>
      <c r="I338">
        <v>2.4116432239339098</v>
      </c>
      <c r="J338">
        <v>2.6865929895065901</v>
      </c>
      <c r="K338">
        <v>2.0529135967849999</v>
      </c>
      <c r="L338">
        <v>2457.1700201388198</v>
      </c>
      <c r="M338">
        <v>49.402502208099897</v>
      </c>
      <c r="O338">
        <v>49.656469735530401</v>
      </c>
      <c r="P338">
        <v>0.12436080040372099</v>
      </c>
      <c r="Q338">
        <v>1.5</v>
      </c>
      <c r="R338">
        <v>0.14576500100735401</v>
      </c>
      <c r="S338" t="s">
        <v>2340</v>
      </c>
      <c r="T338" t="s">
        <v>4002</v>
      </c>
      <c r="U338" t="s">
        <v>4002</v>
      </c>
      <c r="V338" t="s">
        <v>4002</v>
      </c>
      <c r="W338" t="s">
        <v>4337</v>
      </c>
      <c r="X338">
        <v>4</v>
      </c>
      <c r="Y338" t="s">
        <v>6311</v>
      </c>
      <c r="Z338" t="s">
        <v>8236</v>
      </c>
      <c r="AA338">
        <v>1.336580057006961</v>
      </c>
      <c r="AB338" t="str">
        <f>HYPERLINK("Melting_Curves/meltCurve_E9PKL9_TSTA3.pdf", "Melting_Curves/meltCurve_E9PKL9_TSTA3.pdf")</f>
        <v>Melting_Curves/meltCurve_E9PKL9_TSTA3.pdf</v>
      </c>
    </row>
    <row r="339" spans="1:28" x14ac:dyDescent="0.25">
      <c r="A339" t="s">
        <v>343</v>
      </c>
      <c r="B339">
        <v>1</v>
      </c>
      <c r="C339">
        <v>1.1786517865178701</v>
      </c>
      <c r="D339">
        <v>0.88853388533885302</v>
      </c>
      <c r="E339">
        <v>0.95283952839528396</v>
      </c>
      <c r="F339">
        <v>1.0178201782017799</v>
      </c>
      <c r="G339">
        <v>1.2182071820718201</v>
      </c>
      <c r="H339">
        <v>0.93861938619386198</v>
      </c>
      <c r="I339">
        <v>1.25020250202502</v>
      </c>
      <c r="J339">
        <v>0.89334893348933497</v>
      </c>
      <c r="K339">
        <v>1.10921609216092</v>
      </c>
      <c r="L339">
        <v>13317.8447224416</v>
      </c>
      <c r="M339">
        <v>250</v>
      </c>
      <c r="O339">
        <v>53.267969886739898</v>
      </c>
      <c r="P339">
        <v>9.6116409366915706E-2</v>
      </c>
      <c r="Q339">
        <v>1.08191881588216</v>
      </c>
      <c r="R339">
        <v>8.4379787399896697E-2</v>
      </c>
      <c r="S339" t="s">
        <v>2341</v>
      </c>
      <c r="T339" t="s">
        <v>4002</v>
      </c>
      <c r="U339" t="s">
        <v>4002</v>
      </c>
      <c r="V339" t="s">
        <v>4002</v>
      </c>
      <c r="W339" t="s">
        <v>4338</v>
      </c>
      <c r="X339">
        <v>1</v>
      </c>
      <c r="Y339" t="s">
        <v>6312</v>
      </c>
      <c r="Z339" t="s">
        <v>8237</v>
      </c>
      <c r="AA339">
        <v>1.0456719691301759</v>
      </c>
      <c r="AB339" t="str">
        <f>HYPERLINK("Melting_Curves/meltCurve_E9PKP4_CSF1.pdf", "Melting_Curves/meltCurve_E9PKP4_CSF1.pdf")</f>
        <v>Melting_Curves/meltCurve_E9PKP4_CSF1.pdf</v>
      </c>
    </row>
    <row r="340" spans="1:28" x14ac:dyDescent="0.25">
      <c r="A340" t="s">
        <v>344</v>
      </c>
      <c r="B340">
        <v>1</v>
      </c>
      <c r="C340">
        <v>0.87346518638335402</v>
      </c>
      <c r="D340">
        <v>1.1865304021763099</v>
      </c>
      <c r="E340">
        <v>1.7945739283876201</v>
      </c>
      <c r="F340">
        <v>2.2082199838247201</v>
      </c>
      <c r="G340">
        <v>2.1520476435556199</v>
      </c>
      <c r="H340">
        <v>1.7320049996323801</v>
      </c>
      <c r="I340">
        <v>2.29630174251893</v>
      </c>
      <c r="J340">
        <v>1.81758694213661</v>
      </c>
      <c r="K340">
        <v>1.56731122711565</v>
      </c>
      <c r="L340">
        <v>11523.878974715701</v>
      </c>
      <c r="M340">
        <v>250</v>
      </c>
      <c r="O340">
        <v>46.092566082086599</v>
      </c>
      <c r="P340">
        <v>0.67798351635560306</v>
      </c>
      <c r="Q340">
        <v>1.5</v>
      </c>
      <c r="R340">
        <v>0.20141436330340501</v>
      </c>
      <c r="S340" t="s">
        <v>2342</v>
      </c>
      <c r="T340" t="s">
        <v>4002</v>
      </c>
      <c r="U340" t="s">
        <v>4002</v>
      </c>
      <c r="V340" t="s">
        <v>4002</v>
      </c>
      <c r="W340" t="s">
        <v>4339</v>
      </c>
      <c r="X340">
        <v>1</v>
      </c>
      <c r="Y340" t="s">
        <v>6313</v>
      </c>
      <c r="Z340" t="s">
        <v>8238</v>
      </c>
      <c r="AA340">
        <v>1.3983676198957879</v>
      </c>
      <c r="AB340" t="str">
        <f>HYPERLINK("Melting_Curves/meltCurve_E9PKX0_CTSB.pdf", "Melting_Curves/meltCurve_E9PKX0_CTSB.pdf")</f>
        <v>Melting_Curves/meltCurve_E9PKX0_CTSB.pdf</v>
      </c>
    </row>
    <row r="341" spans="1:28" x14ac:dyDescent="0.25">
      <c r="A341" t="s">
        <v>345</v>
      </c>
      <c r="B341">
        <v>1</v>
      </c>
      <c r="C341">
        <v>0.83517203163568599</v>
      </c>
      <c r="D341">
        <v>1.0059644350410599</v>
      </c>
      <c r="E341">
        <v>1.0223162561079999</v>
      </c>
      <c r="F341">
        <v>1.0558662032139401</v>
      </c>
      <c r="G341">
        <v>1.00790892146491</v>
      </c>
      <c r="H341">
        <v>1.0717847967356799</v>
      </c>
      <c r="I341">
        <v>1.0623142410961699</v>
      </c>
      <c r="J341">
        <v>1.6896881769180401</v>
      </c>
      <c r="K341">
        <v>0.92262354541332903</v>
      </c>
      <c r="L341">
        <v>15000</v>
      </c>
      <c r="M341">
        <v>233.015931792001</v>
      </c>
      <c r="O341">
        <v>64.368518615725804</v>
      </c>
      <c r="P341">
        <v>0.27704591020302199</v>
      </c>
      <c r="Q341">
        <v>1.3061256855253001</v>
      </c>
      <c r="R341">
        <v>0.30647177971591899</v>
      </c>
      <c r="S341" t="s">
        <v>2343</v>
      </c>
      <c r="T341" t="s">
        <v>4002</v>
      </c>
      <c r="U341" t="s">
        <v>4002</v>
      </c>
      <c r="V341" t="s">
        <v>4002</v>
      </c>
      <c r="W341" t="s">
        <v>4340</v>
      </c>
      <c r="X341">
        <v>2</v>
      </c>
      <c r="Y341" t="s">
        <v>6314</v>
      </c>
      <c r="Z341" t="s">
        <v>8239</v>
      </c>
      <c r="AA341">
        <v>1.05737629855959</v>
      </c>
      <c r="AB341" t="str">
        <f>HYPERLINK("Melting_Curves/meltCurve_E9PKZ0_RPL8.pdf", "Melting_Curves/meltCurve_E9PKZ0_RPL8.pdf")</f>
        <v>Melting_Curves/meltCurve_E9PKZ0_RPL8.pdf</v>
      </c>
    </row>
    <row r="342" spans="1:28" x14ac:dyDescent="0.25">
      <c r="A342" t="s">
        <v>346</v>
      </c>
      <c r="B342">
        <v>1</v>
      </c>
      <c r="C342">
        <v>0.63469052025498696</v>
      </c>
      <c r="D342">
        <v>0.91455891425046298</v>
      </c>
      <c r="E342">
        <v>0.96601891836315001</v>
      </c>
      <c r="F342">
        <v>1.0311536088834099</v>
      </c>
      <c r="G342">
        <v>0.96550483240797902</v>
      </c>
      <c r="H342">
        <v>0.92206456919596902</v>
      </c>
      <c r="I342">
        <v>1.1047193090684799</v>
      </c>
      <c r="J342">
        <v>1.60245733086572</v>
      </c>
      <c r="K342">
        <v>0.92648570841044597</v>
      </c>
      <c r="L342">
        <v>15000</v>
      </c>
      <c r="M342">
        <v>233.953651334602</v>
      </c>
      <c r="O342">
        <v>64.110558445321402</v>
      </c>
      <c r="P342">
        <v>0.241266698082474</v>
      </c>
      <c r="Q342">
        <v>1.26445832311658</v>
      </c>
      <c r="R342">
        <v>0.284288722484909</v>
      </c>
      <c r="S342" t="s">
        <v>2344</v>
      </c>
      <c r="T342" t="s">
        <v>4002</v>
      </c>
      <c r="U342" t="s">
        <v>4002</v>
      </c>
      <c r="V342" t="s">
        <v>4002</v>
      </c>
      <c r="W342" t="s">
        <v>4341</v>
      </c>
      <c r="X342">
        <v>1</v>
      </c>
      <c r="Y342" t="s">
        <v>6315</v>
      </c>
      <c r="Z342" t="s">
        <v>8240</v>
      </c>
      <c r="AA342">
        <v>1.051841604779655</v>
      </c>
      <c r="AB342" t="str">
        <f>HYPERLINK("Melting_Curves/meltCurve_E9PL19_PUF60.pdf", "Melting_Curves/meltCurve_E9PL19_PUF60.pdf")</f>
        <v>Melting_Curves/meltCurve_E9PL19_PUF60.pdf</v>
      </c>
    </row>
    <row r="343" spans="1:28" x14ac:dyDescent="0.25">
      <c r="A343" t="s">
        <v>347</v>
      </c>
      <c r="B343">
        <v>1</v>
      </c>
      <c r="C343">
        <v>0.93172746042670296</v>
      </c>
      <c r="D343">
        <v>1.02969226231442</v>
      </c>
      <c r="E343">
        <v>0.99303903254350601</v>
      </c>
      <c r="F343">
        <v>0.88929308819191799</v>
      </c>
      <c r="G343">
        <v>0.88099498574378099</v>
      </c>
      <c r="H343">
        <v>0.81130665617933295</v>
      </c>
      <c r="I343">
        <v>0.80403106872480601</v>
      </c>
      <c r="J343">
        <v>0.90109133811817899</v>
      </c>
      <c r="K343">
        <v>0.689194769442533</v>
      </c>
      <c r="L343">
        <v>356.10131637416902</v>
      </c>
      <c r="M343">
        <v>4.6912070838327899</v>
      </c>
      <c r="O343">
        <v>65.225257926228807</v>
      </c>
      <c r="P343">
        <v>-1.1181305284327901E-2</v>
      </c>
      <c r="Q343">
        <v>0.382848679316241</v>
      </c>
      <c r="R343">
        <v>0.70556828683716599</v>
      </c>
      <c r="S343" t="s">
        <v>2345</v>
      </c>
      <c r="T343" t="s">
        <v>4002</v>
      </c>
      <c r="U343" t="s">
        <v>4002</v>
      </c>
      <c r="V343" t="s">
        <v>4002</v>
      </c>
      <c r="W343" t="s">
        <v>4342</v>
      </c>
      <c r="X343">
        <v>5</v>
      </c>
      <c r="Y343" t="s">
        <v>6316</v>
      </c>
      <c r="Z343" t="s">
        <v>8241</v>
      </c>
      <c r="AA343">
        <v>0.89692614041544649</v>
      </c>
      <c r="AB343" t="str">
        <f>HYPERLINK("Melting_Curves/meltCurve_E9PL22_HYOU1.pdf", "Melting_Curves/meltCurve_E9PL22_HYOU1.pdf")</f>
        <v>Melting_Curves/meltCurve_E9PL22_HYOU1.pdf</v>
      </c>
    </row>
    <row r="344" spans="1:28" x14ac:dyDescent="0.25">
      <c r="A344" t="s">
        <v>348</v>
      </c>
      <c r="B344">
        <v>1</v>
      </c>
      <c r="C344">
        <v>0.95163465562944705</v>
      </c>
      <c r="D344">
        <v>1.1013346974840701</v>
      </c>
      <c r="E344">
        <v>0.96391201227735601</v>
      </c>
      <c r="F344">
        <v>0.905222527089243</v>
      </c>
      <c r="G344">
        <v>1.1034739338696899</v>
      </c>
      <c r="H344">
        <v>1.13388829465656</v>
      </c>
      <c r="I344">
        <v>1.1840208343021901</v>
      </c>
      <c r="J344">
        <v>5.7494303120494799</v>
      </c>
      <c r="K344">
        <v>1.1425382504766799</v>
      </c>
      <c r="L344">
        <v>15000</v>
      </c>
      <c r="M344">
        <v>233.841794059698</v>
      </c>
      <c r="O344">
        <v>64.141241412093905</v>
      </c>
      <c r="P344">
        <v>0.45571653792924299</v>
      </c>
      <c r="Q344">
        <v>1.5</v>
      </c>
      <c r="R344">
        <v>8.4562270129016001E-2</v>
      </c>
      <c r="S344" t="s">
        <v>2346</v>
      </c>
      <c r="T344" t="s">
        <v>4002</v>
      </c>
      <c r="U344" t="s">
        <v>4002</v>
      </c>
      <c r="V344" t="s">
        <v>4002</v>
      </c>
      <c r="W344" t="s">
        <v>4343</v>
      </c>
      <c r="X344">
        <v>1</v>
      </c>
      <c r="Y344" t="s">
        <v>6317</v>
      </c>
      <c r="Z344" t="s">
        <v>8242</v>
      </c>
      <c r="AA344">
        <v>1.097503450064951</v>
      </c>
      <c r="AB344" t="str">
        <f>HYPERLINK("Melting_Curves/meltCurve_E9PL38_PSMD13.pdf", "Melting_Curves/meltCurve_E9PL38_PSMD13.pdf")</f>
        <v>Melting_Curves/meltCurve_E9PL38_PSMD13.pdf</v>
      </c>
    </row>
    <row r="345" spans="1:28" x14ac:dyDescent="0.25">
      <c r="A345" t="s">
        <v>349</v>
      </c>
      <c r="B345">
        <v>1</v>
      </c>
      <c r="C345">
        <v>0.962679812114688</v>
      </c>
      <c r="D345">
        <v>1.0798512574615899</v>
      </c>
      <c r="E345">
        <v>1.18147568255211</v>
      </c>
      <c r="F345">
        <v>1.1230795576866599</v>
      </c>
      <c r="G345">
        <v>1.15827135727566</v>
      </c>
      <c r="H345">
        <v>1.1455988844309599</v>
      </c>
      <c r="I345">
        <v>1.2920784812604</v>
      </c>
      <c r="J345">
        <v>1.1765706037772801</v>
      </c>
      <c r="K345">
        <v>1.1594945689402101</v>
      </c>
      <c r="L345">
        <v>11508.854846644201</v>
      </c>
      <c r="M345">
        <v>250</v>
      </c>
      <c r="O345">
        <v>46.032473179796497</v>
      </c>
      <c r="P345">
        <v>0.239847982509202</v>
      </c>
      <c r="Q345">
        <v>1.17665273388765</v>
      </c>
      <c r="R345">
        <v>0.76116757552048497</v>
      </c>
      <c r="S345" t="s">
        <v>2347</v>
      </c>
      <c r="T345" t="s">
        <v>4002</v>
      </c>
      <c r="U345" t="s">
        <v>4002</v>
      </c>
      <c r="V345" t="s">
        <v>4002</v>
      </c>
      <c r="W345" t="s">
        <v>4344</v>
      </c>
      <c r="X345">
        <v>6</v>
      </c>
      <c r="Y345" t="s">
        <v>6318</v>
      </c>
      <c r="Z345" t="s">
        <v>8243</v>
      </c>
      <c r="AA345">
        <v>1.1410993506981839</v>
      </c>
      <c r="AB345" t="str">
        <f>HYPERLINK("Melting_Curves/meltCurve_E9PL57_NEDD8_MDP1.pdf", "Melting_Curves/meltCurve_E9PL57_NEDD8_MDP1.pdf")</f>
        <v>Melting_Curves/meltCurve_E9PL57_NEDD8_MDP1.pdf</v>
      </c>
    </row>
    <row r="346" spans="1:28" x14ac:dyDescent="0.25">
      <c r="A346" t="s">
        <v>350</v>
      </c>
      <c r="B346">
        <v>1</v>
      </c>
      <c r="C346">
        <v>0.92550631403383399</v>
      </c>
      <c r="D346">
        <v>1.07759113652609</v>
      </c>
      <c r="E346">
        <v>1.0210745770788701</v>
      </c>
      <c r="F346">
        <v>0.86509411484393595</v>
      </c>
      <c r="G346">
        <v>0.95913747915177505</v>
      </c>
      <c r="H346">
        <v>0.48597807958065298</v>
      </c>
      <c r="I346">
        <v>0.995830355015487</v>
      </c>
      <c r="J346">
        <v>0.37437455325232299</v>
      </c>
      <c r="K346">
        <v>0.48619251846557099</v>
      </c>
      <c r="L346">
        <v>627.22072530661205</v>
      </c>
      <c r="M346">
        <v>9.1503904614597804</v>
      </c>
      <c r="N346">
        <v>68.545788049696</v>
      </c>
      <c r="O346">
        <v>65.510106975111597</v>
      </c>
      <c r="P346">
        <v>-3.4943582505422503E-2</v>
      </c>
      <c r="Q346">
        <v>0</v>
      </c>
      <c r="R346">
        <v>0.59886634879557699</v>
      </c>
      <c r="S346" t="s">
        <v>2348</v>
      </c>
      <c r="T346" t="s">
        <v>4002</v>
      </c>
      <c r="U346" t="s">
        <v>4002</v>
      </c>
      <c r="V346" t="s">
        <v>4002</v>
      </c>
      <c r="W346" t="s">
        <v>4345</v>
      </c>
      <c r="X346">
        <v>2</v>
      </c>
      <c r="Y346" t="s">
        <v>6319</v>
      </c>
      <c r="Z346" t="s">
        <v>8244</v>
      </c>
      <c r="AA346">
        <v>0.83524435847327938</v>
      </c>
      <c r="AB346" t="str">
        <f>HYPERLINK("Melting_Curves/meltCurve_E9PL83_ADM.pdf", "Melting_Curves/meltCurve_E9PL83_ADM.pdf")</f>
        <v>Melting_Curves/meltCurve_E9PL83_ADM.pdf</v>
      </c>
    </row>
    <row r="347" spans="1:28" x14ac:dyDescent="0.25">
      <c r="A347" t="s">
        <v>351</v>
      </c>
      <c r="B347">
        <v>1</v>
      </c>
      <c r="C347">
        <v>0.998006170683432</v>
      </c>
      <c r="D347">
        <v>1.1670159506345299</v>
      </c>
      <c r="E347">
        <v>1.3876324368378199</v>
      </c>
      <c r="F347">
        <v>1.6512399580859201</v>
      </c>
      <c r="G347">
        <v>2.3134241471649801</v>
      </c>
      <c r="H347">
        <v>2.6108976597974198</v>
      </c>
      <c r="I347">
        <v>3.6866922808243099</v>
      </c>
      <c r="J347">
        <v>3.6359005704971499</v>
      </c>
      <c r="K347">
        <v>3.15141460006986</v>
      </c>
      <c r="L347">
        <v>1868.43848708011</v>
      </c>
      <c r="M347">
        <v>39.793586782059997</v>
      </c>
      <c r="O347">
        <v>46.8351632351688</v>
      </c>
      <c r="P347">
        <v>0.106206747109285</v>
      </c>
      <c r="Q347">
        <v>1.5</v>
      </c>
      <c r="R347">
        <v>-0.36481021101521399</v>
      </c>
      <c r="S347" t="s">
        <v>2349</v>
      </c>
      <c r="T347" t="s">
        <v>4002</v>
      </c>
      <c r="U347" t="s">
        <v>4002</v>
      </c>
      <c r="V347" t="s">
        <v>4002</v>
      </c>
      <c r="W347" t="s">
        <v>4346</v>
      </c>
      <c r="X347">
        <v>21</v>
      </c>
      <c r="Y347" t="s">
        <v>6320</v>
      </c>
      <c r="Z347" t="s">
        <v>8245</v>
      </c>
      <c r="AA347">
        <v>1.382458653914963</v>
      </c>
      <c r="AB347" t="str">
        <f>HYPERLINK("Melting_Curves/meltCurve_E9PLK3_NPEPPS.pdf", "Melting_Curves/meltCurve_E9PLK3_NPEPPS.pdf")</f>
        <v>Melting_Curves/meltCurve_E9PLK3_NPEPPS.pdf</v>
      </c>
    </row>
    <row r="348" spans="1:28" x14ac:dyDescent="0.25">
      <c r="A348" t="s">
        <v>352</v>
      </c>
      <c r="B348">
        <v>1</v>
      </c>
      <c r="C348">
        <v>1.0915092469773899</v>
      </c>
      <c r="D348">
        <v>1.4021406028449901</v>
      </c>
      <c r="E348">
        <v>1.2696793669670201</v>
      </c>
      <c r="F348">
        <v>1.8404000670844201</v>
      </c>
      <c r="G348">
        <v>2.5984540090563999</v>
      </c>
      <c r="H348">
        <v>2.3994877189772699</v>
      </c>
      <c r="I348">
        <v>3.2804281205689998</v>
      </c>
      <c r="J348">
        <v>4.0314686913964204</v>
      </c>
      <c r="K348">
        <v>2.3304212596624398</v>
      </c>
      <c r="L348">
        <v>1646.01962660549</v>
      </c>
      <c r="M348">
        <v>36.9599687042112</v>
      </c>
      <c r="O348">
        <v>44.405429239464702</v>
      </c>
      <c r="P348">
        <v>0.104041544667621</v>
      </c>
      <c r="Q348">
        <v>1.5</v>
      </c>
      <c r="R348">
        <v>-0.38643334562954301</v>
      </c>
      <c r="S348" t="s">
        <v>2350</v>
      </c>
      <c r="T348" t="s">
        <v>4002</v>
      </c>
      <c r="U348" t="s">
        <v>4002</v>
      </c>
      <c r="V348" t="s">
        <v>4002</v>
      </c>
      <c r="W348" t="s">
        <v>4347</v>
      </c>
      <c r="X348">
        <v>1</v>
      </c>
      <c r="Y348" t="s">
        <v>6321</v>
      </c>
      <c r="Z348" t="s">
        <v>8246</v>
      </c>
      <c r="AA348">
        <v>1.42237496679591</v>
      </c>
      <c r="AB348" t="str">
        <f>HYPERLINK("Melting_Curves/meltCurve_E9PM35_ARRB1.pdf", "Melting_Curves/meltCurve_E9PM35_ARRB1.pdf")</f>
        <v>Melting_Curves/meltCurve_E9PM35_ARRB1.pdf</v>
      </c>
    </row>
    <row r="349" spans="1:28" x14ac:dyDescent="0.25">
      <c r="A349" t="s">
        <v>353</v>
      </c>
      <c r="B349">
        <v>1</v>
      </c>
      <c r="C349">
        <v>0.95904410030658005</v>
      </c>
      <c r="D349">
        <v>1.0969263422686899</v>
      </c>
      <c r="E349">
        <v>1.08930115556953</v>
      </c>
      <c r="F349">
        <v>1.0624164766920801</v>
      </c>
      <c r="G349">
        <v>1.13678169955192</v>
      </c>
      <c r="H349">
        <v>0.80709063752849597</v>
      </c>
      <c r="I349">
        <v>1.13536671645311</v>
      </c>
      <c r="J349">
        <v>0.96053769357754903</v>
      </c>
      <c r="K349">
        <v>0.96682650735005105</v>
      </c>
      <c r="L349">
        <v>15000</v>
      </c>
      <c r="M349">
        <v>227.31507529336901</v>
      </c>
      <c r="O349">
        <v>65.982588420417301</v>
      </c>
      <c r="P349">
        <v>-3.1672529667191501E-2</v>
      </c>
      <c r="Q349">
        <v>0.96322574292208896</v>
      </c>
      <c r="R349">
        <v>-2.0686978510760599E-2</v>
      </c>
      <c r="S349" t="s">
        <v>2351</v>
      </c>
      <c r="T349" t="s">
        <v>4002</v>
      </c>
      <c r="U349" t="s">
        <v>4002</v>
      </c>
      <c r="V349" t="s">
        <v>4002</v>
      </c>
      <c r="W349" t="s">
        <v>4348</v>
      </c>
      <c r="X349">
        <v>6</v>
      </c>
      <c r="Y349" t="s">
        <v>6322</v>
      </c>
      <c r="Z349" t="s">
        <v>8247</v>
      </c>
      <c r="AA349">
        <v>0.99508684419896409</v>
      </c>
      <c r="AB349" t="str">
        <f>HYPERLINK("Melting_Curves/meltCurve_E9PMS6_LMO7.pdf", "Melting_Curves/meltCurve_E9PMS6_LMO7.pdf")</f>
        <v>Melting_Curves/meltCurve_E9PMS6_LMO7.pdf</v>
      </c>
    </row>
    <row r="350" spans="1:28" x14ac:dyDescent="0.25">
      <c r="A350" t="s">
        <v>354</v>
      </c>
      <c r="B350">
        <v>1</v>
      </c>
      <c r="C350">
        <v>0.97268230609773598</v>
      </c>
      <c r="D350">
        <v>0.82786363729655399</v>
      </c>
      <c r="E350">
        <v>1.08045481600066</v>
      </c>
      <c r="F350">
        <v>0.94951049812203703</v>
      </c>
      <c r="G350">
        <v>1.32409744884346</v>
      </c>
      <c r="H350">
        <v>1.4188986720850501</v>
      </c>
      <c r="I350">
        <v>1.67105884284629</v>
      </c>
      <c r="J350">
        <v>1.2654393202389</v>
      </c>
      <c r="K350">
        <v>1.1983662746546799</v>
      </c>
      <c r="L350">
        <v>14157.841788391899</v>
      </c>
      <c r="M350">
        <v>250</v>
      </c>
      <c r="O350">
        <v>56.627749718248701</v>
      </c>
      <c r="P350">
        <v>0.428721815198571</v>
      </c>
      <c r="Q350">
        <v>1.3884407807745101</v>
      </c>
      <c r="R350">
        <v>0.70849868246056502</v>
      </c>
      <c r="S350" t="s">
        <v>2352</v>
      </c>
      <c r="T350" t="s">
        <v>4002</v>
      </c>
      <c r="U350" t="s">
        <v>4002</v>
      </c>
      <c r="V350" t="s">
        <v>4002</v>
      </c>
      <c r="W350" t="s">
        <v>4349</v>
      </c>
      <c r="X350">
        <v>1</v>
      </c>
      <c r="Y350" t="s">
        <v>6323</v>
      </c>
      <c r="Z350" t="s">
        <v>8248</v>
      </c>
      <c r="AA350">
        <v>1.173058799996072</v>
      </c>
      <c r="AB350" t="str">
        <f>HYPERLINK("Melting_Curves/meltCurve_E9PMT1_CASP4.pdf", "Melting_Curves/meltCurve_E9PMT1_CASP4.pdf")</f>
        <v>Melting_Curves/meltCurve_E9PMT1_CASP4.pdf</v>
      </c>
    </row>
    <row r="351" spans="1:28" x14ac:dyDescent="0.25">
      <c r="A351" t="s">
        <v>355</v>
      </c>
      <c r="B351">
        <v>1</v>
      </c>
      <c r="C351">
        <v>0.92743754337265805</v>
      </c>
      <c r="D351">
        <v>0.98403886190145695</v>
      </c>
      <c r="E351">
        <v>1.09281748785566</v>
      </c>
      <c r="F351">
        <v>0.94053608605135297</v>
      </c>
      <c r="G351">
        <v>1.11606523247745</v>
      </c>
      <c r="H351">
        <v>1.0197345593338001</v>
      </c>
      <c r="I351">
        <v>1.18112421929216</v>
      </c>
      <c r="J351">
        <v>1.0369101318528799</v>
      </c>
      <c r="K351">
        <v>1.0763792505204699</v>
      </c>
      <c r="L351">
        <v>6379.9751162940802</v>
      </c>
      <c r="M351">
        <v>115.82876418930501</v>
      </c>
      <c r="O351">
        <v>55.064679938838097</v>
      </c>
      <c r="P351">
        <v>4.5130489821497102E-2</v>
      </c>
      <c r="Q351">
        <v>1.08581964769738</v>
      </c>
      <c r="R351">
        <v>0.39565071995728901</v>
      </c>
      <c r="S351" t="s">
        <v>2353</v>
      </c>
      <c r="T351" t="s">
        <v>4002</v>
      </c>
      <c r="U351" t="s">
        <v>4002</v>
      </c>
      <c r="V351" t="s">
        <v>4002</v>
      </c>
      <c r="W351" t="s">
        <v>4350</v>
      </c>
      <c r="X351">
        <v>2</v>
      </c>
      <c r="Y351" t="s">
        <v>6324</v>
      </c>
      <c r="Z351" t="s">
        <v>8249</v>
      </c>
      <c r="AA351">
        <v>1.0426391624161011</v>
      </c>
      <c r="AB351" t="str">
        <f>HYPERLINK("Melting_Curves/meltCurve_E9PN95_SCGB1A1.pdf", "Melting_Curves/meltCurve_E9PN95_SCGB1A1.pdf")</f>
        <v>Melting_Curves/meltCurve_E9PN95_SCGB1A1.pdf</v>
      </c>
    </row>
    <row r="352" spans="1:28" x14ac:dyDescent="0.25">
      <c r="A352" t="s">
        <v>356</v>
      </c>
      <c r="B352">
        <v>1</v>
      </c>
      <c r="C352">
        <v>0.85412321740600905</v>
      </c>
      <c r="D352">
        <v>0.79747477594273197</v>
      </c>
      <c r="E352">
        <v>0.73795163744997505</v>
      </c>
      <c r="F352">
        <v>0.74020630178682201</v>
      </c>
      <c r="G352">
        <v>0.69945324389831498</v>
      </c>
      <c r="H352">
        <v>0.71055746575728496</v>
      </c>
      <c r="I352">
        <v>0.73733160475734205</v>
      </c>
      <c r="J352">
        <v>0.89701820641452001</v>
      </c>
      <c r="K352">
        <v>0.64117017079082395</v>
      </c>
      <c r="L352">
        <v>1261.5666491577799</v>
      </c>
      <c r="M352">
        <v>29.335703368490101</v>
      </c>
      <c r="O352">
        <v>42.806140852351199</v>
      </c>
      <c r="P352">
        <v>-4.47211690105737E-2</v>
      </c>
      <c r="Q352">
        <v>0.73897656837942305</v>
      </c>
      <c r="R352">
        <v>0.62700638842487899</v>
      </c>
      <c r="S352" t="s">
        <v>2354</v>
      </c>
      <c r="T352" t="s">
        <v>4002</v>
      </c>
      <c r="U352" t="s">
        <v>4002</v>
      </c>
      <c r="V352" t="s">
        <v>4002</v>
      </c>
      <c r="W352" t="s">
        <v>4351</v>
      </c>
      <c r="X352">
        <v>1</v>
      </c>
      <c r="Y352" t="s">
        <v>6325</v>
      </c>
      <c r="Z352" t="s">
        <v>8250</v>
      </c>
      <c r="AA352">
        <v>0.76765867164324064</v>
      </c>
      <c r="AB352" t="str">
        <f>HYPERLINK("Melting_Curves/meltCurve_E9PNK6_TPD52L1.pdf", "Melting_Curves/meltCurve_E9PNK6_TPD52L1.pdf")</f>
        <v>Melting_Curves/meltCurve_E9PNK6_TPD52L1.pdf</v>
      </c>
    </row>
    <row r="353" spans="1:28" x14ac:dyDescent="0.25">
      <c r="A353" t="s">
        <v>357</v>
      </c>
      <c r="B353">
        <v>1</v>
      </c>
      <c r="C353">
        <v>0.87402847248941895</v>
      </c>
      <c r="D353">
        <v>1.06694882647172</v>
      </c>
      <c r="E353">
        <v>0.96758368603308997</v>
      </c>
      <c r="F353">
        <v>0.91156213928434005</v>
      </c>
      <c r="G353">
        <v>1.0074066948826499</v>
      </c>
      <c r="H353">
        <v>0.80867641400538703</v>
      </c>
      <c r="I353">
        <v>1.1757406694882599</v>
      </c>
      <c r="J353">
        <v>1.3759138130049999</v>
      </c>
      <c r="K353">
        <v>1.0195267410542499</v>
      </c>
      <c r="L353">
        <v>15000</v>
      </c>
      <c r="M353">
        <v>236.44400938673601</v>
      </c>
      <c r="O353">
        <v>63.435429871733803</v>
      </c>
      <c r="P353">
        <v>0.18429413576631701</v>
      </c>
      <c r="Q353">
        <v>1.19777667211088</v>
      </c>
      <c r="R353">
        <v>0.44740663370532302</v>
      </c>
      <c r="S353" t="s">
        <v>2355</v>
      </c>
      <c r="T353" t="s">
        <v>4002</v>
      </c>
      <c r="U353" t="s">
        <v>4002</v>
      </c>
      <c r="V353" t="s">
        <v>4002</v>
      </c>
      <c r="W353" t="s">
        <v>4352</v>
      </c>
      <c r="X353">
        <v>3</v>
      </c>
      <c r="Y353" t="s">
        <v>6326</v>
      </c>
      <c r="Z353" t="s">
        <v>8251</v>
      </c>
      <c r="AA353">
        <v>1.0432227698349399</v>
      </c>
      <c r="AB353" t="str">
        <f>HYPERLINK("Melting_Curves/meltCurve_E9PNW0_NAP1L4.pdf", "Melting_Curves/meltCurve_E9PNW0_NAP1L4.pdf")</f>
        <v>Melting_Curves/meltCurve_E9PNW0_NAP1L4.pdf</v>
      </c>
    </row>
    <row r="354" spans="1:28" x14ac:dyDescent="0.25">
      <c r="A354" t="s">
        <v>358</v>
      </c>
      <c r="B354">
        <v>1</v>
      </c>
      <c r="C354">
        <v>0.95445416482282097</v>
      </c>
      <c r="D354">
        <v>1.0528985260578001</v>
      </c>
      <c r="E354">
        <v>1.0926915614256001</v>
      </c>
      <c r="F354">
        <v>0.95207134833372997</v>
      </c>
      <c r="G354">
        <v>1.0393164720699899</v>
      </c>
      <c r="H354">
        <v>0.72192531572318497</v>
      </c>
      <c r="I354">
        <v>1.1559042788576099</v>
      </c>
      <c r="J354">
        <v>0.76253531674439201</v>
      </c>
      <c r="K354">
        <v>0.79347789086700504</v>
      </c>
      <c r="L354">
        <v>807.27605463630505</v>
      </c>
      <c r="M354">
        <v>10.2541010944945</v>
      </c>
      <c r="Q354">
        <v>0</v>
      </c>
      <c r="R354">
        <v>0.28471452010165998</v>
      </c>
      <c r="S354" t="s">
        <v>2356</v>
      </c>
      <c r="T354" t="s">
        <v>4002</v>
      </c>
      <c r="U354" t="s">
        <v>4002</v>
      </c>
      <c r="V354" t="s">
        <v>4002</v>
      </c>
      <c r="W354" t="s">
        <v>4353</v>
      </c>
      <c r="X354">
        <v>7</v>
      </c>
      <c r="Y354" t="s">
        <v>6327</v>
      </c>
      <c r="Z354" t="s">
        <v>8252</v>
      </c>
      <c r="AA354">
        <v>0.95761483860620966</v>
      </c>
      <c r="AB354" t="str">
        <f>HYPERLINK("Melting_Curves/meltCurve_E9PNW4_CD59.pdf", "Melting_Curves/meltCurve_E9PNW4_CD59.pdf")</f>
        <v>Melting_Curves/meltCurve_E9PNW4_CD59.pdf</v>
      </c>
    </row>
    <row r="355" spans="1:28" x14ac:dyDescent="0.25">
      <c r="A355" t="s">
        <v>359</v>
      </c>
      <c r="B355">
        <v>1</v>
      </c>
      <c r="C355">
        <v>1.0011169856281199</v>
      </c>
      <c r="D355">
        <v>1.01184004765805</v>
      </c>
      <c r="E355">
        <v>0.93164047955916296</v>
      </c>
      <c r="F355">
        <v>1.00059572566833</v>
      </c>
      <c r="G355">
        <v>0.96269268002084996</v>
      </c>
      <c r="H355">
        <v>0.87340829547993104</v>
      </c>
      <c r="I355">
        <v>1.0804974309330599</v>
      </c>
      <c r="J355">
        <v>1.29354382306948</v>
      </c>
      <c r="K355">
        <v>0.87459974681659103</v>
      </c>
      <c r="L355">
        <v>1312.0801784051901</v>
      </c>
      <c r="M355">
        <v>20.695810520460402</v>
      </c>
      <c r="O355">
        <v>62.815330311307903</v>
      </c>
      <c r="P355">
        <v>5.3266526408066901E-3</v>
      </c>
      <c r="Q355">
        <v>1.0646673744616899</v>
      </c>
      <c r="R355">
        <v>5.5461475934217699E-2</v>
      </c>
      <c r="S355" t="s">
        <v>2357</v>
      </c>
      <c r="T355" t="s">
        <v>4002</v>
      </c>
      <c r="U355" t="s">
        <v>4002</v>
      </c>
      <c r="V355" t="s">
        <v>4002</v>
      </c>
      <c r="W355" t="s">
        <v>4354</v>
      </c>
      <c r="X355">
        <v>2</v>
      </c>
      <c r="Y355" t="s">
        <v>6328</v>
      </c>
      <c r="Z355" t="s">
        <v>8253</v>
      </c>
      <c r="AA355">
        <v>1.014355896031875</v>
      </c>
      <c r="AB355" t="str">
        <f>HYPERLINK("Melting_Curves/meltCurve_E9PP21_CSRP1.pdf", "Melting_Curves/meltCurve_E9PP21_CSRP1.pdf")</f>
        <v>Melting_Curves/meltCurve_E9PP21_CSRP1.pdf</v>
      </c>
    </row>
    <row r="356" spans="1:28" x14ac:dyDescent="0.25">
      <c r="A356" t="s">
        <v>360</v>
      </c>
      <c r="B356">
        <v>1</v>
      </c>
      <c r="C356">
        <v>0.90773189693711798</v>
      </c>
      <c r="D356">
        <v>1.0949613459672201</v>
      </c>
      <c r="E356">
        <v>1.02017206223899</v>
      </c>
      <c r="F356">
        <v>1.0841120476278701</v>
      </c>
      <c r="G356">
        <v>1.22417158247102</v>
      </c>
      <c r="H356">
        <v>0.97513929626762297</v>
      </c>
      <c r="I356">
        <v>1.5257711724874901</v>
      </c>
      <c r="J356">
        <v>1.0169336284633299</v>
      </c>
      <c r="K356">
        <v>1.3229601683549399</v>
      </c>
      <c r="L356">
        <v>634.64532574242298</v>
      </c>
      <c r="M356">
        <v>11.1797105524056</v>
      </c>
      <c r="O356">
        <v>55.042155721994</v>
      </c>
      <c r="P356">
        <v>1.43565447084976E-2</v>
      </c>
      <c r="Q356">
        <v>1.2826422642406601</v>
      </c>
      <c r="R356">
        <v>0.31655282202734097</v>
      </c>
      <c r="S356" t="s">
        <v>2358</v>
      </c>
      <c r="T356" t="s">
        <v>4002</v>
      </c>
      <c r="U356" t="s">
        <v>4002</v>
      </c>
      <c r="V356" t="s">
        <v>4002</v>
      </c>
      <c r="W356" t="s">
        <v>4355</v>
      </c>
      <c r="X356">
        <v>2</v>
      </c>
      <c r="Y356" t="s">
        <v>6329</v>
      </c>
      <c r="Z356" t="s">
        <v>8254</v>
      </c>
      <c r="AA356">
        <v>1.119672035817979</v>
      </c>
      <c r="AB356" t="str">
        <f>HYPERLINK("Melting_Curves/meltCurve_E9PP76_CCS.pdf", "Melting_Curves/meltCurve_E9PP76_CCS.pdf")</f>
        <v>Melting_Curves/meltCurve_E9PP76_CCS.pdf</v>
      </c>
    </row>
    <row r="357" spans="1:28" x14ac:dyDescent="0.25">
      <c r="A357" t="s">
        <v>361</v>
      </c>
      <c r="B357">
        <v>1</v>
      </c>
      <c r="C357">
        <v>0.98468569206086798</v>
      </c>
      <c r="D357">
        <v>1.0464777091740001</v>
      </c>
      <c r="E357">
        <v>1.00539647041665</v>
      </c>
      <c r="F357">
        <v>0.99647527833146998</v>
      </c>
      <c r="G357">
        <v>1.0436822402644801</v>
      </c>
      <c r="H357">
        <v>0.52530507073751798</v>
      </c>
      <c r="I357">
        <v>1.1270601390441899</v>
      </c>
      <c r="J357">
        <v>0.49239146288103502</v>
      </c>
      <c r="K357">
        <v>0.69480772035587501</v>
      </c>
      <c r="L357">
        <v>1015.0390454677801</v>
      </c>
      <c r="M357">
        <v>16.2974982238255</v>
      </c>
      <c r="O357">
        <v>61.3668239674342</v>
      </c>
      <c r="P357">
        <v>-2.6671196175363499E-2</v>
      </c>
      <c r="Q357">
        <v>0.59831694509024003</v>
      </c>
      <c r="R357">
        <v>0.391186613367285</v>
      </c>
      <c r="S357" t="s">
        <v>2359</v>
      </c>
      <c r="T357" t="s">
        <v>4002</v>
      </c>
      <c r="U357" t="s">
        <v>4002</v>
      </c>
      <c r="V357" t="s">
        <v>4002</v>
      </c>
      <c r="W357" t="s">
        <v>4356</v>
      </c>
      <c r="X357">
        <v>3</v>
      </c>
      <c r="Y357" t="s">
        <v>6330</v>
      </c>
      <c r="Z357" t="s">
        <v>8255</v>
      </c>
      <c r="AA357">
        <v>0.89583651278478649</v>
      </c>
      <c r="AB357" t="str">
        <f>HYPERLINK("Melting_Curves/meltCurve_E9PPG2_AMPD3.pdf", "Melting_Curves/meltCurve_E9PPG2_AMPD3.pdf")</f>
        <v>Melting_Curves/meltCurve_E9PPG2_AMPD3.pdf</v>
      </c>
    </row>
    <row r="358" spans="1:28" x14ac:dyDescent="0.25">
      <c r="A358" t="s">
        <v>362</v>
      </c>
      <c r="B358">
        <v>1</v>
      </c>
      <c r="C358">
        <v>1.1369622475856</v>
      </c>
      <c r="D358">
        <v>1.0473166084471299</v>
      </c>
      <c r="E358">
        <v>1.1036556890142499</v>
      </c>
      <c r="F358">
        <v>1.01313208675023</v>
      </c>
      <c r="G358">
        <v>1.03491304429044</v>
      </c>
      <c r="H358">
        <v>1.0576280051557001</v>
      </c>
      <c r="I358">
        <v>1.53792987503036</v>
      </c>
      <c r="J358">
        <v>1.7174079539723199</v>
      </c>
      <c r="K358">
        <v>1.3801767134291001</v>
      </c>
      <c r="L358">
        <v>15000</v>
      </c>
      <c r="M358">
        <v>243.86404916466299</v>
      </c>
      <c r="O358">
        <v>61.505545054082702</v>
      </c>
      <c r="P358">
        <v>0.495613953210775</v>
      </c>
      <c r="Q358">
        <v>1.5</v>
      </c>
      <c r="R358">
        <v>0.83220101283777403</v>
      </c>
      <c r="S358" t="s">
        <v>2360</v>
      </c>
      <c r="T358" t="s">
        <v>4002</v>
      </c>
      <c r="U358" t="s">
        <v>4002</v>
      </c>
      <c r="V358" t="s">
        <v>4002</v>
      </c>
      <c r="W358" t="s">
        <v>4357</v>
      </c>
      <c r="X358">
        <v>1</v>
      </c>
      <c r="Y358" t="s">
        <v>6331</v>
      </c>
      <c r="Z358" t="s">
        <v>8256</v>
      </c>
      <c r="AA358">
        <v>1.1414485826745551</v>
      </c>
      <c r="AB358" t="str">
        <f>HYPERLINK("Melting_Curves/meltCurve_E9PPH5_ANP32E.pdf", "Melting_Curves/meltCurve_E9PPH5_ANP32E.pdf")</f>
        <v>Melting_Curves/meltCurve_E9PPH5_ANP32E.pdf</v>
      </c>
    </row>
    <row r="359" spans="1:28" x14ac:dyDescent="0.25">
      <c r="A359" t="s">
        <v>363</v>
      </c>
      <c r="B359">
        <v>1</v>
      </c>
      <c r="C359">
        <v>0.946012428793371</v>
      </c>
      <c r="D359">
        <v>1.17277317452097</v>
      </c>
      <c r="E359">
        <v>1.24482133609529</v>
      </c>
      <c r="F359">
        <v>1.14092439150699</v>
      </c>
      <c r="G359">
        <v>1.2754401864319</v>
      </c>
      <c r="H359">
        <v>0.67626877265665497</v>
      </c>
      <c r="I359">
        <v>1.2735629207664401</v>
      </c>
      <c r="J359">
        <v>0.592749870533402</v>
      </c>
      <c r="K359">
        <v>0.81732263076126399</v>
      </c>
      <c r="L359">
        <v>15000</v>
      </c>
      <c r="M359">
        <v>228.68509079931599</v>
      </c>
      <c r="O359">
        <v>65.587366449760907</v>
      </c>
      <c r="P359">
        <v>-0.25735179518569201</v>
      </c>
      <c r="Q359">
        <v>0.70476384965161099</v>
      </c>
      <c r="R359">
        <v>0.30240851942505298</v>
      </c>
      <c r="S359" t="s">
        <v>2361</v>
      </c>
      <c r="T359" t="s">
        <v>4002</v>
      </c>
      <c r="U359" t="s">
        <v>4002</v>
      </c>
      <c r="V359" t="s">
        <v>4002</v>
      </c>
      <c r="W359" t="s">
        <v>4358</v>
      </c>
      <c r="X359">
        <v>2</v>
      </c>
      <c r="Y359" t="s">
        <v>6332</v>
      </c>
      <c r="Z359" t="s">
        <v>8257</v>
      </c>
      <c r="AA359">
        <v>0.95666435107702685</v>
      </c>
      <c r="AB359" t="str">
        <f>HYPERLINK("Melting_Curves/meltCurve_E9PPJ5_MDK.pdf", "Melting_Curves/meltCurve_E9PPJ5_MDK.pdf")</f>
        <v>Melting_Curves/meltCurve_E9PPJ5_MDK.pdf</v>
      </c>
    </row>
    <row r="360" spans="1:28" x14ac:dyDescent="0.25">
      <c r="A360" t="s">
        <v>364</v>
      </c>
      <c r="B360">
        <v>1</v>
      </c>
      <c r="C360">
        <v>0.97087638047737801</v>
      </c>
      <c r="D360">
        <v>0.99768436052725296</v>
      </c>
      <c r="E360">
        <v>1.03909868186676</v>
      </c>
      <c r="F360">
        <v>0.95983256145350904</v>
      </c>
      <c r="G360">
        <v>1.0298361239757701</v>
      </c>
      <c r="H360">
        <v>0.86458852867830405</v>
      </c>
      <c r="I360">
        <v>1.1931777698610599</v>
      </c>
      <c r="J360">
        <v>0.91699323120769505</v>
      </c>
      <c r="K360">
        <v>0.91405415033843995</v>
      </c>
      <c r="L360">
        <v>15000</v>
      </c>
      <c r="M360">
        <v>226.58212927347</v>
      </c>
      <c r="O360">
        <v>66.196003613688106</v>
      </c>
      <c r="P360">
        <v>-7.4562553149022701E-2</v>
      </c>
      <c r="Q360">
        <v>0.91286615502370005</v>
      </c>
      <c r="R360">
        <v>0.176323123377572</v>
      </c>
      <c r="S360" t="s">
        <v>2362</v>
      </c>
      <c r="T360" t="s">
        <v>4002</v>
      </c>
      <c r="U360" t="s">
        <v>4002</v>
      </c>
      <c r="V360" t="s">
        <v>4002</v>
      </c>
      <c r="W360" t="s">
        <v>4359</v>
      </c>
      <c r="X360">
        <v>2</v>
      </c>
      <c r="Y360" t="s">
        <v>6333</v>
      </c>
      <c r="Z360" t="s">
        <v>8258</v>
      </c>
      <c r="AA360">
        <v>0.98897873842590978</v>
      </c>
      <c r="AB360" t="str">
        <f>HYPERLINK("Melting_Curves/meltCurve_E9PQI5_CHMP4A.pdf", "Melting_Curves/meltCurve_E9PQI5_CHMP4A.pdf")</f>
        <v>Melting_Curves/meltCurve_E9PQI5_CHMP4A.pdf</v>
      </c>
    </row>
    <row r="361" spans="1:28" x14ac:dyDescent="0.25">
      <c r="A361" t="s">
        <v>365</v>
      </c>
      <c r="B361">
        <v>1</v>
      </c>
      <c r="C361">
        <v>0.79072438162544201</v>
      </c>
      <c r="D361">
        <v>0.84818904593639599</v>
      </c>
      <c r="E361">
        <v>0.88716872791519397</v>
      </c>
      <c r="F361">
        <v>0.70585247349823299</v>
      </c>
      <c r="G361">
        <v>0.80015459363957597</v>
      </c>
      <c r="H361">
        <v>0.70653710247349799</v>
      </c>
      <c r="I361">
        <v>0.81020318021201398</v>
      </c>
      <c r="J361">
        <v>0.91700530035335703</v>
      </c>
      <c r="K361">
        <v>0.72274734982332201</v>
      </c>
      <c r="L361">
        <v>10275.2895688725</v>
      </c>
      <c r="M361">
        <v>250</v>
      </c>
      <c r="O361">
        <v>41.098504515105702</v>
      </c>
      <c r="P361">
        <v>-0.30607730387834797</v>
      </c>
      <c r="Q361">
        <v>0.798730772541691</v>
      </c>
      <c r="R361">
        <v>0.43499930181658403</v>
      </c>
      <c r="S361" t="s">
        <v>2363</v>
      </c>
      <c r="T361" t="s">
        <v>4002</v>
      </c>
      <c r="U361" t="s">
        <v>4002</v>
      </c>
      <c r="V361" t="s">
        <v>4002</v>
      </c>
      <c r="W361" t="s">
        <v>4360</v>
      </c>
      <c r="X361">
        <v>1</v>
      </c>
      <c r="Y361" t="s">
        <v>6334</v>
      </c>
      <c r="Z361" t="s">
        <v>8259</v>
      </c>
      <c r="AA361">
        <v>0.80613399586709056</v>
      </c>
      <c r="AB361" t="str">
        <f>HYPERLINK("Melting_Curves/meltCurve_E9PQI8_SART1.pdf", "Melting_Curves/meltCurve_E9PQI8_SART1.pdf")</f>
        <v>Melting_Curves/meltCurve_E9PQI8_SART1.pdf</v>
      </c>
    </row>
    <row r="362" spans="1:28" x14ac:dyDescent="0.25">
      <c r="A362" t="s">
        <v>366</v>
      </c>
      <c r="B362">
        <v>1</v>
      </c>
      <c r="C362">
        <v>0.87991609858416397</v>
      </c>
      <c r="D362">
        <v>0.89923090368816605</v>
      </c>
      <c r="E362">
        <v>1.0589057857018001</v>
      </c>
      <c r="F362">
        <v>1.0242964516692901</v>
      </c>
      <c r="G362">
        <v>1.2190176542562501</v>
      </c>
      <c r="H362">
        <v>1.2487327390316401</v>
      </c>
      <c r="I362">
        <v>1.5742877119384699</v>
      </c>
      <c r="J362">
        <v>1.8064149624191601</v>
      </c>
      <c r="K362">
        <v>1.4854920468449599</v>
      </c>
      <c r="L362">
        <v>1738.02017078415</v>
      </c>
      <c r="M362">
        <v>29.819392247873701</v>
      </c>
      <c r="O362">
        <v>58.024653657798297</v>
      </c>
      <c r="P362">
        <v>6.42390551099392E-2</v>
      </c>
      <c r="Q362">
        <v>1.5</v>
      </c>
      <c r="R362">
        <v>0.81262171864970101</v>
      </c>
      <c r="S362" t="s">
        <v>2364</v>
      </c>
      <c r="T362" t="s">
        <v>4002</v>
      </c>
      <c r="U362" t="s">
        <v>4002</v>
      </c>
      <c r="V362" t="s">
        <v>4002</v>
      </c>
      <c r="W362" t="s">
        <v>4361</v>
      </c>
      <c r="X362">
        <v>3</v>
      </c>
      <c r="Y362" t="s">
        <v>6335</v>
      </c>
      <c r="Z362" t="s">
        <v>8260</v>
      </c>
      <c r="AA362">
        <v>1.1919476868318459</v>
      </c>
      <c r="AB362" t="str">
        <f>HYPERLINK("Melting_Curves/meltCurve_E9PQW4_MAPK3.pdf", "Melting_Curves/meltCurve_E9PQW4_MAPK3.pdf")</f>
        <v>Melting_Curves/meltCurve_E9PQW4_MAPK3.pdf</v>
      </c>
    </row>
    <row r="363" spans="1:28" x14ac:dyDescent="0.25">
      <c r="A363" t="s">
        <v>367</v>
      </c>
      <c r="B363">
        <v>1</v>
      </c>
      <c r="C363">
        <v>0.98325152946102501</v>
      </c>
      <c r="D363">
        <v>0.910767870850683</v>
      </c>
      <c r="E363">
        <v>1.0688315615622599</v>
      </c>
      <c r="F363">
        <v>1.06843611156342</v>
      </c>
      <c r="G363">
        <v>1.10723673497872</v>
      </c>
      <c r="H363">
        <v>0.97657540301007195</v>
      </c>
      <c r="I363">
        <v>1.4025680988159801</v>
      </c>
      <c r="J363">
        <v>1.14110586429087</v>
      </c>
      <c r="K363">
        <v>1.1847216729861101</v>
      </c>
      <c r="L363">
        <v>807.25131772889597</v>
      </c>
      <c r="M363">
        <v>13.728375837742201</v>
      </c>
      <c r="O363">
        <v>57.596092801411601</v>
      </c>
      <c r="P363">
        <v>1.41166525147847E-2</v>
      </c>
      <c r="Q363">
        <v>1.2368664456093801</v>
      </c>
      <c r="R363">
        <v>0.44977292621950998</v>
      </c>
      <c r="S363" t="s">
        <v>2365</v>
      </c>
      <c r="T363" t="s">
        <v>4002</v>
      </c>
      <c r="U363" t="s">
        <v>4002</v>
      </c>
      <c r="V363" t="s">
        <v>4002</v>
      </c>
      <c r="W363" t="s">
        <v>4362</v>
      </c>
      <c r="X363">
        <v>2</v>
      </c>
      <c r="Y363" t="s">
        <v>6336</v>
      </c>
      <c r="Z363" t="s">
        <v>8261</v>
      </c>
      <c r="AA363">
        <v>1.0859056558801199</v>
      </c>
      <c r="AB363" t="str">
        <f>HYPERLINK("Melting_Curves/meltCurve_E9PRA0_TMPRSS13.pdf", "Melting_Curves/meltCurve_E9PRA0_TMPRSS13.pdf")</f>
        <v>Melting_Curves/meltCurve_E9PRA0_TMPRSS13.pdf</v>
      </c>
    </row>
    <row r="364" spans="1:28" x14ac:dyDescent="0.25">
      <c r="A364" t="s">
        <v>368</v>
      </c>
      <c r="B364">
        <v>1</v>
      </c>
      <c r="C364">
        <v>0.96395255783954203</v>
      </c>
      <c r="D364">
        <v>1.2173476822378599</v>
      </c>
      <c r="E364">
        <v>1.2793378163706499</v>
      </c>
      <c r="F364">
        <v>1.3003595188896699</v>
      </c>
      <c r="G364">
        <v>1.47426633063794</v>
      </c>
      <c r="H364">
        <v>1.3180368596443</v>
      </c>
      <c r="I364">
        <v>1.71398540424973</v>
      </c>
      <c r="J364">
        <v>1.41908436152551</v>
      </c>
      <c r="K364">
        <v>1.3237700512404</v>
      </c>
      <c r="L364">
        <v>791.44916062044501</v>
      </c>
      <c r="M364">
        <v>16.366464773521901</v>
      </c>
      <c r="O364">
        <v>47.653316966080602</v>
      </c>
      <c r="P364">
        <v>3.8938413895092498E-2</v>
      </c>
      <c r="Q364">
        <v>1.4534666388377</v>
      </c>
      <c r="R364">
        <v>0.70646227295910202</v>
      </c>
      <c r="S364" t="s">
        <v>2366</v>
      </c>
      <c r="T364" t="s">
        <v>4002</v>
      </c>
      <c r="U364" t="s">
        <v>4002</v>
      </c>
      <c r="V364" t="s">
        <v>4002</v>
      </c>
      <c r="W364" t="s">
        <v>4363</v>
      </c>
      <c r="X364">
        <v>3</v>
      </c>
      <c r="Y364" t="s">
        <v>6337</v>
      </c>
      <c r="Z364" t="s">
        <v>8262</v>
      </c>
      <c r="AA364">
        <v>1.317466476460204</v>
      </c>
      <c r="AB364" t="str">
        <f>HYPERLINK("Melting_Curves/meltCurve_E9PRD9_VNN2.pdf", "Melting_Curves/meltCurve_E9PRD9_VNN2.pdf")</f>
        <v>Melting_Curves/meltCurve_E9PRD9_VNN2.pdf</v>
      </c>
    </row>
    <row r="365" spans="1:28" x14ac:dyDescent="0.25">
      <c r="A365" t="s">
        <v>369</v>
      </c>
      <c r="B365">
        <v>1</v>
      </c>
      <c r="C365">
        <v>0.72979886059760501</v>
      </c>
      <c r="D365">
        <v>0.82728752470642897</v>
      </c>
      <c r="E365">
        <v>0.82071852110219701</v>
      </c>
      <c r="F365">
        <v>0.93948378095570295</v>
      </c>
      <c r="G365">
        <v>1.05842343913498</v>
      </c>
      <c r="H365">
        <v>0.91745145913265902</v>
      </c>
      <c r="I365">
        <v>1.21497500290664</v>
      </c>
      <c r="J365">
        <v>1.4422741541681201</v>
      </c>
      <c r="K365">
        <v>0.78985001743983296</v>
      </c>
      <c r="L365">
        <v>2867.7011301417001</v>
      </c>
      <c r="M365">
        <v>46.167323259089201</v>
      </c>
      <c r="O365">
        <v>61.999185574819201</v>
      </c>
      <c r="P365">
        <v>2.5701418580115001E-2</v>
      </c>
      <c r="Q365">
        <v>1.13805998507159</v>
      </c>
      <c r="R365">
        <v>0.102208721666223</v>
      </c>
      <c r="S365" t="s">
        <v>2367</v>
      </c>
      <c r="T365" t="s">
        <v>4002</v>
      </c>
      <c r="U365" t="s">
        <v>4002</v>
      </c>
      <c r="V365" t="s">
        <v>4002</v>
      </c>
      <c r="W365" t="s">
        <v>4364</v>
      </c>
      <c r="X365">
        <v>1</v>
      </c>
      <c r="Y365" t="s">
        <v>6338</v>
      </c>
      <c r="Z365" t="s">
        <v>8263</v>
      </c>
      <c r="AA365">
        <v>1.0358864033727999</v>
      </c>
      <c r="AB365" t="str">
        <f>HYPERLINK("Melting_Curves/meltCurve_E9PRM4_CYB5R2.pdf", "Melting_Curves/meltCurve_E9PRM4_CYB5R2.pdf")</f>
        <v>Melting_Curves/meltCurve_E9PRM4_CYB5R2.pdf</v>
      </c>
    </row>
    <row r="366" spans="1:28" x14ac:dyDescent="0.25">
      <c r="A366" t="s">
        <v>370</v>
      </c>
      <c r="B366">
        <v>1</v>
      </c>
      <c r="C366">
        <v>0.89563349320543595</v>
      </c>
      <c r="D366">
        <v>0.99155675459632298</v>
      </c>
      <c r="E366">
        <v>0.970173860911271</v>
      </c>
      <c r="F366">
        <v>0.94044764188649099</v>
      </c>
      <c r="G366">
        <v>0.92610911270983198</v>
      </c>
      <c r="H366">
        <v>0.96337929656275001</v>
      </c>
      <c r="I366">
        <v>0.95328737010391695</v>
      </c>
      <c r="J366">
        <v>0.90592525979216598</v>
      </c>
      <c r="K366">
        <v>0.91207034372502005</v>
      </c>
      <c r="L366">
        <v>106.637766900046</v>
      </c>
      <c r="M366">
        <v>1.0000000000000001E-5</v>
      </c>
      <c r="O366">
        <v>44.444248548609799</v>
      </c>
      <c r="P366">
        <v>-1.7871368229740801E-3</v>
      </c>
      <c r="Q366">
        <v>0.56611525909638705</v>
      </c>
      <c r="R366">
        <v>0.21478346894558101</v>
      </c>
      <c r="S366" t="s">
        <v>2368</v>
      </c>
      <c r="T366" t="s">
        <v>4002</v>
      </c>
      <c r="U366" t="s">
        <v>4002</v>
      </c>
      <c r="V366" t="s">
        <v>4002</v>
      </c>
      <c r="W366" t="s">
        <v>4365</v>
      </c>
      <c r="X366">
        <v>2</v>
      </c>
      <c r="Y366" t="s">
        <v>6339</v>
      </c>
      <c r="Z366" t="s">
        <v>8264</v>
      </c>
      <c r="AA366">
        <v>0.94600949235958465</v>
      </c>
      <c r="AB366" t="str">
        <f>HYPERLINK("Melting_Curves/meltCurve_E9PRR2_PRSS23.pdf", "Melting_Curves/meltCurve_E9PRR2_PRSS23.pdf")</f>
        <v>Melting_Curves/meltCurve_E9PRR2_PRSS23.pdf</v>
      </c>
    </row>
    <row r="367" spans="1:28" x14ac:dyDescent="0.25">
      <c r="A367" t="s">
        <v>371</v>
      </c>
      <c r="B367">
        <v>1</v>
      </c>
      <c r="C367">
        <v>0.90841028851672101</v>
      </c>
      <c r="D367">
        <v>0.94806177283873305</v>
      </c>
      <c r="E367">
        <v>0.77852559085928896</v>
      </c>
      <c r="F367">
        <v>0.53923410027651697</v>
      </c>
      <c r="G367">
        <v>0.48854802525173502</v>
      </c>
      <c r="H367">
        <v>0.21085981113371899</v>
      </c>
      <c r="I367">
        <v>0.30479469922262198</v>
      </c>
      <c r="J367">
        <v>0.63450200866071904</v>
      </c>
      <c r="K367">
        <v>0.17804559920697</v>
      </c>
      <c r="L367">
        <v>1025.92027556825</v>
      </c>
      <c r="M367">
        <v>19.957225323546201</v>
      </c>
      <c r="N367">
        <v>54.4023372966737</v>
      </c>
      <c r="O367">
        <v>50.898167983873499</v>
      </c>
      <c r="P367">
        <v>-6.5342605424556499E-2</v>
      </c>
      <c r="Q367">
        <v>0.33343241657901501</v>
      </c>
      <c r="R367">
        <v>0.82271533363351301</v>
      </c>
      <c r="S367" t="s">
        <v>2369</v>
      </c>
      <c r="T367" t="s">
        <v>4002</v>
      </c>
      <c r="U367" t="s">
        <v>4002</v>
      </c>
      <c r="V367" t="s">
        <v>4002</v>
      </c>
      <c r="W367" t="s">
        <v>4366</v>
      </c>
      <c r="X367">
        <v>1</v>
      </c>
      <c r="Y367" t="s">
        <v>6340</v>
      </c>
      <c r="Z367" t="s">
        <v>8265</v>
      </c>
      <c r="AA367">
        <v>0.5961401618225266</v>
      </c>
      <c r="AB367" t="str">
        <f>HYPERLINK("Melting_Curves/meltCurve_E9PRX5_ZNF720.pdf", "Melting_Curves/meltCurve_E9PRX5_ZNF720.pdf")</f>
        <v>Melting_Curves/meltCurve_E9PRX5_ZNF720.pdf</v>
      </c>
    </row>
    <row r="368" spans="1:28" x14ac:dyDescent="0.25">
      <c r="A368" t="s">
        <v>372</v>
      </c>
      <c r="B368">
        <v>1</v>
      </c>
      <c r="C368">
        <v>0.99311477057611397</v>
      </c>
      <c r="D368">
        <v>1.2712043288157699</v>
      </c>
      <c r="E368">
        <v>1.2875714070326501</v>
      </c>
      <c r="F368">
        <v>0.79578845090714201</v>
      </c>
      <c r="G368">
        <v>1.0859229725428401</v>
      </c>
      <c r="H368">
        <v>0.24321109677851699</v>
      </c>
      <c r="I368">
        <v>1.29961637042869</v>
      </c>
      <c r="J368">
        <v>0.16010419982242499</v>
      </c>
      <c r="K368">
        <v>0.22806694252257401</v>
      </c>
      <c r="L368">
        <v>1195.0779406240499</v>
      </c>
      <c r="M368">
        <v>18.1121100504174</v>
      </c>
      <c r="N368">
        <v>65.982267298006406</v>
      </c>
      <c r="O368">
        <v>65.193695896770194</v>
      </c>
      <c r="P368">
        <v>-6.9458337199664294E-2</v>
      </c>
      <c r="Q368">
        <v>0</v>
      </c>
      <c r="R368">
        <v>0.44487620724362797</v>
      </c>
      <c r="S368" t="s">
        <v>2370</v>
      </c>
      <c r="T368" t="s">
        <v>4002</v>
      </c>
      <c r="U368" t="s">
        <v>4002</v>
      </c>
      <c r="V368" t="s">
        <v>4002</v>
      </c>
      <c r="W368" t="s">
        <v>4367</v>
      </c>
      <c r="X368">
        <v>5</v>
      </c>
      <c r="Y368" t="s">
        <v>6318</v>
      </c>
      <c r="Z368" t="s">
        <v>8266</v>
      </c>
      <c r="AA368">
        <v>0.84126966911087542</v>
      </c>
      <c r="AB368" t="str">
        <f>HYPERLINK("Melting_Curves/meltCurve_E9PS38_NEDD8_MDP1.pdf", "Melting_Curves/meltCurve_E9PS38_NEDD8_MDP1.pdf")</f>
        <v>Melting_Curves/meltCurve_E9PS38_NEDD8_MDP1.pdf</v>
      </c>
    </row>
    <row r="369" spans="1:28" x14ac:dyDescent="0.25">
      <c r="A369" t="s">
        <v>373</v>
      </c>
      <c r="B369">
        <v>1</v>
      </c>
      <c r="C369">
        <v>0.98943437562238601</v>
      </c>
      <c r="D369">
        <v>1.0107548297152</v>
      </c>
      <c r="E369">
        <v>1.11192989444334</v>
      </c>
      <c r="F369">
        <v>1.04919338777136</v>
      </c>
      <c r="G369">
        <v>1.10037841067516</v>
      </c>
      <c r="H369">
        <v>0.92300338577972496</v>
      </c>
      <c r="I369">
        <v>1.40181238797052</v>
      </c>
      <c r="J369">
        <v>1.04232224656443</v>
      </c>
      <c r="K369">
        <v>1.15166301533559</v>
      </c>
      <c r="L369">
        <v>419.83634492255101</v>
      </c>
      <c r="M369">
        <v>7.1533378645669803</v>
      </c>
      <c r="O369">
        <v>54.623434977191401</v>
      </c>
      <c r="P369">
        <v>6.6944293481155702E-3</v>
      </c>
      <c r="Q369">
        <v>1.2041271938592299</v>
      </c>
      <c r="R369">
        <v>0.19325802021271901</v>
      </c>
      <c r="S369" t="s">
        <v>2371</v>
      </c>
      <c r="T369" t="s">
        <v>4002</v>
      </c>
      <c r="U369" t="s">
        <v>4002</v>
      </c>
      <c r="V369" t="s">
        <v>4002</v>
      </c>
      <c r="W369" t="s">
        <v>4368</v>
      </c>
      <c r="X369">
        <v>1</v>
      </c>
      <c r="Y369" t="s">
        <v>6341</v>
      </c>
      <c r="Z369" t="s">
        <v>8267</v>
      </c>
      <c r="AA369">
        <v>1.0785300516023819</v>
      </c>
      <c r="AB369" t="str">
        <f>HYPERLINK("Melting_Curves/meltCurve_E9PSC2_CTSF.pdf", "Melting_Curves/meltCurve_E9PSC2_CTSF.pdf")</f>
        <v>Melting_Curves/meltCurve_E9PSC2_CTSF.pdf</v>
      </c>
    </row>
    <row r="370" spans="1:28" x14ac:dyDescent="0.25">
      <c r="A370" t="s">
        <v>374</v>
      </c>
      <c r="B370">
        <v>1</v>
      </c>
      <c r="C370">
        <v>1.0005203017750299</v>
      </c>
      <c r="D370">
        <v>0.93328130315583002</v>
      </c>
      <c r="E370">
        <v>1.09425466770727</v>
      </c>
      <c r="F370">
        <v>0.96395909627583998</v>
      </c>
      <c r="G370">
        <v>1.1668767885373501</v>
      </c>
      <c r="H370">
        <v>1.09255368113506</v>
      </c>
      <c r="I370">
        <v>1.2631926517380101</v>
      </c>
      <c r="J370">
        <v>5.0481279141902302</v>
      </c>
      <c r="K370">
        <v>1.1656160573132399</v>
      </c>
      <c r="L370">
        <v>15000</v>
      </c>
      <c r="M370">
        <v>234.48350913544601</v>
      </c>
      <c r="O370">
        <v>63.965729048932403</v>
      </c>
      <c r="P370">
        <v>0.45822096632704801</v>
      </c>
      <c r="Q370">
        <v>1.5</v>
      </c>
      <c r="R370">
        <v>0.10819858846894199</v>
      </c>
      <c r="S370" t="s">
        <v>2372</v>
      </c>
      <c r="T370" t="s">
        <v>4002</v>
      </c>
      <c r="U370" t="s">
        <v>4002</v>
      </c>
      <c r="V370" t="s">
        <v>4002</v>
      </c>
      <c r="W370" t="s">
        <v>4369</v>
      </c>
      <c r="X370">
        <v>5</v>
      </c>
      <c r="Y370" t="s">
        <v>6342</v>
      </c>
      <c r="Z370" t="s">
        <v>8268</v>
      </c>
      <c r="AA370">
        <v>1.1004297983159981</v>
      </c>
      <c r="AB370" t="str">
        <f>HYPERLINK("Melting_Curves/meltCurve_F2Z2U8_MYH14.pdf", "Melting_Curves/meltCurve_F2Z2U8_MYH14.pdf")</f>
        <v>Melting_Curves/meltCurve_F2Z2U8_MYH14.pdf</v>
      </c>
    </row>
    <row r="371" spans="1:28" x14ac:dyDescent="0.25">
      <c r="A371" t="s">
        <v>375</v>
      </c>
      <c r="B371">
        <v>1</v>
      </c>
      <c r="C371">
        <v>0.91739666027922295</v>
      </c>
      <c r="D371">
        <v>0.77799069258144005</v>
      </c>
      <c r="E371">
        <v>1.1225704900082101</v>
      </c>
      <c r="F371">
        <v>1.00588557350123</v>
      </c>
      <c r="G371">
        <v>1.01567205036956</v>
      </c>
      <c r="H371">
        <v>1.0995072543115201</v>
      </c>
      <c r="I371">
        <v>1.2467150287435</v>
      </c>
      <c r="J371">
        <v>1.2864768683273999</v>
      </c>
      <c r="K371">
        <v>1.04332055844511</v>
      </c>
      <c r="L371">
        <v>15000</v>
      </c>
      <c r="M371">
        <v>245.97293560643001</v>
      </c>
      <c r="O371">
        <v>60.9782876416173</v>
      </c>
      <c r="P371">
        <v>0.193793728351488</v>
      </c>
      <c r="Q371">
        <v>1.19217089331959</v>
      </c>
      <c r="R371">
        <v>0.47161710599307699</v>
      </c>
      <c r="S371" t="s">
        <v>2373</v>
      </c>
      <c r="T371" t="s">
        <v>4002</v>
      </c>
      <c r="U371" t="s">
        <v>4002</v>
      </c>
      <c r="V371" t="s">
        <v>4002</v>
      </c>
      <c r="W371" t="s">
        <v>4370</v>
      </c>
      <c r="X371">
        <v>1</v>
      </c>
      <c r="Y371" t="s">
        <v>6343</v>
      </c>
      <c r="Z371" t="s">
        <v>8269</v>
      </c>
      <c r="AA371">
        <v>1.0577432819402339</v>
      </c>
      <c r="AB371" t="str">
        <f>HYPERLINK("Melting_Curves/meltCurve_F2Z2Y6_NAA38.pdf", "Melting_Curves/meltCurve_F2Z2Y6_NAA38.pdf")</f>
        <v>Melting_Curves/meltCurve_F2Z2Y6_NAA38.pdf</v>
      </c>
    </row>
    <row r="372" spans="1:28" x14ac:dyDescent="0.25">
      <c r="A372" t="s">
        <v>376</v>
      </c>
      <c r="B372">
        <v>1</v>
      </c>
      <c r="C372">
        <v>0.79858129550121304</v>
      </c>
      <c r="D372">
        <v>1.0169248957749999</v>
      </c>
      <c r="E372">
        <v>1.1297367929811499</v>
      </c>
      <c r="F372">
        <v>1.05786820981893</v>
      </c>
      <c r="G372">
        <v>1.0892912699894199</v>
      </c>
      <c r="H372">
        <v>1.0214050152448499</v>
      </c>
      <c r="I372">
        <v>1.17453798767967</v>
      </c>
      <c r="J372">
        <v>0.86404081886628104</v>
      </c>
      <c r="K372">
        <v>0.963661253188974</v>
      </c>
      <c r="L372">
        <v>1863.62021918592</v>
      </c>
      <c r="M372">
        <v>26.722661085332501</v>
      </c>
      <c r="O372">
        <v>69.352290284962805</v>
      </c>
      <c r="P372">
        <v>-9.4988767404132791E-3</v>
      </c>
      <c r="Q372">
        <v>0.90139275049368095</v>
      </c>
      <c r="R372">
        <v>2.3434104060190301E-2</v>
      </c>
      <c r="S372" t="s">
        <v>2374</v>
      </c>
      <c r="T372" t="s">
        <v>4002</v>
      </c>
      <c r="U372" t="s">
        <v>4002</v>
      </c>
      <c r="V372" t="s">
        <v>4002</v>
      </c>
      <c r="W372" t="s">
        <v>4371</v>
      </c>
      <c r="X372">
        <v>1</v>
      </c>
      <c r="Y372" t="s">
        <v>6344</v>
      </c>
      <c r="Z372" t="s">
        <v>8270</v>
      </c>
      <c r="AA372">
        <v>0.99408676450134181</v>
      </c>
      <c r="AB372" t="str">
        <f>HYPERLINK("Melting_Curves/meltCurve_F2Z3A8_NPHP3.pdf", "Melting_Curves/meltCurve_F2Z3A8_NPHP3.pdf")</f>
        <v>Melting_Curves/meltCurve_F2Z3A8_NPHP3.pdf</v>
      </c>
    </row>
    <row r="373" spans="1:28" x14ac:dyDescent="0.25">
      <c r="A373" t="s">
        <v>377</v>
      </c>
      <c r="B373">
        <v>1</v>
      </c>
      <c r="C373">
        <v>0.93007630657004403</v>
      </c>
      <c r="D373">
        <v>1.1781686423189499</v>
      </c>
      <c r="E373">
        <v>1.2678168642319001</v>
      </c>
      <c r="F373">
        <v>1.39931372078514</v>
      </c>
      <c r="G373">
        <v>1.21442626097807</v>
      </c>
      <c r="H373">
        <v>0.90224120554782405</v>
      </c>
      <c r="I373">
        <v>1.1123842203772101</v>
      </c>
      <c r="J373">
        <v>0.84234774679656399</v>
      </c>
      <c r="K373">
        <v>1.37987714162307</v>
      </c>
      <c r="L373">
        <v>11133.1440363969</v>
      </c>
      <c r="M373">
        <v>250</v>
      </c>
      <c r="O373">
        <v>44.529726436192703</v>
      </c>
      <c r="P373">
        <v>0.22748527860804099</v>
      </c>
      <c r="Q373">
        <v>1.1620777151133199</v>
      </c>
      <c r="R373">
        <v>0.168234271369364</v>
      </c>
      <c r="S373" t="s">
        <v>2375</v>
      </c>
      <c r="T373" t="s">
        <v>4002</v>
      </c>
      <c r="U373" t="s">
        <v>4002</v>
      </c>
      <c r="V373" t="s">
        <v>4002</v>
      </c>
      <c r="W373" t="s">
        <v>4372</v>
      </c>
      <c r="X373">
        <v>1</v>
      </c>
      <c r="Y373" t="s">
        <v>6345</v>
      </c>
      <c r="Z373" t="s">
        <v>8271</v>
      </c>
      <c r="AA373">
        <v>1.1375773952531429</v>
      </c>
      <c r="AB373" t="str">
        <f>HYPERLINK("Melting_Curves/meltCurve_F2Z3K9_ESYT2.pdf", "Melting_Curves/meltCurve_F2Z3K9_ESYT2.pdf")</f>
        <v>Melting_Curves/meltCurve_F2Z3K9_ESYT2.pdf</v>
      </c>
    </row>
    <row r="374" spans="1:28" x14ac:dyDescent="0.25">
      <c r="A374" t="s">
        <v>378</v>
      </c>
      <c r="B374">
        <v>1</v>
      </c>
      <c r="C374">
        <v>0.97073910002331498</v>
      </c>
      <c r="D374">
        <v>0.99720214502214999</v>
      </c>
      <c r="E374">
        <v>0.979365819538354</v>
      </c>
      <c r="F374">
        <v>1.2811844252739599</v>
      </c>
      <c r="G374">
        <v>1.14846117976218</v>
      </c>
      <c r="H374">
        <v>1.4975518768943801</v>
      </c>
      <c r="I374">
        <v>1.4825716950338099</v>
      </c>
      <c r="J374">
        <v>5.1413499650268104</v>
      </c>
      <c r="K374">
        <v>0.88773606901375601</v>
      </c>
      <c r="L374">
        <v>3962.8175550845799</v>
      </c>
      <c r="M374">
        <v>68.709746576294904</v>
      </c>
      <c r="O374">
        <v>57.625954148923398</v>
      </c>
      <c r="P374">
        <v>0.14904257136333701</v>
      </c>
      <c r="Q374">
        <v>1.5</v>
      </c>
      <c r="R374">
        <v>7.6152381992907997E-2</v>
      </c>
      <c r="S374" t="s">
        <v>2376</v>
      </c>
      <c r="T374" t="s">
        <v>4002</v>
      </c>
      <c r="U374" t="s">
        <v>4002</v>
      </c>
      <c r="V374" t="s">
        <v>4002</v>
      </c>
      <c r="W374" t="s">
        <v>4373</v>
      </c>
      <c r="X374">
        <v>31</v>
      </c>
      <c r="Y374" t="s">
        <v>6346</v>
      </c>
      <c r="Z374" t="s">
        <v>8272</v>
      </c>
      <c r="AA374">
        <v>1.2047491068178671</v>
      </c>
      <c r="AB374" t="str">
        <f>HYPERLINK("Melting_Curves/meltCurve_F5GWP8_JUP.pdf", "Melting_Curves/meltCurve_F5GWP8_JUP.pdf")</f>
        <v>Melting_Curves/meltCurve_F5GWP8_JUP.pdf</v>
      </c>
    </row>
    <row r="375" spans="1:28" x14ac:dyDescent="0.25">
      <c r="A375" t="s">
        <v>379</v>
      </c>
      <c r="B375">
        <v>1</v>
      </c>
      <c r="C375">
        <v>0.97678490886418501</v>
      </c>
      <c r="D375">
        <v>0.96972752115889704</v>
      </c>
      <c r="E375">
        <v>0.95067788066116599</v>
      </c>
      <c r="F375">
        <v>1.10307500464302</v>
      </c>
      <c r="G375">
        <v>0.95847815128280001</v>
      </c>
      <c r="H375">
        <v>1.0113820275397301</v>
      </c>
      <c r="I375">
        <v>0.92125441086731596</v>
      </c>
      <c r="J375">
        <v>1.03406648802101</v>
      </c>
      <c r="K375">
        <v>1.01438009073784</v>
      </c>
      <c r="L375">
        <v>10218.953085920601</v>
      </c>
      <c r="M375">
        <v>250</v>
      </c>
      <c r="O375">
        <v>40.873196577115799</v>
      </c>
      <c r="P375">
        <v>-1.02235780568448E-2</v>
      </c>
      <c r="Q375">
        <v>0.99331407495995305</v>
      </c>
      <c r="R375">
        <v>1.7066392599793801E-3</v>
      </c>
      <c r="S375" t="s">
        <v>2377</v>
      </c>
      <c r="T375" t="s">
        <v>4002</v>
      </c>
      <c r="U375" t="s">
        <v>4002</v>
      </c>
      <c r="V375" t="s">
        <v>4002</v>
      </c>
      <c r="W375" t="s">
        <v>4374</v>
      </c>
      <c r="X375">
        <v>2</v>
      </c>
      <c r="Y375" t="s">
        <v>6347</v>
      </c>
      <c r="Z375" t="s">
        <v>8273</v>
      </c>
      <c r="AA375">
        <v>0.99350988672224405</v>
      </c>
      <c r="AB375" t="str">
        <f>HYPERLINK("Melting_Curves/meltCurve_F5GWT4_WNK1.pdf", "Melting_Curves/meltCurve_F5GWT4_WNK1.pdf")</f>
        <v>Melting_Curves/meltCurve_F5GWT4_WNK1.pdf</v>
      </c>
    </row>
    <row r="376" spans="1:28" x14ac:dyDescent="0.25">
      <c r="A376" t="s">
        <v>380</v>
      </c>
      <c r="B376">
        <v>1</v>
      </c>
      <c r="C376">
        <v>0.84268513936994904</v>
      </c>
      <c r="D376">
        <v>0.93280554181098496</v>
      </c>
      <c r="E376">
        <v>0.99043377865742999</v>
      </c>
      <c r="F376">
        <v>0.89384793006762298</v>
      </c>
      <c r="G376">
        <v>0.99973610423882597</v>
      </c>
      <c r="H376">
        <v>0.69572818736598996</v>
      </c>
      <c r="I376">
        <v>1.1301665841992401</v>
      </c>
      <c r="J376">
        <v>0.70552531749958802</v>
      </c>
      <c r="K376">
        <v>0.840046181758206</v>
      </c>
      <c r="L376">
        <v>154.081007799285</v>
      </c>
      <c r="M376">
        <v>0.53307385148796604</v>
      </c>
      <c r="O376">
        <v>59.540920425165702</v>
      </c>
      <c r="P376">
        <v>-4.3756178377518402E-3</v>
      </c>
      <c r="Q376">
        <v>0</v>
      </c>
      <c r="R376">
        <v>8.5503686577332594E-2</v>
      </c>
      <c r="S376" t="s">
        <v>2378</v>
      </c>
      <c r="T376" t="s">
        <v>4002</v>
      </c>
      <c r="U376" t="s">
        <v>4002</v>
      </c>
      <c r="V376" t="s">
        <v>4002</v>
      </c>
      <c r="W376" t="s">
        <v>4375</v>
      </c>
      <c r="X376">
        <v>3</v>
      </c>
      <c r="Y376" t="s">
        <v>6348</v>
      </c>
      <c r="Z376" t="s">
        <v>8274</v>
      </c>
      <c r="AA376">
        <v>0.90529162545506314</v>
      </c>
      <c r="AB376" t="str">
        <f>HYPERLINK("Melting_Curves/meltCurve_F5GWY5_PODXL.pdf", "Melting_Curves/meltCurve_F5GWY5_PODXL.pdf")</f>
        <v>Melting_Curves/meltCurve_F5GWY5_PODXL.pdf</v>
      </c>
    </row>
    <row r="377" spans="1:28" x14ac:dyDescent="0.25">
      <c r="A377" t="s">
        <v>381</v>
      </c>
      <c r="B377">
        <v>1</v>
      </c>
      <c r="C377">
        <v>0.99267565792796897</v>
      </c>
      <c r="D377">
        <v>1.0512703945042201</v>
      </c>
      <c r="E377">
        <v>1.0605647320301099</v>
      </c>
      <c r="F377">
        <v>1.1562863060059601</v>
      </c>
      <c r="G377">
        <v>1.15421528514421</v>
      </c>
      <c r="H377">
        <v>0.83209577208667995</v>
      </c>
      <c r="I377">
        <v>1.21275950901652</v>
      </c>
      <c r="J377">
        <v>0.88614436530787499</v>
      </c>
      <c r="K377">
        <v>0.84906804061221397</v>
      </c>
      <c r="L377">
        <v>15000</v>
      </c>
      <c r="M377">
        <v>224.997519645594</v>
      </c>
      <c r="O377">
        <v>66.662137673631804</v>
      </c>
      <c r="P377">
        <v>-0.12740534142847201</v>
      </c>
      <c r="Q377">
        <v>0.84900967765178803</v>
      </c>
      <c r="R377">
        <v>0.199634804667988</v>
      </c>
      <c r="S377" t="s">
        <v>2379</v>
      </c>
      <c r="T377" t="s">
        <v>4002</v>
      </c>
      <c r="U377" t="s">
        <v>4002</v>
      </c>
      <c r="V377" t="s">
        <v>4002</v>
      </c>
      <c r="W377" t="s">
        <v>4376</v>
      </c>
      <c r="X377">
        <v>4</v>
      </c>
      <c r="Y377" t="s">
        <v>6349</v>
      </c>
      <c r="Z377" t="s">
        <v>8275</v>
      </c>
      <c r="AA377">
        <v>0.98324877081243645</v>
      </c>
      <c r="AB377" t="str">
        <f>HYPERLINK("Melting_Curves/meltCurve_F5GX07_REXO2.pdf", "Melting_Curves/meltCurve_F5GX07_REXO2.pdf")</f>
        <v>Melting_Curves/meltCurve_F5GX07_REXO2.pdf</v>
      </c>
    </row>
    <row r="378" spans="1:28" x14ac:dyDescent="0.25">
      <c r="A378" t="s">
        <v>382</v>
      </c>
      <c r="B378">
        <v>1</v>
      </c>
      <c r="C378">
        <v>0.901843696349929</v>
      </c>
      <c r="D378">
        <v>0.910054489811152</v>
      </c>
      <c r="E378">
        <v>1.00335896096141</v>
      </c>
      <c r="F378">
        <v>1.0350824811524999</v>
      </c>
      <c r="G378">
        <v>1.0539673061133099</v>
      </c>
      <c r="H378">
        <v>1.03896394715235</v>
      </c>
      <c r="I378">
        <v>1.2492349033365699</v>
      </c>
      <c r="J378">
        <v>0.99066955288497405</v>
      </c>
      <c r="K378">
        <v>1.0433679181906399</v>
      </c>
      <c r="L378">
        <v>1665.14448770787</v>
      </c>
      <c r="M378">
        <v>30.6557482618501</v>
      </c>
      <c r="O378">
        <v>54.0879628987921</v>
      </c>
      <c r="P378">
        <v>1.13310007554387E-2</v>
      </c>
      <c r="Q378">
        <v>1.0799676545707499</v>
      </c>
      <c r="R378">
        <v>0.30005713471455803</v>
      </c>
      <c r="S378" t="s">
        <v>2380</v>
      </c>
      <c r="T378" t="s">
        <v>4002</v>
      </c>
      <c r="U378" t="s">
        <v>4002</v>
      </c>
      <c r="V378" t="s">
        <v>4002</v>
      </c>
      <c r="W378" t="s">
        <v>4377</v>
      </c>
      <c r="X378">
        <v>3</v>
      </c>
      <c r="Y378" t="s">
        <v>6350</v>
      </c>
      <c r="Z378" t="s">
        <v>8276</v>
      </c>
      <c r="AA378">
        <v>1.0412973460900881</v>
      </c>
      <c r="AB378" t="str">
        <f>HYPERLINK("Melting_Curves/meltCurve_F5GXJ9_ALCAM.pdf", "Melting_Curves/meltCurve_F5GXJ9_ALCAM.pdf")</f>
        <v>Melting_Curves/meltCurve_F5GXJ9_ALCAM.pdf</v>
      </c>
    </row>
    <row r="379" spans="1:28" x14ac:dyDescent="0.25">
      <c r="A379" t="s">
        <v>383</v>
      </c>
      <c r="B379">
        <v>1</v>
      </c>
      <c r="C379">
        <v>0.94391651865008896</v>
      </c>
      <c r="D379">
        <v>0.95865896980461796</v>
      </c>
      <c r="E379">
        <v>1.0398312611012399</v>
      </c>
      <c r="F379">
        <v>1.00452930728242</v>
      </c>
      <c r="G379">
        <v>1.1428063943161599</v>
      </c>
      <c r="H379">
        <v>0.99187388987566605</v>
      </c>
      <c r="I379">
        <v>1.2372557726465401</v>
      </c>
      <c r="J379">
        <v>1.0460923623445799</v>
      </c>
      <c r="K379">
        <v>1.0482238010657201</v>
      </c>
      <c r="L379">
        <v>13407.6664074152</v>
      </c>
      <c r="M379">
        <v>250</v>
      </c>
      <c r="O379">
        <v>53.627233889183501</v>
      </c>
      <c r="P379">
        <v>0.108678974153185</v>
      </c>
      <c r="Q379">
        <v>1.0932504436794901</v>
      </c>
      <c r="R379">
        <v>0.374367915152029</v>
      </c>
      <c r="S379" t="s">
        <v>2381</v>
      </c>
      <c r="T379" t="s">
        <v>4002</v>
      </c>
      <c r="U379" t="s">
        <v>4002</v>
      </c>
      <c r="V379" t="s">
        <v>4002</v>
      </c>
      <c r="W379" t="s">
        <v>4378</v>
      </c>
      <c r="X379">
        <v>3</v>
      </c>
      <c r="Y379" t="s">
        <v>6351</v>
      </c>
      <c r="Z379" t="s">
        <v>8277</v>
      </c>
      <c r="AA379">
        <v>1.050872812935596</v>
      </c>
      <c r="AB379" t="str">
        <f>HYPERLINK("Melting_Curves/meltCurve_F5GY03_SPARC.pdf", "Melting_Curves/meltCurve_F5GY03_SPARC.pdf")</f>
        <v>Melting_Curves/meltCurve_F5GY03_SPARC.pdf</v>
      </c>
    </row>
    <row r="380" spans="1:28" x14ac:dyDescent="0.25">
      <c r="A380" t="s">
        <v>384</v>
      </c>
      <c r="B380">
        <v>1</v>
      </c>
      <c r="C380">
        <v>0.97729169564612595</v>
      </c>
      <c r="D380">
        <v>1.12526081513423</v>
      </c>
      <c r="E380">
        <v>1.2595979969397699</v>
      </c>
      <c r="F380">
        <v>1.259180692725</v>
      </c>
      <c r="G380">
        <v>1.9966963416330501</v>
      </c>
      <c r="H380">
        <v>1.62087912087912</v>
      </c>
      <c r="I380">
        <v>2.5537279176519698</v>
      </c>
      <c r="J380">
        <v>2.7756294338572798</v>
      </c>
      <c r="K380">
        <v>2.1170538322437098</v>
      </c>
      <c r="L380">
        <v>1615.3137149888801</v>
      </c>
      <c r="M380">
        <v>32.240230968393803</v>
      </c>
      <c r="O380">
        <v>49.910837910705197</v>
      </c>
      <c r="P380">
        <v>8.0744948780017201E-2</v>
      </c>
      <c r="Q380">
        <v>1.5</v>
      </c>
      <c r="R380">
        <v>0.114823844919961</v>
      </c>
      <c r="S380" t="s">
        <v>2382</v>
      </c>
      <c r="T380" t="s">
        <v>4002</v>
      </c>
      <c r="U380" t="s">
        <v>4002</v>
      </c>
      <c r="V380" t="s">
        <v>4002</v>
      </c>
      <c r="W380" t="s">
        <v>4379</v>
      </c>
      <c r="X380">
        <v>1</v>
      </c>
      <c r="Y380" t="s">
        <v>6352</v>
      </c>
      <c r="Z380" t="s">
        <v>8278</v>
      </c>
      <c r="AA380">
        <v>1.328948309639882</v>
      </c>
      <c r="AB380" t="str">
        <f>HYPERLINK("Melting_Curves/meltCurve_F5GY99_GALNT1.pdf", "Melting_Curves/meltCurve_F5GY99_GALNT1.pdf")</f>
        <v>Melting_Curves/meltCurve_F5GY99_GALNT1.pdf</v>
      </c>
    </row>
    <row r="381" spans="1:28" x14ac:dyDescent="0.25">
      <c r="A381" t="s">
        <v>385</v>
      </c>
      <c r="B381">
        <v>1</v>
      </c>
      <c r="C381">
        <v>0.70868587778459002</v>
      </c>
      <c r="D381">
        <v>0.97535254445125696</v>
      </c>
      <c r="E381">
        <v>0.83874923359901898</v>
      </c>
      <c r="F381">
        <v>0.787655834866135</v>
      </c>
      <c r="G381">
        <v>0.80584508481504202</v>
      </c>
      <c r="H381">
        <v>0.74624974453300597</v>
      </c>
      <c r="I381">
        <v>0.78835070508890204</v>
      </c>
      <c r="J381">
        <v>0.75511955855303503</v>
      </c>
      <c r="K381">
        <v>0.82705906396893503</v>
      </c>
      <c r="L381">
        <v>374.58923961276599</v>
      </c>
      <c r="M381">
        <v>8.7499321876929699</v>
      </c>
      <c r="O381">
        <v>40.750958763223601</v>
      </c>
      <c r="P381">
        <v>-1.2160963774473E-2</v>
      </c>
      <c r="Q381">
        <v>0.77363431953713302</v>
      </c>
      <c r="R381">
        <v>0.28447935474798802</v>
      </c>
      <c r="S381" t="s">
        <v>2383</v>
      </c>
      <c r="T381" t="s">
        <v>4002</v>
      </c>
      <c r="U381" t="s">
        <v>4002</v>
      </c>
      <c r="V381" t="s">
        <v>4002</v>
      </c>
      <c r="W381" t="s">
        <v>4380</v>
      </c>
      <c r="X381">
        <v>1</v>
      </c>
      <c r="Y381" t="s">
        <v>6353</v>
      </c>
      <c r="Z381" t="s">
        <v>8279</v>
      </c>
      <c r="AA381">
        <v>0.8183326878390258</v>
      </c>
      <c r="AB381" t="str">
        <f>HYPERLINK("Melting_Curves/meltCurve_F5GYC4_RPS6KA3.pdf", "Melting_Curves/meltCurve_F5GYC4_RPS6KA3.pdf")</f>
        <v>Melting_Curves/meltCurve_F5GYC4_RPS6KA3.pdf</v>
      </c>
    </row>
    <row r="382" spans="1:28" x14ac:dyDescent="0.25">
      <c r="A382" t="s">
        <v>386</v>
      </c>
      <c r="B382">
        <v>1</v>
      </c>
      <c r="C382">
        <v>0.89688819083145199</v>
      </c>
      <c r="D382">
        <v>1.28958476489644</v>
      </c>
      <c r="E382">
        <v>1.2576813585942901</v>
      </c>
      <c r="F382">
        <v>1.32337292627859</v>
      </c>
      <c r="G382">
        <v>1.42677922842839</v>
      </c>
      <c r="H382">
        <v>1.73593796014528</v>
      </c>
      <c r="I382">
        <v>1.8968881908314501</v>
      </c>
      <c r="J382">
        <v>2.5234121920094199</v>
      </c>
      <c r="K382">
        <v>1.8718562874251501</v>
      </c>
      <c r="L382">
        <v>994.44340573264697</v>
      </c>
      <c r="M382">
        <v>20.5741985643301</v>
      </c>
      <c r="O382">
        <v>47.884813476062597</v>
      </c>
      <c r="P382">
        <v>5.3709088104281502E-2</v>
      </c>
      <c r="Q382">
        <v>1.5</v>
      </c>
      <c r="R382">
        <v>0.31415078806463198</v>
      </c>
      <c r="S382" t="s">
        <v>2384</v>
      </c>
      <c r="T382" t="s">
        <v>4002</v>
      </c>
      <c r="U382" t="s">
        <v>4002</v>
      </c>
      <c r="V382" t="s">
        <v>4002</v>
      </c>
      <c r="W382" t="s">
        <v>4381</v>
      </c>
      <c r="X382">
        <v>2</v>
      </c>
      <c r="Y382" t="s">
        <v>6354</v>
      </c>
      <c r="Z382" t="s">
        <v>8280</v>
      </c>
      <c r="AA382">
        <v>1.3544358798305101</v>
      </c>
      <c r="AB382" t="str">
        <f>HYPERLINK("Melting_Curves/meltCurve_F5GYN4_OTUB1.pdf", "Melting_Curves/meltCurve_F5GYN4_OTUB1.pdf")</f>
        <v>Melting_Curves/meltCurve_F5GYN4_OTUB1.pdf</v>
      </c>
    </row>
    <row r="383" spans="1:28" x14ac:dyDescent="0.25">
      <c r="A383" t="s">
        <v>387</v>
      </c>
      <c r="B383">
        <v>1</v>
      </c>
      <c r="C383">
        <v>1.0147276084949199</v>
      </c>
      <c r="D383">
        <v>0.94579870729455195</v>
      </c>
      <c r="E383">
        <v>0.86278855032317603</v>
      </c>
      <c r="F383">
        <v>0.83490304709141305</v>
      </c>
      <c r="G383">
        <v>1.1455216989843</v>
      </c>
      <c r="H383">
        <v>0.96902123730378598</v>
      </c>
      <c r="I383">
        <v>1.1171283471837501</v>
      </c>
      <c r="J383">
        <v>0.98573407202216101</v>
      </c>
      <c r="K383">
        <v>1.0813942751615899</v>
      </c>
      <c r="L383">
        <v>2651.36259810303</v>
      </c>
      <c r="M383">
        <v>47.829701243305699</v>
      </c>
      <c r="O383">
        <v>55.336752211117599</v>
      </c>
      <c r="P383">
        <v>1.17779145137577E-2</v>
      </c>
      <c r="Q383">
        <v>1.0545059508350301</v>
      </c>
      <c r="R383">
        <v>0.14707685862992201</v>
      </c>
      <c r="S383" t="s">
        <v>2385</v>
      </c>
      <c r="T383" t="s">
        <v>4002</v>
      </c>
      <c r="U383" t="s">
        <v>4002</v>
      </c>
      <c r="V383" t="s">
        <v>4002</v>
      </c>
      <c r="W383" t="s">
        <v>4382</v>
      </c>
      <c r="X383">
        <v>1</v>
      </c>
      <c r="Y383" t="s">
        <v>6355</v>
      </c>
      <c r="Z383" t="s">
        <v>8281</v>
      </c>
      <c r="AA383">
        <v>1.026320005530464</v>
      </c>
      <c r="AB383" t="str">
        <f>HYPERLINK("Melting_Curves/meltCurve_F5GZ00_CAMKK2.pdf", "Melting_Curves/meltCurve_F5GZ00_CAMKK2.pdf")</f>
        <v>Melting_Curves/meltCurve_F5GZ00_CAMKK2.pdf</v>
      </c>
    </row>
    <row r="384" spans="1:28" x14ac:dyDescent="0.25">
      <c r="A384" t="s">
        <v>388</v>
      </c>
      <c r="B384">
        <v>1</v>
      </c>
      <c r="C384">
        <v>0.83983513098798201</v>
      </c>
      <c r="D384">
        <v>1.00948668839533</v>
      </c>
      <c r="E384">
        <v>1.0851897897696099</v>
      </c>
      <c r="F384">
        <v>0.92386008534659503</v>
      </c>
      <c r="G384">
        <v>0.90167221083520899</v>
      </c>
      <c r="H384">
        <v>1.22330118835613</v>
      </c>
      <c r="I384">
        <v>0.90206422275237197</v>
      </c>
      <c r="J384">
        <v>1.1183763986425199</v>
      </c>
      <c r="K384">
        <v>0.84655533528219296</v>
      </c>
      <c r="L384">
        <v>15000</v>
      </c>
      <c r="M384">
        <v>212.577792157896</v>
      </c>
      <c r="Q384">
        <v>0</v>
      </c>
      <c r="R384">
        <v>0.14872039817937899</v>
      </c>
      <c r="S384" t="s">
        <v>2386</v>
      </c>
      <c r="T384" t="s">
        <v>4002</v>
      </c>
      <c r="U384" t="s">
        <v>4002</v>
      </c>
      <c r="V384" t="s">
        <v>4002</v>
      </c>
      <c r="W384" t="s">
        <v>4383</v>
      </c>
      <c r="X384">
        <v>15</v>
      </c>
      <c r="Y384" t="s">
        <v>6356</v>
      </c>
      <c r="Z384" t="s">
        <v>8282</v>
      </c>
      <c r="AA384">
        <v>0.99820367505475283</v>
      </c>
      <c r="AB384" t="str">
        <f>HYPERLINK("Melting_Curves/meltCurve_F5GZ12_SPRR3.pdf", "Melting_Curves/meltCurve_F5GZ12_SPRR3.pdf")</f>
        <v>Melting_Curves/meltCurve_F5GZ12_SPRR3.pdf</v>
      </c>
    </row>
    <row r="385" spans="1:28" x14ac:dyDescent="0.25">
      <c r="A385" t="s">
        <v>389</v>
      </c>
      <c r="B385">
        <v>1</v>
      </c>
      <c r="C385">
        <v>0.87076396268744805</v>
      </c>
      <c r="D385">
        <v>0.931810131066242</v>
      </c>
      <c r="E385">
        <v>1.00850159404888</v>
      </c>
      <c r="F385">
        <v>1.0139922068721201</v>
      </c>
      <c r="G385">
        <v>1.12197425906246</v>
      </c>
      <c r="H385">
        <v>0.79247845082063995</v>
      </c>
      <c r="I385">
        <v>1.27647892313142</v>
      </c>
      <c r="J385">
        <v>0.90512457196835505</v>
      </c>
      <c r="K385">
        <v>0.98494509387176798</v>
      </c>
      <c r="L385">
        <v>50.734767455478902</v>
      </c>
      <c r="M385">
        <v>18.3355333835264</v>
      </c>
      <c r="Q385">
        <v>0.99060691873492901</v>
      </c>
      <c r="R385">
        <v>-1.51992196606443E-10</v>
      </c>
      <c r="S385" t="s">
        <v>2387</v>
      </c>
      <c r="T385" t="s">
        <v>4002</v>
      </c>
      <c r="U385" t="s">
        <v>4002</v>
      </c>
      <c r="V385" t="s">
        <v>4002</v>
      </c>
      <c r="W385" t="s">
        <v>4384</v>
      </c>
      <c r="X385">
        <v>1</v>
      </c>
      <c r="Y385" t="s">
        <v>6357</v>
      </c>
      <c r="Z385" t="s">
        <v>8283</v>
      </c>
      <c r="AA385">
        <v>0.99060691900162956</v>
      </c>
      <c r="AB385" t="str">
        <f>HYPERLINK("Melting_Curves/meltCurve_F5GZ53_TIAM1.pdf", "Melting_Curves/meltCurve_F5GZ53_TIAM1.pdf")</f>
        <v>Melting_Curves/meltCurve_F5GZ53_TIAM1.pdf</v>
      </c>
    </row>
    <row r="386" spans="1:28" x14ac:dyDescent="0.25">
      <c r="A386" t="s">
        <v>390</v>
      </c>
      <c r="B386">
        <v>1</v>
      </c>
      <c r="C386">
        <v>1.07455673758865</v>
      </c>
      <c r="D386">
        <v>1.2446808510638301</v>
      </c>
      <c r="E386">
        <v>1.22863475177305</v>
      </c>
      <c r="F386">
        <v>1.3354609929078001</v>
      </c>
      <c r="G386">
        <v>1.34175531914894</v>
      </c>
      <c r="H386">
        <v>1.14618794326241</v>
      </c>
      <c r="I386">
        <v>1.5274822695035499</v>
      </c>
      <c r="J386">
        <v>1.4132978723404299</v>
      </c>
      <c r="K386">
        <v>1.3763297872340401</v>
      </c>
      <c r="L386">
        <v>550.50944519616905</v>
      </c>
      <c r="M386">
        <v>11.760024659781299</v>
      </c>
      <c r="O386">
        <v>45.519832566339197</v>
      </c>
      <c r="P386">
        <v>2.4943796554791099E-2</v>
      </c>
      <c r="Q386">
        <v>1.3861017530267801</v>
      </c>
      <c r="R386">
        <v>0.65028082851535596</v>
      </c>
      <c r="S386" t="s">
        <v>2388</v>
      </c>
      <c r="T386" t="s">
        <v>4002</v>
      </c>
      <c r="U386" t="s">
        <v>4002</v>
      </c>
      <c r="V386" t="s">
        <v>4002</v>
      </c>
      <c r="W386" t="s">
        <v>4385</v>
      </c>
      <c r="X386">
        <v>3</v>
      </c>
      <c r="Y386" t="s">
        <v>6358</v>
      </c>
      <c r="Z386" t="s">
        <v>8284</v>
      </c>
      <c r="AA386">
        <v>1.2813712229093379</v>
      </c>
      <c r="AB386" t="str">
        <f>HYPERLINK("Melting_Curves/meltCurve_F5GZ78_PXN.pdf", "Melting_Curves/meltCurve_F5GZ78_PXN.pdf")</f>
        <v>Melting_Curves/meltCurve_F5GZ78_PXN.pdf</v>
      </c>
    </row>
    <row r="387" spans="1:28" x14ac:dyDescent="0.25">
      <c r="A387" t="s">
        <v>391</v>
      </c>
      <c r="B387">
        <v>1</v>
      </c>
      <c r="C387">
        <v>0.93647211976567601</v>
      </c>
      <c r="D387">
        <v>0.91937513560425199</v>
      </c>
      <c r="E387">
        <v>1.0170969841614199</v>
      </c>
      <c r="F387">
        <v>1.2037752223909699</v>
      </c>
      <c r="G387">
        <v>1.57123020177913</v>
      </c>
      <c r="H387">
        <v>1.32015621609894</v>
      </c>
      <c r="I387">
        <v>2.4200043393360802</v>
      </c>
      <c r="J387">
        <v>1.73577782599262</v>
      </c>
      <c r="K387">
        <v>1.84964200477327</v>
      </c>
      <c r="L387">
        <v>11671.947782106199</v>
      </c>
      <c r="M387">
        <v>219.85133615827101</v>
      </c>
      <c r="O387">
        <v>53.085789903593898</v>
      </c>
      <c r="P387">
        <v>0.51767934112785396</v>
      </c>
      <c r="Q387">
        <v>1.5</v>
      </c>
      <c r="R387">
        <v>0.50846636652169896</v>
      </c>
      <c r="S387" t="s">
        <v>2389</v>
      </c>
      <c r="T387" t="s">
        <v>4002</v>
      </c>
      <c r="U387" t="s">
        <v>4002</v>
      </c>
      <c r="V387" t="s">
        <v>4002</v>
      </c>
      <c r="W387" t="s">
        <v>4386</v>
      </c>
      <c r="X387">
        <v>2</v>
      </c>
      <c r="Y387" t="s">
        <v>6359</v>
      </c>
      <c r="Z387" t="s">
        <v>8285</v>
      </c>
      <c r="AA387">
        <v>1.2817700316711089</v>
      </c>
      <c r="AB387" t="str">
        <f>HYPERLINK("Melting_Curves/meltCurve_F5GZK2_COL21A1.pdf", "Melting_Curves/meltCurve_F5GZK2_COL21A1.pdf")</f>
        <v>Melting_Curves/meltCurve_F5GZK2_COL21A1.pdf</v>
      </c>
    </row>
    <row r="388" spans="1:28" x14ac:dyDescent="0.25">
      <c r="A388" t="s">
        <v>392</v>
      </c>
      <c r="B388">
        <v>1</v>
      </c>
      <c r="C388">
        <v>0.88508465813622805</v>
      </c>
      <c r="D388">
        <v>1.02964973503942</v>
      </c>
      <c r="E388">
        <v>0.94090732842186897</v>
      </c>
      <c r="F388">
        <v>0.929572185601654</v>
      </c>
      <c r="G388">
        <v>1.0858472276076001</v>
      </c>
      <c r="H388">
        <v>1.1132351040455</v>
      </c>
      <c r="I388">
        <v>1.30451079229676</v>
      </c>
      <c r="J388">
        <v>1.17522295463358</v>
      </c>
      <c r="K388">
        <v>1.00577743311361</v>
      </c>
      <c r="L388">
        <v>8094.4694761035398</v>
      </c>
      <c r="M388">
        <v>142.303888204293</v>
      </c>
      <c r="O388">
        <v>56.8703427951409</v>
      </c>
      <c r="P388">
        <v>9.3641520973279394E-2</v>
      </c>
      <c r="Q388">
        <v>1.1496916364604699</v>
      </c>
      <c r="R388">
        <v>0.51986005787990797</v>
      </c>
      <c r="S388" t="s">
        <v>2390</v>
      </c>
      <c r="T388" t="s">
        <v>4002</v>
      </c>
      <c r="U388" t="s">
        <v>4002</v>
      </c>
      <c r="V388" t="s">
        <v>4002</v>
      </c>
      <c r="W388" t="s">
        <v>4387</v>
      </c>
      <c r="X388">
        <v>3</v>
      </c>
      <c r="Y388" t="s">
        <v>6360</v>
      </c>
      <c r="Z388" t="s">
        <v>8286</v>
      </c>
      <c r="AA388">
        <v>1.065411135727153</v>
      </c>
      <c r="AB388" t="str">
        <f>HYPERLINK("Melting_Curves/meltCurve_F5GZS6_SLC3A2.pdf", "Melting_Curves/meltCurve_F5GZS6_SLC3A2.pdf")</f>
        <v>Melting_Curves/meltCurve_F5GZS6_SLC3A2.pdf</v>
      </c>
    </row>
    <row r="389" spans="1:28" x14ac:dyDescent="0.25">
      <c r="A389" t="s">
        <v>393</v>
      </c>
      <c r="B389">
        <v>1</v>
      </c>
      <c r="C389">
        <v>0.90390373738494001</v>
      </c>
      <c r="D389">
        <v>1.05450815126982</v>
      </c>
      <c r="E389">
        <v>0.97277364977265202</v>
      </c>
      <c r="F389">
        <v>0.98031496062992096</v>
      </c>
      <c r="G389">
        <v>1.0125318842187001</v>
      </c>
      <c r="H389">
        <v>0.92591771099035203</v>
      </c>
      <c r="I389">
        <v>1.19945658201176</v>
      </c>
      <c r="J389">
        <v>1.0499057336142801</v>
      </c>
      <c r="K389">
        <v>1.0844515914383901</v>
      </c>
      <c r="L389">
        <v>3336.6092783976101</v>
      </c>
      <c r="M389">
        <v>53.4741318248564</v>
      </c>
      <c r="O389">
        <v>62.309617749870299</v>
      </c>
      <c r="P389">
        <v>2.24039848085185E-2</v>
      </c>
      <c r="Q389">
        <v>1.1044230373756401</v>
      </c>
      <c r="R389">
        <v>0.38860364842079598</v>
      </c>
      <c r="S389" t="s">
        <v>2391</v>
      </c>
      <c r="T389" t="s">
        <v>4002</v>
      </c>
      <c r="U389" t="s">
        <v>4002</v>
      </c>
      <c r="V389" t="s">
        <v>4002</v>
      </c>
      <c r="W389" t="s">
        <v>4388</v>
      </c>
      <c r="X389">
        <v>5</v>
      </c>
      <c r="Y389" t="s">
        <v>6361</v>
      </c>
      <c r="Z389" t="s">
        <v>8287</v>
      </c>
      <c r="AA389">
        <v>1.0262302424777421</v>
      </c>
      <c r="AB389" t="str">
        <f>HYPERLINK("Melting_Curves/meltCurve_F5GZW3_ARHGAP4.pdf", "Melting_Curves/meltCurve_F5GZW3_ARHGAP4.pdf")</f>
        <v>Melting_Curves/meltCurve_F5GZW3_ARHGAP4.pdf</v>
      </c>
    </row>
    <row r="390" spans="1:28" x14ac:dyDescent="0.25">
      <c r="A390" t="s">
        <v>394</v>
      </c>
      <c r="B390">
        <v>1</v>
      </c>
      <c r="C390">
        <v>1.04552324250057</v>
      </c>
      <c r="D390">
        <v>1.0538584840851799</v>
      </c>
      <c r="E390">
        <v>1.17426150675521</v>
      </c>
      <c r="F390">
        <v>1.23210441950996</v>
      </c>
      <c r="G390">
        <v>1.26420883901992</v>
      </c>
      <c r="H390">
        <v>0.89081749484772199</v>
      </c>
      <c r="I390">
        <v>1.66938401648729</v>
      </c>
      <c r="J390">
        <v>1.0389283260819799</v>
      </c>
      <c r="K390">
        <v>1.0181818181818201</v>
      </c>
      <c r="L390">
        <v>1902.42158602834</v>
      </c>
      <c r="M390">
        <v>40.633277146081902</v>
      </c>
      <c r="O390">
        <v>46.706329937169599</v>
      </c>
      <c r="P390">
        <v>4.0418778903142397E-2</v>
      </c>
      <c r="Q390">
        <v>1.18583871979578</v>
      </c>
      <c r="R390">
        <v>0.11129059300718699</v>
      </c>
      <c r="S390" t="s">
        <v>2392</v>
      </c>
      <c r="T390" t="s">
        <v>4002</v>
      </c>
      <c r="U390" t="s">
        <v>4002</v>
      </c>
      <c r="V390" t="s">
        <v>4002</v>
      </c>
      <c r="W390" t="s">
        <v>4389</v>
      </c>
      <c r="X390">
        <v>2</v>
      </c>
      <c r="Y390" t="s">
        <v>6362</v>
      </c>
      <c r="Z390" t="s">
        <v>8288</v>
      </c>
      <c r="AA390">
        <v>1.1430080079797451</v>
      </c>
      <c r="AB390" t="str">
        <f>HYPERLINK("Melting_Curves/meltCurve_F5GZY0_APLP2.pdf", "Melting_Curves/meltCurve_F5GZY0_APLP2.pdf")</f>
        <v>Melting_Curves/meltCurve_F5GZY0_APLP2.pdf</v>
      </c>
    </row>
    <row r="391" spans="1:28" x14ac:dyDescent="0.25">
      <c r="A391" t="s">
        <v>395</v>
      </c>
      <c r="B391">
        <v>1</v>
      </c>
      <c r="C391">
        <v>0.92842579933318903</v>
      </c>
      <c r="D391">
        <v>0.98508071286368803</v>
      </c>
      <c r="E391">
        <v>1.0529850567268699</v>
      </c>
      <c r="F391">
        <v>0.88820129044637897</v>
      </c>
      <c r="G391">
        <v>1.0134081696289401</v>
      </c>
      <c r="H391">
        <v>0.81516394425655403</v>
      </c>
      <c r="I391">
        <v>1.1253747811278201</v>
      </c>
      <c r="J391">
        <v>0.92717852773980003</v>
      </c>
      <c r="K391">
        <v>0.85877047804082396</v>
      </c>
      <c r="L391">
        <v>245.517933104522</v>
      </c>
      <c r="M391">
        <v>1.0832437445083201</v>
      </c>
      <c r="Q391">
        <v>0</v>
      </c>
      <c r="R391">
        <v>5.4697855926868502E-2</v>
      </c>
      <c r="S391" t="s">
        <v>2393</v>
      </c>
      <c r="T391" t="s">
        <v>4002</v>
      </c>
      <c r="U391" t="s">
        <v>4002</v>
      </c>
      <c r="V391" t="s">
        <v>4002</v>
      </c>
      <c r="W391" t="s">
        <v>4390</v>
      </c>
      <c r="X391">
        <v>3</v>
      </c>
      <c r="Y391" t="s">
        <v>6363</v>
      </c>
      <c r="Z391" t="s">
        <v>8289</v>
      </c>
      <c r="AA391">
        <v>0.96337977289210008</v>
      </c>
      <c r="AB391" t="str">
        <f>HYPERLINK("Melting_Curves/meltCurve_F5H0B0_TPD52.pdf", "Melting_Curves/meltCurve_F5H0B0_TPD52.pdf")</f>
        <v>Melting_Curves/meltCurve_F5H0B0_TPD52.pdf</v>
      </c>
    </row>
    <row r="392" spans="1:28" x14ac:dyDescent="0.25">
      <c r="A392" t="s">
        <v>396</v>
      </c>
      <c r="B392">
        <v>1</v>
      </c>
      <c r="C392">
        <v>0.94174302374010799</v>
      </c>
      <c r="D392">
        <v>1.0512286547272001</v>
      </c>
      <c r="E392">
        <v>1.0364952103290299</v>
      </c>
      <c r="F392">
        <v>1.1338504789671</v>
      </c>
      <c r="G392">
        <v>1.37843606830487</v>
      </c>
      <c r="H392">
        <v>0.98927530195751801</v>
      </c>
      <c r="I392">
        <v>1.7856622240733</v>
      </c>
      <c r="J392">
        <v>1.24994793835902</v>
      </c>
      <c r="K392">
        <v>1.36640982923782</v>
      </c>
      <c r="L392">
        <v>941.46426299632799</v>
      </c>
      <c r="M392">
        <v>17.1759272141385</v>
      </c>
      <c r="O392">
        <v>54.086182308465403</v>
      </c>
      <c r="P392">
        <v>3.1820217644718103E-2</v>
      </c>
      <c r="Q392">
        <v>1.4007776618949399</v>
      </c>
      <c r="R392">
        <v>0.450386991882959</v>
      </c>
      <c r="S392" t="s">
        <v>2394</v>
      </c>
      <c r="T392" t="s">
        <v>4002</v>
      </c>
      <c r="U392" t="s">
        <v>4002</v>
      </c>
      <c r="V392" t="s">
        <v>4002</v>
      </c>
      <c r="W392" t="s">
        <v>4391</v>
      </c>
      <c r="X392">
        <v>2</v>
      </c>
      <c r="Y392" t="s">
        <v>6364</v>
      </c>
      <c r="Z392" t="s">
        <v>8290</v>
      </c>
      <c r="AA392">
        <v>1.1962360875701501</v>
      </c>
      <c r="AB392" t="str">
        <f>HYPERLINK("Melting_Curves/meltCurve_F5H157_RAB35.pdf", "Melting_Curves/meltCurve_F5H157_RAB35.pdf")</f>
        <v>Melting_Curves/meltCurve_F5H157_RAB35.pdf</v>
      </c>
    </row>
    <row r="393" spans="1:28" x14ac:dyDescent="0.25">
      <c r="A393" t="s">
        <v>397</v>
      </c>
      <c r="B393">
        <v>1</v>
      </c>
      <c r="C393">
        <v>0.86034646212186505</v>
      </c>
      <c r="D393">
        <v>0.88821856416444001</v>
      </c>
      <c r="E393">
        <v>1.0459363957597201</v>
      </c>
      <c r="F393">
        <v>1.08066879255365</v>
      </c>
      <c r="G393">
        <v>1.09902611393605</v>
      </c>
      <c r="H393">
        <v>0.93217271395328805</v>
      </c>
      <c r="I393">
        <v>1.40567094716884</v>
      </c>
      <c r="J393">
        <v>1.2827716969749201</v>
      </c>
      <c r="K393">
        <v>1.1851245367577301</v>
      </c>
      <c r="L393">
        <v>15000</v>
      </c>
      <c r="M393">
        <v>240.39584815108699</v>
      </c>
      <c r="O393">
        <v>62.3927486492546</v>
      </c>
      <c r="P393">
        <v>0.28053107832378998</v>
      </c>
      <c r="Q393">
        <v>1.2912381395596499</v>
      </c>
      <c r="R393">
        <v>0.707785375295508</v>
      </c>
      <c r="S393" t="s">
        <v>2395</v>
      </c>
      <c r="T393" t="s">
        <v>4002</v>
      </c>
      <c r="U393" t="s">
        <v>4002</v>
      </c>
      <c r="V393" t="s">
        <v>4002</v>
      </c>
      <c r="W393" t="s">
        <v>4392</v>
      </c>
      <c r="X393">
        <v>1</v>
      </c>
      <c r="Y393" t="s">
        <v>6365</v>
      </c>
      <c r="Z393" t="s">
        <v>8291</v>
      </c>
      <c r="AA393">
        <v>1.073774142114337</v>
      </c>
      <c r="AB393" t="str">
        <f>HYPERLINK("Melting_Curves/meltCurve_F5H1G9_ABI1.pdf", "Melting_Curves/meltCurve_F5H1G9_ABI1.pdf")</f>
        <v>Melting_Curves/meltCurve_F5H1G9_ABI1.pdf</v>
      </c>
    </row>
    <row r="394" spans="1:28" x14ac:dyDescent="0.25">
      <c r="A394" t="s">
        <v>398</v>
      </c>
      <c r="B394">
        <v>1</v>
      </c>
      <c r="C394">
        <v>0.70682499772802998</v>
      </c>
      <c r="D394">
        <v>0.83578201205658698</v>
      </c>
      <c r="E394">
        <v>0.77613522765138898</v>
      </c>
      <c r="F394">
        <v>0.80548907939777603</v>
      </c>
      <c r="G394">
        <v>0.73875374875041599</v>
      </c>
      <c r="H394">
        <v>0.91060555572385005</v>
      </c>
      <c r="I394">
        <v>1.24279785526037</v>
      </c>
      <c r="J394">
        <v>1.33973523976856</v>
      </c>
      <c r="K394">
        <v>1.2029626488140299</v>
      </c>
      <c r="L394">
        <v>15000</v>
      </c>
      <c r="M394">
        <v>236.51145768743601</v>
      </c>
      <c r="O394">
        <v>63.417356634008897</v>
      </c>
      <c r="P394">
        <v>0.25302401555898701</v>
      </c>
      <c r="Q394">
        <v>1.2713798332798101</v>
      </c>
      <c r="R394">
        <v>0.39466003081460999</v>
      </c>
      <c r="S394" t="s">
        <v>2396</v>
      </c>
      <c r="T394" t="s">
        <v>4002</v>
      </c>
      <c r="U394" t="s">
        <v>4002</v>
      </c>
      <c r="V394" t="s">
        <v>4002</v>
      </c>
      <c r="W394" t="s">
        <v>4393</v>
      </c>
      <c r="X394">
        <v>1</v>
      </c>
      <c r="Y394" t="s">
        <v>6366</v>
      </c>
      <c r="Z394" t="s">
        <v>8292</v>
      </c>
      <c r="AA394">
        <v>1.059471935991984</v>
      </c>
      <c r="AB394" t="str">
        <f>HYPERLINK("Melting_Curves/meltCurve_F5H1S8_MLEC.pdf", "Melting_Curves/meltCurve_F5H1S8_MLEC.pdf")</f>
        <v>Melting_Curves/meltCurve_F5H1S8_MLEC.pdf</v>
      </c>
    </row>
    <row r="395" spans="1:28" x14ac:dyDescent="0.25">
      <c r="A395" t="s">
        <v>399</v>
      </c>
      <c r="B395">
        <v>1</v>
      </c>
      <c r="C395">
        <v>0.79371016902188996</v>
      </c>
      <c r="D395">
        <v>0.78647132169576095</v>
      </c>
      <c r="E395">
        <v>0.77878221113881996</v>
      </c>
      <c r="F395">
        <v>0.93086727625381005</v>
      </c>
      <c r="G395">
        <v>0.906033527292879</v>
      </c>
      <c r="H395">
        <v>0.84611388196176196</v>
      </c>
      <c r="I395">
        <v>1.2545372679412601</v>
      </c>
      <c r="J395">
        <v>1.09673732335827</v>
      </c>
      <c r="K395">
        <v>1.23701163757273</v>
      </c>
      <c r="L395">
        <v>9281.1437160512305</v>
      </c>
      <c r="M395">
        <v>148.11025900182199</v>
      </c>
      <c r="O395">
        <v>62.6523236077009</v>
      </c>
      <c r="P395">
        <v>0.116477090774838</v>
      </c>
      <c r="Q395">
        <v>1.19708453289159</v>
      </c>
      <c r="R395">
        <v>0.34213820452264498</v>
      </c>
      <c r="S395" t="s">
        <v>2397</v>
      </c>
      <c r="T395" t="s">
        <v>4002</v>
      </c>
      <c r="U395" t="s">
        <v>4002</v>
      </c>
      <c r="V395" t="s">
        <v>4002</v>
      </c>
      <c r="W395" t="s">
        <v>4394</v>
      </c>
      <c r="X395">
        <v>1</v>
      </c>
      <c r="Y395" t="s">
        <v>6367</v>
      </c>
      <c r="Z395" t="s">
        <v>8293</v>
      </c>
      <c r="AA395">
        <v>1.0481336267266561</v>
      </c>
      <c r="AB395" t="str">
        <f>HYPERLINK("Melting_Curves/meltCurve_F5H1Y3_FEN1.pdf", "Melting_Curves/meltCurve_F5H1Y3_FEN1.pdf")</f>
        <v>Melting_Curves/meltCurve_F5H1Y3_FEN1.pdf</v>
      </c>
    </row>
    <row r="396" spans="1:28" x14ac:dyDescent="0.25">
      <c r="A396" t="s">
        <v>400</v>
      </c>
      <c r="B396">
        <v>1</v>
      </c>
      <c r="C396">
        <v>0.90462483620819301</v>
      </c>
      <c r="D396">
        <v>0.86406891070392899</v>
      </c>
      <c r="E396">
        <v>1.0153588383133201</v>
      </c>
      <c r="F396">
        <v>1.01104117887139</v>
      </c>
      <c r="G396">
        <v>0.97394367709922003</v>
      </c>
      <c r="H396">
        <v>0.88121066311515905</v>
      </c>
      <c r="I396">
        <v>0.99276093914463104</v>
      </c>
      <c r="J396">
        <v>0.65989302515412496</v>
      </c>
      <c r="K396">
        <v>0.86185637875110099</v>
      </c>
      <c r="L396">
        <v>1653.5708290427899</v>
      </c>
      <c r="M396">
        <v>26.103927770867202</v>
      </c>
      <c r="O396">
        <v>62.977435337088998</v>
      </c>
      <c r="P396">
        <v>-2.3976988234309899E-2</v>
      </c>
      <c r="Q396">
        <v>0.76861845572741605</v>
      </c>
      <c r="R396">
        <v>0.29482267066052598</v>
      </c>
      <c r="S396" t="s">
        <v>2398</v>
      </c>
      <c r="T396" t="s">
        <v>4002</v>
      </c>
      <c r="U396" t="s">
        <v>4002</v>
      </c>
      <c r="V396" t="s">
        <v>4002</v>
      </c>
      <c r="W396" t="s">
        <v>4395</v>
      </c>
      <c r="X396">
        <v>1</v>
      </c>
      <c r="Y396" t="s">
        <v>6368</v>
      </c>
      <c r="Z396" t="s">
        <v>8294</v>
      </c>
      <c r="AA396">
        <v>0.94906732924162851</v>
      </c>
      <c r="AB396" t="str">
        <f>HYPERLINK("Melting_Curves/meltCurve_F5H1Z7_SEMA3C.pdf", "Melting_Curves/meltCurve_F5H1Z7_SEMA3C.pdf")</f>
        <v>Melting_Curves/meltCurve_F5H1Z7_SEMA3C.pdf</v>
      </c>
    </row>
    <row r="397" spans="1:28" x14ac:dyDescent="0.25">
      <c r="A397" t="s">
        <v>401</v>
      </c>
      <c r="B397">
        <v>1</v>
      </c>
      <c r="C397">
        <v>0.91328657110907796</v>
      </c>
      <c r="D397">
        <v>1.0004828707939399</v>
      </c>
      <c r="E397">
        <v>1.02908661177188</v>
      </c>
      <c r="F397">
        <v>0.88985463047677105</v>
      </c>
      <c r="G397">
        <v>0.90925841211751501</v>
      </c>
      <c r="H397">
        <v>0.82841567551082695</v>
      </c>
      <c r="I397">
        <v>0.97618684558300295</v>
      </c>
      <c r="J397">
        <v>0.77461370336484703</v>
      </c>
      <c r="K397">
        <v>0.90913134085595204</v>
      </c>
      <c r="L397">
        <v>13124.5895012156</v>
      </c>
      <c r="M397">
        <v>250</v>
      </c>
      <c r="O397">
        <v>52.495000032774499</v>
      </c>
      <c r="P397">
        <v>-0.143441109403983</v>
      </c>
      <c r="Q397">
        <v>0.87952094706755501</v>
      </c>
      <c r="R397">
        <v>0.43491775404826499</v>
      </c>
      <c r="S397" t="s">
        <v>2399</v>
      </c>
      <c r="T397" t="s">
        <v>4002</v>
      </c>
      <c r="U397" t="s">
        <v>4002</v>
      </c>
      <c r="V397" t="s">
        <v>4002</v>
      </c>
      <c r="W397" t="s">
        <v>4396</v>
      </c>
      <c r="X397">
        <v>2</v>
      </c>
      <c r="Y397" t="s">
        <v>6369</v>
      </c>
      <c r="Z397" t="s">
        <v>8295</v>
      </c>
      <c r="AA397">
        <v>0.92972505844855413</v>
      </c>
      <c r="AB397" t="str">
        <f>HYPERLINK("Melting_Curves/meltCurve_F5H2B9_UACA.pdf", "Melting_Curves/meltCurve_F5H2B9_UACA.pdf")</f>
        <v>Melting_Curves/meltCurve_F5H2B9_UACA.pdf</v>
      </c>
    </row>
    <row r="398" spans="1:28" x14ac:dyDescent="0.25">
      <c r="A398" t="s">
        <v>402</v>
      </c>
      <c r="B398">
        <v>1</v>
      </c>
      <c r="C398">
        <v>0.86607480166225903</v>
      </c>
      <c r="D398">
        <v>0.99007681652184898</v>
      </c>
      <c r="E398">
        <v>0.97298828862863596</v>
      </c>
      <c r="F398">
        <v>0.81215212189900499</v>
      </c>
      <c r="G398">
        <v>0.90161188767157796</v>
      </c>
      <c r="H398">
        <v>0.87301347437350496</v>
      </c>
      <c r="I398">
        <v>0.76278806195693205</v>
      </c>
      <c r="J398">
        <v>0.89419468580783301</v>
      </c>
      <c r="K398">
        <v>0.92708726860596902</v>
      </c>
      <c r="L398">
        <v>424.83947475126701</v>
      </c>
      <c r="M398">
        <v>9.1570874326225695</v>
      </c>
      <c r="O398">
        <v>44.342709387274397</v>
      </c>
      <c r="P398">
        <v>-7.3764041508301102E-3</v>
      </c>
      <c r="Q398">
        <v>0.85721769339194898</v>
      </c>
      <c r="R398">
        <v>0.25558195185035998</v>
      </c>
      <c r="S398" t="s">
        <v>2400</v>
      </c>
      <c r="T398" t="s">
        <v>4002</v>
      </c>
      <c r="U398" t="s">
        <v>4002</v>
      </c>
      <c r="V398" t="s">
        <v>4002</v>
      </c>
      <c r="W398" t="s">
        <v>4397</v>
      </c>
      <c r="X398">
        <v>1</v>
      </c>
      <c r="Y398" t="s">
        <v>6370</v>
      </c>
      <c r="Z398" t="s">
        <v>8296</v>
      </c>
      <c r="AA398">
        <v>0.8975631759867998</v>
      </c>
      <c r="AB398" t="str">
        <f>HYPERLINK("Melting_Curves/meltCurve_F5H2Q7_KIAA1715.pdf", "Melting_Curves/meltCurve_F5H2Q7_KIAA1715.pdf")</f>
        <v>Melting_Curves/meltCurve_F5H2Q7_KIAA1715.pdf</v>
      </c>
    </row>
    <row r="399" spans="1:28" x14ac:dyDescent="0.25">
      <c r="A399" t="s">
        <v>403</v>
      </c>
      <c r="B399">
        <v>1</v>
      </c>
      <c r="C399">
        <v>0.82059046177138495</v>
      </c>
      <c r="D399">
        <v>1.4805612631123599</v>
      </c>
      <c r="E399">
        <v>1.13355682924192</v>
      </c>
      <c r="F399">
        <v>1.2052557586244199</v>
      </c>
      <c r="G399">
        <v>1.04041851411269</v>
      </c>
      <c r="H399">
        <v>0.83221585379041896</v>
      </c>
      <c r="I399">
        <v>1.3725802963123199</v>
      </c>
      <c r="J399">
        <v>0.93733102627879294</v>
      </c>
      <c r="K399">
        <v>0.49421433978587698</v>
      </c>
      <c r="L399">
        <v>15000</v>
      </c>
      <c r="M399">
        <v>221.92383539823999</v>
      </c>
      <c r="N399">
        <v>68.963650169395805</v>
      </c>
      <c r="O399">
        <v>67.585264427008596</v>
      </c>
      <c r="P399">
        <v>-0.415401221128606</v>
      </c>
      <c r="Q399">
        <v>0.49397048307616498</v>
      </c>
      <c r="R399">
        <v>0.336808808833851</v>
      </c>
      <c r="S399" t="s">
        <v>2401</v>
      </c>
      <c r="T399" t="s">
        <v>4002</v>
      </c>
      <c r="U399" t="s">
        <v>4002</v>
      </c>
      <c r="V399" t="s">
        <v>4002</v>
      </c>
      <c r="W399" t="s">
        <v>4398</v>
      </c>
      <c r="X399">
        <v>8</v>
      </c>
      <c r="Y399" t="s">
        <v>6371</v>
      </c>
      <c r="Z399" t="s">
        <v>8297</v>
      </c>
      <c r="AA399">
        <v>0.95943522856979202</v>
      </c>
      <c r="AB399" t="str">
        <f>HYPERLINK("Melting_Curves/meltCurve_F5H2R5_ARHGDIB.pdf", "Melting_Curves/meltCurve_F5H2R5_ARHGDIB.pdf")</f>
        <v>Melting_Curves/meltCurve_F5H2R5_ARHGDIB.pdf</v>
      </c>
    </row>
    <row r="400" spans="1:28" x14ac:dyDescent="0.25">
      <c r="A400" t="s">
        <v>404</v>
      </c>
      <c r="B400">
        <v>1</v>
      </c>
      <c r="C400">
        <v>0.96479483818933398</v>
      </c>
      <c r="D400">
        <v>0.98429277144873495</v>
      </c>
      <c r="E400">
        <v>0.98522028430285302</v>
      </c>
      <c r="F400">
        <v>0.854541788486743</v>
      </c>
      <c r="G400">
        <v>0.90892227039016005</v>
      </c>
      <c r="H400">
        <v>0.72525456195181004</v>
      </c>
      <c r="I400">
        <v>0.89515072083879399</v>
      </c>
      <c r="J400">
        <v>0.909869946567194</v>
      </c>
      <c r="K400">
        <v>0.72569815505595303</v>
      </c>
      <c r="L400">
        <v>1155.9730751908301</v>
      </c>
      <c r="M400">
        <v>22.0842425877543</v>
      </c>
      <c r="O400">
        <v>51.920273378742401</v>
      </c>
      <c r="P400">
        <v>-1.9062581568648401E-2</v>
      </c>
      <c r="Q400">
        <v>0.82073866823075003</v>
      </c>
      <c r="R400">
        <v>0.55615113226679103</v>
      </c>
      <c r="S400" t="s">
        <v>2402</v>
      </c>
      <c r="T400" t="s">
        <v>4002</v>
      </c>
      <c r="U400" t="s">
        <v>4002</v>
      </c>
      <c r="V400" t="s">
        <v>4002</v>
      </c>
      <c r="W400" t="s">
        <v>4399</v>
      </c>
      <c r="X400">
        <v>8</v>
      </c>
      <c r="Y400" t="s">
        <v>6372</v>
      </c>
      <c r="Z400" t="s">
        <v>8298</v>
      </c>
      <c r="AA400">
        <v>0.8965691108289271</v>
      </c>
      <c r="AB400" t="str">
        <f>HYPERLINK("Melting_Curves/meltCurve_F5H2S7_DCTN2.pdf", "Melting_Curves/meltCurve_F5H2S7_DCTN2.pdf")</f>
        <v>Melting_Curves/meltCurve_F5H2S7_DCTN2.pdf</v>
      </c>
    </row>
    <row r="401" spans="1:28" x14ac:dyDescent="0.25">
      <c r="A401" t="s">
        <v>405</v>
      </c>
      <c r="B401">
        <v>1</v>
      </c>
      <c r="C401">
        <v>0.97162299116838002</v>
      </c>
      <c r="D401">
        <v>1.0672195908912301</v>
      </c>
      <c r="E401">
        <v>1.06546154005253</v>
      </c>
      <c r="F401">
        <v>1.0334443318372699</v>
      </c>
      <c r="G401">
        <v>1.0617592918157599</v>
      </c>
      <c r="H401">
        <v>0.70301350596703105</v>
      </c>
      <c r="I401">
        <v>1.1569629154687799</v>
      </c>
      <c r="J401">
        <v>1.0248195412521499</v>
      </c>
      <c r="K401">
        <v>0.92254234834226101</v>
      </c>
      <c r="L401">
        <v>15000</v>
      </c>
      <c r="M401">
        <v>211.80828456893499</v>
      </c>
      <c r="Q401">
        <v>0</v>
      </c>
      <c r="R401">
        <v>4.4739693451788499E-2</v>
      </c>
      <c r="S401" t="s">
        <v>2403</v>
      </c>
      <c r="T401" t="s">
        <v>4002</v>
      </c>
      <c r="U401" t="s">
        <v>4002</v>
      </c>
      <c r="V401" t="s">
        <v>4002</v>
      </c>
      <c r="W401" t="s">
        <v>4400</v>
      </c>
      <c r="X401">
        <v>8</v>
      </c>
      <c r="Y401" t="s">
        <v>6373</v>
      </c>
      <c r="Z401" t="s">
        <v>8299</v>
      </c>
      <c r="AA401">
        <v>0.99913038337675519</v>
      </c>
      <c r="AB401" t="str">
        <f>HYPERLINK("Melting_Curves/meltCurve_F5H335_EIF3A.pdf", "Melting_Curves/meltCurve_F5H335_EIF3A.pdf")</f>
        <v>Melting_Curves/meltCurve_F5H335_EIF3A.pdf</v>
      </c>
    </row>
    <row r="402" spans="1:28" x14ac:dyDescent="0.25">
      <c r="A402" t="s">
        <v>406</v>
      </c>
      <c r="B402">
        <v>1</v>
      </c>
      <c r="C402">
        <v>0.87434679334916898</v>
      </c>
      <c r="D402">
        <v>0.99980205859065696</v>
      </c>
      <c r="E402">
        <v>0.94538796516231205</v>
      </c>
      <c r="F402">
        <v>0.897070467141726</v>
      </c>
      <c r="G402">
        <v>0.94295328582739502</v>
      </c>
      <c r="H402">
        <v>1.1320269200316699</v>
      </c>
      <c r="I402">
        <v>0.76201504354711003</v>
      </c>
      <c r="J402">
        <v>0.98465954077592999</v>
      </c>
      <c r="K402">
        <v>0.86614212193190798</v>
      </c>
      <c r="L402">
        <v>101.23219383195</v>
      </c>
      <c r="M402">
        <v>1.0000000000000001E-5</v>
      </c>
      <c r="O402">
        <v>42.191326735860798</v>
      </c>
      <c r="P402">
        <v>-1.8995630393710901E-3</v>
      </c>
      <c r="Q402">
        <v>0.56219784896298797</v>
      </c>
      <c r="R402">
        <v>2.7020606055942701E-2</v>
      </c>
      <c r="S402" t="s">
        <v>2404</v>
      </c>
      <c r="T402" t="s">
        <v>4002</v>
      </c>
      <c r="U402" t="s">
        <v>4002</v>
      </c>
      <c r="V402" t="s">
        <v>4002</v>
      </c>
      <c r="W402" t="s">
        <v>4401</v>
      </c>
      <c r="X402">
        <v>1</v>
      </c>
      <c r="Y402" t="s">
        <v>6374</v>
      </c>
      <c r="Z402" t="s">
        <v>8300</v>
      </c>
      <c r="AA402">
        <v>0.94076489460830148</v>
      </c>
      <c r="AB402" t="str">
        <f>HYPERLINK("Melting_Curves/meltCurve_F5H3T3_KCTD20.pdf", "Melting_Curves/meltCurve_F5H3T3_KCTD20.pdf")</f>
        <v>Melting_Curves/meltCurve_F5H3T3_KCTD20.pdf</v>
      </c>
    </row>
    <row r="403" spans="1:28" x14ac:dyDescent="0.25">
      <c r="A403" t="s">
        <v>407</v>
      </c>
      <c r="B403">
        <v>1</v>
      </c>
      <c r="C403">
        <v>0.89383424529560895</v>
      </c>
      <c r="D403">
        <v>0.92953423194981999</v>
      </c>
      <c r="E403">
        <v>0.97484318697451</v>
      </c>
      <c r="F403">
        <v>0.85966902442279503</v>
      </c>
      <c r="G403">
        <v>0.990858134258642</v>
      </c>
      <c r="H403">
        <v>0.63562658481249201</v>
      </c>
      <c r="I403">
        <v>1.18220338983051</v>
      </c>
      <c r="J403">
        <v>0.75061724275990904</v>
      </c>
      <c r="K403">
        <v>0.82722207393567304</v>
      </c>
      <c r="L403">
        <v>140.284440825849</v>
      </c>
      <c r="M403">
        <v>0.29244477245540201</v>
      </c>
      <c r="O403">
        <v>56.197165412299803</v>
      </c>
      <c r="P403">
        <v>-3.9766843325651302E-3</v>
      </c>
      <c r="Q403">
        <v>0</v>
      </c>
      <c r="R403">
        <v>7.0154246592017494E-2</v>
      </c>
      <c r="S403" t="s">
        <v>2405</v>
      </c>
      <c r="T403" t="s">
        <v>4002</v>
      </c>
      <c r="U403" t="s">
        <v>4002</v>
      </c>
      <c r="V403" t="s">
        <v>4002</v>
      </c>
      <c r="W403" t="s">
        <v>4402</v>
      </c>
      <c r="X403">
        <v>1</v>
      </c>
      <c r="Y403" t="s">
        <v>6375</v>
      </c>
      <c r="Z403" t="s">
        <v>8301</v>
      </c>
      <c r="AA403">
        <v>0.90505111862219934</v>
      </c>
      <c r="AB403" t="str">
        <f>HYPERLINK("Melting_Curves/meltCurve_F5H423_ARF3.pdf", "Melting_Curves/meltCurve_F5H423_ARF3.pdf")</f>
        <v>Melting_Curves/meltCurve_F5H423_ARF3.pdf</v>
      </c>
    </row>
    <row r="404" spans="1:28" x14ac:dyDescent="0.25">
      <c r="A404" t="s">
        <v>408</v>
      </c>
      <c r="B404">
        <v>1</v>
      </c>
      <c r="C404">
        <v>0.92387543252595195</v>
      </c>
      <c r="D404">
        <v>0.91968676015297801</v>
      </c>
      <c r="E404">
        <v>0.94800582771808395</v>
      </c>
      <c r="F404">
        <v>0.98242578765252198</v>
      </c>
      <c r="G404">
        <v>1.0553633217993099</v>
      </c>
      <c r="H404">
        <v>0.95419777818247997</v>
      </c>
      <c r="I404">
        <v>0.94135858677836504</v>
      </c>
      <c r="J404">
        <v>10.1293024949918</v>
      </c>
      <c r="K404">
        <v>0.91027135312329299</v>
      </c>
      <c r="L404">
        <v>15000</v>
      </c>
      <c r="M404">
        <v>231.491254700036</v>
      </c>
      <c r="O404">
        <v>64.792428162230394</v>
      </c>
      <c r="P404">
        <v>0.44660167419234698</v>
      </c>
      <c r="Q404">
        <v>1.5</v>
      </c>
      <c r="R404">
        <v>1.1227668518907699E-2</v>
      </c>
      <c r="S404" t="s">
        <v>2406</v>
      </c>
      <c r="T404" t="s">
        <v>4002</v>
      </c>
      <c r="U404" t="s">
        <v>4002</v>
      </c>
      <c r="V404" t="s">
        <v>4002</v>
      </c>
      <c r="W404" t="s">
        <v>4403</v>
      </c>
      <c r="X404">
        <v>3</v>
      </c>
      <c r="Y404" t="s">
        <v>6376</v>
      </c>
      <c r="Z404" t="s">
        <v>8302</v>
      </c>
      <c r="AA404">
        <v>1.0866459455663311</v>
      </c>
      <c r="AB404" t="str">
        <f>HYPERLINK("Melting_Curves/meltCurve_F5H4F9_RPS3A.pdf", "Melting_Curves/meltCurve_F5H4F9_RPS3A.pdf")</f>
        <v>Melting_Curves/meltCurve_F5H4F9_RPS3A.pdf</v>
      </c>
    </row>
    <row r="405" spans="1:28" x14ac:dyDescent="0.25">
      <c r="A405" t="s">
        <v>409</v>
      </c>
      <c r="B405">
        <v>1</v>
      </c>
      <c r="C405">
        <v>1.2291075514874099</v>
      </c>
      <c r="D405">
        <v>1.31487414187643</v>
      </c>
      <c r="E405">
        <v>1.5033409610984001</v>
      </c>
      <c r="F405">
        <v>2.0914416475972502</v>
      </c>
      <c r="G405">
        <v>2.6646224256292901</v>
      </c>
      <c r="H405">
        <v>3.6023798627002299</v>
      </c>
      <c r="I405">
        <v>3.9718993135011398</v>
      </c>
      <c r="J405">
        <v>5.6465903890160201</v>
      </c>
      <c r="K405">
        <v>3.3337299771166999</v>
      </c>
      <c r="L405">
        <v>1365.98749897524</v>
      </c>
      <c r="M405">
        <v>31.260204187286298</v>
      </c>
      <c r="O405">
        <v>43.519678312724103</v>
      </c>
      <c r="P405">
        <v>8.9788059502823397E-2</v>
      </c>
      <c r="Q405">
        <v>1.5</v>
      </c>
      <c r="R405">
        <v>-0.62020862866814097</v>
      </c>
      <c r="S405" t="s">
        <v>2407</v>
      </c>
      <c r="T405" t="s">
        <v>4002</v>
      </c>
      <c r="U405" t="s">
        <v>4002</v>
      </c>
      <c r="V405" t="s">
        <v>4002</v>
      </c>
      <c r="W405" t="s">
        <v>4404</v>
      </c>
      <c r="X405">
        <v>1</v>
      </c>
      <c r="Y405" t="s">
        <v>6377</v>
      </c>
      <c r="Z405" t="s">
        <v>8303</v>
      </c>
      <c r="AA405">
        <v>1.4348919461901899</v>
      </c>
      <c r="AB405" t="str">
        <f>HYPERLINK("Melting_Curves/meltCurve_F5H4L7_VPS26A.pdf", "Melting_Curves/meltCurve_F5H4L7_VPS26A.pdf")</f>
        <v>Melting_Curves/meltCurve_F5H4L7_VPS26A.pdf</v>
      </c>
    </row>
    <row r="406" spans="1:28" x14ac:dyDescent="0.25">
      <c r="A406" t="s">
        <v>410</v>
      </c>
      <c r="B406">
        <v>1</v>
      </c>
      <c r="C406">
        <v>1.0464524094293799</v>
      </c>
      <c r="D406">
        <v>1.2291755083143601</v>
      </c>
      <c r="E406">
        <v>1.1376596319302399</v>
      </c>
      <c r="F406">
        <v>1.26069678614144</v>
      </c>
      <c r="G406">
        <v>1.2216134881747001</v>
      </c>
      <c r="H406">
        <v>0.76287665419190598</v>
      </c>
      <c r="I406">
        <v>1.41108839075582</v>
      </c>
      <c r="J406">
        <v>0.88618388055094699</v>
      </c>
      <c r="K406">
        <v>0.87842895173424895</v>
      </c>
      <c r="L406">
        <v>15000</v>
      </c>
      <c r="M406">
        <v>226.242883542844</v>
      </c>
      <c r="O406">
        <v>66.295247511891006</v>
      </c>
      <c r="P406">
        <v>-0.10481637624156501</v>
      </c>
      <c r="Q406">
        <v>0.87714393523954104</v>
      </c>
      <c r="R406">
        <v>-0.11196957425201801</v>
      </c>
      <c r="S406" t="s">
        <v>2408</v>
      </c>
      <c r="T406" t="s">
        <v>4002</v>
      </c>
      <c r="U406" t="s">
        <v>4002</v>
      </c>
      <c r="V406" t="s">
        <v>4002</v>
      </c>
      <c r="W406" t="s">
        <v>4405</v>
      </c>
      <c r="X406">
        <v>1</v>
      </c>
      <c r="Y406" t="s">
        <v>6378</v>
      </c>
      <c r="Z406" t="s">
        <v>8304</v>
      </c>
      <c r="AA406">
        <v>0.98486695161619309</v>
      </c>
      <c r="AB406" t="str">
        <f>HYPERLINK("Melting_Curves/meltCurve_F5H577_BRK1.pdf", "Melting_Curves/meltCurve_F5H577_BRK1.pdf")</f>
        <v>Melting_Curves/meltCurve_F5H577_BRK1.pdf</v>
      </c>
    </row>
    <row r="407" spans="1:28" x14ac:dyDescent="0.25">
      <c r="A407" t="s">
        <v>411</v>
      </c>
      <c r="B407">
        <v>1</v>
      </c>
      <c r="C407">
        <v>1.0186361208380299</v>
      </c>
      <c r="D407">
        <v>1.1718202860703899</v>
      </c>
      <c r="E407">
        <v>1.11211347854472</v>
      </c>
      <c r="F407">
        <v>1.0104457237818301</v>
      </c>
      <c r="G407">
        <v>1.0797079945397401</v>
      </c>
      <c r="H407">
        <v>1.1011335984331401</v>
      </c>
      <c r="I407">
        <v>1.1039230814885199</v>
      </c>
      <c r="J407">
        <v>3.1587631313431102</v>
      </c>
      <c r="K407">
        <v>1.0833877381446999</v>
      </c>
      <c r="L407">
        <v>15000</v>
      </c>
      <c r="M407">
        <v>233.049676012958</v>
      </c>
      <c r="O407">
        <v>64.359223862041503</v>
      </c>
      <c r="P407">
        <v>0.452634594909465</v>
      </c>
      <c r="Q407">
        <v>1.5</v>
      </c>
      <c r="R407">
        <v>0.240739688725948</v>
      </c>
      <c r="S407" t="s">
        <v>2409</v>
      </c>
      <c r="T407" t="s">
        <v>4002</v>
      </c>
      <c r="U407" t="s">
        <v>4002</v>
      </c>
      <c r="V407" t="s">
        <v>4002</v>
      </c>
      <c r="W407" t="s">
        <v>4406</v>
      </c>
      <c r="X407">
        <v>9</v>
      </c>
      <c r="Y407" t="s">
        <v>6379</v>
      </c>
      <c r="Z407" t="s">
        <v>8305</v>
      </c>
      <c r="AA407">
        <v>1.0938690062850061</v>
      </c>
      <c r="AB407" t="str">
        <f>HYPERLINK("Melting_Curves/meltCurve_F5H5D3_TUBA1C.pdf", "Melting_Curves/meltCurve_F5H5D3_TUBA1C.pdf")</f>
        <v>Melting_Curves/meltCurve_F5H5D3_TUBA1C.pdf</v>
      </c>
    </row>
    <row r="408" spans="1:28" x14ac:dyDescent="0.25">
      <c r="A408" t="s">
        <v>412</v>
      </c>
      <c r="B408">
        <v>1</v>
      </c>
      <c r="C408">
        <v>1.20046506597448</v>
      </c>
      <c r="D408">
        <v>1.5883625351503401</v>
      </c>
      <c r="E408">
        <v>1.9411096690460701</v>
      </c>
      <c r="F408">
        <v>2.0195760328790802</v>
      </c>
      <c r="G408">
        <v>2.78898983344149</v>
      </c>
      <c r="H408">
        <v>1.83782176076141</v>
      </c>
      <c r="I408">
        <v>3.2058728098637199</v>
      </c>
      <c r="J408">
        <v>1.95938784339174</v>
      </c>
      <c r="K408">
        <v>2.43721609344581</v>
      </c>
      <c r="L408">
        <v>10742.228247666701</v>
      </c>
      <c r="M408">
        <v>250</v>
      </c>
      <c r="O408">
        <v>42.966163184959797</v>
      </c>
      <c r="P408">
        <v>0.72731651285017895</v>
      </c>
      <c r="Q408">
        <v>1.5</v>
      </c>
      <c r="R408">
        <v>-0.52069003533950697</v>
      </c>
      <c r="S408" t="s">
        <v>2410</v>
      </c>
      <c r="T408" t="s">
        <v>4002</v>
      </c>
      <c r="U408" t="s">
        <v>4002</v>
      </c>
      <c r="V408" t="s">
        <v>4002</v>
      </c>
      <c r="W408" t="s">
        <v>4407</v>
      </c>
      <c r="X408">
        <v>1</v>
      </c>
      <c r="Y408" t="s">
        <v>6380</v>
      </c>
      <c r="Z408" t="s">
        <v>8306</v>
      </c>
      <c r="AA408">
        <v>1.4504804119139141</v>
      </c>
      <c r="AB408" t="str">
        <f>HYPERLINK("Melting_Curves/meltCurve_F5H5E2_PLBD2.pdf", "Melting_Curves/meltCurve_F5H5E2_PLBD2.pdf")</f>
        <v>Melting_Curves/meltCurve_F5H5E2_PLBD2.pdf</v>
      </c>
    </row>
    <row r="409" spans="1:28" x14ac:dyDescent="0.25">
      <c r="A409" t="s">
        <v>413</v>
      </c>
      <c r="B409">
        <v>1</v>
      </c>
      <c r="C409">
        <v>0.90249653259361995</v>
      </c>
      <c r="D409">
        <v>0.95443828016643595</v>
      </c>
      <c r="E409">
        <v>1.04490291262136</v>
      </c>
      <c r="F409">
        <v>1.07219140083218</v>
      </c>
      <c r="G409">
        <v>1.1752773925104001</v>
      </c>
      <c r="H409">
        <v>1.66692094313454</v>
      </c>
      <c r="I409">
        <v>1.5145631067961201</v>
      </c>
      <c r="J409">
        <v>1.5523578363384201</v>
      </c>
      <c r="K409">
        <v>1.3680305131761401</v>
      </c>
      <c r="L409">
        <v>14285.146237623099</v>
      </c>
      <c r="M409">
        <v>250</v>
      </c>
      <c r="O409">
        <v>57.136914897051803</v>
      </c>
      <c r="P409">
        <v>0.54693174662750799</v>
      </c>
      <c r="Q409">
        <v>1.5</v>
      </c>
      <c r="R409">
        <v>0.90323731176535704</v>
      </c>
      <c r="S409" t="s">
        <v>2411</v>
      </c>
      <c r="T409" t="s">
        <v>4002</v>
      </c>
      <c r="U409" t="s">
        <v>4002</v>
      </c>
      <c r="V409" t="s">
        <v>4002</v>
      </c>
      <c r="W409" t="s">
        <v>4408</v>
      </c>
      <c r="X409">
        <v>2</v>
      </c>
      <c r="Y409" t="s">
        <v>6381</v>
      </c>
      <c r="Z409" t="s">
        <v>8307</v>
      </c>
      <c r="AA409">
        <v>1.214273443739817</v>
      </c>
      <c r="AB409" t="str">
        <f>HYPERLINK("Melting_Curves/meltCurve_F5H5P4_VAV1.pdf", "Melting_Curves/meltCurve_F5H5P4_VAV1.pdf")</f>
        <v>Melting_Curves/meltCurve_F5H5P4_VAV1.pdf</v>
      </c>
    </row>
    <row r="410" spans="1:28" x14ac:dyDescent="0.25">
      <c r="A410" t="s">
        <v>414</v>
      </c>
      <c r="B410">
        <v>1</v>
      </c>
      <c r="C410">
        <v>0.79899865315922003</v>
      </c>
      <c r="D410">
        <v>0.95739884054576296</v>
      </c>
      <c r="E410">
        <v>1.0199098202260399</v>
      </c>
      <c r="F410">
        <v>1.00752474087955</v>
      </c>
      <c r="G410">
        <v>1.0322948995725201</v>
      </c>
      <c r="H410">
        <v>0.78582303683316701</v>
      </c>
      <c r="I410">
        <v>1.01103823856649</v>
      </c>
      <c r="J410">
        <v>0.96539204778356802</v>
      </c>
      <c r="K410">
        <v>0.87325057094337399</v>
      </c>
      <c r="L410">
        <v>35.0109473220095</v>
      </c>
      <c r="M410">
        <v>1.0000000000000001E-5</v>
      </c>
      <c r="Q410">
        <v>0.839749621173151</v>
      </c>
      <c r="R410">
        <v>1.8619432159502299E-3</v>
      </c>
      <c r="S410" t="s">
        <v>2412</v>
      </c>
      <c r="T410" t="s">
        <v>4002</v>
      </c>
      <c r="U410" t="s">
        <v>4002</v>
      </c>
      <c r="V410" t="s">
        <v>4002</v>
      </c>
      <c r="W410" t="s">
        <v>4409</v>
      </c>
      <c r="X410">
        <v>2</v>
      </c>
      <c r="Y410" t="s">
        <v>6382</v>
      </c>
      <c r="Z410" t="s">
        <v>8308</v>
      </c>
      <c r="AA410">
        <v>0.94508216791873112</v>
      </c>
      <c r="AB410" t="str">
        <f>HYPERLINK("Melting_Curves/meltCurve_F5H5Q2_ACVR1B.pdf", "Melting_Curves/meltCurve_F5H5Q2_ACVR1B.pdf")</f>
        <v>Melting_Curves/meltCurve_F5H5Q2_ACVR1B.pdf</v>
      </c>
    </row>
    <row r="411" spans="1:28" x14ac:dyDescent="0.25">
      <c r="A411" t="s">
        <v>415</v>
      </c>
      <c r="B411">
        <v>1</v>
      </c>
      <c r="C411">
        <v>0.89853120389968599</v>
      </c>
      <c r="D411">
        <v>0.95730442776815705</v>
      </c>
      <c r="E411">
        <v>0.98501272101425996</v>
      </c>
      <c r="F411">
        <v>0.87822034079490296</v>
      </c>
      <c r="G411">
        <v>0.95067667243922804</v>
      </c>
      <c r="H411">
        <v>0.85117482308169201</v>
      </c>
      <c r="I411">
        <v>1.00675603446433</v>
      </c>
      <c r="J411">
        <v>0.93973018621854498</v>
      </c>
      <c r="K411">
        <v>0.88918820687148603</v>
      </c>
      <c r="L411">
        <v>10243.2059080989</v>
      </c>
      <c r="M411">
        <v>250</v>
      </c>
      <c r="O411">
        <v>40.970200020813998</v>
      </c>
      <c r="P411">
        <v>-0.10905716843100299</v>
      </c>
      <c r="Q411">
        <v>0.92851049318151602</v>
      </c>
      <c r="R411">
        <v>0.17478459258189999</v>
      </c>
      <c r="S411" t="s">
        <v>2413</v>
      </c>
      <c r="T411" t="s">
        <v>4002</v>
      </c>
      <c r="U411" t="s">
        <v>4002</v>
      </c>
      <c r="V411" t="s">
        <v>4002</v>
      </c>
      <c r="W411" t="s">
        <v>4410</v>
      </c>
      <c r="X411">
        <v>3</v>
      </c>
      <c r="Y411" t="s">
        <v>6383</v>
      </c>
      <c r="Z411" t="s">
        <v>8309</v>
      </c>
      <c r="AA411">
        <v>0.93083470052393513</v>
      </c>
      <c r="AB411" t="str">
        <f>HYPERLINK("Melting_Curves/meltCurve_F5H5V4_PSMD9.pdf", "Melting_Curves/meltCurve_F5H5V4_PSMD9.pdf")</f>
        <v>Melting_Curves/meltCurve_F5H5V4_PSMD9.pdf</v>
      </c>
    </row>
    <row r="412" spans="1:28" x14ac:dyDescent="0.25">
      <c r="A412" t="s">
        <v>416</v>
      </c>
      <c r="B412">
        <v>1</v>
      </c>
      <c r="C412">
        <v>1.02427117711771</v>
      </c>
      <c r="D412">
        <v>1.0520317656765701</v>
      </c>
      <c r="E412">
        <v>1.11446300880088</v>
      </c>
      <c r="F412">
        <v>0.99522139713971403</v>
      </c>
      <c r="G412">
        <v>0.99436193619361901</v>
      </c>
      <c r="H412">
        <v>0.87869568206820703</v>
      </c>
      <c r="I412">
        <v>1.1218715621562201</v>
      </c>
      <c r="J412">
        <v>1.6176086358635899</v>
      </c>
      <c r="K412">
        <v>0.96876718921892202</v>
      </c>
      <c r="L412">
        <v>15000</v>
      </c>
      <c r="M412">
        <v>234.03520082625701</v>
      </c>
      <c r="O412">
        <v>64.088242454684902</v>
      </c>
      <c r="P412">
        <v>0.26765320301960599</v>
      </c>
      <c r="Q412">
        <v>1.2931768089043001</v>
      </c>
      <c r="R412">
        <v>0.34605613202682001</v>
      </c>
      <c r="S412" t="s">
        <v>2414</v>
      </c>
      <c r="T412" t="s">
        <v>4002</v>
      </c>
      <c r="U412" t="s">
        <v>4002</v>
      </c>
      <c r="V412" t="s">
        <v>4002</v>
      </c>
      <c r="W412" t="s">
        <v>4411</v>
      </c>
      <c r="X412">
        <v>1</v>
      </c>
      <c r="Y412" t="s">
        <v>6384</v>
      </c>
      <c r="Z412" t="s">
        <v>8310</v>
      </c>
      <c r="AA412">
        <v>1.057689639726892</v>
      </c>
      <c r="AB412" t="str">
        <f>HYPERLINK("Melting_Curves/meltCurve_F5H648_TAP1.pdf", "Melting_Curves/meltCurve_F5H648_TAP1.pdf")</f>
        <v>Melting_Curves/meltCurve_F5H648_TAP1.pdf</v>
      </c>
    </row>
    <row r="413" spans="1:28" x14ac:dyDescent="0.25">
      <c r="A413" t="s">
        <v>417</v>
      </c>
      <c r="B413">
        <v>1</v>
      </c>
      <c r="C413">
        <v>0.993331970773083</v>
      </c>
      <c r="D413">
        <v>1.16044146952123</v>
      </c>
      <c r="E413">
        <v>1.4652547136068701</v>
      </c>
      <c r="F413">
        <v>1.49136477441112</v>
      </c>
      <c r="G413">
        <v>1.4769556997598501</v>
      </c>
      <c r="H413">
        <v>1.3945889326043599</v>
      </c>
      <c r="I413">
        <v>1.9340095038577501</v>
      </c>
      <c r="J413">
        <v>1.2618670481835399</v>
      </c>
      <c r="K413">
        <v>1.2190741403096399</v>
      </c>
      <c r="L413">
        <v>11529.2258051398</v>
      </c>
      <c r="M413">
        <v>250</v>
      </c>
      <c r="O413">
        <v>46.1139534421891</v>
      </c>
      <c r="P413">
        <v>0.62793104953045598</v>
      </c>
      <c r="Q413">
        <v>1.46330211634971</v>
      </c>
      <c r="R413">
        <v>0.53338354875676697</v>
      </c>
      <c r="S413" t="s">
        <v>2415</v>
      </c>
      <c r="T413" t="s">
        <v>4002</v>
      </c>
      <c r="U413" t="s">
        <v>4002</v>
      </c>
      <c r="V413" t="s">
        <v>4002</v>
      </c>
      <c r="W413" t="s">
        <v>4412</v>
      </c>
      <c r="X413">
        <v>7</v>
      </c>
      <c r="Y413" t="s">
        <v>6385</v>
      </c>
      <c r="Z413" t="s">
        <v>8311</v>
      </c>
      <c r="AA413">
        <v>1.368798812329223</v>
      </c>
      <c r="AB413" t="str">
        <f>HYPERLINK("Melting_Curves/meltCurve_F5H6I0_B2M.pdf", "Melting_Curves/meltCurve_F5H6I0_B2M.pdf")</f>
        <v>Melting_Curves/meltCurve_F5H6I0_B2M.pdf</v>
      </c>
    </row>
    <row r="414" spans="1:28" x14ac:dyDescent="0.25">
      <c r="A414" t="s">
        <v>418</v>
      </c>
      <c r="B414">
        <v>1</v>
      </c>
      <c r="C414">
        <v>1.00551936301122</v>
      </c>
      <c r="D414">
        <v>0.99791892870068799</v>
      </c>
      <c r="E414">
        <v>1.05220774520449</v>
      </c>
      <c r="F414">
        <v>0.89709554831704696</v>
      </c>
      <c r="G414">
        <v>0.90247918928700699</v>
      </c>
      <c r="H414">
        <v>0.39144951140065098</v>
      </c>
      <c r="I414">
        <v>0.97710821570756401</v>
      </c>
      <c r="J414">
        <v>0.333089033659066</v>
      </c>
      <c r="K414">
        <v>0.56882917119073495</v>
      </c>
      <c r="L414">
        <v>14320.317727707101</v>
      </c>
      <c r="M414">
        <v>250</v>
      </c>
      <c r="O414">
        <v>57.2776053088648</v>
      </c>
      <c r="P414">
        <v>-0.47180418334782798</v>
      </c>
      <c r="Q414">
        <v>0.56761897990364296</v>
      </c>
      <c r="R414">
        <v>0.60321698485576902</v>
      </c>
      <c r="S414" t="s">
        <v>2416</v>
      </c>
      <c r="T414" t="s">
        <v>4002</v>
      </c>
      <c r="U414" t="s">
        <v>4002</v>
      </c>
      <c r="V414" t="s">
        <v>4002</v>
      </c>
      <c r="W414" t="s">
        <v>4413</v>
      </c>
      <c r="X414">
        <v>2</v>
      </c>
      <c r="Y414" t="s">
        <v>6386</v>
      </c>
      <c r="Z414" t="s">
        <v>8312</v>
      </c>
      <c r="AA414">
        <v>0.81673223102280856</v>
      </c>
      <c r="AB414" t="str">
        <f>HYPERLINK("Melting_Curves/meltCurve_F5H6I7_ATL3.pdf", "Melting_Curves/meltCurve_F5H6I7_ATL3.pdf")</f>
        <v>Melting_Curves/meltCurve_F5H6I7_ATL3.pdf</v>
      </c>
    </row>
    <row r="415" spans="1:28" x14ac:dyDescent="0.25">
      <c r="A415" t="s">
        <v>419</v>
      </c>
      <c r="B415">
        <v>1</v>
      </c>
      <c r="C415">
        <v>1.0673232724384401</v>
      </c>
      <c r="D415">
        <v>1.2845750595710901</v>
      </c>
      <c r="E415">
        <v>0.98608419380460699</v>
      </c>
      <c r="F415">
        <v>0.85200953137410596</v>
      </c>
      <c r="G415">
        <v>0.76212867355043701</v>
      </c>
      <c r="H415">
        <v>0.61928514694201797</v>
      </c>
      <c r="I415">
        <v>1.0145194598888001</v>
      </c>
      <c r="J415">
        <v>0.75914217633042103</v>
      </c>
      <c r="K415">
        <v>0.65766481334392402</v>
      </c>
      <c r="L415">
        <v>3261.38420883553</v>
      </c>
      <c r="M415">
        <v>62.048156347474702</v>
      </c>
      <c r="O415">
        <v>52.507629373642999</v>
      </c>
      <c r="P415">
        <v>-7.0242579642119607E-2</v>
      </c>
      <c r="Q415">
        <v>0.76223177453349999</v>
      </c>
      <c r="R415">
        <v>0.53103956887015002</v>
      </c>
      <c r="S415" t="s">
        <v>2417</v>
      </c>
      <c r="T415" t="s">
        <v>4002</v>
      </c>
      <c r="U415" t="s">
        <v>4002</v>
      </c>
      <c r="V415" t="s">
        <v>4002</v>
      </c>
      <c r="W415" t="s">
        <v>4414</v>
      </c>
      <c r="X415">
        <v>4</v>
      </c>
      <c r="Y415" t="s">
        <v>6387</v>
      </c>
      <c r="Z415" t="s">
        <v>8313</v>
      </c>
      <c r="AA415">
        <v>0.86215167400013626</v>
      </c>
      <c r="AB415" t="str">
        <f>HYPERLINK("Melting_Curves/meltCurve_F5H6T1_ACTR2.pdf", "Melting_Curves/meltCurve_F5H6T1_ACTR2.pdf")</f>
        <v>Melting_Curves/meltCurve_F5H6T1_ACTR2.pdf</v>
      </c>
    </row>
    <row r="416" spans="1:28" x14ac:dyDescent="0.25">
      <c r="A416" t="s">
        <v>420</v>
      </c>
      <c r="B416">
        <v>1</v>
      </c>
      <c r="C416">
        <v>0.94596697232479998</v>
      </c>
      <c r="D416">
        <v>0.96513630139828199</v>
      </c>
      <c r="E416">
        <v>1.1938301315298101</v>
      </c>
      <c r="F416">
        <v>1.0466370690012901</v>
      </c>
      <c r="G416">
        <v>1.0168976391021101</v>
      </c>
      <c r="H416">
        <v>0.84145886062818998</v>
      </c>
      <c r="I416">
        <v>1.2082486203892</v>
      </c>
      <c r="J416">
        <v>1.70148541554292</v>
      </c>
      <c r="K416">
        <v>0.96920252271689999</v>
      </c>
      <c r="L416">
        <v>15000</v>
      </c>
      <c r="M416">
        <v>234.869039866511</v>
      </c>
      <c r="O416">
        <v>63.860769667629697</v>
      </c>
      <c r="P416">
        <v>0.30832880243056299</v>
      </c>
      <c r="Q416">
        <v>1.33533764712999</v>
      </c>
      <c r="R416">
        <v>0.35934725156812602</v>
      </c>
      <c r="S416" t="s">
        <v>2418</v>
      </c>
      <c r="T416" t="s">
        <v>4002</v>
      </c>
      <c r="U416" t="s">
        <v>4002</v>
      </c>
      <c r="V416" t="s">
        <v>4002</v>
      </c>
      <c r="W416" t="s">
        <v>4415</v>
      </c>
      <c r="X416">
        <v>1</v>
      </c>
      <c r="Y416" t="s">
        <v>6388</v>
      </c>
      <c r="Z416" t="s">
        <v>8314</v>
      </c>
      <c r="AA416">
        <v>1.068529738582729</v>
      </c>
      <c r="AB416" t="str">
        <f>HYPERLINK("Melting_Curves/meltCurve_F5H6V7_TNFRSF1A.pdf", "Melting_Curves/meltCurve_F5H6V7_TNFRSF1A.pdf")</f>
        <v>Melting_Curves/meltCurve_F5H6V7_TNFRSF1A.pdf</v>
      </c>
    </row>
    <row r="417" spans="1:28" x14ac:dyDescent="0.25">
      <c r="A417" t="s">
        <v>421</v>
      </c>
      <c r="B417">
        <v>1</v>
      </c>
      <c r="C417">
        <v>1.0120242632454799</v>
      </c>
      <c r="D417">
        <v>1.07440012883139</v>
      </c>
      <c r="E417">
        <v>1.1045681464383501</v>
      </c>
      <c r="F417">
        <v>0.83616941328036898</v>
      </c>
      <c r="G417">
        <v>0.94562241666219304</v>
      </c>
      <c r="H417">
        <v>0.91239465349723503</v>
      </c>
      <c r="I417">
        <v>1.44978259702614</v>
      </c>
      <c r="J417">
        <v>1.5461914219764901</v>
      </c>
      <c r="K417">
        <v>1.2460142788126001</v>
      </c>
      <c r="L417">
        <v>10586.0041885585</v>
      </c>
      <c r="M417">
        <v>169.105308489354</v>
      </c>
      <c r="O417">
        <v>62.591316002076802</v>
      </c>
      <c r="P417">
        <v>0.28110381786499</v>
      </c>
      <c r="Q417">
        <v>1.41618226962103</v>
      </c>
      <c r="R417">
        <v>0.78956773665503099</v>
      </c>
      <c r="S417" t="s">
        <v>2419</v>
      </c>
      <c r="T417" t="s">
        <v>4002</v>
      </c>
      <c r="U417" t="s">
        <v>4002</v>
      </c>
      <c r="V417" t="s">
        <v>4002</v>
      </c>
      <c r="W417" t="s">
        <v>4416</v>
      </c>
      <c r="X417">
        <v>6</v>
      </c>
      <c r="Y417" t="s">
        <v>6389</v>
      </c>
      <c r="Z417" t="s">
        <v>8315</v>
      </c>
      <c r="AA417">
        <v>1.102557362401962</v>
      </c>
      <c r="AB417" t="str">
        <f>HYPERLINK("Melting_Curves/meltCurve_F5H6X6_GANAB.pdf", "Melting_Curves/meltCurve_F5H6X6_GANAB.pdf")</f>
        <v>Melting_Curves/meltCurve_F5H6X6_GANAB.pdf</v>
      </c>
    </row>
    <row r="418" spans="1:28" x14ac:dyDescent="0.25">
      <c r="A418" t="s">
        <v>422</v>
      </c>
      <c r="B418">
        <v>1</v>
      </c>
      <c r="C418">
        <v>0.86413956706533601</v>
      </c>
      <c r="D418">
        <v>0.95107245230799597</v>
      </c>
      <c r="E418">
        <v>0.99923396263714503</v>
      </c>
      <c r="F418">
        <v>0.97887219531481695</v>
      </c>
      <c r="G418">
        <v>1.12718691311654</v>
      </c>
      <c r="H418">
        <v>0.66744094099041196</v>
      </c>
      <c r="I418">
        <v>1.2328753583078</v>
      </c>
      <c r="J418">
        <v>0.66578531185133905</v>
      </c>
      <c r="K418">
        <v>0.76719877434021899</v>
      </c>
      <c r="L418">
        <v>15000</v>
      </c>
      <c r="M418">
        <v>228.37605285035499</v>
      </c>
      <c r="O418">
        <v>65.676094163284205</v>
      </c>
      <c r="P418">
        <v>-0.24732110959453099</v>
      </c>
      <c r="Q418">
        <v>0.71550279355211799</v>
      </c>
      <c r="R418">
        <v>0.33412702394647098</v>
      </c>
      <c r="S418" t="s">
        <v>2420</v>
      </c>
      <c r="T418" t="s">
        <v>4002</v>
      </c>
      <c r="U418" t="s">
        <v>4002</v>
      </c>
      <c r="V418" t="s">
        <v>4002</v>
      </c>
      <c r="W418" t="s">
        <v>4417</v>
      </c>
      <c r="X418">
        <v>1</v>
      </c>
      <c r="Y418" t="s">
        <v>6390</v>
      </c>
      <c r="Z418" t="s">
        <v>8316</v>
      </c>
      <c r="AA418">
        <v>0.95908253131794963</v>
      </c>
      <c r="AB418" t="str">
        <f>HYPERLINK("Melting_Curves/meltCurve_F5H721_WBP11.pdf", "Melting_Curves/meltCurve_F5H721_WBP11.pdf")</f>
        <v>Melting_Curves/meltCurve_F5H721_WBP11.pdf</v>
      </c>
    </row>
    <row r="419" spans="1:28" x14ac:dyDescent="0.25">
      <c r="A419" t="s">
        <v>423</v>
      </c>
      <c r="B419">
        <v>1</v>
      </c>
      <c r="C419">
        <v>0.96226287262872601</v>
      </c>
      <c r="D419">
        <v>1.02689701897019</v>
      </c>
      <c r="E419">
        <v>1.3183943089430901</v>
      </c>
      <c r="F419">
        <v>1.31009485094851</v>
      </c>
      <c r="G419">
        <v>1.3977642276422799</v>
      </c>
      <c r="H419">
        <v>0.99932249322493205</v>
      </c>
      <c r="I419">
        <v>1.66415989159892</v>
      </c>
      <c r="J419">
        <v>1.1990514905149099</v>
      </c>
      <c r="K419">
        <v>1.19220867208672</v>
      </c>
      <c r="L419">
        <v>11606.160768268501</v>
      </c>
      <c r="M419">
        <v>250</v>
      </c>
      <c r="O419">
        <v>46.421692230786199</v>
      </c>
      <c r="P419">
        <v>0.40025100286494297</v>
      </c>
      <c r="Q419">
        <v>1.2972851341835201</v>
      </c>
      <c r="R419">
        <v>0.42686925125578901</v>
      </c>
      <c r="S419" t="s">
        <v>2421</v>
      </c>
      <c r="T419" t="s">
        <v>4002</v>
      </c>
      <c r="U419" t="s">
        <v>4002</v>
      </c>
      <c r="V419" t="s">
        <v>4002</v>
      </c>
      <c r="W419" t="s">
        <v>4418</v>
      </c>
      <c r="X419">
        <v>3</v>
      </c>
      <c r="Y419" t="s">
        <v>6391</v>
      </c>
      <c r="Z419" t="s">
        <v>8317</v>
      </c>
      <c r="AA419">
        <v>1.233595883749439</v>
      </c>
      <c r="AB419" t="str">
        <f>HYPERLINK("Melting_Curves/meltCurve_F5H7C1_PRB3.pdf", "Melting_Curves/meltCurve_F5H7C1_PRB3.pdf")</f>
        <v>Melting_Curves/meltCurve_F5H7C1_PRB3.pdf</v>
      </c>
    </row>
    <row r="420" spans="1:28" x14ac:dyDescent="0.25">
      <c r="A420" t="s">
        <v>424</v>
      </c>
      <c r="B420">
        <v>1</v>
      </c>
      <c r="C420">
        <v>0.97450055838193295</v>
      </c>
      <c r="D420">
        <v>1.06069301402159</v>
      </c>
      <c r="E420">
        <v>0.90561794267278795</v>
      </c>
      <c r="F420">
        <v>0.86774103486785004</v>
      </c>
      <c r="G420">
        <v>1.0352711254498099</v>
      </c>
      <c r="H420">
        <v>1.07232597096414</v>
      </c>
      <c r="I420">
        <v>1.2647040575753801</v>
      </c>
      <c r="J420">
        <v>1.3552239731976701</v>
      </c>
      <c r="K420">
        <v>1.22884352897382</v>
      </c>
      <c r="L420">
        <v>4702.5452693342704</v>
      </c>
      <c r="M420">
        <v>75.982546718258504</v>
      </c>
      <c r="O420">
        <v>61.8469794954297</v>
      </c>
      <c r="P420">
        <v>8.9259451791633707E-2</v>
      </c>
      <c r="Q420">
        <v>1.2906155024753001</v>
      </c>
      <c r="R420">
        <v>0.82375712181705696</v>
      </c>
      <c r="S420" t="s">
        <v>2422</v>
      </c>
      <c r="T420" t="s">
        <v>4002</v>
      </c>
      <c r="U420" t="s">
        <v>4002</v>
      </c>
      <c r="V420" t="s">
        <v>4002</v>
      </c>
      <c r="W420" t="s">
        <v>4419</v>
      </c>
      <c r="X420">
        <v>1</v>
      </c>
      <c r="Y420" t="s">
        <v>6392</v>
      </c>
      <c r="Z420" t="s">
        <v>8318</v>
      </c>
      <c r="AA420">
        <v>1.0782240146189901</v>
      </c>
      <c r="AB420" t="str">
        <f>HYPERLINK("Melting_Curves/meltCurve_F5H7C4_MSRB3.pdf", "Melting_Curves/meltCurve_F5H7C4_MSRB3.pdf")</f>
        <v>Melting_Curves/meltCurve_F5H7C4_MSRB3.pdf</v>
      </c>
    </row>
    <row r="421" spans="1:28" x14ac:dyDescent="0.25">
      <c r="A421" t="s">
        <v>425</v>
      </c>
      <c r="B421">
        <v>1</v>
      </c>
      <c r="C421">
        <v>1.4530965185821201</v>
      </c>
      <c r="D421">
        <v>1.2422530543378401</v>
      </c>
      <c r="E421">
        <v>1.38971994998569</v>
      </c>
      <c r="F421">
        <v>1.60286829062533</v>
      </c>
      <c r="G421">
        <v>1.6489658185324101</v>
      </c>
      <c r="H421">
        <v>1.44455491782287</v>
      </c>
      <c r="I421">
        <v>1.8179900875250401</v>
      </c>
      <c r="J421">
        <v>2.2458233530678999</v>
      </c>
      <c r="K421">
        <v>1.6601135867190899</v>
      </c>
      <c r="L421">
        <v>869.09203397731198</v>
      </c>
      <c r="M421">
        <v>20.466706395061301</v>
      </c>
      <c r="O421">
        <v>42.064543206957801</v>
      </c>
      <c r="P421">
        <v>6.0821159580679303E-2</v>
      </c>
      <c r="Q421">
        <v>1.5</v>
      </c>
      <c r="R421">
        <v>0.215815910682641</v>
      </c>
      <c r="S421" t="s">
        <v>2423</v>
      </c>
      <c r="T421" t="s">
        <v>4002</v>
      </c>
      <c r="U421" t="s">
        <v>4002</v>
      </c>
      <c r="V421" t="s">
        <v>4002</v>
      </c>
      <c r="W421" t="s">
        <v>4420</v>
      </c>
      <c r="X421">
        <v>1</v>
      </c>
      <c r="Y421" t="s">
        <v>6393</v>
      </c>
      <c r="Z421" t="s">
        <v>8319</v>
      </c>
      <c r="AA421">
        <v>1.446218732278586</v>
      </c>
      <c r="AB421" t="str">
        <f>HYPERLINK("Melting_Curves/meltCurve_F5H7G2_RGMA.pdf", "Melting_Curves/meltCurve_F5H7G2_RGMA.pdf")</f>
        <v>Melting_Curves/meltCurve_F5H7G2_RGMA.pdf</v>
      </c>
    </row>
    <row r="422" spans="1:28" x14ac:dyDescent="0.25">
      <c r="A422" t="s">
        <v>426</v>
      </c>
      <c r="B422">
        <v>1</v>
      </c>
      <c r="C422">
        <v>0.93329609830048699</v>
      </c>
      <c r="D422">
        <v>1.09694406766137</v>
      </c>
      <c r="E422">
        <v>1.0921966009734301</v>
      </c>
      <c r="F422">
        <v>0.99204101172903503</v>
      </c>
      <c r="G422">
        <v>1.0333320035107301</v>
      </c>
      <c r="H422">
        <v>0.93953961541530395</v>
      </c>
      <c r="I422">
        <v>1.08056730232187</v>
      </c>
      <c r="J422">
        <v>0.80479534030160405</v>
      </c>
      <c r="K422">
        <v>0.99543205936328105</v>
      </c>
      <c r="L422">
        <v>3104.0269678581399</v>
      </c>
      <c r="M422">
        <v>47.653101769677001</v>
      </c>
      <c r="O422">
        <v>65.023581590316994</v>
      </c>
      <c r="P422">
        <v>-1.50893349213482E-2</v>
      </c>
      <c r="Q422">
        <v>0.91764132594446401</v>
      </c>
      <c r="R422">
        <v>0.156885634422614</v>
      </c>
      <c r="S422" t="s">
        <v>2424</v>
      </c>
      <c r="T422" t="s">
        <v>4002</v>
      </c>
      <c r="U422" t="s">
        <v>4002</v>
      </c>
      <c r="V422" t="s">
        <v>4002</v>
      </c>
      <c r="W422" t="s">
        <v>4421</v>
      </c>
      <c r="X422">
        <v>3</v>
      </c>
      <c r="Y422" t="s">
        <v>6394</v>
      </c>
      <c r="Z422" t="s">
        <v>8320</v>
      </c>
      <c r="AA422">
        <v>0.98674997405593479</v>
      </c>
      <c r="AB422" t="str">
        <f>HYPERLINK("Melting_Curves/meltCurve_F5H7G9_GBP6.pdf", "Melting_Curves/meltCurve_F5H7G9_GBP6.pdf")</f>
        <v>Melting_Curves/meltCurve_F5H7G9_GBP6.pdf</v>
      </c>
    </row>
    <row r="423" spans="1:28" x14ac:dyDescent="0.25">
      <c r="A423" t="s">
        <v>427</v>
      </c>
      <c r="B423">
        <v>1</v>
      </c>
      <c r="C423">
        <v>0.93004640865159405</v>
      </c>
      <c r="D423">
        <v>1.1246363236400301</v>
      </c>
      <c r="E423">
        <v>0.99303160613672803</v>
      </c>
      <c r="F423">
        <v>1.0600190176125801</v>
      </c>
      <c r="G423">
        <v>1.09588282879891</v>
      </c>
      <c r="H423">
        <v>0.87933750585430204</v>
      </c>
      <c r="I423">
        <v>1.2950142632094299</v>
      </c>
      <c r="J423">
        <v>0.97872581995713903</v>
      </c>
      <c r="K423">
        <v>1.0553213834603501</v>
      </c>
      <c r="L423">
        <v>11102.3709701712</v>
      </c>
      <c r="M423">
        <v>250</v>
      </c>
      <c r="O423">
        <v>44.406652845221203</v>
      </c>
      <c r="P423">
        <v>8.4791199931657499E-2</v>
      </c>
      <c r="Q423">
        <v>1.0602446793045901</v>
      </c>
      <c r="R423">
        <v>9.9326300434944698E-2</v>
      </c>
      <c r="S423" t="s">
        <v>2425</v>
      </c>
      <c r="T423" t="s">
        <v>4002</v>
      </c>
      <c r="U423" t="s">
        <v>4002</v>
      </c>
      <c r="V423" t="s">
        <v>4002</v>
      </c>
      <c r="W423" t="s">
        <v>4422</v>
      </c>
      <c r="X423">
        <v>1</v>
      </c>
      <c r="Y423" t="s">
        <v>6395</v>
      </c>
      <c r="Z423" t="s">
        <v>8321</v>
      </c>
      <c r="AA423">
        <v>1.051385052547916</v>
      </c>
      <c r="AB423" t="str">
        <f>HYPERLINK("Melting_Curves/meltCurve_F5H7K3_EFCAB14.pdf", "Melting_Curves/meltCurve_F5H7K3_EFCAB14.pdf")</f>
        <v>Melting_Curves/meltCurve_F5H7K3_EFCAB14.pdf</v>
      </c>
    </row>
    <row r="424" spans="1:28" x14ac:dyDescent="0.25">
      <c r="A424" t="s">
        <v>428</v>
      </c>
      <c r="B424">
        <v>1</v>
      </c>
      <c r="C424">
        <v>1.0674490279753399</v>
      </c>
      <c r="D424">
        <v>0.94979848269321998</v>
      </c>
      <c r="E424">
        <v>1.28307254623044</v>
      </c>
      <c r="F424">
        <v>1.8981744902797499</v>
      </c>
      <c r="G424">
        <v>1.38513513513514</v>
      </c>
      <c r="H424">
        <v>1.3774893314367</v>
      </c>
      <c r="I424">
        <v>2.4350995732574701</v>
      </c>
      <c r="J424">
        <v>2.0098387861545799</v>
      </c>
      <c r="K424">
        <v>1.7461474632527301</v>
      </c>
      <c r="L424">
        <v>12486.692642231999</v>
      </c>
      <c r="M424">
        <v>250</v>
      </c>
      <c r="O424">
        <v>49.943575820402103</v>
      </c>
      <c r="P424">
        <v>0.62570611875226401</v>
      </c>
      <c r="Q424">
        <v>1.5</v>
      </c>
      <c r="R424">
        <v>0.35891300425206701</v>
      </c>
      <c r="S424" t="s">
        <v>2426</v>
      </c>
      <c r="T424" t="s">
        <v>4002</v>
      </c>
      <c r="U424" t="s">
        <v>4002</v>
      </c>
      <c r="V424" t="s">
        <v>4002</v>
      </c>
      <c r="W424" t="s">
        <v>4423</v>
      </c>
      <c r="X424">
        <v>1</v>
      </c>
      <c r="Y424" t="s">
        <v>6396</v>
      </c>
      <c r="Z424" t="s">
        <v>8322</v>
      </c>
      <c r="AA424">
        <v>1.3341766626153639</v>
      </c>
      <c r="AB424" t="str">
        <f>HYPERLINK("Melting_Curves/meltCurve_F5H7N8_OLR1.pdf", "Melting_Curves/meltCurve_F5H7N8_OLR1.pdf")</f>
        <v>Melting_Curves/meltCurve_F5H7N8_OLR1.pdf</v>
      </c>
    </row>
    <row r="425" spans="1:28" x14ac:dyDescent="0.25">
      <c r="A425" t="s">
        <v>429</v>
      </c>
      <c r="B425">
        <v>1</v>
      </c>
      <c r="C425">
        <v>0.93418316607901597</v>
      </c>
      <c r="D425">
        <v>1.13027755175843</v>
      </c>
      <c r="E425">
        <v>1.1091221408552601</v>
      </c>
      <c r="F425">
        <v>0.96112467227194698</v>
      </c>
      <c r="G425">
        <v>1.02504294367598</v>
      </c>
      <c r="H425">
        <v>0.90407738902450097</v>
      </c>
      <c r="I425">
        <v>1.0846216436126901</v>
      </c>
      <c r="J425">
        <v>1.18180996293283</v>
      </c>
      <c r="K425">
        <v>1.23885724618027</v>
      </c>
      <c r="L425">
        <v>4516.0042733127002</v>
      </c>
      <c r="M425">
        <v>69.799608450959994</v>
      </c>
      <c r="O425">
        <v>64.646517926876797</v>
      </c>
      <c r="P425">
        <v>6.00737116449854E-2</v>
      </c>
      <c r="Q425">
        <v>1.22255456523176</v>
      </c>
      <c r="R425">
        <v>0.57819619509507703</v>
      </c>
      <c r="S425" t="s">
        <v>2427</v>
      </c>
      <c r="T425" t="s">
        <v>4002</v>
      </c>
      <c r="U425" t="s">
        <v>4002</v>
      </c>
      <c r="V425" t="s">
        <v>4002</v>
      </c>
      <c r="W425" t="s">
        <v>4424</v>
      </c>
      <c r="X425">
        <v>1</v>
      </c>
      <c r="Y425" t="s">
        <v>6397</v>
      </c>
      <c r="Z425" t="s">
        <v>8323</v>
      </c>
      <c r="AA425">
        <v>1.039038168315443</v>
      </c>
      <c r="AB425" t="str">
        <f>HYPERLINK("Melting_Curves/meltCurve_F5H7R9_PTMS.pdf", "Melting_Curves/meltCurve_F5H7R9_PTMS.pdf")</f>
        <v>Melting_Curves/meltCurve_F5H7R9_PTMS.pdf</v>
      </c>
    </row>
    <row r="426" spans="1:28" x14ac:dyDescent="0.25">
      <c r="A426" t="s">
        <v>430</v>
      </c>
      <c r="B426">
        <v>1</v>
      </c>
      <c r="C426">
        <v>0.90954895596143603</v>
      </c>
      <c r="D426">
        <v>1.03134538055327</v>
      </c>
      <c r="E426">
        <v>1.0327503512426699</v>
      </c>
      <c r="F426">
        <v>0.94225085993895596</v>
      </c>
      <c r="G426">
        <v>1.0680684075383899</v>
      </c>
      <c r="H426">
        <v>0.63921321641393303</v>
      </c>
      <c r="I426">
        <v>1.1907853301681099</v>
      </c>
      <c r="J426">
        <v>0.66130516932319205</v>
      </c>
      <c r="K426">
        <v>0.79056247274841296</v>
      </c>
      <c r="L426">
        <v>635.93308607570702</v>
      </c>
      <c r="M426">
        <v>8.2501729312375502</v>
      </c>
      <c r="Q426">
        <v>0.20163283759088099</v>
      </c>
      <c r="R426">
        <v>0.210302499950412</v>
      </c>
      <c r="S426" t="s">
        <v>2428</v>
      </c>
      <c r="T426" t="s">
        <v>4002</v>
      </c>
      <c r="U426" t="s">
        <v>4002</v>
      </c>
      <c r="V426" t="s">
        <v>4002</v>
      </c>
      <c r="W426" t="s">
        <v>4425</v>
      </c>
      <c r="X426">
        <v>13</v>
      </c>
      <c r="Y426" t="s">
        <v>6398</v>
      </c>
      <c r="Z426" t="s">
        <v>8324</v>
      </c>
      <c r="AA426">
        <v>0.93957223219382302</v>
      </c>
      <c r="AB426" t="str">
        <f>HYPERLINK("Melting_Curves/meltCurve_F5H7S3_TPM1.pdf", "Melting_Curves/meltCurve_F5H7S3_TPM1.pdf")</f>
        <v>Melting_Curves/meltCurve_F5H7S3_TPM1.pdf</v>
      </c>
    </row>
    <row r="427" spans="1:28" x14ac:dyDescent="0.25">
      <c r="A427" t="s">
        <v>431</v>
      </c>
      <c r="B427">
        <v>1</v>
      </c>
      <c r="C427">
        <v>2.3180686726700301</v>
      </c>
      <c r="D427">
        <v>2.41558679259097</v>
      </c>
      <c r="E427">
        <v>2.0787392927739901</v>
      </c>
      <c r="F427">
        <v>2.9828684383922699</v>
      </c>
      <c r="G427">
        <v>1.97796324767553</v>
      </c>
      <c r="H427">
        <v>2.16772823779193</v>
      </c>
      <c r="I427">
        <v>2.5225858408375399</v>
      </c>
      <c r="J427">
        <v>30.137638187275801</v>
      </c>
      <c r="K427">
        <v>1.0940039534372901</v>
      </c>
      <c r="L427">
        <v>639.132021218369</v>
      </c>
      <c r="M427">
        <v>30.184491748984399</v>
      </c>
      <c r="Q427">
        <v>1.5</v>
      </c>
      <c r="R427">
        <v>-0.15929273745555</v>
      </c>
      <c r="S427" t="s">
        <v>2429</v>
      </c>
      <c r="T427" t="s">
        <v>4002</v>
      </c>
      <c r="U427" t="s">
        <v>4002</v>
      </c>
      <c r="V427" t="s">
        <v>4002</v>
      </c>
      <c r="W427" t="s">
        <v>4108</v>
      </c>
      <c r="X427">
        <v>1</v>
      </c>
      <c r="Y427" t="s">
        <v>6399</v>
      </c>
      <c r="Z427" t="s">
        <v>8325</v>
      </c>
      <c r="AA427">
        <v>1.4999999674409801</v>
      </c>
      <c r="AB427" t="str">
        <f>HYPERLINK("Melting_Curves/meltCurve_F5H7X5_ANXA8L1.pdf", "Melting_Curves/meltCurve_F5H7X5_ANXA8L1.pdf")</f>
        <v>Melting_Curves/meltCurve_F5H7X5_ANXA8L1.pdf</v>
      </c>
    </row>
    <row r="428" spans="1:28" x14ac:dyDescent="0.25">
      <c r="A428" t="s">
        <v>432</v>
      </c>
      <c r="B428">
        <v>1</v>
      </c>
      <c r="C428">
        <v>0.812235658545303</v>
      </c>
      <c r="D428">
        <v>1.0729433490200799</v>
      </c>
      <c r="E428">
        <v>1.2082266039197</v>
      </c>
      <c r="F428">
        <v>1.2183832727706001</v>
      </c>
      <c r="G428">
        <v>1.3785369631262301</v>
      </c>
      <c r="H428">
        <v>1.24670876273307</v>
      </c>
      <c r="I428">
        <v>1.36564007863227</v>
      </c>
      <c r="J428">
        <v>1.32084350985882</v>
      </c>
      <c r="K428">
        <v>1.4339667599928501</v>
      </c>
      <c r="L428">
        <v>1126.90335873291</v>
      </c>
      <c r="M428">
        <v>22.503680052946098</v>
      </c>
      <c r="O428">
        <v>49.685996468871799</v>
      </c>
      <c r="P428">
        <v>3.9668112833801797E-2</v>
      </c>
      <c r="Q428">
        <v>1.35032661165993</v>
      </c>
      <c r="R428">
        <v>0.81153315448301699</v>
      </c>
      <c r="S428" t="s">
        <v>2430</v>
      </c>
      <c r="T428" t="s">
        <v>4002</v>
      </c>
      <c r="U428" t="s">
        <v>4002</v>
      </c>
      <c r="V428" t="s">
        <v>4002</v>
      </c>
      <c r="W428" t="s">
        <v>4426</v>
      </c>
      <c r="X428">
        <v>1</v>
      </c>
      <c r="Y428" t="s">
        <v>6400</v>
      </c>
      <c r="Z428" t="s">
        <v>8326</v>
      </c>
      <c r="AA428">
        <v>1.2287925764268359</v>
      </c>
      <c r="AB428" t="str">
        <f>HYPERLINK("Melting_Curves/meltCurve_F5H810_OLFM1.pdf", "Melting_Curves/meltCurve_F5H810_OLFM1.pdf")</f>
        <v>Melting_Curves/meltCurve_F5H810_OLFM1.pdf</v>
      </c>
    </row>
    <row r="429" spans="1:28" x14ac:dyDescent="0.25">
      <c r="A429" t="s">
        <v>433</v>
      </c>
      <c r="B429">
        <v>1</v>
      </c>
      <c r="C429">
        <v>0.91732756548906502</v>
      </c>
      <c r="D429">
        <v>0.94523552030761804</v>
      </c>
      <c r="E429">
        <v>1.04049507329969</v>
      </c>
      <c r="F429">
        <v>1.03061163181927</v>
      </c>
      <c r="G429">
        <v>1.0667808219178101</v>
      </c>
      <c r="H429">
        <v>0.87677241047825005</v>
      </c>
      <c r="I429">
        <v>1.1913302090843501</v>
      </c>
      <c r="J429">
        <v>1.06666065849555</v>
      </c>
      <c r="K429">
        <v>1.0357786589762099</v>
      </c>
      <c r="L429">
        <v>835.97593010933997</v>
      </c>
      <c r="M429">
        <v>13.519844955618201</v>
      </c>
      <c r="O429">
        <v>60.527484729383801</v>
      </c>
      <c r="P429">
        <v>4.7512173587327903E-3</v>
      </c>
      <c r="Q429">
        <v>1.0850706949273501</v>
      </c>
      <c r="R429">
        <v>0.14940122645912801</v>
      </c>
      <c r="S429" t="s">
        <v>2431</v>
      </c>
      <c r="T429" t="s">
        <v>4002</v>
      </c>
      <c r="U429" t="s">
        <v>4002</v>
      </c>
      <c r="V429" t="s">
        <v>4002</v>
      </c>
      <c r="W429" t="s">
        <v>4427</v>
      </c>
      <c r="X429">
        <v>5</v>
      </c>
      <c r="Y429" t="s">
        <v>6401</v>
      </c>
      <c r="Z429" t="s">
        <v>8327</v>
      </c>
      <c r="AA429">
        <v>1.023601431640317</v>
      </c>
      <c r="AB429" t="str">
        <f>HYPERLINK("Melting_Curves/meltCurve_F5H853_DEF6.pdf", "Melting_Curves/meltCurve_F5H853_DEF6.pdf")</f>
        <v>Melting_Curves/meltCurve_F5H853_DEF6.pdf</v>
      </c>
    </row>
    <row r="430" spans="1:28" x14ac:dyDescent="0.25">
      <c r="A430" t="s">
        <v>434</v>
      </c>
      <c r="B430">
        <v>1</v>
      </c>
      <c r="C430">
        <v>0.86752299156342605</v>
      </c>
      <c r="D430">
        <v>0.91282207190088904</v>
      </c>
      <c r="E430">
        <v>0.95781713156494597</v>
      </c>
      <c r="F430">
        <v>0.88948848521699497</v>
      </c>
      <c r="G430">
        <v>0.96146537964581602</v>
      </c>
      <c r="H430">
        <v>0.88948848521699497</v>
      </c>
      <c r="I430">
        <v>1.0689366876947599</v>
      </c>
      <c r="J430">
        <v>0.90719768944288204</v>
      </c>
      <c r="K430">
        <v>0.91867446986395096</v>
      </c>
      <c r="L430">
        <v>10232.7496391614</v>
      </c>
      <c r="M430">
        <v>250</v>
      </c>
      <c r="O430">
        <v>40.928378695381198</v>
      </c>
      <c r="P430">
        <v>-0.10631479236596</v>
      </c>
      <c r="Q430">
        <v>0.93037932582179905</v>
      </c>
      <c r="R430">
        <v>0.129992638621555</v>
      </c>
      <c r="S430" t="s">
        <v>2432</v>
      </c>
      <c r="T430" t="s">
        <v>4002</v>
      </c>
      <c r="U430" t="s">
        <v>4002</v>
      </c>
      <c r="V430" t="s">
        <v>4002</v>
      </c>
      <c r="W430" t="s">
        <v>4428</v>
      </c>
      <c r="X430">
        <v>15</v>
      </c>
      <c r="Y430" t="s">
        <v>6402</v>
      </c>
      <c r="Z430" t="s">
        <v>8328</v>
      </c>
      <c r="AA430">
        <v>0.93254595341223279</v>
      </c>
      <c r="AB430" t="str">
        <f>HYPERLINK("Melting_Curves/meltCurve_F5H877_SPINT1.pdf", "Melting_Curves/meltCurve_F5H877_SPINT1.pdf")</f>
        <v>Melting_Curves/meltCurve_F5H877_SPINT1.pdf</v>
      </c>
    </row>
    <row r="431" spans="1:28" x14ac:dyDescent="0.25">
      <c r="A431" t="s">
        <v>435</v>
      </c>
      <c r="B431">
        <v>1</v>
      </c>
      <c r="C431">
        <v>0.93452952005600598</v>
      </c>
      <c r="D431">
        <v>1.01992636191563</v>
      </c>
      <c r="E431">
        <v>1.04274379650997</v>
      </c>
      <c r="F431">
        <v>0.95485777996733001</v>
      </c>
      <c r="G431">
        <v>1.1583607747556199</v>
      </c>
      <c r="H431">
        <v>1.0636943500920499</v>
      </c>
      <c r="I431">
        <v>1.4962273446210499</v>
      </c>
      <c r="J431">
        <v>1.4206445925272899</v>
      </c>
      <c r="K431">
        <v>1.1531231363601</v>
      </c>
      <c r="L431">
        <v>15000</v>
      </c>
      <c r="M431">
        <v>244.37648412263599</v>
      </c>
      <c r="O431">
        <v>61.376590605804097</v>
      </c>
      <c r="P431">
        <v>0.35502427768439698</v>
      </c>
      <c r="Q431">
        <v>1.35666573720657</v>
      </c>
      <c r="R431">
        <v>0.70069394107669203</v>
      </c>
      <c r="S431" t="s">
        <v>2433</v>
      </c>
      <c r="T431" t="s">
        <v>4002</v>
      </c>
      <c r="U431" t="s">
        <v>4002</v>
      </c>
      <c r="V431" t="s">
        <v>4002</v>
      </c>
      <c r="W431" t="s">
        <v>4116</v>
      </c>
      <c r="X431">
        <v>26</v>
      </c>
      <c r="Y431" t="s">
        <v>6403</v>
      </c>
      <c r="Z431" t="s">
        <v>8329</v>
      </c>
      <c r="AA431">
        <v>1.102433406542457</v>
      </c>
      <c r="AB431" t="str">
        <f>HYPERLINK("Melting_Curves/meltCurve_F5H8J2_P4HB.pdf", "Melting_Curves/meltCurve_F5H8J2_P4HB.pdf")</f>
        <v>Melting_Curves/meltCurve_F5H8J2_P4HB.pdf</v>
      </c>
    </row>
    <row r="432" spans="1:28" x14ac:dyDescent="0.25">
      <c r="A432" t="s">
        <v>436</v>
      </c>
      <c r="B432">
        <v>1</v>
      </c>
      <c r="C432">
        <v>0.898457583547558</v>
      </c>
      <c r="D432">
        <v>1.1226863753213401</v>
      </c>
      <c r="E432">
        <v>0.96773778920308495</v>
      </c>
      <c r="F432">
        <v>0.93978149100257102</v>
      </c>
      <c r="G432">
        <v>0.93785347043701806</v>
      </c>
      <c r="H432">
        <v>0.65526992287917696</v>
      </c>
      <c r="I432">
        <v>1.2279562982005101</v>
      </c>
      <c r="J432">
        <v>0.94376606683804598</v>
      </c>
      <c r="K432">
        <v>0.84395886889460203</v>
      </c>
      <c r="L432">
        <v>2873.6428463290199</v>
      </c>
      <c r="M432">
        <v>56.883413888377603</v>
      </c>
      <c r="O432">
        <v>50.455793098643198</v>
      </c>
      <c r="P432">
        <v>-2.1541821968200099E-2</v>
      </c>
      <c r="Q432">
        <v>0.92356934425378001</v>
      </c>
      <c r="R432">
        <v>6.4724351152927101E-2</v>
      </c>
      <c r="S432" t="s">
        <v>2434</v>
      </c>
      <c r="T432" t="s">
        <v>4002</v>
      </c>
      <c r="U432" t="s">
        <v>4002</v>
      </c>
      <c r="V432" t="s">
        <v>4002</v>
      </c>
      <c r="W432" t="s">
        <v>4429</v>
      </c>
      <c r="X432">
        <v>1</v>
      </c>
      <c r="Y432" t="s">
        <v>6404</v>
      </c>
      <c r="Z432" t="s">
        <v>8330</v>
      </c>
      <c r="AA432">
        <v>0.95049764746278831</v>
      </c>
      <c r="AB432" t="str">
        <f>HYPERLINK("Melting_Curves/meltCurve_F5H8J9_CADM1.pdf", "Melting_Curves/meltCurve_F5H8J9_CADM1.pdf")</f>
        <v>Melting_Curves/meltCurve_F5H8J9_CADM1.pdf</v>
      </c>
    </row>
    <row r="433" spans="1:28" x14ac:dyDescent="0.25">
      <c r="A433" t="s">
        <v>437</v>
      </c>
      <c r="B433">
        <v>1</v>
      </c>
      <c r="C433">
        <v>0.96136154553817799</v>
      </c>
      <c r="D433">
        <v>1.0327161913523499</v>
      </c>
      <c r="E433">
        <v>1.1777253909843599</v>
      </c>
      <c r="F433">
        <v>1.0376034958601701</v>
      </c>
      <c r="G433">
        <v>1.0856140754369801</v>
      </c>
      <c r="H433">
        <v>0.92306807727690898</v>
      </c>
      <c r="I433">
        <v>1.1483440662373501</v>
      </c>
      <c r="J433">
        <v>0.79323827046918105</v>
      </c>
      <c r="K433">
        <v>0.86735280588776498</v>
      </c>
      <c r="L433">
        <v>15000</v>
      </c>
      <c r="M433">
        <v>228.44230579424101</v>
      </c>
      <c r="O433">
        <v>65.657044319788099</v>
      </c>
      <c r="P433">
        <v>-0.148035973801356</v>
      </c>
      <c r="Q433">
        <v>0.82981073632263302</v>
      </c>
      <c r="R433">
        <v>0.43679914350275101</v>
      </c>
      <c r="S433" t="s">
        <v>2435</v>
      </c>
      <c r="T433" t="s">
        <v>4002</v>
      </c>
      <c r="U433" t="s">
        <v>4002</v>
      </c>
      <c r="V433" t="s">
        <v>4002</v>
      </c>
      <c r="W433" t="s">
        <v>4430</v>
      </c>
      <c r="X433">
        <v>2</v>
      </c>
      <c r="Y433" t="s">
        <v>6405</v>
      </c>
      <c r="Z433" t="s">
        <v>8331</v>
      </c>
      <c r="AA433">
        <v>0.97541464959663948</v>
      </c>
      <c r="AB433" t="str">
        <f>HYPERLINK("Melting_Curves/meltCurve_F6RY50_SIPA1.pdf", "Melting_Curves/meltCurve_F6RY50_SIPA1.pdf")</f>
        <v>Melting_Curves/meltCurve_F6RY50_SIPA1.pdf</v>
      </c>
    </row>
    <row r="434" spans="1:28" x14ac:dyDescent="0.25">
      <c r="A434" t="s">
        <v>438</v>
      </c>
      <c r="B434">
        <v>1</v>
      </c>
      <c r="C434">
        <v>1.4190410006949301</v>
      </c>
      <c r="D434">
        <v>1.3162549750457999</v>
      </c>
      <c r="E434">
        <v>1.60338618990461</v>
      </c>
      <c r="F434">
        <v>1.4407100890770099</v>
      </c>
      <c r="G434">
        <v>1.70869922294523</v>
      </c>
      <c r="H434">
        <v>1.16103354602312</v>
      </c>
      <c r="I434">
        <v>1.4397624613052</v>
      </c>
      <c r="J434">
        <v>1.9399203992671701</v>
      </c>
      <c r="K434">
        <v>1.3626887358645501</v>
      </c>
      <c r="L434">
        <v>3293.4198352450899</v>
      </c>
      <c r="M434">
        <v>78.410601982597896</v>
      </c>
      <c r="O434">
        <v>41.9749257648213</v>
      </c>
      <c r="P434">
        <v>0.23206546893026</v>
      </c>
      <c r="Q434">
        <v>1.4969190407091399</v>
      </c>
      <c r="R434">
        <v>0.34225891249962598</v>
      </c>
      <c r="S434" t="s">
        <v>2436</v>
      </c>
      <c r="T434" t="s">
        <v>4002</v>
      </c>
      <c r="U434" t="s">
        <v>4002</v>
      </c>
      <c r="V434" t="s">
        <v>4002</v>
      </c>
      <c r="W434" t="s">
        <v>4431</v>
      </c>
      <c r="X434">
        <v>1</v>
      </c>
      <c r="Y434" t="s">
        <v>6406</v>
      </c>
      <c r="Z434" t="s">
        <v>8332</v>
      </c>
      <c r="AA434">
        <v>1.4632274855554139</v>
      </c>
      <c r="AB434" t="str">
        <f>HYPERLINK("Melting_Curves/meltCurve_F6SKB8_NECAP2.pdf", "Melting_Curves/meltCurve_F6SKB8_NECAP2.pdf")</f>
        <v>Melting_Curves/meltCurve_F6SKB8_NECAP2.pdf</v>
      </c>
    </row>
    <row r="435" spans="1:28" x14ac:dyDescent="0.25">
      <c r="A435" t="s">
        <v>439</v>
      </c>
      <c r="B435">
        <v>1</v>
      </c>
      <c r="C435">
        <v>0.93483824044393005</v>
      </c>
      <c r="D435">
        <v>0.83339169786924505</v>
      </c>
      <c r="E435">
        <v>1.14159685370256</v>
      </c>
      <c r="F435">
        <v>0.77224362255205703</v>
      </c>
      <c r="G435">
        <v>1.2702502491716701</v>
      </c>
      <c r="H435">
        <v>1.0252269482531</v>
      </c>
      <c r="I435">
        <v>1.1364517953829201</v>
      </c>
      <c r="J435">
        <v>1.31009077930124</v>
      </c>
      <c r="K435">
        <v>0.87909112948845702</v>
      </c>
      <c r="L435">
        <v>3156.26209526619</v>
      </c>
      <c r="M435">
        <v>57.191367887472097</v>
      </c>
      <c r="O435">
        <v>55.120381604192502</v>
      </c>
      <c r="P435">
        <v>3.0868308622395899E-2</v>
      </c>
      <c r="Q435">
        <v>1.11900202415698</v>
      </c>
      <c r="R435">
        <v>0.194515513176828</v>
      </c>
      <c r="S435" t="s">
        <v>2437</v>
      </c>
      <c r="T435" t="s">
        <v>4002</v>
      </c>
      <c r="U435" t="s">
        <v>4002</v>
      </c>
      <c r="V435" t="s">
        <v>4002</v>
      </c>
      <c r="W435" t="s">
        <v>4432</v>
      </c>
      <c r="X435">
        <v>1</v>
      </c>
      <c r="Y435" t="s">
        <v>6407</v>
      </c>
      <c r="Z435" t="s">
        <v>8333</v>
      </c>
      <c r="AA435">
        <v>1.0585352232965271</v>
      </c>
      <c r="AB435" t="str">
        <f>HYPERLINK("Melting_Curves/meltCurve_F6UPZ7_TNFRSF14.pdf", "Melting_Curves/meltCurve_F6UPZ7_TNFRSF14.pdf")</f>
        <v>Melting_Curves/meltCurve_F6UPZ7_TNFRSF14.pdf</v>
      </c>
    </row>
    <row r="436" spans="1:28" x14ac:dyDescent="0.25">
      <c r="A436" t="s">
        <v>440</v>
      </c>
      <c r="B436">
        <v>1</v>
      </c>
      <c r="C436">
        <v>0.924603065785505</v>
      </c>
      <c r="D436">
        <v>0.94087805413113201</v>
      </c>
      <c r="E436">
        <v>0.78704033783969096</v>
      </c>
      <c r="F436">
        <v>0.57922231058217</v>
      </c>
      <c r="G436">
        <v>0.57007705596840996</v>
      </c>
      <c r="H436">
        <v>0.29444429209970702</v>
      </c>
      <c r="I436">
        <v>0.40128060986645497</v>
      </c>
      <c r="J436">
        <v>0.669221487920586</v>
      </c>
      <c r="K436">
        <v>0.35220884635423799</v>
      </c>
      <c r="L436">
        <v>1030.6237582792</v>
      </c>
      <c r="M436">
        <v>20.265465167856298</v>
      </c>
      <c r="N436">
        <v>56.597221197551598</v>
      </c>
      <c r="O436">
        <v>50.368733952413798</v>
      </c>
      <c r="P436">
        <v>-5.6732348401824201E-2</v>
      </c>
      <c r="Q436">
        <v>0.43599656562024502</v>
      </c>
      <c r="R436">
        <v>0.83298644958081902</v>
      </c>
      <c r="S436" t="s">
        <v>2438</v>
      </c>
      <c r="T436" t="s">
        <v>4002</v>
      </c>
      <c r="U436" t="s">
        <v>4002</v>
      </c>
      <c r="V436" t="s">
        <v>4002</v>
      </c>
      <c r="W436" t="s">
        <v>4433</v>
      </c>
      <c r="X436">
        <v>1</v>
      </c>
      <c r="Y436" t="s">
        <v>6408</v>
      </c>
      <c r="Z436" t="s">
        <v>8334</v>
      </c>
      <c r="AA436">
        <v>0.64773319677010355</v>
      </c>
      <c r="AB436" t="str">
        <f>HYPERLINK("Melting_Curves/meltCurve_F8VQ14_CCT2.pdf", "Melting_Curves/meltCurve_F8VQ14_CCT2.pdf")</f>
        <v>Melting_Curves/meltCurve_F8VQ14_CCT2.pdf</v>
      </c>
    </row>
    <row r="437" spans="1:28" x14ac:dyDescent="0.25">
      <c r="A437" t="s">
        <v>441</v>
      </c>
      <c r="B437">
        <v>1</v>
      </c>
      <c r="C437">
        <v>0.80441922962078205</v>
      </c>
      <c r="D437">
        <v>0.77963571215288197</v>
      </c>
      <c r="E437">
        <v>0.83174081815467305</v>
      </c>
      <c r="F437">
        <v>0.80897282770976398</v>
      </c>
      <c r="G437">
        <v>0.67462675425500196</v>
      </c>
      <c r="H437">
        <v>0.66011495968945999</v>
      </c>
      <c r="I437">
        <v>0.96006270528516002</v>
      </c>
      <c r="J437">
        <v>1.1205583756345201</v>
      </c>
      <c r="K437">
        <v>0.75664377426097396</v>
      </c>
      <c r="L437">
        <v>10263.0582265427</v>
      </c>
      <c r="M437">
        <v>250</v>
      </c>
      <c r="O437">
        <v>41.049596506437702</v>
      </c>
      <c r="P437">
        <v>-0.27122128816667901</v>
      </c>
      <c r="Q437">
        <v>0.82186356848950604</v>
      </c>
      <c r="R437">
        <v>0.14927131582237599</v>
      </c>
      <c r="S437" t="s">
        <v>2439</v>
      </c>
      <c r="T437" t="s">
        <v>4002</v>
      </c>
      <c r="U437" t="s">
        <v>4002</v>
      </c>
      <c r="V437" t="s">
        <v>4002</v>
      </c>
      <c r="W437" t="s">
        <v>4434</v>
      </c>
      <c r="X437">
        <v>1</v>
      </c>
      <c r="Y437" t="s">
        <v>6409</v>
      </c>
      <c r="Z437" t="s">
        <v>8335</v>
      </c>
      <c r="AA437">
        <v>0.82812571482517106</v>
      </c>
      <c r="AB437" t="str">
        <f>HYPERLINK("Melting_Curves/meltCurve_F8VQF4_CNOT2.pdf", "Melting_Curves/meltCurve_F8VQF4_CNOT2.pdf")</f>
        <v>Melting_Curves/meltCurve_F8VQF4_CNOT2.pdf</v>
      </c>
    </row>
    <row r="438" spans="1:28" x14ac:dyDescent="0.25">
      <c r="A438" t="s">
        <v>442</v>
      </c>
      <c r="B438">
        <v>1</v>
      </c>
      <c r="C438">
        <v>1.08693585992842</v>
      </c>
      <c r="D438">
        <v>1.3806525387231401</v>
      </c>
      <c r="E438">
        <v>1.57981496057145</v>
      </c>
      <c r="F438">
        <v>1.7950012623075</v>
      </c>
      <c r="G438">
        <v>2.2271559469533799</v>
      </c>
      <c r="H438">
        <v>2.2763116859973</v>
      </c>
      <c r="I438">
        <v>2.9229101385568099</v>
      </c>
      <c r="J438">
        <v>2.6977738836004002</v>
      </c>
      <c r="K438">
        <v>2.2727475236496999</v>
      </c>
      <c r="L438">
        <v>1956.9967067196701</v>
      </c>
      <c r="M438">
        <v>43.8831421116098</v>
      </c>
      <c r="O438">
        <v>44.5033230330435</v>
      </c>
      <c r="P438">
        <v>0.123258217063356</v>
      </c>
      <c r="Q438">
        <v>1.5</v>
      </c>
      <c r="R438">
        <v>-0.34798517329642897</v>
      </c>
      <c r="S438" t="s">
        <v>2440</v>
      </c>
      <c r="T438" t="s">
        <v>4002</v>
      </c>
      <c r="U438" t="s">
        <v>4002</v>
      </c>
      <c r="V438" t="s">
        <v>4002</v>
      </c>
      <c r="W438" t="s">
        <v>4435</v>
      </c>
      <c r="X438">
        <v>3</v>
      </c>
      <c r="Y438" t="s">
        <v>6410</v>
      </c>
      <c r="Z438" t="s">
        <v>8336</v>
      </c>
      <c r="AA438">
        <v>1.422042629437366</v>
      </c>
      <c r="AB438" t="str">
        <f>HYPERLINK("Melting_Curves/meltCurve_F8VR84_C12orf10.pdf", "Melting_Curves/meltCurve_F8VR84_C12orf10.pdf")</f>
        <v>Melting_Curves/meltCurve_F8VR84_C12orf10.pdf</v>
      </c>
    </row>
    <row r="439" spans="1:28" x14ac:dyDescent="0.25">
      <c r="A439" t="s">
        <v>443</v>
      </c>
      <c r="B439">
        <v>1</v>
      </c>
      <c r="C439">
        <v>1.43203150975728</v>
      </c>
      <c r="D439">
        <v>1.00964219033735</v>
      </c>
      <c r="E439">
        <v>1.5707307092253</v>
      </c>
      <c r="F439">
        <v>1.7510678022455799</v>
      </c>
      <c r="G439">
        <v>1.39880815366122</v>
      </c>
      <c r="H439">
        <v>1.86436993273485</v>
      </c>
      <c r="I439">
        <v>2.15841837387145</v>
      </c>
      <c r="J439">
        <v>3.5167139824547902</v>
      </c>
      <c r="K439">
        <v>1.6794802936136499</v>
      </c>
      <c r="L439">
        <v>868.77154708768398</v>
      </c>
      <c r="M439">
        <v>19.774340123568201</v>
      </c>
      <c r="O439">
        <v>43.492397898294001</v>
      </c>
      <c r="P439">
        <v>5.6834713070376998E-2</v>
      </c>
      <c r="Q439">
        <v>1.5</v>
      </c>
      <c r="R439">
        <v>-5.83671104095611E-2</v>
      </c>
      <c r="S439" t="s">
        <v>2441</v>
      </c>
      <c r="T439" t="s">
        <v>4002</v>
      </c>
      <c r="U439" t="s">
        <v>4002</v>
      </c>
      <c r="V439" t="s">
        <v>4002</v>
      </c>
      <c r="W439" t="s">
        <v>4436</v>
      </c>
      <c r="X439">
        <v>2</v>
      </c>
      <c r="Y439" t="s">
        <v>6411</v>
      </c>
      <c r="Z439" t="s">
        <v>8337</v>
      </c>
      <c r="AA439">
        <v>1.42434391071664</v>
      </c>
      <c r="AB439" t="str">
        <f>HYPERLINK("Melting_Curves/meltCurve_F8VRJ2_NAP1L1.pdf", "Melting_Curves/meltCurve_F8VRJ2_NAP1L1.pdf")</f>
        <v>Melting_Curves/meltCurve_F8VRJ2_NAP1L1.pdf</v>
      </c>
    </row>
    <row r="440" spans="1:28" x14ac:dyDescent="0.25">
      <c r="A440" t="s">
        <v>444</v>
      </c>
      <c r="B440">
        <v>1</v>
      </c>
      <c r="C440">
        <v>0.82513887737335201</v>
      </c>
      <c r="D440">
        <v>1.16872564463975</v>
      </c>
      <c r="E440">
        <v>1.12776718348396</v>
      </c>
      <c r="F440">
        <v>1.1432164276041199</v>
      </c>
      <c r="G440">
        <v>1.2957189840532799</v>
      </c>
      <c r="H440">
        <v>1.4971671779564999</v>
      </c>
      <c r="I440">
        <v>2.0410413730204802</v>
      </c>
      <c r="J440">
        <v>3.00140950169969</v>
      </c>
      <c r="K440">
        <v>1.88989304369455</v>
      </c>
      <c r="L440">
        <v>1887.5038146531199</v>
      </c>
      <c r="M440">
        <v>34.405537725055297</v>
      </c>
      <c r="O440">
        <v>54.676123825621303</v>
      </c>
      <c r="P440">
        <v>7.8657889961358404E-2</v>
      </c>
      <c r="Q440">
        <v>1.5</v>
      </c>
      <c r="R440">
        <v>0.27063175699081699</v>
      </c>
      <c r="S440" t="s">
        <v>2442</v>
      </c>
      <c r="T440" t="s">
        <v>4002</v>
      </c>
      <c r="U440" t="s">
        <v>4002</v>
      </c>
      <c r="V440" t="s">
        <v>4002</v>
      </c>
      <c r="W440" t="s">
        <v>4437</v>
      </c>
      <c r="X440">
        <v>2</v>
      </c>
      <c r="Y440" t="s">
        <v>6412</v>
      </c>
      <c r="Z440" t="s">
        <v>8338</v>
      </c>
      <c r="AA440">
        <v>1.2497814062531949</v>
      </c>
      <c r="AB440" t="str">
        <f>HYPERLINK("Melting_Curves/meltCurve_F8VS02_ALDH7A1.pdf", "Melting_Curves/meltCurve_F8VS02_ALDH7A1.pdf")</f>
        <v>Melting_Curves/meltCurve_F8VS02_ALDH7A1.pdf</v>
      </c>
    </row>
    <row r="441" spans="1:28" x14ac:dyDescent="0.25">
      <c r="A441" t="s">
        <v>445</v>
      </c>
      <c r="B441">
        <v>1</v>
      </c>
      <c r="C441">
        <v>1.03534670352291</v>
      </c>
      <c r="D441">
        <v>0.91060401105687205</v>
      </c>
      <c r="E441">
        <v>1.3909310121743199</v>
      </c>
      <c r="F441">
        <v>1.42169028994883</v>
      </c>
      <c r="G441">
        <v>1.4977356937011099</v>
      </c>
      <c r="H441">
        <v>0.98717873316473603</v>
      </c>
      <c r="I441">
        <v>1.53020055284362</v>
      </c>
      <c r="J441">
        <v>1.5071457978003899</v>
      </c>
      <c r="K441">
        <v>1.21255072634241</v>
      </c>
      <c r="L441">
        <v>12008.944968358001</v>
      </c>
      <c r="M441">
        <v>250</v>
      </c>
      <c r="O441">
        <v>48.0326987539868</v>
      </c>
      <c r="P441">
        <v>0.47353331725114201</v>
      </c>
      <c r="Q441">
        <v>1.3639213846978899</v>
      </c>
      <c r="R441">
        <v>0.55561870589462303</v>
      </c>
      <c r="S441" t="s">
        <v>2443</v>
      </c>
      <c r="T441" t="s">
        <v>4002</v>
      </c>
      <c r="U441" t="s">
        <v>4002</v>
      </c>
      <c r="V441" t="s">
        <v>4002</v>
      </c>
      <c r="W441" t="s">
        <v>4438</v>
      </c>
      <c r="X441">
        <v>1</v>
      </c>
      <c r="Y441" t="s">
        <v>6413</v>
      </c>
      <c r="Z441" t="s">
        <v>8339</v>
      </c>
      <c r="AA441">
        <v>1.266410967424989</v>
      </c>
      <c r="AB441" t="str">
        <f>HYPERLINK("Melting_Curves/meltCurve_F8VSC4_METAP2.pdf", "Melting_Curves/meltCurve_F8VSC4_METAP2.pdf")</f>
        <v>Melting_Curves/meltCurve_F8VSC4_METAP2.pdf</v>
      </c>
    </row>
    <row r="442" spans="1:28" x14ac:dyDescent="0.25">
      <c r="A442" t="s">
        <v>446</v>
      </c>
      <c r="B442">
        <v>1</v>
      </c>
      <c r="C442">
        <v>0.84386852085967101</v>
      </c>
      <c r="D442">
        <v>0.95944507285913905</v>
      </c>
      <c r="E442">
        <v>0.933761394637035</v>
      </c>
      <c r="F442">
        <v>0.92597644553862501</v>
      </c>
      <c r="G442">
        <v>0.98855545944507295</v>
      </c>
      <c r="H442">
        <v>1.07349125024952</v>
      </c>
      <c r="I442">
        <v>0.97444939783086004</v>
      </c>
      <c r="J442">
        <v>6.6707698449663999</v>
      </c>
      <c r="K442">
        <v>0.91127154168607305</v>
      </c>
      <c r="L442">
        <v>15000</v>
      </c>
      <c r="M442">
        <v>231.48281854414699</v>
      </c>
      <c r="O442">
        <v>64.794776419105503</v>
      </c>
      <c r="P442">
        <v>0.44656912628427298</v>
      </c>
      <c r="Q442">
        <v>1.5</v>
      </c>
      <c r="R442">
        <v>7.7772294183711899E-2</v>
      </c>
      <c r="S442" t="s">
        <v>2444</v>
      </c>
      <c r="T442" t="s">
        <v>4002</v>
      </c>
      <c r="U442" t="s">
        <v>4002</v>
      </c>
      <c r="V442" t="s">
        <v>4002</v>
      </c>
      <c r="W442" t="s">
        <v>4439</v>
      </c>
      <c r="X442">
        <v>2</v>
      </c>
      <c r="Y442" t="s">
        <v>6414</v>
      </c>
      <c r="Z442" t="s">
        <v>8340</v>
      </c>
      <c r="AA442">
        <v>1.08660658047592</v>
      </c>
      <c r="AB442" t="str">
        <f>HYPERLINK("Melting_Curves/meltCurve_F8VUA6_RPL18.pdf", "Melting_Curves/meltCurve_F8VUA6_RPL18.pdf")</f>
        <v>Melting_Curves/meltCurve_F8VUA6_RPL18.pdf</v>
      </c>
    </row>
    <row r="443" spans="1:28" x14ac:dyDescent="0.25">
      <c r="A443" t="s">
        <v>447</v>
      </c>
      <c r="B443">
        <v>1</v>
      </c>
      <c r="C443">
        <v>0.89798299716619401</v>
      </c>
      <c r="D443">
        <v>1.0515085847641299</v>
      </c>
      <c r="E443">
        <v>0.960993498916486</v>
      </c>
      <c r="F443">
        <v>0.76151025170861797</v>
      </c>
      <c r="G443">
        <v>0.88689781630271702</v>
      </c>
      <c r="H443">
        <v>1.0167527921320201</v>
      </c>
      <c r="I443">
        <v>1.4194032338723099</v>
      </c>
      <c r="J443">
        <v>1.40531755292549</v>
      </c>
      <c r="K443">
        <v>1.4771628604767499</v>
      </c>
      <c r="L443">
        <v>8014.8406001053499</v>
      </c>
      <c r="M443">
        <v>128.166859154962</v>
      </c>
      <c r="O443">
        <v>62.519202428993502</v>
      </c>
      <c r="P443">
        <v>0.22622665574289899</v>
      </c>
      <c r="Q443">
        <v>1.4414092617467</v>
      </c>
      <c r="R443">
        <v>0.84909976223718797</v>
      </c>
      <c r="S443" t="s">
        <v>2445</v>
      </c>
      <c r="T443" t="s">
        <v>4002</v>
      </c>
      <c r="U443" t="s">
        <v>4002</v>
      </c>
      <c r="V443" t="s">
        <v>4002</v>
      </c>
      <c r="W443" t="s">
        <v>4440</v>
      </c>
      <c r="X443">
        <v>3</v>
      </c>
      <c r="Y443" t="s">
        <v>6415</v>
      </c>
      <c r="Z443" t="s">
        <v>8341</v>
      </c>
      <c r="AA443">
        <v>1.1096614063332411</v>
      </c>
      <c r="AB443" t="str">
        <f>HYPERLINK("Melting_Curves/meltCurve_F8VUJ3_POC1B_GALNT4.pdf", "Melting_Curves/meltCurve_F8VUJ3_POC1B_GALNT4.pdf")</f>
        <v>Melting_Curves/meltCurve_F8VUJ3_POC1B_GALNT4.pdf</v>
      </c>
    </row>
    <row r="444" spans="1:28" x14ac:dyDescent="0.25">
      <c r="A444" t="s">
        <v>448</v>
      </c>
      <c r="B444">
        <v>1</v>
      </c>
      <c r="C444">
        <v>0.95256489999017901</v>
      </c>
      <c r="D444">
        <v>1.01581170000327</v>
      </c>
      <c r="E444">
        <v>1.0676007463908099</v>
      </c>
      <c r="F444">
        <v>1.0203620650145699</v>
      </c>
      <c r="G444">
        <v>1.0130618391331401</v>
      </c>
      <c r="H444">
        <v>0.96795102628736096</v>
      </c>
      <c r="I444">
        <v>1.1742560644253099</v>
      </c>
      <c r="J444">
        <v>0.95141912462762301</v>
      </c>
      <c r="K444">
        <v>1.0928078043670399</v>
      </c>
      <c r="L444">
        <v>283.65160583085702</v>
      </c>
      <c r="M444">
        <v>2.1667866997307499</v>
      </c>
      <c r="Q444">
        <v>1.47009540197741</v>
      </c>
      <c r="R444">
        <v>0.108350706233499</v>
      </c>
      <c r="S444" t="s">
        <v>2446</v>
      </c>
      <c r="T444" t="s">
        <v>4002</v>
      </c>
      <c r="U444" t="s">
        <v>4002</v>
      </c>
      <c r="V444" t="s">
        <v>4002</v>
      </c>
      <c r="W444" t="s">
        <v>4441</v>
      </c>
      <c r="X444">
        <v>1</v>
      </c>
      <c r="Y444" t="s">
        <v>6416</v>
      </c>
      <c r="Z444" t="s">
        <v>8342</v>
      </c>
      <c r="AA444">
        <v>1.025988249473432</v>
      </c>
      <c r="AB444" t="str">
        <f>HYPERLINK("Melting_Curves/meltCurve_F8VV13_MUCL1.pdf", "Melting_Curves/meltCurve_F8VV13_MUCL1.pdf")</f>
        <v>Melting_Curves/meltCurve_F8VV13_MUCL1.pdf</v>
      </c>
    </row>
    <row r="445" spans="1:28" x14ac:dyDescent="0.25">
      <c r="A445" t="s">
        <v>449</v>
      </c>
      <c r="B445">
        <v>1</v>
      </c>
      <c r="C445">
        <v>0.99469824158345899</v>
      </c>
      <c r="D445">
        <v>1.08415068775588</v>
      </c>
      <c r="E445">
        <v>1.18700480103679</v>
      </c>
      <c r="F445">
        <v>1.1477717887543799</v>
      </c>
      <c r="G445">
        <v>1.1368442755736199</v>
      </c>
      <c r="H445">
        <v>0.89196194515625504</v>
      </c>
      <c r="I445">
        <v>1.3242025271715101</v>
      </c>
      <c r="J445">
        <v>0.93346293187240403</v>
      </c>
      <c r="K445">
        <v>0.90875084680863605</v>
      </c>
      <c r="L445">
        <v>15000</v>
      </c>
      <c r="M445">
        <v>224.861711061769</v>
      </c>
      <c r="O445">
        <v>66.702396286006604</v>
      </c>
      <c r="P445">
        <v>-7.6958740787156601E-2</v>
      </c>
      <c r="Q445">
        <v>0.90868464184814601</v>
      </c>
      <c r="R445">
        <v>-0.138889096054475</v>
      </c>
      <c r="S445" t="s">
        <v>2447</v>
      </c>
      <c r="T445" t="s">
        <v>4002</v>
      </c>
      <c r="U445" t="s">
        <v>4002</v>
      </c>
      <c r="V445" t="s">
        <v>4002</v>
      </c>
      <c r="W445" t="s">
        <v>4442</v>
      </c>
      <c r="X445">
        <v>1</v>
      </c>
      <c r="Y445" t="s">
        <v>6417</v>
      </c>
      <c r="Z445" t="s">
        <v>8343</v>
      </c>
      <c r="AA445">
        <v>0.98999183513857147</v>
      </c>
      <c r="AB445" t="str">
        <f>HYPERLINK("Melting_Curves/meltCurve_F8VVD3_OSBPL8.pdf", "Melting_Curves/meltCurve_F8VVD3_OSBPL8.pdf")</f>
        <v>Melting_Curves/meltCurve_F8VVD3_OSBPL8.pdf</v>
      </c>
    </row>
    <row r="446" spans="1:28" x14ac:dyDescent="0.25">
      <c r="A446" t="s">
        <v>450</v>
      </c>
      <c r="B446">
        <v>1</v>
      </c>
      <c r="C446">
        <v>0.86687826736370399</v>
      </c>
      <c r="D446">
        <v>1.14241038088125</v>
      </c>
      <c r="E446">
        <v>1.0975541448842401</v>
      </c>
      <c r="F446">
        <v>1.13358849887976</v>
      </c>
      <c r="G446">
        <v>1.2227875280059699</v>
      </c>
      <c r="H446">
        <v>1.03066654219567</v>
      </c>
      <c r="I446">
        <v>1.5505507841672901</v>
      </c>
      <c r="J446">
        <v>1.4124813293502601</v>
      </c>
      <c r="K446">
        <v>1.20799103808813</v>
      </c>
      <c r="L446">
        <v>580.06120357009104</v>
      </c>
      <c r="M446">
        <v>10.3091155206099</v>
      </c>
      <c r="O446">
        <v>54.273029276817397</v>
      </c>
      <c r="P446">
        <v>1.8420072735473799E-2</v>
      </c>
      <c r="Q446">
        <v>1.38772698834652</v>
      </c>
      <c r="R446">
        <v>0.49924150725699801</v>
      </c>
      <c r="S446" t="s">
        <v>2448</v>
      </c>
      <c r="T446" t="s">
        <v>4002</v>
      </c>
      <c r="U446" t="s">
        <v>4002</v>
      </c>
      <c r="V446" t="s">
        <v>4002</v>
      </c>
      <c r="W446" t="s">
        <v>4443</v>
      </c>
      <c r="X446">
        <v>1</v>
      </c>
      <c r="Y446" t="s">
        <v>6418</v>
      </c>
      <c r="Z446" t="s">
        <v>8344</v>
      </c>
      <c r="AA446">
        <v>1.169808935604874</v>
      </c>
      <c r="AB446" t="str">
        <f>HYPERLINK("Melting_Curves/meltCurve_F8VVI6_CPM.pdf", "Melting_Curves/meltCurve_F8VVI6_CPM.pdf")</f>
        <v>Melting_Curves/meltCurve_F8VVI6_CPM.pdf</v>
      </c>
    </row>
    <row r="447" spans="1:28" x14ac:dyDescent="0.25">
      <c r="A447" t="s">
        <v>451</v>
      </c>
      <c r="B447">
        <v>1</v>
      </c>
      <c r="C447">
        <v>0.79203753233656304</v>
      </c>
      <c r="D447">
        <v>1.19831630639716</v>
      </c>
      <c r="E447">
        <v>1.5962204586311199</v>
      </c>
      <c r="F447">
        <v>1.6014820011399999</v>
      </c>
      <c r="G447">
        <v>1.4643749725961299</v>
      </c>
      <c r="H447">
        <v>1.1991932301486401</v>
      </c>
      <c r="I447">
        <v>1.4595080457754199</v>
      </c>
      <c r="J447">
        <v>1.43793572148902</v>
      </c>
      <c r="K447">
        <v>1.03411233393256</v>
      </c>
      <c r="L447">
        <v>11500.540202390301</v>
      </c>
      <c r="M447">
        <v>250</v>
      </c>
      <c r="O447">
        <v>45.999216969541799</v>
      </c>
      <c r="P447">
        <v>0.542095169284317</v>
      </c>
      <c r="Q447">
        <v>1.39897525255258</v>
      </c>
      <c r="R447">
        <v>0.55355196569607501</v>
      </c>
      <c r="S447" t="s">
        <v>2449</v>
      </c>
      <c r="T447" t="s">
        <v>4002</v>
      </c>
      <c r="U447" t="s">
        <v>4002</v>
      </c>
      <c r="V447" t="s">
        <v>4002</v>
      </c>
      <c r="W447" t="s">
        <v>4444</v>
      </c>
      <c r="X447">
        <v>1</v>
      </c>
      <c r="Y447" t="s">
        <v>6419</v>
      </c>
      <c r="Z447" t="s">
        <v>8345</v>
      </c>
      <c r="AA447">
        <v>1.31911925455789</v>
      </c>
      <c r="AB447" t="str">
        <f>HYPERLINK("Melting_Curves/meltCurve_F8VVL1_DENR.pdf", "Melting_Curves/meltCurve_F8VVL1_DENR.pdf")</f>
        <v>Melting_Curves/meltCurve_F8VVL1_DENR.pdf</v>
      </c>
    </row>
    <row r="448" spans="1:28" x14ac:dyDescent="0.25">
      <c r="A448" t="s">
        <v>452</v>
      </c>
      <c r="B448">
        <v>1</v>
      </c>
      <c r="C448">
        <v>0.87826927058173998</v>
      </c>
      <c r="D448">
        <v>1.00379545925057</v>
      </c>
      <c r="E448">
        <v>0.90097301773514604</v>
      </c>
      <c r="F448">
        <v>0.84583534607687505</v>
      </c>
      <c r="G448">
        <v>0.858187840728728</v>
      </c>
      <c r="H448">
        <v>0.76944310261541604</v>
      </c>
      <c r="I448">
        <v>0.92015733903802399</v>
      </c>
      <c r="J448">
        <v>0.79608032571941201</v>
      </c>
      <c r="K448">
        <v>0.74315092126147297</v>
      </c>
      <c r="L448">
        <v>241.18722632374099</v>
      </c>
      <c r="M448">
        <v>3.6769114579520301</v>
      </c>
      <c r="O448">
        <v>52.353806813114502</v>
      </c>
      <c r="P448">
        <v>-7.0354957225174002E-3</v>
      </c>
      <c r="Q448">
        <v>0.60591161546533601</v>
      </c>
      <c r="R448">
        <v>0.578364814274822</v>
      </c>
      <c r="S448" t="s">
        <v>2450</v>
      </c>
      <c r="T448" t="s">
        <v>4002</v>
      </c>
      <c r="U448" t="s">
        <v>4002</v>
      </c>
      <c r="V448" t="s">
        <v>4002</v>
      </c>
      <c r="W448" t="s">
        <v>4445</v>
      </c>
      <c r="X448">
        <v>4</v>
      </c>
      <c r="Y448" t="s">
        <v>6420</v>
      </c>
      <c r="Z448" t="s">
        <v>8346</v>
      </c>
      <c r="AA448">
        <v>0.87148727840745976</v>
      </c>
      <c r="AB448" t="str">
        <f>HYPERLINK("Melting_Curves/meltCurve_F8VW89_ARHGAP9.pdf", "Melting_Curves/meltCurve_F8VW89_ARHGAP9.pdf")</f>
        <v>Melting_Curves/meltCurve_F8VW89_ARHGAP9.pdf</v>
      </c>
    </row>
    <row r="449" spans="1:28" x14ac:dyDescent="0.25">
      <c r="A449" t="s">
        <v>453</v>
      </c>
      <c r="B449">
        <v>1</v>
      </c>
      <c r="C449">
        <v>0.73577643455398001</v>
      </c>
      <c r="D449">
        <v>1.3352668527905001</v>
      </c>
      <c r="E449">
        <v>0.98072805139186303</v>
      </c>
      <c r="F449">
        <v>1.2179546255387199</v>
      </c>
      <c r="G449">
        <v>0.86233160762204197</v>
      </c>
      <c r="H449">
        <v>0.808093676307159</v>
      </c>
      <c r="I449">
        <v>0.91415715718429003</v>
      </c>
      <c r="J449">
        <v>0.98208332203941096</v>
      </c>
      <c r="K449">
        <v>0.80988263356192203</v>
      </c>
      <c r="L449">
        <v>6696.76445689703</v>
      </c>
      <c r="M449">
        <v>120.609160063969</v>
      </c>
      <c r="O449">
        <v>55.5092441942313</v>
      </c>
      <c r="P449">
        <v>-6.8147289210275505E-2</v>
      </c>
      <c r="Q449">
        <v>0.87454336931780696</v>
      </c>
      <c r="R449">
        <v>0.20457664651699101</v>
      </c>
      <c r="S449" t="s">
        <v>2451</v>
      </c>
      <c r="T449" t="s">
        <v>4002</v>
      </c>
      <c r="U449" t="s">
        <v>4002</v>
      </c>
      <c r="V449" t="s">
        <v>4002</v>
      </c>
      <c r="W449" t="s">
        <v>4446</v>
      </c>
      <c r="X449">
        <v>2</v>
      </c>
      <c r="Y449" t="s">
        <v>6421</v>
      </c>
      <c r="Z449" t="s">
        <v>8347</v>
      </c>
      <c r="AA449">
        <v>0.93951768856598405</v>
      </c>
      <c r="AB449" t="str">
        <f>HYPERLINK("Melting_Curves/meltCurve_F8VWU1_LALBA.pdf", "Melting_Curves/meltCurve_F8VWU1_LALBA.pdf")</f>
        <v>Melting_Curves/meltCurve_F8VWU1_LALBA.pdf</v>
      </c>
    </row>
    <row r="450" spans="1:28" x14ac:dyDescent="0.25">
      <c r="A450" t="s">
        <v>454</v>
      </c>
      <c r="B450">
        <v>1</v>
      </c>
      <c r="C450">
        <v>0.76881010748632805</v>
      </c>
      <c r="D450">
        <v>0.91838851324048398</v>
      </c>
      <c r="E450">
        <v>0.89338918671372003</v>
      </c>
      <c r="F450">
        <v>0.794038414913391</v>
      </c>
      <c r="G450">
        <v>0.91564074243689597</v>
      </c>
      <c r="H450">
        <v>0.91786320411626798</v>
      </c>
      <c r="I450">
        <v>1.1623205193825601</v>
      </c>
      <c r="J450">
        <v>2.65011718434309</v>
      </c>
      <c r="K450">
        <v>0.92446324183077</v>
      </c>
      <c r="L450">
        <v>15000</v>
      </c>
      <c r="M450">
        <v>233.645204267091</v>
      </c>
      <c r="O450">
        <v>64.1951997463363</v>
      </c>
      <c r="P450">
        <v>0.45495067815476398</v>
      </c>
      <c r="Q450">
        <v>1.5</v>
      </c>
      <c r="R450">
        <v>0.36212392444229102</v>
      </c>
      <c r="S450" t="s">
        <v>2452</v>
      </c>
      <c r="T450" t="s">
        <v>4002</v>
      </c>
      <c r="U450" t="s">
        <v>4002</v>
      </c>
      <c r="V450" t="s">
        <v>4002</v>
      </c>
      <c r="W450" t="s">
        <v>4447</v>
      </c>
      <c r="X450">
        <v>2</v>
      </c>
      <c r="Y450" t="s">
        <v>6422</v>
      </c>
      <c r="Z450" t="s">
        <v>8348</v>
      </c>
      <c r="AA450">
        <v>1.0966037444228389</v>
      </c>
      <c r="AB450" t="str">
        <f>HYPERLINK("Melting_Curves/meltCurve_F8VWV4_RPLP0.pdf", "Melting_Curves/meltCurve_F8VWV4_RPLP0.pdf")</f>
        <v>Melting_Curves/meltCurve_F8VWV4_RPLP0.pdf</v>
      </c>
    </row>
    <row r="451" spans="1:28" x14ac:dyDescent="0.25">
      <c r="A451" t="s">
        <v>455</v>
      </c>
      <c r="B451">
        <v>1</v>
      </c>
      <c r="C451">
        <v>0.96417202844564898</v>
      </c>
      <c r="D451">
        <v>0.999187267185913</v>
      </c>
      <c r="E451">
        <v>1.0636640704368401</v>
      </c>
      <c r="F451">
        <v>1.0184896715204901</v>
      </c>
      <c r="G451">
        <v>1.11412123264477</v>
      </c>
      <c r="H451">
        <v>0.59653911276667804</v>
      </c>
      <c r="I451">
        <v>1.2164578394852701</v>
      </c>
      <c r="J451">
        <v>0.709786657636302</v>
      </c>
      <c r="K451">
        <v>0.83420250592617695</v>
      </c>
      <c r="L451">
        <v>928.28488781004501</v>
      </c>
      <c r="M451">
        <v>14.0950068864072</v>
      </c>
      <c r="O451">
        <v>64.575982650604601</v>
      </c>
      <c r="P451">
        <v>-1.47257769640759E-2</v>
      </c>
      <c r="Q451">
        <v>0.73017146433697</v>
      </c>
      <c r="R451">
        <v>0.16301743682227801</v>
      </c>
      <c r="S451" t="s">
        <v>2453</v>
      </c>
      <c r="T451" t="s">
        <v>4002</v>
      </c>
      <c r="U451" t="s">
        <v>4002</v>
      </c>
      <c r="V451" t="s">
        <v>4002</v>
      </c>
      <c r="W451" t="s">
        <v>4448</v>
      </c>
      <c r="X451">
        <v>2</v>
      </c>
      <c r="Y451" t="s">
        <v>6423</v>
      </c>
      <c r="Z451" t="s">
        <v>8349</v>
      </c>
      <c r="AA451">
        <v>0.95241360360914618</v>
      </c>
      <c r="AB451" t="str">
        <f>HYPERLINK("Melting_Curves/meltCurve_F8VXC8_SMARCC2.pdf", "Melting_Curves/meltCurve_F8VXC8_SMARCC2.pdf")</f>
        <v>Melting_Curves/meltCurve_F8VXC8_SMARCC2.pdf</v>
      </c>
    </row>
    <row r="452" spans="1:28" x14ac:dyDescent="0.25">
      <c r="A452" t="s">
        <v>456</v>
      </c>
      <c r="B452">
        <v>1</v>
      </c>
      <c r="C452">
        <v>1.12567214785693</v>
      </c>
      <c r="D452">
        <v>1.3694655059440199</v>
      </c>
      <c r="E452">
        <v>1.8128490748541299</v>
      </c>
      <c r="F452">
        <v>2.1047978616077501</v>
      </c>
      <c r="G452">
        <v>2.5342444382039999</v>
      </c>
      <c r="H452">
        <v>2.85125900964149</v>
      </c>
      <c r="I452">
        <v>3.74582670286124</v>
      </c>
      <c r="J452">
        <v>3.79408613893309</v>
      </c>
      <c r="K452">
        <v>3.35735904396393</v>
      </c>
      <c r="L452">
        <v>1897.54235855058</v>
      </c>
      <c r="M452">
        <v>42.873748870013202</v>
      </c>
      <c r="O452">
        <v>44.162880469872299</v>
      </c>
      <c r="P452">
        <v>0.12135140488139499</v>
      </c>
      <c r="Q452">
        <v>1.5</v>
      </c>
      <c r="R452">
        <v>-0.71875853348641905</v>
      </c>
      <c r="S452" t="s">
        <v>2454</v>
      </c>
      <c r="T452" t="s">
        <v>4002</v>
      </c>
      <c r="U452" t="s">
        <v>4002</v>
      </c>
      <c r="V452" t="s">
        <v>4002</v>
      </c>
      <c r="W452" t="s">
        <v>4449</v>
      </c>
      <c r="X452">
        <v>3</v>
      </c>
      <c r="Y452" t="s">
        <v>6424</v>
      </c>
      <c r="Z452" t="s">
        <v>8350</v>
      </c>
      <c r="AA452">
        <v>1.4275492696016221</v>
      </c>
      <c r="AB452" t="str">
        <f>HYPERLINK("Melting_Curves/meltCurve_F8VXU5_VPS29.pdf", "Melting_Curves/meltCurve_F8VXU5_VPS29.pdf")</f>
        <v>Melting_Curves/meltCurve_F8VXU5_VPS29.pdf</v>
      </c>
    </row>
    <row r="453" spans="1:28" x14ac:dyDescent="0.25">
      <c r="A453" t="s">
        <v>457</v>
      </c>
      <c r="B453">
        <v>1</v>
      </c>
      <c r="C453">
        <v>0.92112411464547705</v>
      </c>
      <c r="D453">
        <v>0.99609047752024604</v>
      </c>
      <c r="E453">
        <v>1.10715645705872</v>
      </c>
      <c r="F453">
        <v>1.02935949836257</v>
      </c>
      <c r="G453">
        <v>1.1538803279937</v>
      </c>
      <c r="H453">
        <v>0.82905993754918605</v>
      </c>
      <c r="I453">
        <v>1.1870731893072</v>
      </c>
      <c r="J453">
        <v>0.85338021375441098</v>
      </c>
      <c r="K453">
        <v>0.96546165367723602</v>
      </c>
      <c r="L453">
        <v>3060.0953581961098</v>
      </c>
      <c r="M453">
        <v>46.016198285137698</v>
      </c>
      <c r="O453">
        <v>66.375182783065796</v>
      </c>
      <c r="P453">
        <v>-1.3566006081684E-2</v>
      </c>
      <c r="Q453">
        <v>0.92172800901027996</v>
      </c>
      <c r="R453">
        <v>5.5187892533551497E-2</v>
      </c>
      <c r="S453" t="s">
        <v>2455</v>
      </c>
      <c r="T453" t="s">
        <v>4002</v>
      </c>
      <c r="U453" t="s">
        <v>4002</v>
      </c>
      <c r="V453" t="s">
        <v>4002</v>
      </c>
      <c r="W453" t="s">
        <v>4450</v>
      </c>
      <c r="X453">
        <v>2</v>
      </c>
      <c r="Y453" t="s">
        <v>6425</v>
      </c>
      <c r="Z453" t="s">
        <v>8351</v>
      </c>
      <c r="AA453">
        <v>0.99072156474005613</v>
      </c>
      <c r="AB453" t="str">
        <f>HYPERLINK("Melting_Curves/meltCurve_F8VYK9_IGFBP6.pdf", "Melting_Curves/meltCurve_F8VYK9_IGFBP6.pdf")</f>
        <v>Melting_Curves/meltCurve_F8VYK9_IGFBP6.pdf</v>
      </c>
    </row>
    <row r="454" spans="1:28" x14ac:dyDescent="0.25">
      <c r="A454" t="s">
        <v>458</v>
      </c>
      <c r="B454">
        <v>1</v>
      </c>
      <c r="C454">
        <v>0.95048798300358495</v>
      </c>
      <c r="D454">
        <v>1.02790134112336</v>
      </c>
      <c r="E454">
        <v>1.1023934404461599</v>
      </c>
      <c r="F454">
        <v>1.03907183640951</v>
      </c>
      <c r="G454">
        <v>0.93531735493294399</v>
      </c>
      <c r="H454">
        <v>1.1954255742929201</v>
      </c>
      <c r="I454">
        <v>1.2312773868012199</v>
      </c>
      <c r="J454">
        <v>2.3781702297171701</v>
      </c>
      <c r="K454">
        <v>1.36758066657814</v>
      </c>
      <c r="L454">
        <v>3559.34500271865</v>
      </c>
      <c r="M454">
        <v>57.306441907103697</v>
      </c>
      <c r="O454">
        <v>62.035221803415098</v>
      </c>
      <c r="P454">
        <v>0.115471619771658</v>
      </c>
      <c r="Q454">
        <v>1.5</v>
      </c>
      <c r="R454">
        <v>0.47718970502749603</v>
      </c>
      <c r="S454" t="s">
        <v>2456</v>
      </c>
      <c r="T454" t="s">
        <v>4002</v>
      </c>
      <c r="U454" t="s">
        <v>4002</v>
      </c>
      <c r="V454" t="s">
        <v>4002</v>
      </c>
      <c r="W454" t="s">
        <v>4451</v>
      </c>
      <c r="X454">
        <v>2</v>
      </c>
      <c r="Y454" t="s">
        <v>6426</v>
      </c>
      <c r="Z454" t="s">
        <v>8352</v>
      </c>
      <c r="AA454">
        <v>1.1304838176611161</v>
      </c>
      <c r="AB454" t="str">
        <f>HYPERLINK("Melting_Curves/meltCurve_F8VZJ2_NACA.pdf", "Melting_Curves/meltCurve_F8VZJ2_NACA.pdf")</f>
        <v>Melting_Curves/meltCurve_F8VZJ2_NACA.pdf</v>
      </c>
    </row>
    <row r="455" spans="1:28" x14ac:dyDescent="0.25">
      <c r="A455" t="s">
        <v>459</v>
      </c>
      <c r="B455">
        <v>1</v>
      </c>
      <c r="C455">
        <v>0.85626911314984699</v>
      </c>
      <c r="D455">
        <v>0.99208029483258797</v>
      </c>
      <c r="E455">
        <v>0.89892574296243999</v>
      </c>
      <c r="F455">
        <v>0.78914765153297295</v>
      </c>
      <c r="G455">
        <v>0.89657335528895199</v>
      </c>
      <c r="H455">
        <v>0.76952089704383297</v>
      </c>
      <c r="I455">
        <v>0.84709480122324199</v>
      </c>
      <c r="J455">
        <v>0.72022269269975703</v>
      </c>
      <c r="K455">
        <v>0.82851093860268199</v>
      </c>
      <c r="L455">
        <v>353.33382360988202</v>
      </c>
      <c r="M455">
        <v>6.9774076364313196</v>
      </c>
      <c r="O455">
        <v>46.971813894647397</v>
      </c>
      <c r="P455">
        <v>-9.1089842820822695E-3</v>
      </c>
      <c r="Q455">
        <v>0.75517310794023995</v>
      </c>
      <c r="R455">
        <v>0.52990831433465702</v>
      </c>
      <c r="S455" t="s">
        <v>2457</v>
      </c>
      <c r="T455" t="s">
        <v>4002</v>
      </c>
      <c r="U455" t="s">
        <v>4002</v>
      </c>
      <c r="V455" t="s">
        <v>4002</v>
      </c>
      <c r="W455" t="s">
        <v>4452</v>
      </c>
      <c r="X455">
        <v>2</v>
      </c>
      <c r="Y455" t="s">
        <v>6427</v>
      </c>
      <c r="Z455" t="s">
        <v>8353</v>
      </c>
      <c r="AA455">
        <v>0.85757822724071209</v>
      </c>
      <c r="AB455" t="str">
        <f>HYPERLINK("Melting_Curves/meltCurve_F8VZQ9_SARNP.pdf", "Melting_Curves/meltCurve_F8VZQ9_SARNP.pdf")</f>
        <v>Melting_Curves/meltCurve_F8VZQ9_SARNP.pdf</v>
      </c>
    </row>
    <row r="456" spans="1:28" x14ac:dyDescent="0.25">
      <c r="A456" t="s">
        <v>460</v>
      </c>
      <c r="B456">
        <v>1</v>
      </c>
      <c r="C456">
        <v>1.10993556011005</v>
      </c>
      <c r="D456">
        <v>1.3437840432799699</v>
      </c>
      <c r="E456">
        <v>1.2114145386731701</v>
      </c>
      <c r="F456">
        <v>1.10594730331062</v>
      </c>
      <c r="G456">
        <v>1.32435975553463</v>
      </c>
      <c r="H456">
        <v>1.1974556398751799</v>
      </c>
      <c r="I456">
        <v>1.46080983770011</v>
      </c>
      <c r="J456">
        <v>1.440499270666</v>
      </c>
      <c r="K456">
        <v>1.1621706456913901</v>
      </c>
      <c r="L456">
        <v>10743.919151997099</v>
      </c>
      <c r="M456">
        <v>250</v>
      </c>
      <c r="O456">
        <v>42.972926377354</v>
      </c>
      <c r="P456">
        <v>0.40840413080345001</v>
      </c>
      <c r="Q456">
        <v>1.2808051304674399</v>
      </c>
      <c r="R456">
        <v>0.42173268331459601</v>
      </c>
      <c r="S456" t="s">
        <v>2458</v>
      </c>
      <c r="T456" t="s">
        <v>4002</v>
      </c>
      <c r="U456" t="s">
        <v>4002</v>
      </c>
      <c r="V456" t="s">
        <v>4002</v>
      </c>
      <c r="W456" t="s">
        <v>4453</v>
      </c>
      <c r="X456">
        <v>2</v>
      </c>
      <c r="Y456" t="s">
        <v>6428</v>
      </c>
      <c r="Z456" t="s">
        <v>8354</v>
      </c>
      <c r="AA456">
        <v>1.252931109733544</v>
      </c>
      <c r="AB456" t="str">
        <f>HYPERLINK("Melting_Curves/meltCurve_F8W038_C17orf49.pdf", "Melting_Curves/meltCurve_F8W038_C17orf49.pdf")</f>
        <v>Melting_Curves/meltCurve_F8W038_C17orf49.pdf</v>
      </c>
    </row>
    <row r="457" spans="1:28" x14ac:dyDescent="0.25">
      <c r="A457" t="s">
        <v>461</v>
      </c>
      <c r="B457">
        <v>1</v>
      </c>
      <c r="C457">
        <v>1.0519135737567</v>
      </c>
      <c r="D457">
        <v>1.0539112606455701</v>
      </c>
      <c r="E457">
        <v>1.4781568709914801</v>
      </c>
      <c r="F457">
        <v>2.0553043843970098</v>
      </c>
      <c r="G457">
        <v>3.2833035432656899</v>
      </c>
      <c r="H457">
        <v>3.8034906949847498</v>
      </c>
      <c r="I457">
        <v>5.3230469982126003</v>
      </c>
      <c r="J457">
        <v>4.6761644411733796</v>
      </c>
      <c r="K457">
        <v>4.7334665124592599</v>
      </c>
      <c r="L457">
        <v>3644.8654354948098</v>
      </c>
      <c r="M457">
        <v>77.111432436885593</v>
      </c>
      <c r="O457">
        <v>47.235749104850903</v>
      </c>
      <c r="P457">
        <v>0.20406007510975699</v>
      </c>
      <c r="Q457">
        <v>1.5</v>
      </c>
      <c r="R457">
        <v>-0.65936393776305302</v>
      </c>
      <c r="S457" t="s">
        <v>2459</v>
      </c>
      <c r="T457" t="s">
        <v>4002</v>
      </c>
      <c r="U457" t="s">
        <v>4002</v>
      </c>
      <c r="V457" t="s">
        <v>4002</v>
      </c>
      <c r="W457" t="s">
        <v>4454</v>
      </c>
      <c r="X457">
        <v>4</v>
      </c>
      <c r="Y457" t="s">
        <v>6429</v>
      </c>
      <c r="Z457" t="s">
        <v>8355</v>
      </c>
      <c r="AA457">
        <v>1.3784379369487501</v>
      </c>
      <c r="AB457" t="str">
        <f>HYPERLINK("Melting_Curves/meltCurve_F8W148_CA6.pdf", "Melting_Curves/meltCurve_F8W148_CA6.pdf")</f>
        <v>Melting_Curves/meltCurve_F8W148_CA6.pdf</v>
      </c>
    </row>
    <row r="458" spans="1:28" x14ac:dyDescent="0.25">
      <c r="A458" t="s">
        <v>462</v>
      </c>
      <c r="B458">
        <v>1</v>
      </c>
      <c r="C458">
        <v>1.0388115631691599</v>
      </c>
      <c r="D458">
        <v>1.16177730192719</v>
      </c>
      <c r="E458">
        <v>1.2813169164882201</v>
      </c>
      <c r="F458">
        <v>1.20422912205567</v>
      </c>
      <c r="G458">
        <v>1.33993576017131</v>
      </c>
      <c r="H458">
        <v>1.0889186295503199</v>
      </c>
      <c r="I458">
        <v>1.5403104925053499</v>
      </c>
      <c r="J458">
        <v>2.1842612419700198</v>
      </c>
      <c r="K458">
        <v>1.3</v>
      </c>
      <c r="L458">
        <v>603.33892897324699</v>
      </c>
      <c r="M458">
        <v>11.714058617868</v>
      </c>
      <c r="O458">
        <v>50.073223741369397</v>
      </c>
      <c r="P458">
        <v>2.92500611802557E-2</v>
      </c>
      <c r="Q458">
        <v>1.5</v>
      </c>
      <c r="R458">
        <v>0.35865806449951199</v>
      </c>
      <c r="S458" t="s">
        <v>2460</v>
      </c>
      <c r="T458" t="s">
        <v>4002</v>
      </c>
      <c r="U458" t="s">
        <v>4002</v>
      </c>
      <c r="V458" t="s">
        <v>4002</v>
      </c>
      <c r="W458" t="s">
        <v>4455</v>
      </c>
      <c r="X458">
        <v>2</v>
      </c>
      <c r="Y458" t="s">
        <v>6430</v>
      </c>
      <c r="Z458" t="s">
        <v>8356</v>
      </c>
      <c r="AA458">
        <v>1.2919165353466591</v>
      </c>
      <c r="AB458" t="str">
        <f>HYPERLINK("Melting_Curves/meltCurve_F8W181_RPL6.pdf", "Melting_Curves/meltCurve_F8W181_RPL6.pdf")</f>
        <v>Melting_Curves/meltCurve_F8W181_RPL6.pdf</v>
      </c>
    </row>
    <row r="459" spans="1:28" x14ac:dyDescent="0.25">
      <c r="A459" t="s">
        <v>463</v>
      </c>
      <c r="B459">
        <v>1</v>
      </c>
      <c r="C459">
        <v>0.97070392766981695</v>
      </c>
      <c r="D459">
        <v>1.2170786121059101</v>
      </c>
      <c r="E459">
        <v>1.5947572359537401</v>
      </c>
      <c r="F459">
        <v>1.6621851699641901</v>
      </c>
      <c r="G459">
        <v>1.78550460870076</v>
      </c>
      <c r="H459">
        <v>1.6077907591146601</v>
      </c>
      <c r="I459">
        <v>2.08721305700699</v>
      </c>
      <c r="J459">
        <v>1.8905066635354899</v>
      </c>
      <c r="K459">
        <v>1.7571185346092899</v>
      </c>
      <c r="L459">
        <v>11512.1858381861</v>
      </c>
      <c r="M459">
        <v>250</v>
      </c>
      <c r="O459">
        <v>46.045796371990399</v>
      </c>
      <c r="P459">
        <v>0.67867215654359203</v>
      </c>
      <c r="Q459">
        <v>1.5</v>
      </c>
      <c r="R459">
        <v>0.45423429210375998</v>
      </c>
      <c r="S459" t="s">
        <v>2461</v>
      </c>
      <c r="T459" t="s">
        <v>4002</v>
      </c>
      <c r="U459" t="s">
        <v>4002</v>
      </c>
      <c r="V459" t="s">
        <v>4002</v>
      </c>
      <c r="W459" t="s">
        <v>4456</v>
      </c>
      <c r="X459">
        <v>8</v>
      </c>
      <c r="Y459" t="s">
        <v>6431</v>
      </c>
      <c r="Z459" t="s">
        <v>8357</v>
      </c>
      <c r="AA459">
        <v>1.3991472033736401</v>
      </c>
      <c r="AB459" t="str">
        <f>HYPERLINK("Melting_Curves/meltCurve_F8W1A4_AK2.pdf", "Melting_Curves/meltCurve_F8W1A4_AK2.pdf")</f>
        <v>Melting_Curves/meltCurve_F8W1A4_AK2.pdf</v>
      </c>
    </row>
    <row r="460" spans="1:28" x14ac:dyDescent="0.25">
      <c r="A460" t="s">
        <v>464</v>
      </c>
      <c r="B460">
        <v>1</v>
      </c>
      <c r="C460">
        <v>1.0026172636764901</v>
      </c>
      <c r="D460">
        <v>1.1619111156727899</v>
      </c>
      <c r="E460">
        <v>1.4834753156112099</v>
      </c>
      <c r="F460">
        <v>1.6037154880427</v>
      </c>
      <c r="G460">
        <v>1.8114543775017999</v>
      </c>
      <c r="H460">
        <v>1.63722672688084</v>
      </c>
      <c r="I460">
        <v>2.1539053679564799</v>
      </c>
      <c r="J460">
        <v>1.8547675254028499</v>
      </c>
      <c r="K460">
        <v>1.741147490506</v>
      </c>
      <c r="L460">
        <v>2790.4615761676801</v>
      </c>
      <c r="M460">
        <v>59.923496841338697</v>
      </c>
      <c r="O460">
        <v>46.5152912541907</v>
      </c>
      <c r="P460">
        <v>0.16103178149411801</v>
      </c>
      <c r="Q460">
        <v>1.5</v>
      </c>
      <c r="R460">
        <v>0.44480800033341999</v>
      </c>
      <c r="S460" t="s">
        <v>2462</v>
      </c>
      <c r="T460" t="s">
        <v>4002</v>
      </c>
      <c r="U460" t="s">
        <v>4002</v>
      </c>
      <c r="V460" t="s">
        <v>4002</v>
      </c>
      <c r="W460" t="s">
        <v>4457</v>
      </c>
      <c r="X460">
        <v>4</v>
      </c>
      <c r="Y460" t="s">
        <v>6432</v>
      </c>
      <c r="Z460" t="s">
        <v>8358</v>
      </c>
      <c r="AA460">
        <v>1.38983453445616</v>
      </c>
      <c r="AB460" t="str">
        <f>HYPERLINK("Melting_Curves/meltCurve_F8W1Q3_BTD.pdf", "Melting_Curves/meltCurve_F8W1Q3_BTD.pdf")</f>
        <v>Melting_Curves/meltCurve_F8W1Q3_BTD.pdf</v>
      </c>
    </row>
    <row r="461" spans="1:28" x14ac:dyDescent="0.25">
      <c r="A461" t="s">
        <v>465</v>
      </c>
      <c r="B461">
        <v>1</v>
      </c>
      <c r="C461">
        <v>0.93282599151178103</v>
      </c>
      <c r="D461">
        <v>1.03223327967218</v>
      </c>
      <c r="E461">
        <v>1.0101712278647701</v>
      </c>
      <c r="F461">
        <v>0.935460266354456</v>
      </c>
      <c r="G461">
        <v>1.02429386799356</v>
      </c>
      <c r="H461">
        <v>0.78589199473144999</v>
      </c>
      <c r="I461">
        <v>1.00900043904581</v>
      </c>
      <c r="J461">
        <v>0.96707156446655895</v>
      </c>
      <c r="K461">
        <v>0.81951558612615205</v>
      </c>
      <c r="L461">
        <v>389.59470581568002</v>
      </c>
      <c r="M461">
        <v>3.6367940683058002</v>
      </c>
      <c r="Q461">
        <v>0</v>
      </c>
      <c r="R461">
        <v>0.23339390581189901</v>
      </c>
      <c r="S461" t="s">
        <v>2463</v>
      </c>
      <c r="T461" t="s">
        <v>4002</v>
      </c>
      <c r="U461" t="s">
        <v>4002</v>
      </c>
      <c r="V461" t="s">
        <v>4002</v>
      </c>
      <c r="W461" t="s">
        <v>4458</v>
      </c>
      <c r="X461">
        <v>9</v>
      </c>
      <c r="Y461" t="s">
        <v>6433</v>
      </c>
      <c r="Z461" t="s">
        <v>8359</v>
      </c>
      <c r="AA461">
        <v>0.95752813400420811</v>
      </c>
      <c r="AB461" t="str">
        <f>HYPERLINK("Melting_Curves/meltCurve_F8W1R7_MYL6.pdf", "Melting_Curves/meltCurve_F8W1R7_MYL6.pdf")</f>
        <v>Melting_Curves/meltCurve_F8W1R7_MYL6.pdf</v>
      </c>
    </row>
    <row r="462" spans="1:28" x14ac:dyDescent="0.25">
      <c r="A462" t="s">
        <v>466</v>
      </c>
      <c r="B462">
        <v>1</v>
      </c>
      <c r="C462">
        <v>1.0016425177450601</v>
      </c>
      <c r="D462">
        <v>1.27394849533642</v>
      </c>
      <c r="E462">
        <v>1.1063530239924899</v>
      </c>
      <c r="F462">
        <v>0.80547896990672796</v>
      </c>
      <c r="G462">
        <v>0.81281163841145099</v>
      </c>
      <c r="H462">
        <v>0.461852525371033</v>
      </c>
      <c r="I462">
        <v>0.844606089047926</v>
      </c>
      <c r="J462">
        <v>0.85205608024872403</v>
      </c>
      <c r="K462">
        <v>0.48461312840969101</v>
      </c>
      <c r="L462">
        <v>13221.8152433956</v>
      </c>
      <c r="M462">
        <v>250</v>
      </c>
      <c r="O462">
        <v>52.883876534200603</v>
      </c>
      <c r="P462">
        <v>-0.36496489055308601</v>
      </c>
      <c r="Q462">
        <v>0.69118786894877304</v>
      </c>
      <c r="R462">
        <v>0.57353501023025999</v>
      </c>
      <c r="S462" t="s">
        <v>2464</v>
      </c>
      <c r="T462" t="s">
        <v>4002</v>
      </c>
      <c r="U462" t="s">
        <v>4002</v>
      </c>
      <c r="V462" t="s">
        <v>4002</v>
      </c>
      <c r="W462" t="s">
        <v>4459</v>
      </c>
      <c r="X462">
        <v>2</v>
      </c>
      <c r="Y462" t="s">
        <v>6434</v>
      </c>
      <c r="Z462" t="s">
        <v>8360</v>
      </c>
      <c r="AA462">
        <v>0.8238746159098278</v>
      </c>
      <c r="AB462" t="str">
        <f>HYPERLINK("Melting_Curves/meltCurve_F8W6I7_HNRNPA1.pdf", "Melting_Curves/meltCurve_F8W6I7_HNRNPA1.pdf")</f>
        <v>Melting_Curves/meltCurve_F8W6I7_HNRNPA1.pdf</v>
      </c>
    </row>
    <row r="463" spans="1:28" x14ac:dyDescent="0.25">
      <c r="A463" t="s">
        <v>467</v>
      </c>
      <c r="B463">
        <v>1</v>
      </c>
      <c r="C463">
        <v>0.92077708387868795</v>
      </c>
      <c r="D463">
        <v>1.0304214502075499</v>
      </c>
      <c r="E463">
        <v>1.0405930967428301</v>
      </c>
      <c r="F463">
        <v>0.97838525111252395</v>
      </c>
      <c r="G463">
        <v>1.03309524699899</v>
      </c>
      <c r="H463">
        <v>0.96636251449085697</v>
      </c>
      <c r="I463">
        <v>1.1209004898844499</v>
      </c>
      <c r="J463">
        <v>1.2088366179275301</v>
      </c>
      <c r="K463">
        <v>0.98693018211734795</v>
      </c>
      <c r="L463">
        <v>9625.9593657052501</v>
      </c>
      <c r="M463">
        <v>153.74006331039001</v>
      </c>
      <c r="O463">
        <v>62.601324418764897</v>
      </c>
      <c r="P463">
        <v>6.5411828314363804E-2</v>
      </c>
      <c r="Q463">
        <v>1.10654000324927</v>
      </c>
      <c r="R463">
        <v>0.40458814541145799</v>
      </c>
      <c r="S463" t="s">
        <v>2465</v>
      </c>
      <c r="T463" t="s">
        <v>4002</v>
      </c>
      <c r="U463" t="s">
        <v>4002</v>
      </c>
      <c r="V463" t="s">
        <v>4002</v>
      </c>
      <c r="W463" t="s">
        <v>4460</v>
      </c>
      <c r="X463">
        <v>3</v>
      </c>
      <c r="Y463" t="s">
        <v>6435</v>
      </c>
      <c r="Z463" t="s">
        <v>8361</v>
      </c>
      <c r="AA463">
        <v>1.026206595417392</v>
      </c>
      <c r="AB463" t="str">
        <f>HYPERLINK("Melting_Curves/meltCurve_F8W726_UBAP2L.pdf", "Melting_Curves/meltCurve_F8W726_UBAP2L.pdf")</f>
        <v>Melting_Curves/meltCurve_F8W726_UBAP2L.pdf</v>
      </c>
    </row>
    <row r="464" spans="1:28" x14ac:dyDescent="0.25">
      <c r="A464" t="s">
        <v>468</v>
      </c>
      <c r="B464">
        <v>1</v>
      </c>
      <c r="C464">
        <v>0.98375898834614395</v>
      </c>
      <c r="D464">
        <v>1.0013637490701699</v>
      </c>
      <c r="E464">
        <v>1.1292048929663601</v>
      </c>
      <c r="F464">
        <v>1.02622117530374</v>
      </c>
      <c r="G464">
        <v>1.0432267129514801</v>
      </c>
      <c r="H464">
        <v>0.97857260930655399</v>
      </c>
      <c r="I464">
        <v>1.1841681130671999</v>
      </c>
      <c r="J464">
        <v>1.0649847094801199</v>
      </c>
      <c r="K464">
        <v>0.90203735845937705</v>
      </c>
      <c r="L464">
        <v>11661.392351009899</v>
      </c>
      <c r="M464">
        <v>250</v>
      </c>
      <c r="O464">
        <v>46.642584390051198</v>
      </c>
      <c r="P464">
        <v>6.2867053233883294E-2</v>
      </c>
      <c r="Q464">
        <v>1.0469165093250301</v>
      </c>
      <c r="R464">
        <v>9.6392165707940097E-2</v>
      </c>
      <c r="S464" t="s">
        <v>2466</v>
      </c>
      <c r="T464" t="s">
        <v>4002</v>
      </c>
      <c r="U464" t="s">
        <v>4002</v>
      </c>
      <c r="V464" t="s">
        <v>4002</v>
      </c>
      <c r="W464" t="s">
        <v>4461</v>
      </c>
      <c r="X464">
        <v>3</v>
      </c>
      <c r="Y464" t="s">
        <v>6436</v>
      </c>
      <c r="Z464" t="s">
        <v>8362</v>
      </c>
      <c r="AA464">
        <v>1.036519771336937</v>
      </c>
      <c r="AB464" t="str">
        <f>HYPERLINK("Melting_Curves/meltCurve_F8W785_GOLIM4.pdf", "Melting_Curves/meltCurve_F8W785_GOLIM4.pdf")</f>
        <v>Melting_Curves/meltCurve_F8W785_GOLIM4.pdf</v>
      </c>
    </row>
    <row r="465" spans="1:28" x14ac:dyDescent="0.25">
      <c r="A465" t="s">
        <v>469</v>
      </c>
      <c r="B465">
        <v>1</v>
      </c>
      <c r="C465">
        <v>1.2541059068229099</v>
      </c>
      <c r="D465">
        <v>2.00334155461851</v>
      </c>
      <c r="E465">
        <v>2.3970539763363399</v>
      </c>
      <c r="F465">
        <v>1.9174158644283601</v>
      </c>
      <c r="G465">
        <v>1.1609060841298899</v>
      </c>
      <c r="H465">
        <v>0.67245945239421301</v>
      </c>
      <c r="I465">
        <v>0.54574179102781195</v>
      </c>
      <c r="J465">
        <v>0.52868167714217496</v>
      </c>
      <c r="K465">
        <v>0.47742177466101399</v>
      </c>
      <c r="L465">
        <v>9501.8733033852695</v>
      </c>
      <c r="M465">
        <v>156.514359034308</v>
      </c>
      <c r="O465">
        <v>60.6993665994571</v>
      </c>
      <c r="P465">
        <v>-0.31121829161999198</v>
      </c>
      <c r="Q465">
        <v>0.51721356176311695</v>
      </c>
      <c r="R465">
        <v>9.8068304214504395E-2</v>
      </c>
      <c r="S465" t="s">
        <v>2467</v>
      </c>
      <c r="T465" t="s">
        <v>4002</v>
      </c>
      <c r="U465" t="s">
        <v>4002</v>
      </c>
      <c r="V465" t="s">
        <v>4002</v>
      </c>
      <c r="W465" t="s">
        <v>4462</v>
      </c>
      <c r="X465">
        <v>5</v>
      </c>
      <c r="Y465" t="s">
        <v>6437</v>
      </c>
      <c r="Z465" t="s">
        <v>8363</v>
      </c>
      <c r="AA465">
        <v>0.85061675135218395</v>
      </c>
      <c r="AB465" t="str">
        <f>HYPERLINK("Melting_Curves/meltCurve_F8W787_CTSD.pdf", "Melting_Curves/meltCurve_F8W787_CTSD.pdf")</f>
        <v>Melting_Curves/meltCurve_F8W787_CTSD.pdf</v>
      </c>
    </row>
    <row r="466" spans="1:28" x14ac:dyDescent="0.25">
      <c r="A466" t="s">
        <v>470</v>
      </c>
      <c r="B466">
        <v>1</v>
      </c>
      <c r="C466">
        <v>0.71699430033732703</v>
      </c>
      <c r="D466">
        <v>0.85032569500988697</v>
      </c>
      <c r="E466">
        <v>0.73560544375945103</v>
      </c>
      <c r="F466">
        <v>0.78364545771780902</v>
      </c>
      <c r="G466">
        <v>0.89635919506804695</v>
      </c>
      <c r="H466">
        <v>0.77396184715598504</v>
      </c>
      <c r="I466">
        <v>0.80551355123880397</v>
      </c>
      <c r="J466">
        <v>6.2643945562405499</v>
      </c>
      <c r="K466">
        <v>0.91683145283238299</v>
      </c>
      <c r="L466">
        <v>15000</v>
      </c>
      <c r="M466">
        <v>230.72019274272901</v>
      </c>
      <c r="O466">
        <v>65.0089306355151</v>
      </c>
      <c r="P466">
        <v>0.44363172699216802</v>
      </c>
      <c r="Q466">
        <v>1.5</v>
      </c>
      <c r="R466">
        <v>0.122740856307686</v>
      </c>
      <c r="S466" t="s">
        <v>2468</v>
      </c>
      <c r="T466" t="s">
        <v>4002</v>
      </c>
      <c r="U466" t="s">
        <v>4002</v>
      </c>
      <c r="V466" t="s">
        <v>4002</v>
      </c>
      <c r="W466" t="s">
        <v>4463</v>
      </c>
      <c r="X466">
        <v>1</v>
      </c>
      <c r="Y466" t="s">
        <v>6438</v>
      </c>
      <c r="Z466" t="s">
        <v>8364</v>
      </c>
      <c r="AA466">
        <v>1.083036093991824</v>
      </c>
      <c r="AB466" t="str">
        <f>HYPERLINK("Melting_Curves/meltCurve_F8W7C6_RPL10.pdf", "Melting_Curves/meltCurve_F8W7C6_RPL10.pdf")</f>
        <v>Melting_Curves/meltCurve_F8W7C6_RPL10.pdf</v>
      </c>
    </row>
    <row r="467" spans="1:28" x14ac:dyDescent="0.25">
      <c r="A467" t="s">
        <v>471</v>
      </c>
      <c r="B467">
        <v>1</v>
      </c>
      <c r="C467">
        <v>0.97935342085478005</v>
      </c>
      <c r="D467">
        <v>1.0054941877277199</v>
      </c>
      <c r="E467">
        <v>1.06564108495749</v>
      </c>
      <c r="F467">
        <v>1.1119079289803899</v>
      </c>
      <c r="G467">
        <v>1.04661384535307</v>
      </c>
      <c r="H467">
        <v>0.93123590307096205</v>
      </c>
      <c r="I467">
        <v>1.2072176276675699</v>
      </c>
      <c r="J467">
        <v>1.0511826962003401</v>
      </c>
      <c r="K467">
        <v>1.11092475854491</v>
      </c>
      <c r="L467">
        <v>3084.7608524037501</v>
      </c>
      <c r="M467">
        <v>63.795591638587702</v>
      </c>
      <c r="O467">
        <v>48.306379541112101</v>
      </c>
      <c r="P467">
        <v>2.5164552593020501E-2</v>
      </c>
      <c r="Q467">
        <v>1.0762189353110401</v>
      </c>
      <c r="R467">
        <v>0.24007472539625699</v>
      </c>
      <c r="S467" t="s">
        <v>2469</v>
      </c>
      <c r="T467" t="s">
        <v>4002</v>
      </c>
      <c r="U467" t="s">
        <v>4002</v>
      </c>
      <c r="V467" t="s">
        <v>4002</v>
      </c>
      <c r="W467" t="s">
        <v>4464</v>
      </c>
      <c r="X467">
        <v>4</v>
      </c>
      <c r="Y467" t="s">
        <v>6439</v>
      </c>
      <c r="Z467" t="s">
        <v>8365</v>
      </c>
      <c r="AA467">
        <v>1.0548953014105871</v>
      </c>
      <c r="AB467" t="str">
        <f>HYPERLINK("Melting_Curves/meltCurve_F8W7U3_FAM21A.pdf", "Melting_Curves/meltCurve_F8W7U3_FAM21A.pdf")</f>
        <v>Melting_Curves/meltCurve_F8W7U3_FAM21A.pdf</v>
      </c>
    </row>
    <row r="468" spans="1:28" x14ac:dyDescent="0.25">
      <c r="A468" t="s">
        <v>472</v>
      </c>
      <c r="B468">
        <v>1</v>
      </c>
      <c r="C468">
        <v>1.06359029899818</v>
      </c>
      <c r="D468">
        <v>1.0572467411905799</v>
      </c>
      <c r="E468">
        <v>1.1484740649054299</v>
      </c>
      <c r="F468">
        <v>1.1919313039105699</v>
      </c>
      <c r="G468">
        <v>1.3000232081383201</v>
      </c>
      <c r="H468">
        <v>1.0595482149073601</v>
      </c>
      <c r="I468">
        <v>1.39523459559819</v>
      </c>
      <c r="J468">
        <v>4.1960314083471904</v>
      </c>
      <c r="K468">
        <v>1.40329942366456</v>
      </c>
      <c r="L468">
        <v>1366.0192797539601</v>
      </c>
      <c r="M468">
        <v>25.021858314669998</v>
      </c>
      <c r="O468">
        <v>54.247922418510299</v>
      </c>
      <c r="P468">
        <v>5.7657032107082902E-2</v>
      </c>
      <c r="Q468">
        <v>1.5</v>
      </c>
      <c r="R468">
        <v>0.10431044509074899</v>
      </c>
      <c r="S468" t="s">
        <v>2470</v>
      </c>
      <c r="T468" t="s">
        <v>4002</v>
      </c>
      <c r="U468" t="s">
        <v>4002</v>
      </c>
      <c r="V468" t="s">
        <v>4002</v>
      </c>
      <c r="W468" t="s">
        <v>4465</v>
      </c>
      <c r="X468">
        <v>3</v>
      </c>
      <c r="Y468" t="s">
        <v>6440</v>
      </c>
      <c r="Z468" t="s">
        <v>8366</v>
      </c>
      <c r="AA468">
        <v>1.2521600656102361</v>
      </c>
      <c r="AB468" t="str">
        <f>HYPERLINK("Melting_Curves/meltCurve_F8W845_CTNNA1.pdf", "Melting_Curves/meltCurve_F8W845_CTNNA1.pdf")</f>
        <v>Melting_Curves/meltCurve_F8W845_CTNNA1.pdf</v>
      </c>
    </row>
    <row r="469" spans="1:28" x14ac:dyDescent="0.25">
      <c r="A469" t="s">
        <v>473</v>
      </c>
      <c r="B469">
        <v>1</v>
      </c>
      <c r="C469">
        <v>0.85072531586335998</v>
      </c>
      <c r="D469">
        <v>0.78989237248479205</v>
      </c>
      <c r="E469">
        <v>0.80453907346747799</v>
      </c>
      <c r="F469">
        <v>0.57688348151614399</v>
      </c>
      <c r="G469">
        <v>0.55994384651380402</v>
      </c>
      <c r="H469">
        <v>0.46677585400093602</v>
      </c>
      <c r="I469">
        <v>0.80505381375760399</v>
      </c>
      <c r="J469">
        <v>0.65652784277023901</v>
      </c>
      <c r="K469">
        <v>0.55058493214787096</v>
      </c>
      <c r="L469">
        <v>677.19238523940203</v>
      </c>
      <c r="M469">
        <v>14.7251268697649</v>
      </c>
      <c r="O469">
        <v>45.165712687676397</v>
      </c>
      <c r="P469">
        <v>-3.2537674175759403E-2</v>
      </c>
      <c r="Q469">
        <v>0.60083810016133099</v>
      </c>
      <c r="R469">
        <v>0.64477754517562003</v>
      </c>
      <c r="S469" t="s">
        <v>2471</v>
      </c>
      <c r="T469" t="s">
        <v>4002</v>
      </c>
      <c r="U469" t="s">
        <v>4002</v>
      </c>
      <c r="V469" t="s">
        <v>4002</v>
      </c>
      <c r="W469" t="s">
        <v>4466</v>
      </c>
      <c r="X469">
        <v>1</v>
      </c>
      <c r="Y469" t="s">
        <v>6441</v>
      </c>
      <c r="Z469" t="s">
        <v>8367</v>
      </c>
      <c r="AA469">
        <v>0.69265216778976113</v>
      </c>
      <c r="AB469" t="str">
        <f>HYPERLINK("Melting_Curves/meltCurve_F8W876_MASP1.pdf", "Melting_Curves/meltCurve_F8W876_MASP1.pdf")</f>
        <v>Melting_Curves/meltCurve_F8W876_MASP1.pdf</v>
      </c>
    </row>
    <row r="470" spans="1:28" x14ac:dyDescent="0.25">
      <c r="A470" t="s">
        <v>474</v>
      </c>
      <c r="B470">
        <v>1</v>
      </c>
      <c r="C470">
        <v>0.95389963067564598</v>
      </c>
      <c r="D470">
        <v>1.2071692374538301</v>
      </c>
      <c r="E470">
        <v>1.3525961329567699</v>
      </c>
      <c r="F470">
        <v>1.3770584401477299</v>
      </c>
      <c r="G470">
        <v>1.5475559417771001</v>
      </c>
      <c r="H470">
        <v>1.19178796437106</v>
      </c>
      <c r="I470">
        <v>1.83393439061482</v>
      </c>
      <c r="J470">
        <v>1.4008255485552901</v>
      </c>
      <c r="K470">
        <v>1.44649141864002</v>
      </c>
      <c r="L470">
        <v>1025.2978558068501</v>
      </c>
      <c r="M470">
        <v>21.5479102143149</v>
      </c>
      <c r="O470">
        <v>47.178129911837502</v>
      </c>
      <c r="P470">
        <v>5.4775626237861703E-2</v>
      </c>
      <c r="Q470">
        <v>1.47970279201012</v>
      </c>
      <c r="R470">
        <v>0.61357709376295999</v>
      </c>
      <c r="S470" t="s">
        <v>2472</v>
      </c>
      <c r="T470" t="s">
        <v>4002</v>
      </c>
      <c r="U470" t="s">
        <v>4002</v>
      </c>
      <c r="V470" t="s">
        <v>4002</v>
      </c>
      <c r="W470" t="s">
        <v>4467</v>
      </c>
      <c r="X470">
        <v>5</v>
      </c>
      <c r="Y470" t="s">
        <v>6442</v>
      </c>
      <c r="Z470" t="s">
        <v>8368</v>
      </c>
      <c r="AA470">
        <v>1.3526015643306011</v>
      </c>
      <c r="AB470" t="str">
        <f>HYPERLINK("Melting_Curves/meltCurve_F8W8H5_RAB24.pdf", "Melting_Curves/meltCurve_F8W8H5_RAB24.pdf")</f>
        <v>Melting_Curves/meltCurve_F8W8H5_RAB24.pdf</v>
      </c>
    </row>
    <row r="471" spans="1:28" x14ac:dyDescent="0.25">
      <c r="A471" t="s">
        <v>475</v>
      </c>
      <c r="B471">
        <v>1</v>
      </c>
      <c r="C471">
        <v>0.92684128995916104</v>
      </c>
      <c r="D471">
        <v>1.02555978031263</v>
      </c>
      <c r="E471">
        <v>0.91796930009857802</v>
      </c>
      <c r="F471">
        <v>0.93585410505562605</v>
      </c>
      <c r="G471">
        <v>0.847767920011266</v>
      </c>
      <c r="H471">
        <v>0.78981833544571201</v>
      </c>
      <c r="I471">
        <v>0.93296718772003895</v>
      </c>
      <c r="J471">
        <v>1.02922123644557</v>
      </c>
      <c r="K471">
        <v>0.84988029854949998</v>
      </c>
      <c r="L471">
        <v>4508.7068239512701</v>
      </c>
      <c r="M471">
        <v>91.524702394482702</v>
      </c>
      <c r="O471">
        <v>49.238674903823799</v>
      </c>
      <c r="P471">
        <v>-4.7643449065339599E-2</v>
      </c>
      <c r="Q471">
        <v>0.89747465648242797</v>
      </c>
      <c r="R471">
        <v>0.25205652579547699</v>
      </c>
      <c r="S471" t="s">
        <v>2473</v>
      </c>
      <c r="T471" t="s">
        <v>4002</v>
      </c>
      <c r="U471" t="s">
        <v>4002</v>
      </c>
      <c r="V471" t="s">
        <v>4002</v>
      </c>
      <c r="W471" t="s">
        <v>4468</v>
      </c>
      <c r="X471">
        <v>2</v>
      </c>
      <c r="Y471" t="s">
        <v>6443</v>
      </c>
      <c r="Z471" t="s">
        <v>8369</v>
      </c>
      <c r="AA471">
        <v>0.9291945082245664</v>
      </c>
      <c r="AB471" t="str">
        <f>HYPERLINK("Melting_Curves/meltCurve_F8W8S0_DYNC1I2.pdf", "Melting_Curves/meltCurve_F8W8S0_DYNC1I2.pdf")</f>
        <v>Melting_Curves/meltCurve_F8W8S0_DYNC1I2.pdf</v>
      </c>
    </row>
    <row r="472" spans="1:28" x14ac:dyDescent="0.25">
      <c r="A472" t="s">
        <v>476</v>
      </c>
      <c r="B472">
        <v>1</v>
      </c>
      <c r="C472">
        <v>0.90719308931834497</v>
      </c>
      <c r="D472">
        <v>1.10820089705964</v>
      </c>
      <c r="E472">
        <v>1.1217675397308799</v>
      </c>
      <c r="F472">
        <v>1.02497369732543</v>
      </c>
      <c r="G472">
        <v>0.96943352345091105</v>
      </c>
      <c r="H472">
        <v>1.32128024807575</v>
      </c>
      <c r="I472">
        <v>1.03942632482419</v>
      </c>
      <c r="J472">
        <v>1.48823301400964</v>
      </c>
      <c r="K472">
        <v>1.1115233401628</v>
      </c>
      <c r="L472">
        <v>8294.8052818059496</v>
      </c>
      <c r="M472">
        <v>141.221680912914</v>
      </c>
      <c r="O472">
        <v>58.724282643212199</v>
      </c>
      <c r="P472">
        <v>0.14472599758506499</v>
      </c>
      <c r="Q472">
        <v>1.2407259424439401</v>
      </c>
      <c r="R472">
        <v>0.40637495564223602</v>
      </c>
      <c r="S472" t="s">
        <v>2474</v>
      </c>
      <c r="T472" t="s">
        <v>4002</v>
      </c>
      <c r="U472" t="s">
        <v>4002</v>
      </c>
      <c r="V472" t="s">
        <v>4002</v>
      </c>
      <c r="W472" t="s">
        <v>4469</v>
      </c>
      <c r="X472">
        <v>1</v>
      </c>
      <c r="Y472" t="s">
        <v>6444</v>
      </c>
      <c r="Z472" t="s">
        <v>8370</v>
      </c>
      <c r="AA472">
        <v>1.090306276046435</v>
      </c>
      <c r="AB472" t="str">
        <f>HYPERLINK("Melting_Curves/meltCurve_F8W914_RTN4.pdf", "Melting_Curves/meltCurve_F8W914_RTN4.pdf")</f>
        <v>Melting_Curves/meltCurve_F8W914_RTN4.pdf</v>
      </c>
    </row>
    <row r="473" spans="1:28" x14ac:dyDescent="0.25">
      <c r="A473" t="s">
        <v>477</v>
      </c>
      <c r="B473">
        <v>1</v>
      </c>
      <c r="C473">
        <v>1.00443584160013</v>
      </c>
      <c r="D473">
        <v>1.10484716509396</v>
      </c>
      <c r="E473">
        <v>1.17874022098556</v>
      </c>
      <c r="F473">
        <v>1.1758528913622099</v>
      </c>
      <c r="G473">
        <v>1.1318332123558399</v>
      </c>
      <c r="H473">
        <v>1.1503669650778301</v>
      </c>
      <c r="I473">
        <v>1.54355996451327</v>
      </c>
      <c r="J473">
        <v>1.24848778127268</v>
      </c>
      <c r="K473">
        <v>1.15431889668522</v>
      </c>
      <c r="L473">
        <v>546.13795961794301</v>
      </c>
      <c r="M473">
        <v>10.916100054152</v>
      </c>
      <c r="O473">
        <v>48.439372662647202</v>
      </c>
      <c r="P473">
        <v>1.5814613536548401E-2</v>
      </c>
      <c r="Q473">
        <v>1.2806071172094</v>
      </c>
      <c r="R473">
        <v>0.44070732285526298</v>
      </c>
      <c r="S473" t="s">
        <v>2475</v>
      </c>
      <c r="T473" t="s">
        <v>4002</v>
      </c>
      <c r="U473" t="s">
        <v>4002</v>
      </c>
      <c r="V473" t="s">
        <v>4002</v>
      </c>
      <c r="W473" t="s">
        <v>4470</v>
      </c>
      <c r="X473">
        <v>4</v>
      </c>
      <c r="Y473" t="s">
        <v>6445</v>
      </c>
      <c r="Z473" t="s">
        <v>8371</v>
      </c>
      <c r="AA473">
        <v>1.1756025339860401</v>
      </c>
      <c r="AB473" t="str">
        <f>HYPERLINK("Melting_Curves/meltCurve_F8W9Y0_STX3.pdf", "Melting_Curves/meltCurve_F8W9Y0_STX3.pdf")</f>
        <v>Melting_Curves/meltCurve_F8W9Y0_STX3.pdf</v>
      </c>
    </row>
    <row r="474" spans="1:28" x14ac:dyDescent="0.25">
      <c r="A474" t="s">
        <v>478</v>
      </c>
      <c r="B474">
        <v>1</v>
      </c>
      <c r="C474">
        <v>1.18520373717795</v>
      </c>
      <c r="D474">
        <v>0.95426530478907601</v>
      </c>
      <c r="E474">
        <v>1.5114663414421701</v>
      </c>
      <c r="F474">
        <v>0.96861728771479005</v>
      </c>
      <c r="G474">
        <v>1.2600997451924101</v>
      </c>
      <c r="H474">
        <v>3.4244397499836698</v>
      </c>
      <c r="I474">
        <v>16.228412134939099</v>
      </c>
      <c r="J474">
        <v>0.60446022170437996</v>
      </c>
      <c r="K474">
        <v>8.4866171570442308</v>
      </c>
      <c r="L474">
        <v>1735.6968250564801</v>
      </c>
      <c r="M474">
        <v>35.667549765314497</v>
      </c>
      <c r="O474">
        <v>48.510981191063799</v>
      </c>
      <c r="P474">
        <v>9.1906166394050096E-2</v>
      </c>
      <c r="Q474">
        <v>1.5</v>
      </c>
      <c r="R474">
        <v>-0.183335597644319</v>
      </c>
      <c r="S474" t="s">
        <v>2476</v>
      </c>
      <c r="T474" t="s">
        <v>4002</v>
      </c>
      <c r="U474" t="s">
        <v>4002</v>
      </c>
      <c r="V474" t="s">
        <v>4002</v>
      </c>
      <c r="W474" t="s">
        <v>4471</v>
      </c>
      <c r="X474">
        <v>1</v>
      </c>
      <c r="Y474" t="s">
        <v>6446</v>
      </c>
      <c r="Z474" t="s">
        <v>8372</v>
      </c>
      <c r="AA474">
        <v>1.353487182987148</v>
      </c>
      <c r="AB474" t="str">
        <f>HYPERLINK("Melting_Curves/meltCurve_F8WA67_COLQ.pdf", "Melting_Curves/meltCurve_F8WA67_COLQ.pdf")</f>
        <v>Melting_Curves/meltCurve_F8WA67_COLQ.pdf</v>
      </c>
    </row>
    <row r="475" spans="1:28" x14ac:dyDescent="0.25">
      <c r="A475" t="s">
        <v>479</v>
      </c>
      <c r="B475">
        <v>1</v>
      </c>
      <c r="C475">
        <v>0.77348481291958104</v>
      </c>
      <c r="D475">
        <v>0.78625416647105795</v>
      </c>
      <c r="E475">
        <v>1.0291535608656901</v>
      </c>
      <c r="F475">
        <v>1.0684005445753699</v>
      </c>
      <c r="G475">
        <v>0.95112905497394495</v>
      </c>
      <c r="H475">
        <v>0.69062485329327306</v>
      </c>
      <c r="I475">
        <v>0.85488944181024396</v>
      </c>
      <c r="J475">
        <v>1.25773437866767</v>
      </c>
      <c r="K475">
        <v>1.01460025350922</v>
      </c>
      <c r="L475">
        <v>1716.8986719716499</v>
      </c>
      <c r="M475">
        <v>25.043242024750501</v>
      </c>
      <c r="O475">
        <v>68.124683599089494</v>
      </c>
      <c r="P475">
        <v>1.07749814326787E-2</v>
      </c>
      <c r="Q475">
        <v>1.1172424252584301</v>
      </c>
      <c r="R475">
        <v>-9.6524978987132998E-2</v>
      </c>
      <c r="S475" t="s">
        <v>2477</v>
      </c>
      <c r="T475" t="s">
        <v>4002</v>
      </c>
      <c r="U475" t="s">
        <v>4002</v>
      </c>
      <c r="V475" t="s">
        <v>4002</v>
      </c>
      <c r="W475" t="s">
        <v>4472</v>
      </c>
      <c r="X475">
        <v>1</v>
      </c>
      <c r="Y475" t="s">
        <v>6447</v>
      </c>
      <c r="Z475" t="s">
        <v>8373</v>
      </c>
      <c r="AA475">
        <v>1.009973549588262</v>
      </c>
      <c r="AB475" t="str">
        <f>HYPERLINK("Melting_Curves/meltCurve_F8WAE5_EIF2A.pdf", "Melting_Curves/meltCurve_F8WAE5_EIF2A.pdf")</f>
        <v>Melting_Curves/meltCurve_F8WAE5_EIF2A.pdf</v>
      </c>
    </row>
    <row r="476" spans="1:28" x14ac:dyDescent="0.25">
      <c r="A476" t="s">
        <v>480</v>
      </c>
      <c r="B476">
        <v>1</v>
      </c>
      <c r="C476">
        <v>1.0086777053332701</v>
      </c>
      <c r="D476">
        <v>1.19222289976078</v>
      </c>
      <c r="E476">
        <v>1.10413246399925</v>
      </c>
      <c r="F476">
        <v>0.96195881607955303</v>
      </c>
      <c r="G476">
        <v>0.84075238050565204</v>
      </c>
      <c r="H476">
        <v>0.74510999577841397</v>
      </c>
      <c r="I476">
        <v>0.74933158215676199</v>
      </c>
      <c r="J476">
        <v>5.1118720390262196</v>
      </c>
      <c r="K476">
        <v>0.76002626764857595</v>
      </c>
      <c r="L476">
        <v>15000</v>
      </c>
      <c r="M476">
        <v>230.460979497615</v>
      </c>
      <c r="O476">
        <v>65.082038963494895</v>
      </c>
      <c r="P476">
        <v>0.44263552475493601</v>
      </c>
      <c r="Q476">
        <v>1.5</v>
      </c>
      <c r="R476">
        <v>0.13501763022208399</v>
      </c>
      <c r="S476" t="s">
        <v>2478</v>
      </c>
      <c r="T476" t="s">
        <v>4002</v>
      </c>
      <c r="U476" t="s">
        <v>4002</v>
      </c>
      <c r="V476" t="s">
        <v>4002</v>
      </c>
      <c r="W476" t="s">
        <v>4473</v>
      </c>
      <c r="X476">
        <v>1</v>
      </c>
      <c r="Y476" t="s">
        <v>6448</v>
      </c>
      <c r="Z476" t="s">
        <v>8374</v>
      </c>
      <c r="AA476">
        <v>1.081817119027523</v>
      </c>
      <c r="AB476" t="str">
        <f>HYPERLINK("Melting_Curves/meltCurve_F8WAM2_CCT7.pdf", "Melting_Curves/meltCurve_F8WAM2_CCT7.pdf")</f>
        <v>Melting_Curves/meltCurve_F8WAM2_CCT7.pdf</v>
      </c>
    </row>
    <row r="477" spans="1:28" x14ac:dyDescent="0.25">
      <c r="A477" t="s">
        <v>481</v>
      </c>
      <c r="B477">
        <v>1</v>
      </c>
      <c r="C477">
        <v>0.750447542393189</v>
      </c>
      <c r="D477">
        <v>0.769448712346532</v>
      </c>
      <c r="E477">
        <v>0.76743300959925598</v>
      </c>
      <c r="F477">
        <v>0.721847116699322</v>
      </c>
      <c r="G477">
        <v>0.76125903894675995</v>
      </c>
      <c r="H477">
        <v>0.72238275798880802</v>
      </c>
      <c r="I477">
        <v>0.864341795525986</v>
      </c>
      <c r="J477">
        <v>0.72115642135235303</v>
      </c>
      <c r="K477">
        <v>0.68870783586823203</v>
      </c>
      <c r="L477">
        <v>10301.512365157199</v>
      </c>
      <c r="M477">
        <v>250</v>
      </c>
      <c r="O477">
        <v>41.203412722132697</v>
      </c>
      <c r="P477">
        <v>-0.37634902474248699</v>
      </c>
      <c r="Q477">
        <v>0.75189017424208404</v>
      </c>
      <c r="R477">
        <v>0.73480356340916997</v>
      </c>
      <c r="S477" t="s">
        <v>2479</v>
      </c>
      <c r="T477" t="s">
        <v>4002</v>
      </c>
      <c r="U477" t="s">
        <v>4002</v>
      </c>
      <c r="V477" t="s">
        <v>4002</v>
      </c>
      <c r="W477" t="s">
        <v>4474</v>
      </c>
      <c r="X477">
        <v>7</v>
      </c>
      <c r="Y477" t="s">
        <v>6449</v>
      </c>
      <c r="Z477" t="s">
        <v>8375</v>
      </c>
      <c r="AA477">
        <v>0.76188321925353897</v>
      </c>
      <c r="AB477" t="str">
        <f>HYPERLINK("Melting_Curves/meltCurve_F8WAM8_KLK1.pdf", "Melting_Curves/meltCurve_F8WAM8_KLK1.pdf")</f>
        <v>Melting_Curves/meltCurve_F8WAM8_KLK1.pdf</v>
      </c>
    </row>
    <row r="478" spans="1:28" x14ac:dyDescent="0.25">
      <c r="A478" t="s">
        <v>482</v>
      </c>
      <c r="B478">
        <v>1</v>
      </c>
      <c r="C478">
        <v>0.80474166853052997</v>
      </c>
      <c r="D478">
        <v>1.1130619548199501</v>
      </c>
      <c r="E478">
        <v>1.17361887720868</v>
      </c>
      <c r="F478">
        <v>1.07884142250056</v>
      </c>
      <c r="G478">
        <v>1.2480988593155899</v>
      </c>
      <c r="H478">
        <v>0.99217177365242704</v>
      </c>
      <c r="I478">
        <v>1.61088123462313</v>
      </c>
      <c r="J478">
        <v>1.2829903824647699</v>
      </c>
      <c r="K478">
        <v>1.2140460747036499</v>
      </c>
      <c r="L478">
        <v>636.19962996606603</v>
      </c>
      <c r="M478">
        <v>11.681172302120499</v>
      </c>
      <c r="O478">
        <v>52.940951213165498</v>
      </c>
      <c r="P478">
        <v>1.8201046344402502E-2</v>
      </c>
      <c r="Q478">
        <v>1.3298720208485499</v>
      </c>
      <c r="R478">
        <v>0.39983492345204302</v>
      </c>
      <c r="S478" t="s">
        <v>2480</v>
      </c>
      <c r="T478" t="s">
        <v>4002</v>
      </c>
      <c r="U478" t="s">
        <v>4002</v>
      </c>
      <c r="V478" t="s">
        <v>4002</v>
      </c>
      <c r="W478" t="s">
        <v>4475</v>
      </c>
      <c r="X478">
        <v>1</v>
      </c>
      <c r="Y478" t="s">
        <v>6450</v>
      </c>
      <c r="Z478" t="s">
        <v>8376</v>
      </c>
      <c r="AA478">
        <v>1.1624317334220211</v>
      </c>
      <c r="AB478" t="str">
        <f>HYPERLINK("Melting_Curves/meltCurve_F8WAQ7_ST13.pdf", "Melting_Curves/meltCurve_F8WAQ7_ST13.pdf")</f>
        <v>Melting_Curves/meltCurve_F8WAQ7_ST13.pdf</v>
      </c>
    </row>
    <row r="479" spans="1:28" x14ac:dyDescent="0.25">
      <c r="A479" t="s">
        <v>483</v>
      </c>
      <c r="B479">
        <v>1</v>
      </c>
      <c r="C479">
        <v>0.83610640101737999</v>
      </c>
      <c r="D479">
        <v>1.0112600678253501</v>
      </c>
      <c r="E479">
        <v>1.05423378550233</v>
      </c>
      <c r="F479">
        <v>1.3726949978804599</v>
      </c>
      <c r="G479">
        <v>2.1228539635438701</v>
      </c>
      <c r="H479">
        <v>3.71476261127596</v>
      </c>
      <c r="I479">
        <v>4.70140949554896</v>
      </c>
      <c r="J479">
        <v>5.0956443408223802</v>
      </c>
      <c r="K479">
        <v>4.4044086477320903</v>
      </c>
      <c r="L479">
        <v>3914.6950675184198</v>
      </c>
      <c r="M479">
        <v>75.083903583862906</v>
      </c>
      <c r="O479">
        <v>52.100658035680098</v>
      </c>
      <c r="P479">
        <v>0.18014147765222399</v>
      </c>
      <c r="Q479">
        <v>1.5</v>
      </c>
      <c r="R479">
        <v>-0.347317598800361</v>
      </c>
      <c r="S479" t="s">
        <v>2481</v>
      </c>
      <c r="T479" t="s">
        <v>4002</v>
      </c>
      <c r="U479" t="s">
        <v>4002</v>
      </c>
      <c r="V479" t="s">
        <v>4002</v>
      </c>
      <c r="W479" t="s">
        <v>4476</v>
      </c>
      <c r="X479">
        <v>1</v>
      </c>
      <c r="Y479" t="s">
        <v>6451</v>
      </c>
      <c r="Z479" t="s">
        <v>8377</v>
      </c>
      <c r="AA479">
        <v>1.297198208446628</v>
      </c>
      <c r="AB479" t="str">
        <f>HYPERLINK("Melting_Curves/meltCurve_F8WB82_GALM.pdf", "Melting_Curves/meltCurve_F8WB82_GALM.pdf")</f>
        <v>Melting_Curves/meltCurve_F8WB82_GALM.pdf</v>
      </c>
    </row>
    <row r="480" spans="1:28" x14ac:dyDescent="0.25">
      <c r="A480" t="s">
        <v>484</v>
      </c>
      <c r="B480">
        <v>1</v>
      </c>
      <c r="C480">
        <v>0.98346248346248299</v>
      </c>
      <c r="D480">
        <v>1.01100926100926</v>
      </c>
      <c r="E480">
        <v>0.94197694197694204</v>
      </c>
      <c r="F480">
        <v>0.81997731997732004</v>
      </c>
      <c r="G480">
        <v>0.91225666225666202</v>
      </c>
      <c r="H480">
        <v>0.75798525798525795</v>
      </c>
      <c r="I480">
        <v>0.90790965790965805</v>
      </c>
      <c r="J480">
        <v>0.82919107919107904</v>
      </c>
      <c r="K480">
        <v>0.83679833679833704</v>
      </c>
      <c r="L480">
        <v>12526.1843734247</v>
      </c>
      <c r="M480">
        <v>250</v>
      </c>
      <c r="O480">
        <v>50.101530322692497</v>
      </c>
      <c r="P480">
        <v>-0.19458025580105301</v>
      </c>
      <c r="Q480">
        <v>0.84401970031169804</v>
      </c>
      <c r="R480">
        <v>0.73991830464800001</v>
      </c>
      <c r="S480" t="s">
        <v>2482</v>
      </c>
      <c r="T480" t="s">
        <v>4002</v>
      </c>
      <c r="U480" t="s">
        <v>4002</v>
      </c>
      <c r="V480" t="s">
        <v>4002</v>
      </c>
      <c r="W480" t="s">
        <v>4477</v>
      </c>
      <c r="X480">
        <v>4</v>
      </c>
      <c r="Y480" t="s">
        <v>6452</v>
      </c>
      <c r="Z480" t="s">
        <v>8378</v>
      </c>
      <c r="AA480">
        <v>0.89657141555073039</v>
      </c>
      <c r="AB480" t="str">
        <f>HYPERLINK("Melting_Curves/meltCurve_F8WC07_LAIR1.pdf", "Melting_Curves/meltCurve_F8WC07_LAIR1.pdf")</f>
        <v>Melting_Curves/meltCurve_F8WC07_LAIR1.pdf</v>
      </c>
    </row>
    <row r="481" spans="1:28" x14ac:dyDescent="0.25">
      <c r="A481" t="s">
        <v>485</v>
      </c>
      <c r="B481">
        <v>1</v>
      </c>
      <c r="C481">
        <v>0.97907234128181897</v>
      </c>
      <c r="D481">
        <v>1.19725324479324</v>
      </c>
      <c r="E481">
        <v>1.1585672602877599</v>
      </c>
      <c r="F481">
        <v>1.11706409095482</v>
      </c>
      <c r="G481">
        <v>1.29457188851997</v>
      </c>
      <c r="H481">
        <v>1.18671395512627</v>
      </c>
      <c r="I481">
        <v>1.4961766777341801</v>
      </c>
      <c r="J481">
        <v>1.62015796357782</v>
      </c>
      <c r="K481">
        <v>1.3045829560317901</v>
      </c>
      <c r="L481">
        <v>504.51015207056099</v>
      </c>
      <c r="M481">
        <v>9.0988041033454898</v>
      </c>
      <c r="O481">
        <v>52.966469953004697</v>
      </c>
      <c r="P481">
        <v>2.1487996283579398E-2</v>
      </c>
      <c r="Q481">
        <v>1.5</v>
      </c>
      <c r="R481">
        <v>0.66120977762467203</v>
      </c>
      <c r="S481" t="s">
        <v>2483</v>
      </c>
      <c r="T481" t="s">
        <v>4002</v>
      </c>
      <c r="U481" t="s">
        <v>4002</v>
      </c>
      <c r="V481" t="s">
        <v>4002</v>
      </c>
      <c r="W481" t="s">
        <v>4478</v>
      </c>
      <c r="X481">
        <v>7</v>
      </c>
      <c r="Y481" t="s">
        <v>6453</v>
      </c>
      <c r="Z481" t="s">
        <v>8379</v>
      </c>
      <c r="AA481">
        <v>1.23047775894531</v>
      </c>
      <c r="AB481" t="str">
        <f>HYPERLINK("Melting_Curves/meltCurve_F8WCF6_ARPC4.pdf", "Melting_Curves/meltCurve_F8WCF6_ARPC4.pdf")</f>
        <v>Melting_Curves/meltCurve_F8WCF6_ARPC4.pdf</v>
      </c>
    </row>
    <row r="482" spans="1:28" x14ac:dyDescent="0.25">
      <c r="A482" t="s">
        <v>486</v>
      </c>
      <c r="B482">
        <v>1</v>
      </c>
      <c r="C482">
        <v>0.87817460317460305</v>
      </c>
      <c r="D482">
        <v>1.04121572871573</v>
      </c>
      <c r="E482">
        <v>1.1132756132756101</v>
      </c>
      <c r="F482">
        <v>1.0567279942279899</v>
      </c>
      <c r="G482">
        <v>1.0041486291486299</v>
      </c>
      <c r="H482">
        <v>0.89813311688311703</v>
      </c>
      <c r="I482">
        <v>1.07683982683983</v>
      </c>
      <c r="J482">
        <v>1.0635822510822499</v>
      </c>
      <c r="K482">
        <v>1.0980339105339101</v>
      </c>
      <c r="L482">
        <v>15000</v>
      </c>
      <c r="M482">
        <v>237.21946000130799</v>
      </c>
      <c r="O482">
        <v>63.228092439547602</v>
      </c>
      <c r="P482">
        <v>7.5933602125381097E-2</v>
      </c>
      <c r="Q482">
        <v>1.08095687918405</v>
      </c>
      <c r="R482">
        <v>0.238713757533806</v>
      </c>
      <c r="S482" t="s">
        <v>2484</v>
      </c>
      <c r="T482" t="s">
        <v>4002</v>
      </c>
      <c r="U482" t="s">
        <v>4002</v>
      </c>
      <c r="V482" t="s">
        <v>4002</v>
      </c>
      <c r="W482" t="s">
        <v>4479</v>
      </c>
      <c r="X482">
        <v>3</v>
      </c>
      <c r="Y482" t="s">
        <v>6454</v>
      </c>
      <c r="Z482" t="s">
        <v>8380</v>
      </c>
      <c r="AA482">
        <v>1.0182523111771169</v>
      </c>
      <c r="AB482" t="str">
        <f>HYPERLINK("Melting_Curves/meltCurve_F8WCY4_LILRA6.pdf", "Melting_Curves/meltCurve_F8WCY4_LILRA6.pdf")</f>
        <v>Melting_Curves/meltCurve_F8WCY4_LILRA6.pdf</v>
      </c>
    </row>
    <row r="483" spans="1:28" x14ac:dyDescent="0.25">
      <c r="A483" t="s">
        <v>487</v>
      </c>
      <c r="B483">
        <v>1</v>
      </c>
      <c r="C483">
        <v>0.871361055957941</v>
      </c>
      <c r="D483">
        <v>0.75365642215945605</v>
      </c>
      <c r="E483">
        <v>0.79359042478816499</v>
      </c>
      <c r="F483">
        <v>0.77415475824267999</v>
      </c>
      <c r="G483">
        <v>0.76506613719622996</v>
      </c>
      <c r="H483">
        <v>0.81498364048211602</v>
      </c>
      <c r="I483">
        <v>0.81106854218518398</v>
      </c>
      <c r="J483">
        <v>1.09010319080511</v>
      </c>
      <c r="K483">
        <v>0.87261948041052595</v>
      </c>
      <c r="L483">
        <v>1.0000000000000001E-5</v>
      </c>
      <c r="M483">
        <v>1.0000000000000001E-5</v>
      </c>
      <c r="Q483">
        <v>0.70932215576434299</v>
      </c>
      <c r="R483">
        <v>-6.1407101625832204E-10</v>
      </c>
      <c r="S483" t="s">
        <v>2485</v>
      </c>
      <c r="T483" t="s">
        <v>4002</v>
      </c>
      <c r="U483" t="s">
        <v>4002</v>
      </c>
      <c r="V483" t="s">
        <v>4002</v>
      </c>
      <c r="W483" t="s">
        <v>4480</v>
      </c>
      <c r="X483">
        <v>1</v>
      </c>
      <c r="Y483" t="s">
        <v>6455</v>
      </c>
      <c r="Z483" t="s">
        <v>8381</v>
      </c>
      <c r="AA483">
        <v>0.85466036474322027</v>
      </c>
      <c r="AB483" t="str">
        <f>HYPERLINK("Melting_Curves/meltCurve_F8WDF3_PDCD10.pdf", "Melting_Curves/meltCurve_F8WDF3_PDCD10.pdf")</f>
        <v>Melting_Curves/meltCurve_F8WDF3_PDCD10.pdf</v>
      </c>
    </row>
    <row r="484" spans="1:28" x14ac:dyDescent="0.25">
      <c r="A484" t="s">
        <v>488</v>
      </c>
      <c r="B484">
        <v>1</v>
      </c>
      <c r="C484">
        <v>0.84653560120756899</v>
      </c>
      <c r="D484">
        <v>0.90198070834253696</v>
      </c>
      <c r="E484">
        <v>0.88341064722774498</v>
      </c>
      <c r="F484">
        <v>0.73473234666077603</v>
      </c>
      <c r="G484">
        <v>0.80304837640821702</v>
      </c>
      <c r="H484">
        <v>0.689345409027318</v>
      </c>
      <c r="I484">
        <v>0.80378469921213502</v>
      </c>
      <c r="J484">
        <v>0.63653633753037298</v>
      </c>
      <c r="K484">
        <v>0.681245858184228</v>
      </c>
      <c r="L484">
        <v>288.782488399474</v>
      </c>
      <c r="M484">
        <v>5.3144491610269702</v>
      </c>
      <c r="O484">
        <v>48.076303006690601</v>
      </c>
      <c r="P484">
        <v>-1.1615825611344201E-2</v>
      </c>
      <c r="Q484">
        <v>0.581753913516452</v>
      </c>
      <c r="R484">
        <v>0.73916596596219697</v>
      </c>
      <c r="S484" t="s">
        <v>2486</v>
      </c>
      <c r="T484" t="s">
        <v>4002</v>
      </c>
      <c r="U484" t="s">
        <v>4002</v>
      </c>
      <c r="V484" t="s">
        <v>4002</v>
      </c>
      <c r="W484" t="s">
        <v>4481</v>
      </c>
      <c r="X484">
        <v>2</v>
      </c>
      <c r="Y484" t="s">
        <v>6456</v>
      </c>
      <c r="Z484" t="s">
        <v>8382</v>
      </c>
      <c r="AA484">
        <v>0.79562510055462654</v>
      </c>
      <c r="AB484" t="str">
        <f>HYPERLINK("Melting_Curves/meltCurve_F8WE81_MUC16.pdf", "Melting_Curves/meltCurve_F8WE81_MUC16.pdf")</f>
        <v>Melting_Curves/meltCurve_F8WE81_MUC16.pdf</v>
      </c>
    </row>
    <row r="485" spans="1:28" x14ac:dyDescent="0.25">
      <c r="A485" t="s">
        <v>489</v>
      </c>
      <c r="B485">
        <v>1</v>
      </c>
      <c r="C485">
        <v>1.07405030051934</v>
      </c>
      <c r="D485">
        <v>1.4224193266032601</v>
      </c>
      <c r="E485">
        <v>1.79395460115539</v>
      </c>
      <c r="F485">
        <v>2.0866546069907201</v>
      </c>
      <c r="G485">
        <v>2.6467876524479199</v>
      </c>
      <c r="H485">
        <v>2.4644920347785502</v>
      </c>
      <c r="I485">
        <v>2.99918305421019</v>
      </c>
      <c r="J485">
        <v>8.0078193382739098</v>
      </c>
      <c r="K485">
        <v>2.5625255295559302</v>
      </c>
      <c r="L485">
        <v>2422.8615046609202</v>
      </c>
      <c r="M485">
        <v>54.602671623030801</v>
      </c>
      <c r="O485">
        <v>44.313198246427802</v>
      </c>
      <c r="P485">
        <v>0.15402500083055001</v>
      </c>
      <c r="Q485">
        <v>1.5</v>
      </c>
      <c r="R485">
        <v>-0.32204175002360402</v>
      </c>
      <c r="S485" t="s">
        <v>2487</v>
      </c>
      <c r="T485" t="s">
        <v>4002</v>
      </c>
      <c r="U485" t="s">
        <v>4002</v>
      </c>
      <c r="V485" t="s">
        <v>4002</v>
      </c>
      <c r="W485" t="s">
        <v>4482</v>
      </c>
      <c r="X485">
        <v>1</v>
      </c>
      <c r="Y485" t="s">
        <v>6457</v>
      </c>
      <c r="Z485" t="s">
        <v>8383</v>
      </c>
      <c r="AA485">
        <v>1.4262765487790019</v>
      </c>
      <c r="AB485" t="str">
        <f>HYPERLINK("Melting_Curves/meltCurve_F8WEP1_KYNU.pdf", "Melting_Curves/meltCurve_F8WEP1_KYNU.pdf")</f>
        <v>Melting_Curves/meltCurve_F8WEP1_KYNU.pdf</v>
      </c>
    </row>
    <row r="486" spans="1:28" x14ac:dyDescent="0.25">
      <c r="A486" t="s">
        <v>490</v>
      </c>
      <c r="B486">
        <v>1</v>
      </c>
      <c r="C486">
        <v>1.02218356586923</v>
      </c>
      <c r="D486">
        <v>1.0050930741365101</v>
      </c>
      <c r="E486">
        <v>1.1501560202288299</v>
      </c>
      <c r="F486">
        <v>1.21179297729637</v>
      </c>
      <c r="G486">
        <v>1.6425343423837</v>
      </c>
      <c r="H486">
        <v>1.5164269574261999</v>
      </c>
      <c r="I486">
        <v>2.2278612675298599</v>
      </c>
      <c r="J486">
        <v>1.9895269179728099</v>
      </c>
      <c r="K486">
        <v>2.0705857035256998</v>
      </c>
      <c r="L486">
        <v>2380.6714836389601</v>
      </c>
      <c r="M486">
        <v>45.048950858801</v>
      </c>
      <c r="O486">
        <v>52.742506349397402</v>
      </c>
      <c r="P486">
        <v>0.106766376924802</v>
      </c>
      <c r="Q486">
        <v>1.5</v>
      </c>
      <c r="R486">
        <v>0.44258927067385301</v>
      </c>
      <c r="S486" t="s">
        <v>2488</v>
      </c>
      <c r="T486" t="s">
        <v>4002</v>
      </c>
      <c r="U486" t="s">
        <v>4002</v>
      </c>
      <c r="V486" t="s">
        <v>4002</v>
      </c>
      <c r="W486" t="s">
        <v>4483</v>
      </c>
      <c r="X486">
        <v>1</v>
      </c>
      <c r="Y486" t="s">
        <v>6458</v>
      </c>
      <c r="Z486" t="s">
        <v>8384</v>
      </c>
      <c r="AA486">
        <v>1.284457476699272</v>
      </c>
      <c r="AB486" t="str">
        <f>HYPERLINK("Melting_Curves/meltCurve_F8WEQ6_RALB.pdf", "Melting_Curves/meltCurve_F8WEQ6_RALB.pdf")</f>
        <v>Melting_Curves/meltCurve_F8WEQ6_RALB.pdf</v>
      </c>
    </row>
    <row r="487" spans="1:28" x14ac:dyDescent="0.25">
      <c r="A487" t="s">
        <v>491</v>
      </c>
      <c r="B487">
        <v>1</v>
      </c>
      <c r="C487">
        <v>0.96588868940754002</v>
      </c>
      <c r="D487">
        <v>0.75107962540637596</v>
      </c>
      <c r="E487">
        <v>0.73288369159105204</v>
      </c>
      <c r="F487">
        <v>0.53505749915085599</v>
      </c>
      <c r="G487">
        <v>0.56019214906109005</v>
      </c>
      <c r="H487">
        <v>0.57775729050414903</v>
      </c>
      <c r="I487">
        <v>0.74588771895773698</v>
      </c>
      <c r="J487">
        <v>0.59192585763501404</v>
      </c>
      <c r="K487">
        <v>0.54825561647823795</v>
      </c>
      <c r="L487">
        <v>1138.0941734251601</v>
      </c>
      <c r="M487">
        <v>24.842358843028499</v>
      </c>
      <c r="O487">
        <v>45.518875168480697</v>
      </c>
      <c r="P487">
        <v>-5.44367156430942E-2</v>
      </c>
      <c r="Q487">
        <v>0.60102594801014997</v>
      </c>
      <c r="R487">
        <v>0.83768383541379599</v>
      </c>
      <c r="S487" t="s">
        <v>2489</v>
      </c>
      <c r="T487" t="s">
        <v>4002</v>
      </c>
      <c r="U487" t="s">
        <v>4002</v>
      </c>
      <c r="V487" t="s">
        <v>4002</v>
      </c>
      <c r="W487" t="s">
        <v>4484</v>
      </c>
      <c r="X487">
        <v>1</v>
      </c>
      <c r="Y487" t="s">
        <v>6459</v>
      </c>
      <c r="Z487" t="s">
        <v>8385</v>
      </c>
      <c r="AA487">
        <v>0.68210846390424595</v>
      </c>
      <c r="AB487" t="str">
        <f>HYPERLINK("Melting_Curves/meltCurve_F8WF49_DLGAP4.pdf", "Melting_Curves/meltCurve_F8WF49_DLGAP4.pdf")</f>
        <v>Melting_Curves/meltCurve_F8WF49_DLGAP4.pdf</v>
      </c>
    </row>
    <row r="488" spans="1:28" x14ac:dyDescent="0.25">
      <c r="A488" t="s">
        <v>492</v>
      </c>
      <c r="B488">
        <v>1</v>
      </c>
      <c r="C488">
        <v>0.93519138115631695</v>
      </c>
      <c r="D488">
        <v>1.0765859207708799</v>
      </c>
      <c r="E488">
        <v>1.00615631691649</v>
      </c>
      <c r="F488">
        <v>0.85382093147751603</v>
      </c>
      <c r="G488">
        <v>0.90400829764454005</v>
      </c>
      <c r="H488">
        <v>0.57069726980728097</v>
      </c>
      <c r="I488">
        <v>0.873828961456103</v>
      </c>
      <c r="J488">
        <v>0.49029710920770903</v>
      </c>
      <c r="K488">
        <v>0.487453158458244</v>
      </c>
      <c r="L488">
        <v>551.449781290994</v>
      </c>
      <c r="M488">
        <v>7.9425124804130398</v>
      </c>
      <c r="N488">
        <v>69.430159854068606</v>
      </c>
      <c r="O488">
        <v>65.442823290434404</v>
      </c>
      <c r="P488">
        <v>-3.0376672490099899E-2</v>
      </c>
      <c r="Q488">
        <v>0</v>
      </c>
      <c r="R488">
        <v>0.75945328050585603</v>
      </c>
      <c r="S488" t="s">
        <v>2490</v>
      </c>
      <c r="T488" t="s">
        <v>4002</v>
      </c>
      <c r="U488" t="s">
        <v>4002</v>
      </c>
      <c r="V488" t="s">
        <v>4002</v>
      </c>
      <c r="W488" t="s">
        <v>4485</v>
      </c>
      <c r="X488">
        <v>3</v>
      </c>
      <c r="Y488" t="s">
        <v>6460</v>
      </c>
      <c r="Z488" t="s">
        <v>8386</v>
      </c>
      <c r="AA488">
        <v>0.83222711613707778</v>
      </c>
      <c r="AB488" t="str">
        <f>HYPERLINK("Melting_Curves/meltCurve_F8WF69_CLTA.pdf", "Melting_Curves/meltCurve_F8WF69_CLTA.pdf")</f>
        <v>Melting_Curves/meltCurve_F8WF69_CLTA.pdf</v>
      </c>
    </row>
    <row r="489" spans="1:28" x14ac:dyDescent="0.25">
      <c r="A489" t="s">
        <v>493</v>
      </c>
      <c r="B489">
        <v>1</v>
      </c>
      <c r="C489">
        <v>1.0363548062580199</v>
      </c>
      <c r="D489">
        <v>1.2067853054428099</v>
      </c>
      <c r="E489">
        <v>1.3835987095431399</v>
      </c>
      <c r="F489">
        <v>1.4257466958060201</v>
      </c>
      <c r="G489">
        <v>1.6578901724078099</v>
      </c>
      <c r="H489">
        <v>1.82412321781663</v>
      </c>
      <c r="I489">
        <v>1.9247580393381201</v>
      </c>
      <c r="J489">
        <v>2.6722170187671299</v>
      </c>
      <c r="K489">
        <v>1.6407534602976399</v>
      </c>
      <c r="L489">
        <v>1249.5910169505</v>
      </c>
      <c r="M489">
        <v>26.654479710324001</v>
      </c>
      <c r="O489">
        <v>46.619591266684303</v>
      </c>
      <c r="P489">
        <v>7.1468766817291196E-2</v>
      </c>
      <c r="Q489">
        <v>1.5</v>
      </c>
      <c r="R489">
        <v>0.227150388304245</v>
      </c>
      <c r="S489" t="s">
        <v>2491</v>
      </c>
      <c r="T489" t="s">
        <v>4002</v>
      </c>
      <c r="U489" t="s">
        <v>4002</v>
      </c>
      <c r="V489" t="s">
        <v>4002</v>
      </c>
      <c r="W489" t="s">
        <v>4486</v>
      </c>
      <c r="X489">
        <v>1</v>
      </c>
      <c r="Y489" t="s">
        <v>6461</v>
      </c>
      <c r="Z489" t="s">
        <v>8387</v>
      </c>
      <c r="AA489">
        <v>1.381430609313788</v>
      </c>
      <c r="AB489" t="str">
        <f>HYPERLINK("Melting_Curves/meltCurve_G3V113_UBE2V2.pdf", "Melting_Curves/meltCurve_G3V113_UBE2V2.pdf")</f>
        <v>Melting_Curves/meltCurve_G3V113_UBE2V2.pdf</v>
      </c>
    </row>
    <row r="490" spans="1:28" x14ac:dyDescent="0.25">
      <c r="A490" t="s">
        <v>494</v>
      </c>
      <c r="B490">
        <v>1</v>
      </c>
      <c r="C490">
        <v>0.91897353559960104</v>
      </c>
      <c r="D490">
        <v>0.81605027128778695</v>
      </c>
      <c r="E490">
        <v>0.92824714870999903</v>
      </c>
      <c r="F490">
        <v>0.972234525523198</v>
      </c>
      <c r="G490">
        <v>0.87216255121248998</v>
      </c>
      <c r="H490">
        <v>0.72143173513453696</v>
      </c>
      <c r="I490">
        <v>0.91531945520983304</v>
      </c>
      <c r="J490">
        <v>0.73665707009190595</v>
      </c>
      <c r="K490">
        <v>0.78241612224559898</v>
      </c>
      <c r="L490">
        <v>170.61018157140501</v>
      </c>
      <c r="M490">
        <v>1.20852847611734</v>
      </c>
      <c r="O490">
        <v>58.797870988042497</v>
      </c>
      <c r="P490">
        <v>-6.4760341108038404E-3</v>
      </c>
      <c r="Q490">
        <v>0</v>
      </c>
      <c r="R490">
        <v>0.42392427196486099</v>
      </c>
      <c r="S490" t="s">
        <v>2492</v>
      </c>
      <c r="T490" t="s">
        <v>4002</v>
      </c>
      <c r="U490" t="s">
        <v>4002</v>
      </c>
      <c r="V490" t="s">
        <v>4002</v>
      </c>
      <c r="W490" t="s">
        <v>4487</v>
      </c>
      <c r="X490">
        <v>1</v>
      </c>
      <c r="Y490" t="s">
        <v>6462</v>
      </c>
      <c r="Z490" t="s">
        <v>8388</v>
      </c>
      <c r="AA490">
        <v>0.86767430484004182</v>
      </c>
      <c r="AB490" t="str">
        <f>HYPERLINK("Melting_Curves/meltCurve_G3V132_IPCEF1.pdf", "Melting_Curves/meltCurve_G3V132_IPCEF1.pdf")</f>
        <v>Melting_Curves/meltCurve_G3V132_IPCEF1.pdf</v>
      </c>
    </row>
    <row r="491" spans="1:28" x14ac:dyDescent="0.25">
      <c r="A491" t="s">
        <v>495</v>
      </c>
      <c r="B491">
        <v>1</v>
      </c>
      <c r="C491">
        <v>0.88334977136196502</v>
      </c>
      <c r="D491">
        <v>1.04187214202457</v>
      </c>
      <c r="E491">
        <v>1.0450999731014099</v>
      </c>
      <c r="F491">
        <v>0.97892943602618099</v>
      </c>
      <c r="G491">
        <v>0.92836008248901603</v>
      </c>
      <c r="H491">
        <v>0.92791177261723301</v>
      </c>
      <c r="I491">
        <v>1.1196090737918001</v>
      </c>
      <c r="J491">
        <v>1.0445620012552701</v>
      </c>
      <c r="K491">
        <v>0.92002151887384598</v>
      </c>
      <c r="L491">
        <v>15000</v>
      </c>
      <c r="M491">
        <v>211.84302612194901</v>
      </c>
      <c r="Q491">
        <v>0</v>
      </c>
      <c r="R491">
        <v>0.104346846474342</v>
      </c>
      <c r="S491" t="s">
        <v>2493</v>
      </c>
      <c r="T491" t="s">
        <v>4002</v>
      </c>
      <c r="U491" t="s">
        <v>4002</v>
      </c>
      <c r="V491" t="s">
        <v>4002</v>
      </c>
      <c r="W491" t="s">
        <v>4488</v>
      </c>
      <c r="X491">
        <v>2</v>
      </c>
      <c r="Y491" t="s">
        <v>6463</v>
      </c>
      <c r="Z491" t="s">
        <v>8389</v>
      </c>
      <c r="AA491">
        <v>0.99910089334579621</v>
      </c>
      <c r="AB491" t="str">
        <f>HYPERLINK("Melting_Curves/meltCurve_G3V169_CASP1.pdf", "Melting_Curves/meltCurve_G3V169_CASP1.pdf")</f>
        <v>Melting_Curves/meltCurve_G3V169_CASP1.pdf</v>
      </c>
    </row>
    <row r="492" spans="1:28" x14ac:dyDescent="0.25">
      <c r="A492" t="s">
        <v>496</v>
      </c>
      <c r="B492">
        <v>1</v>
      </c>
      <c r="C492">
        <v>1.0361477763567499</v>
      </c>
      <c r="D492">
        <v>1.1421539055524701</v>
      </c>
      <c r="E492">
        <v>1.1249004608962101</v>
      </c>
      <c r="F492">
        <v>1.2116020366303899</v>
      </c>
      <c r="G492">
        <v>1.4398542506213701</v>
      </c>
      <c r="H492">
        <v>2.2721218117323398</v>
      </c>
      <c r="I492">
        <v>3.94005936150189</v>
      </c>
      <c r="J492">
        <v>3.5124635023286102</v>
      </c>
      <c r="K492">
        <v>3.3647836683477701</v>
      </c>
      <c r="L492">
        <v>2495.1736336989402</v>
      </c>
      <c r="M492">
        <v>46.967510113862701</v>
      </c>
      <c r="O492">
        <v>53.029492118888797</v>
      </c>
      <c r="P492">
        <v>0.110710962353359</v>
      </c>
      <c r="Q492">
        <v>1.5</v>
      </c>
      <c r="R492">
        <v>-0.14246008037167199</v>
      </c>
      <c r="S492" t="s">
        <v>2494</v>
      </c>
      <c r="T492" t="s">
        <v>4002</v>
      </c>
      <c r="U492" t="s">
        <v>4002</v>
      </c>
      <c r="V492" t="s">
        <v>4002</v>
      </c>
      <c r="W492" t="s">
        <v>4489</v>
      </c>
      <c r="X492">
        <v>9</v>
      </c>
      <c r="Y492" t="s">
        <v>6464</v>
      </c>
      <c r="Z492" t="s">
        <v>8390</v>
      </c>
      <c r="AA492">
        <v>1.2799127857327699</v>
      </c>
      <c r="AB492" t="str">
        <f>HYPERLINK("Melting_Curves/meltCurve_G3V1D3_DPP3.pdf", "Melting_Curves/meltCurve_G3V1D3_DPP3.pdf")</f>
        <v>Melting_Curves/meltCurve_G3V1D3_DPP3.pdf</v>
      </c>
    </row>
    <row r="493" spans="1:28" x14ac:dyDescent="0.25">
      <c r="A493" t="s">
        <v>497</v>
      </c>
      <c r="B493">
        <v>1</v>
      </c>
      <c r="C493">
        <v>0.90686274509803899</v>
      </c>
      <c r="D493">
        <v>1.1154311039484299</v>
      </c>
      <c r="E493">
        <v>1.21561912436207</v>
      </c>
      <c r="F493">
        <v>1.4399677679290901</v>
      </c>
      <c r="G493">
        <v>1.72246843943057</v>
      </c>
      <c r="H493">
        <v>1.64306338973946</v>
      </c>
      <c r="I493">
        <v>1.9976833199032999</v>
      </c>
      <c r="J493">
        <v>2.1129129734085401</v>
      </c>
      <c r="K493">
        <v>1.6474952994896599</v>
      </c>
      <c r="L493">
        <v>2092.4813991398401</v>
      </c>
      <c r="M493">
        <v>41.669916405375801</v>
      </c>
      <c r="O493">
        <v>50.100400828742103</v>
      </c>
      <c r="P493">
        <v>0.103966209143302</v>
      </c>
      <c r="Q493">
        <v>1.5</v>
      </c>
      <c r="R493">
        <v>0.52323537896156203</v>
      </c>
      <c r="S493" t="s">
        <v>2495</v>
      </c>
      <c r="T493" t="s">
        <v>4002</v>
      </c>
      <c r="U493" t="s">
        <v>4002</v>
      </c>
      <c r="V493" t="s">
        <v>4002</v>
      </c>
      <c r="W493" t="s">
        <v>4490</v>
      </c>
      <c r="X493">
        <v>1</v>
      </c>
      <c r="Y493" t="s">
        <v>6465</v>
      </c>
      <c r="Z493" t="s">
        <v>8391</v>
      </c>
      <c r="AA493">
        <v>1.328140857847981</v>
      </c>
      <c r="AB493" t="str">
        <f>HYPERLINK("Melting_Curves/meltCurve_G3V1J9_TMED3.pdf", "Melting_Curves/meltCurve_G3V1J9_TMED3.pdf")</f>
        <v>Melting_Curves/meltCurve_G3V1J9_TMED3.pdf</v>
      </c>
    </row>
    <row r="494" spans="1:28" x14ac:dyDescent="0.25">
      <c r="A494" t="s">
        <v>498</v>
      </c>
      <c r="B494">
        <v>1</v>
      </c>
      <c r="C494">
        <v>1.0012860402406101</v>
      </c>
      <c r="D494">
        <v>1.0421904169259499</v>
      </c>
      <c r="E494">
        <v>1.0801908317776401</v>
      </c>
      <c r="F494">
        <v>0.92740095415888801</v>
      </c>
      <c r="G494">
        <v>1.08180875337067</v>
      </c>
      <c r="H494">
        <v>0.52852105372329405</v>
      </c>
      <c r="I494">
        <v>1.1563576021572299</v>
      </c>
      <c r="J494">
        <v>0.87546152250570397</v>
      </c>
      <c r="K494">
        <v>0.74648413192283802</v>
      </c>
      <c r="L494">
        <v>4292.7923261389396</v>
      </c>
      <c r="M494">
        <v>73.442610110185896</v>
      </c>
      <c r="O494">
        <v>58.407684025615801</v>
      </c>
      <c r="P494">
        <v>-5.2427750296474597E-2</v>
      </c>
      <c r="Q494">
        <v>0.833220365801567</v>
      </c>
      <c r="R494">
        <v>0.25387720842000699</v>
      </c>
      <c r="S494" t="s">
        <v>2496</v>
      </c>
      <c r="T494" t="s">
        <v>4002</v>
      </c>
      <c r="U494" t="s">
        <v>4002</v>
      </c>
      <c r="V494" t="s">
        <v>4002</v>
      </c>
      <c r="W494" t="s">
        <v>4491</v>
      </c>
      <c r="X494">
        <v>3</v>
      </c>
      <c r="Y494" t="s">
        <v>6466</v>
      </c>
      <c r="Z494" t="s">
        <v>8392</v>
      </c>
      <c r="AA494">
        <v>0.93599394442846362</v>
      </c>
      <c r="AB494" t="str">
        <f>HYPERLINK("Melting_Curves/meltCurve_G3V1Q4_SEPT7.pdf", "Melting_Curves/meltCurve_G3V1Q4_SEPT7.pdf")</f>
        <v>Melting_Curves/meltCurve_G3V1Q4_SEPT7.pdf</v>
      </c>
    </row>
    <row r="495" spans="1:28" x14ac:dyDescent="0.25">
      <c r="A495" t="s">
        <v>499</v>
      </c>
      <c r="B495">
        <v>1</v>
      </c>
      <c r="C495">
        <v>0.93686735089761197</v>
      </c>
      <c r="D495">
        <v>0.95898141290163297</v>
      </c>
      <c r="E495">
        <v>1.03452897400628</v>
      </c>
      <c r="F495">
        <v>1.0088174090925099</v>
      </c>
      <c r="G495">
        <v>1.13857440129792</v>
      </c>
      <c r="H495">
        <v>0.98190667654216501</v>
      </c>
      <c r="I495">
        <v>0.97746270235953903</v>
      </c>
      <c r="J495">
        <v>1.2130991429478399</v>
      </c>
      <c r="K495">
        <v>1.0326244136423</v>
      </c>
      <c r="L495">
        <v>13351.5588071539</v>
      </c>
      <c r="M495">
        <v>250</v>
      </c>
      <c r="O495">
        <v>53.402817688309099</v>
      </c>
      <c r="P495">
        <v>8.0442226863931696E-2</v>
      </c>
      <c r="Q495">
        <v>1.0687334649954201</v>
      </c>
      <c r="R495">
        <v>0.23984507701659899</v>
      </c>
      <c r="S495" t="s">
        <v>2497</v>
      </c>
      <c r="T495" t="s">
        <v>4002</v>
      </c>
      <c r="U495" t="s">
        <v>4002</v>
      </c>
      <c r="V495" t="s">
        <v>4002</v>
      </c>
      <c r="W495" t="s">
        <v>4492</v>
      </c>
      <c r="X495">
        <v>1</v>
      </c>
      <c r="Y495" t="s">
        <v>6467</v>
      </c>
      <c r="Z495" t="s">
        <v>8393</v>
      </c>
      <c r="AA495">
        <v>1.0380117894793921</v>
      </c>
      <c r="AB495" t="str">
        <f>HYPERLINK("Melting_Curves/meltCurve_G3V1T4_NUP107.pdf", "Melting_Curves/meltCurve_G3V1T4_NUP107.pdf")</f>
        <v>Melting_Curves/meltCurve_G3V1T4_NUP107.pdf</v>
      </c>
    </row>
    <row r="496" spans="1:28" x14ac:dyDescent="0.25">
      <c r="A496" t="s">
        <v>500</v>
      </c>
      <c r="B496">
        <v>1</v>
      </c>
      <c r="C496">
        <v>1.0156281013319399</v>
      </c>
      <c r="D496">
        <v>1.2816923478715101</v>
      </c>
      <c r="E496">
        <v>1.34374510316009</v>
      </c>
      <c r="F496">
        <v>1.00162966832071</v>
      </c>
      <c r="G496">
        <v>0.91995821363280195</v>
      </c>
      <c r="H496">
        <v>0.66842517628623699</v>
      </c>
      <c r="I496">
        <v>0.51621833376860804</v>
      </c>
      <c r="J496">
        <v>3.3232697832332199</v>
      </c>
      <c r="K496">
        <v>0.48785583703316798</v>
      </c>
      <c r="L496">
        <v>15000</v>
      </c>
      <c r="M496">
        <v>229.79353118054499</v>
      </c>
      <c r="O496">
        <v>65.271025872338598</v>
      </c>
      <c r="P496">
        <v>0.440075556768736</v>
      </c>
      <c r="Q496">
        <v>1.5</v>
      </c>
      <c r="R496">
        <v>0.17743190998209199</v>
      </c>
      <c r="S496" t="s">
        <v>2498</v>
      </c>
      <c r="T496" t="s">
        <v>4002</v>
      </c>
      <c r="U496" t="s">
        <v>4002</v>
      </c>
      <c r="V496" t="s">
        <v>4002</v>
      </c>
      <c r="W496" t="s">
        <v>4493</v>
      </c>
      <c r="X496">
        <v>2</v>
      </c>
      <c r="Y496" t="s">
        <v>6468</v>
      </c>
      <c r="Z496" t="s">
        <v>8394</v>
      </c>
      <c r="AA496">
        <v>1.0786657203669729</v>
      </c>
      <c r="AB496" t="str">
        <f>HYPERLINK("Melting_Curves/meltCurve_G3V295_PSMA6.pdf", "Melting_Curves/meltCurve_G3V295_PSMA6.pdf")</f>
        <v>Melting_Curves/meltCurve_G3V295_PSMA6.pdf</v>
      </c>
    </row>
    <row r="497" spans="1:28" x14ac:dyDescent="0.25">
      <c r="A497" t="s">
        <v>501</v>
      </c>
      <c r="B497">
        <v>1</v>
      </c>
      <c r="C497">
        <v>0.88401456154094304</v>
      </c>
      <c r="D497">
        <v>0.870190313810424</v>
      </c>
      <c r="E497">
        <v>1.27837426846689</v>
      </c>
      <c r="F497">
        <v>1.20026726878946</v>
      </c>
      <c r="G497">
        <v>0.95433390166351795</v>
      </c>
      <c r="H497">
        <v>1.31749688954426</v>
      </c>
      <c r="I497">
        <v>0.827842034929266</v>
      </c>
      <c r="J497">
        <v>1.1918344776738401</v>
      </c>
      <c r="K497">
        <v>0.74567992258421301</v>
      </c>
      <c r="L497">
        <v>15000</v>
      </c>
      <c r="M497">
        <v>213.20988760791201</v>
      </c>
      <c r="Q497">
        <v>0</v>
      </c>
      <c r="R497">
        <v>0.15316405601967301</v>
      </c>
      <c r="S497" t="s">
        <v>2499</v>
      </c>
      <c r="T497" t="s">
        <v>4002</v>
      </c>
      <c r="U497" t="s">
        <v>4002</v>
      </c>
      <c r="V497" t="s">
        <v>4002</v>
      </c>
      <c r="W497" t="s">
        <v>4494</v>
      </c>
      <c r="X497">
        <v>1</v>
      </c>
      <c r="Y497" t="s">
        <v>6469</v>
      </c>
      <c r="Z497" t="s">
        <v>8395</v>
      </c>
      <c r="AA497">
        <v>0.99683652442987258</v>
      </c>
      <c r="AB497" t="str">
        <f>HYPERLINK("Melting_Curves/meltCurve_G3V2U7_ACYP1.pdf", "Melting_Curves/meltCurve_G3V2U7_ACYP1.pdf")</f>
        <v>Melting_Curves/meltCurve_G3V2U7_ACYP1.pdf</v>
      </c>
    </row>
    <row r="498" spans="1:28" x14ac:dyDescent="0.25">
      <c r="A498" t="s">
        <v>502</v>
      </c>
      <c r="B498">
        <v>1</v>
      </c>
      <c r="C498">
        <v>2.0669628058078602</v>
      </c>
      <c r="D498">
        <v>1.86328979645959</v>
      </c>
      <c r="E498">
        <v>1.71312073194988</v>
      </c>
      <c r="F498">
        <v>2.0870516475502199</v>
      </c>
      <c r="G498">
        <v>0.61682689120201595</v>
      </c>
      <c r="H498">
        <v>1.9937015182655999</v>
      </c>
      <c r="I498">
        <v>2.49366836836173</v>
      </c>
      <c r="J498">
        <v>5.6074388384273703</v>
      </c>
      <c r="K498">
        <v>1.56169197109328</v>
      </c>
      <c r="L498">
        <v>10229.532144168699</v>
      </c>
      <c r="M498">
        <v>250</v>
      </c>
      <c r="O498">
        <v>40.915512729851002</v>
      </c>
      <c r="P498">
        <v>0.76376904424528003</v>
      </c>
      <c r="Q498">
        <v>1.5</v>
      </c>
      <c r="R498">
        <v>-0.204856423348941</v>
      </c>
      <c r="S498" t="s">
        <v>2500</v>
      </c>
      <c r="T498" t="s">
        <v>4002</v>
      </c>
      <c r="U498" t="s">
        <v>4002</v>
      </c>
      <c r="V498" t="s">
        <v>4002</v>
      </c>
      <c r="W498" t="s">
        <v>4495</v>
      </c>
      <c r="X498">
        <v>1</v>
      </c>
      <c r="Y498" t="s">
        <v>6470</v>
      </c>
      <c r="Z498" t="s">
        <v>8396</v>
      </c>
      <c r="AA498">
        <v>1.4846536354546589</v>
      </c>
      <c r="AB498" t="str">
        <f>HYPERLINK("Melting_Curves/meltCurve_G3V2V6_ATP6V1D.pdf", "Melting_Curves/meltCurve_G3V2V6_ATP6V1D.pdf")</f>
        <v>Melting_Curves/meltCurve_G3V2V6_ATP6V1D.pdf</v>
      </c>
    </row>
    <row r="499" spans="1:28" x14ac:dyDescent="0.25">
      <c r="A499" t="s">
        <v>503</v>
      </c>
      <c r="B499">
        <v>1</v>
      </c>
      <c r="C499">
        <v>0.95374538777960205</v>
      </c>
      <c r="D499">
        <v>1.0114047631657901</v>
      </c>
      <c r="E499">
        <v>1.0756492417421399</v>
      </c>
      <c r="F499">
        <v>0.92382112529350502</v>
      </c>
      <c r="G499">
        <v>0.99262044736331101</v>
      </c>
      <c r="H499">
        <v>0.77169288349840204</v>
      </c>
      <c r="I499">
        <v>1.1689176067651801</v>
      </c>
      <c r="J499">
        <v>1.56222304609572</v>
      </c>
      <c r="K499">
        <v>1.0163480041664501</v>
      </c>
      <c r="L499">
        <v>15000</v>
      </c>
      <c r="M499">
        <v>234.71402223795101</v>
      </c>
      <c r="O499">
        <v>63.902919693729302</v>
      </c>
      <c r="P499">
        <v>0.26563109559223402</v>
      </c>
      <c r="Q499">
        <v>1.2892814335224201</v>
      </c>
      <c r="R499">
        <v>0.44620122327332201</v>
      </c>
      <c r="S499" t="s">
        <v>2501</v>
      </c>
      <c r="T499" t="s">
        <v>4002</v>
      </c>
      <c r="U499" t="s">
        <v>4002</v>
      </c>
      <c r="V499" t="s">
        <v>4002</v>
      </c>
      <c r="W499" t="s">
        <v>4496</v>
      </c>
      <c r="X499">
        <v>2</v>
      </c>
      <c r="Y499" t="s">
        <v>6471</v>
      </c>
      <c r="Z499" t="s">
        <v>8397</v>
      </c>
      <c r="AA499">
        <v>1.0587108685049851</v>
      </c>
      <c r="AB499" t="str">
        <f>HYPERLINK("Melting_Curves/meltCurve_G3V3L6_MTHFD1.pdf", "Melting_Curves/meltCurve_G3V3L6_MTHFD1.pdf")</f>
        <v>Melting_Curves/meltCurve_G3V3L6_MTHFD1.pdf</v>
      </c>
    </row>
    <row r="500" spans="1:28" x14ac:dyDescent="0.25">
      <c r="A500" t="s">
        <v>504</v>
      </c>
      <c r="B500">
        <v>1</v>
      </c>
      <c r="C500">
        <v>0.860645668517518</v>
      </c>
      <c r="D500">
        <v>0.93130558694904397</v>
      </c>
      <c r="E500">
        <v>0.69657510687435498</v>
      </c>
      <c r="F500">
        <v>0.82089332219546995</v>
      </c>
      <c r="G500">
        <v>0.90983244066630597</v>
      </c>
      <c r="H500">
        <v>1.1263328583362</v>
      </c>
      <c r="I500">
        <v>1.1252518303768899</v>
      </c>
      <c r="J500">
        <v>1.3673038179942001</v>
      </c>
      <c r="K500">
        <v>1.0830917399636399</v>
      </c>
      <c r="L500">
        <v>5033.3814511537003</v>
      </c>
      <c r="M500">
        <v>83.025356759239799</v>
      </c>
      <c r="O500">
        <v>60.589483747624399</v>
      </c>
      <c r="P500">
        <v>6.6418041365872996E-2</v>
      </c>
      <c r="Q500">
        <v>1.1938797754175601</v>
      </c>
      <c r="R500">
        <v>0.38230920115418898</v>
      </c>
      <c r="S500" t="s">
        <v>2502</v>
      </c>
      <c r="T500" t="s">
        <v>4002</v>
      </c>
      <c r="U500" t="s">
        <v>4002</v>
      </c>
      <c r="V500" t="s">
        <v>4002</v>
      </c>
      <c r="W500" t="s">
        <v>4497</v>
      </c>
      <c r="X500">
        <v>1</v>
      </c>
      <c r="Y500" t="s">
        <v>6472</v>
      </c>
      <c r="Z500" t="s">
        <v>8398</v>
      </c>
      <c r="AA500">
        <v>1.0604025572893501</v>
      </c>
      <c r="AB500" t="str">
        <f>HYPERLINK("Melting_Curves/meltCurve_G3V3Z5_FAM177A1.pdf", "Melting_Curves/meltCurve_G3V3Z5_FAM177A1.pdf")</f>
        <v>Melting_Curves/meltCurve_G3V3Z5_FAM177A1.pdf</v>
      </c>
    </row>
    <row r="501" spans="1:28" x14ac:dyDescent="0.25">
      <c r="A501" t="s">
        <v>505</v>
      </c>
      <c r="B501">
        <v>1</v>
      </c>
      <c r="C501">
        <v>0.93837719298245603</v>
      </c>
      <c r="D501">
        <v>1.0742753623188399</v>
      </c>
      <c r="E501">
        <v>1.0290808543096901</v>
      </c>
      <c r="F501">
        <v>0.98226544622425604</v>
      </c>
      <c r="G501">
        <v>0.95528222730739898</v>
      </c>
      <c r="H501">
        <v>0.72759344012204397</v>
      </c>
      <c r="I501">
        <v>0.98026315789473695</v>
      </c>
      <c r="J501">
        <v>0.750667429443173</v>
      </c>
      <c r="K501">
        <v>0.81019260106788704</v>
      </c>
      <c r="L501">
        <v>14314.274701140799</v>
      </c>
      <c r="M501">
        <v>250</v>
      </c>
      <c r="O501">
        <v>57.253434746730797</v>
      </c>
      <c r="P501">
        <v>-0.199574098646709</v>
      </c>
      <c r="Q501">
        <v>0.81717915812354802</v>
      </c>
      <c r="R501">
        <v>0.61488355621383795</v>
      </c>
      <c r="S501" t="s">
        <v>2503</v>
      </c>
      <c r="T501" t="s">
        <v>4002</v>
      </c>
      <c r="U501" t="s">
        <v>4002</v>
      </c>
      <c r="V501" t="s">
        <v>4002</v>
      </c>
      <c r="W501" t="s">
        <v>4498</v>
      </c>
      <c r="X501">
        <v>2</v>
      </c>
      <c r="Y501" t="s">
        <v>6473</v>
      </c>
      <c r="Z501" t="s">
        <v>8399</v>
      </c>
      <c r="AA501">
        <v>0.92236277332702843</v>
      </c>
      <c r="AB501" t="str">
        <f>HYPERLINK("Melting_Curves/meltCurve_G3V3Z8_NUMB.pdf", "Melting_Curves/meltCurve_G3V3Z8_NUMB.pdf")</f>
        <v>Melting_Curves/meltCurve_G3V3Z8_NUMB.pdf</v>
      </c>
    </row>
    <row r="502" spans="1:28" x14ac:dyDescent="0.25">
      <c r="A502" t="s">
        <v>506</v>
      </c>
      <c r="B502">
        <v>1</v>
      </c>
      <c r="C502">
        <v>0.89058936060628402</v>
      </c>
      <c r="D502">
        <v>1.07681553969539</v>
      </c>
      <c r="E502">
        <v>1.2002795967919899</v>
      </c>
      <c r="F502">
        <v>1.00905010668825</v>
      </c>
      <c r="G502">
        <v>1.2094032815833999</v>
      </c>
      <c r="H502">
        <v>1.3515561768817601</v>
      </c>
      <c r="I502">
        <v>1.7739680671032301</v>
      </c>
      <c r="J502">
        <v>2.3171216246045199</v>
      </c>
      <c r="K502">
        <v>1.4717827974394799</v>
      </c>
      <c r="L502">
        <v>2598.2241670951198</v>
      </c>
      <c r="M502">
        <v>45.149174478343497</v>
      </c>
      <c r="O502">
        <v>57.434989080351102</v>
      </c>
      <c r="P502">
        <v>9.8261601698731604E-2</v>
      </c>
      <c r="Q502">
        <v>1.5</v>
      </c>
      <c r="R502">
        <v>0.51647952146620502</v>
      </c>
      <c r="S502" t="s">
        <v>2504</v>
      </c>
      <c r="T502" t="s">
        <v>4002</v>
      </c>
      <c r="U502" t="s">
        <v>4002</v>
      </c>
      <c r="V502" t="s">
        <v>4002</v>
      </c>
      <c r="W502" t="s">
        <v>4499</v>
      </c>
      <c r="X502">
        <v>1</v>
      </c>
      <c r="Y502" t="s">
        <v>6474</v>
      </c>
      <c r="Z502" t="s">
        <v>8400</v>
      </c>
      <c r="AA502">
        <v>1.205993125407637</v>
      </c>
      <c r="AB502" t="str">
        <f>HYPERLINK("Melting_Curves/meltCurve_G3V461_CKB.pdf", "Melting_Curves/meltCurve_G3V461_CKB.pdf")</f>
        <v>Melting_Curves/meltCurve_G3V461_CKB.pdf</v>
      </c>
    </row>
    <row r="503" spans="1:28" x14ac:dyDescent="0.25">
      <c r="A503" t="s">
        <v>507</v>
      </c>
      <c r="B503">
        <v>1</v>
      </c>
      <c r="C503">
        <v>1.0131382727701701</v>
      </c>
      <c r="D503">
        <v>1.12201982067013</v>
      </c>
      <c r="E503">
        <v>1.0524209532798501</v>
      </c>
      <c r="F503">
        <v>0.94438886267107103</v>
      </c>
      <c r="G503">
        <v>1.08107597923549</v>
      </c>
      <c r="H503">
        <v>0.95124115148654997</v>
      </c>
      <c r="I503">
        <v>1.2293345917885801</v>
      </c>
      <c r="J503">
        <v>0.924719207173195</v>
      </c>
      <c r="K503">
        <v>1.0701462954223699</v>
      </c>
      <c r="L503">
        <v>10765.512079870799</v>
      </c>
      <c r="M503">
        <v>250</v>
      </c>
      <c r="O503">
        <v>43.059292855761903</v>
      </c>
      <c r="P503">
        <v>6.81013797503182E-2</v>
      </c>
      <c r="Q503">
        <v>1.0469183557762101</v>
      </c>
      <c r="R503">
        <v>3.45279374872813E-2</v>
      </c>
      <c r="S503" t="s">
        <v>2505</v>
      </c>
      <c r="T503" t="s">
        <v>4002</v>
      </c>
      <c r="U503" t="s">
        <v>4002</v>
      </c>
      <c r="V503" t="s">
        <v>4002</v>
      </c>
      <c r="W503" t="s">
        <v>4500</v>
      </c>
      <c r="X503">
        <v>2</v>
      </c>
      <c r="Y503" t="s">
        <v>6475</v>
      </c>
      <c r="Z503" t="s">
        <v>8401</v>
      </c>
      <c r="AA503">
        <v>1.0421259342550619</v>
      </c>
      <c r="AB503" t="str">
        <f>HYPERLINK("Melting_Curves/meltCurve_G3V4P8_GMFB.pdf", "Melting_Curves/meltCurve_G3V4P8_GMFB.pdf")</f>
        <v>Melting_Curves/meltCurve_G3V4P8_GMFB.pdf</v>
      </c>
    </row>
    <row r="504" spans="1:28" x14ac:dyDescent="0.25">
      <c r="A504" t="s">
        <v>508</v>
      </c>
      <c r="B504">
        <v>1</v>
      </c>
      <c r="C504">
        <v>0.94891801280097499</v>
      </c>
      <c r="D504">
        <v>1.2705272782688199</v>
      </c>
      <c r="E504">
        <v>1.3203901249618999</v>
      </c>
      <c r="F504">
        <v>1.3155745199634299</v>
      </c>
      <c r="G504">
        <v>1.48716854617495</v>
      </c>
      <c r="H504">
        <v>1.197744590064</v>
      </c>
      <c r="I504">
        <v>1.45327644010972</v>
      </c>
      <c r="J504">
        <v>1.2701005790917399</v>
      </c>
      <c r="K504">
        <v>1.3258153002133499</v>
      </c>
      <c r="L504">
        <v>11436.516844998299</v>
      </c>
      <c r="M504">
        <v>250</v>
      </c>
      <c r="O504">
        <v>45.743139953020403</v>
      </c>
      <c r="P504">
        <v>0.462612325313003</v>
      </c>
      <c r="Q504">
        <v>1.3385814449231099</v>
      </c>
      <c r="R504">
        <v>0.763890190627175</v>
      </c>
      <c r="S504" t="s">
        <v>2506</v>
      </c>
      <c r="T504" t="s">
        <v>4002</v>
      </c>
      <c r="U504" t="s">
        <v>4002</v>
      </c>
      <c r="V504" t="s">
        <v>4002</v>
      </c>
      <c r="W504" t="s">
        <v>4501</v>
      </c>
      <c r="X504">
        <v>4</v>
      </c>
      <c r="Y504" t="s">
        <v>6476</v>
      </c>
      <c r="Z504" t="s">
        <v>8402</v>
      </c>
      <c r="AA504">
        <v>1.2737038691687419</v>
      </c>
      <c r="AB504" t="str">
        <f>HYPERLINK("Melting_Curves/meltCurve_G3V4U0_FBLN5.pdf", "Melting_Curves/meltCurve_G3V4U0_FBLN5.pdf")</f>
        <v>Melting_Curves/meltCurve_G3V4U0_FBLN5.pdf</v>
      </c>
    </row>
    <row r="505" spans="1:28" x14ac:dyDescent="0.25">
      <c r="A505" t="s">
        <v>509</v>
      </c>
      <c r="B505">
        <v>1</v>
      </c>
      <c r="C505">
        <v>0.94628049657288005</v>
      </c>
      <c r="D505">
        <v>1.17481905766189</v>
      </c>
      <c r="E505">
        <v>1.41830034031539</v>
      </c>
      <c r="F505">
        <v>1.2457460576139601</v>
      </c>
      <c r="G505">
        <v>1.2185447922158801</v>
      </c>
      <c r="H505">
        <v>0.99363706082538505</v>
      </c>
      <c r="I505">
        <v>1.7553803383981199</v>
      </c>
      <c r="J505">
        <v>0.95305085558165203</v>
      </c>
      <c r="K505">
        <v>1.90121267315343</v>
      </c>
      <c r="L505">
        <v>390.10661117167098</v>
      </c>
      <c r="M505">
        <v>7.36199532328627</v>
      </c>
      <c r="O505">
        <v>49.500325595442099</v>
      </c>
      <c r="P505">
        <v>1.86194051167172E-2</v>
      </c>
      <c r="Q505">
        <v>1.5</v>
      </c>
      <c r="R505">
        <v>0.23407265820159101</v>
      </c>
      <c r="S505" t="s">
        <v>2507</v>
      </c>
      <c r="T505" t="s">
        <v>4002</v>
      </c>
      <c r="U505" t="s">
        <v>4002</v>
      </c>
      <c r="V505" t="s">
        <v>4002</v>
      </c>
      <c r="W505" t="s">
        <v>4502</v>
      </c>
      <c r="X505">
        <v>1</v>
      </c>
      <c r="Y505" t="s">
        <v>6477</v>
      </c>
      <c r="Z505" t="s">
        <v>8403</v>
      </c>
      <c r="AA505">
        <v>1.2620148309343211</v>
      </c>
      <c r="AB505" t="str">
        <f>HYPERLINK("Melting_Curves/meltCurve_G3V4U5_EML1.pdf", "Melting_Curves/meltCurve_G3V4U5_EML1.pdf")</f>
        <v>Melting_Curves/meltCurve_G3V4U5_EML1.pdf</v>
      </c>
    </row>
    <row r="506" spans="1:28" x14ac:dyDescent="0.25">
      <c r="A506" t="s">
        <v>510</v>
      </c>
      <c r="B506">
        <v>1</v>
      </c>
      <c r="C506">
        <v>0.83487508056261195</v>
      </c>
      <c r="D506">
        <v>0.81732190923910997</v>
      </c>
      <c r="E506">
        <v>0.82202297456117102</v>
      </c>
      <c r="F506">
        <v>0.86167873526178096</v>
      </c>
      <c r="G506">
        <v>0.777533457178603</v>
      </c>
      <c r="H506">
        <v>0.84949008605982501</v>
      </c>
      <c r="I506">
        <v>0.79254653675550701</v>
      </c>
      <c r="J506">
        <v>2.0741555142738002</v>
      </c>
      <c r="K506">
        <v>0.79709595480911399</v>
      </c>
      <c r="L506">
        <v>2192.8519506840998</v>
      </c>
      <c r="M506">
        <v>34.035684109574703</v>
      </c>
      <c r="O506">
        <v>64.206842404299607</v>
      </c>
      <c r="P506">
        <v>3.53332794983491E-2</v>
      </c>
      <c r="Q506">
        <v>1.26661770119497</v>
      </c>
      <c r="R506">
        <v>0.10860950194267401</v>
      </c>
      <c r="S506" t="s">
        <v>2508</v>
      </c>
      <c r="T506" t="s">
        <v>4002</v>
      </c>
      <c r="U506" t="s">
        <v>4002</v>
      </c>
      <c r="V506" t="s">
        <v>4002</v>
      </c>
      <c r="W506" t="s">
        <v>4503</v>
      </c>
      <c r="X506">
        <v>3</v>
      </c>
      <c r="Y506" t="s">
        <v>6478</v>
      </c>
      <c r="Z506" t="s">
        <v>8404</v>
      </c>
      <c r="AA506">
        <v>1.0492460097842899</v>
      </c>
      <c r="AB506" t="str">
        <f>HYPERLINK("Melting_Curves/meltCurve_G3V4Y7_KTN1.pdf", "Melting_Curves/meltCurve_G3V4Y7_KTN1.pdf")</f>
        <v>Melting_Curves/meltCurve_G3V4Y7_KTN1.pdf</v>
      </c>
    </row>
    <row r="507" spans="1:28" x14ac:dyDescent="0.25">
      <c r="A507" t="s">
        <v>511</v>
      </c>
      <c r="B507">
        <v>1</v>
      </c>
      <c r="C507">
        <v>0.91697023545091105</v>
      </c>
      <c r="D507">
        <v>1.08000888494003</v>
      </c>
      <c r="E507">
        <v>1.1778320746335</v>
      </c>
      <c r="F507">
        <v>1.1186583740559799</v>
      </c>
      <c r="G507">
        <v>0.96796979120390902</v>
      </c>
      <c r="H507">
        <v>0.99164815637494397</v>
      </c>
      <c r="I507">
        <v>0.88427365615282105</v>
      </c>
      <c r="J507">
        <v>0.99871168369613506</v>
      </c>
      <c r="K507">
        <v>0.99355841848067505</v>
      </c>
      <c r="L507">
        <v>14047.865061406699</v>
      </c>
      <c r="M507">
        <v>250</v>
      </c>
      <c r="O507">
        <v>56.187864389992903</v>
      </c>
      <c r="P507">
        <v>-3.66542042659109E-2</v>
      </c>
      <c r="Q507">
        <v>0.96704765671549398</v>
      </c>
      <c r="R507">
        <v>5.1340660810522701E-2</v>
      </c>
      <c r="S507" t="s">
        <v>2509</v>
      </c>
      <c r="T507" t="s">
        <v>4002</v>
      </c>
      <c r="U507" t="s">
        <v>4002</v>
      </c>
      <c r="V507" t="s">
        <v>4002</v>
      </c>
      <c r="W507" t="s">
        <v>4504</v>
      </c>
      <c r="X507">
        <v>1</v>
      </c>
      <c r="Y507" t="s">
        <v>6479</v>
      </c>
      <c r="Z507" t="s">
        <v>8405</v>
      </c>
      <c r="AA507">
        <v>0.98483579152509237</v>
      </c>
      <c r="AB507" t="str">
        <f>HYPERLINK("Melting_Curves/meltCurve_G3V511_LTBP2.pdf", "Melting_Curves/meltCurve_G3V511_LTBP2.pdf")</f>
        <v>Melting_Curves/meltCurve_G3V511_LTBP2.pdf</v>
      </c>
    </row>
    <row r="508" spans="1:28" x14ac:dyDescent="0.25">
      <c r="A508" t="s">
        <v>512</v>
      </c>
      <c r="B508">
        <v>1</v>
      </c>
      <c r="C508">
        <v>0.88677563150074301</v>
      </c>
      <c r="D508">
        <v>0.93350668647845503</v>
      </c>
      <c r="E508">
        <v>1.0791976225854401</v>
      </c>
      <c r="F508">
        <v>1.0352897473997</v>
      </c>
      <c r="G508">
        <v>1.08424962852897</v>
      </c>
      <c r="H508">
        <v>0.92369985141158995</v>
      </c>
      <c r="I508">
        <v>1.3945022288261499</v>
      </c>
      <c r="J508">
        <v>0.94442793462109997</v>
      </c>
      <c r="K508">
        <v>1.0068350668647801</v>
      </c>
      <c r="L508">
        <v>12021.0991929293</v>
      </c>
      <c r="M508">
        <v>250</v>
      </c>
      <c r="O508">
        <v>48.0813246568352</v>
      </c>
      <c r="P508">
        <v>8.6944416930225699E-2</v>
      </c>
      <c r="Q508">
        <v>1.0668864368226101</v>
      </c>
      <c r="R508">
        <v>0.12222646661063701</v>
      </c>
      <c r="S508" t="s">
        <v>2510</v>
      </c>
      <c r="T508" t="s">
        <v>4002</v>
      </c>
      <c r="U508" t="s">
        <v>4002</v>
      </c>
      <c r="V508" t="s">
        <v>4002</v>
      </c>
      <c r="W508" t="s">
        <v>4505</v>
      </c>
      <c r="X508">
        <v>2</v>
      </c>
      <c r="Y508" t="s">
        <v>6480</v>
      </c>
      <c r="Z508" t="s">
        <v>8406</v>
      </c>
      <c r="AA508">
        <v>1.0488562426549071</v>
      </c>
      <c r="AB508" t="str">
        <f>HYPERLINK("Melting_Curves/meltCurve_G3V533_SYNE3.pdf", "Melting_Curves/meltCurve_G3V533_SYNE3.pdf")</f>
        <v>Melting_Curves/meltCurve_G3V533_SYNE3.pdf</v>
      </c>
    </row>
    <row r="509" spans="1:28" x14ac:dyDescent="0.25">
      <c r="A509" t="s">
        <v>513</v>
      </c>
      <c r="B509">
        <v>1</v>
      </c>
      <c r="C509">
        <v>1.02308897084828</v>
      </c>
      <c r="D509">
        <v>1.0616379528116</v>
      </c>
      <c r="E509">
        <v>1.1156469458899601</v>
      </c>
      <c r="F509">
        <v>1.0907896731167599</v>
      </c>
      <c r="G509">
        <v>1.16172384176224</v>
      </c>
      <c r="H509">
        <v>1.1048350426918601</v>
      </c>
      <c r="I509">
        <v>1.29808518162987</v>
      </c>
      <c r="J509">
        <v>1.9792856060223301</v>
      </c>
      <c r="K509">
        <v>1.2299297731521199</v>
      </c>
      <c r="L509">
        <v>15000</v>
      </c>
      <c r="M509">
        <v>234.764896179141</v>
      </c>
      <c r="O509">
        <v>63.889092533391697</v>
      </c>
      <c r="P509">
        <v>0.45932130255931503</v>
      </c>
      <c r="Q509">
        <v>1.5</v>
      </c>
      <c r="R509">
        <v>0.50398456179570295</v>
      </c>
      <c r="S509" t="s">
        <v>2511</v>
      </c>
      <c r="T509" t="s">
        <v>4002</v>
      </c>
      <c r="U509" t="s">
        <v>4002</v>
      </c>
      <c r="V509" t="s">
        <v>4002</v>
      </c>
      <c r="W509" t="s">
        <v>4506</v>
      </c>
      <c r="X509">
        <v>4</v>
      </c>
      <c r="Y509" t="s">
        <v>6481</v>
      </c>
      <c r="Z509" t="s">
        <v>8407</v>
      </c>
      <c r="AA509">
        <v>1.1017079327383681</v>
      </c>
      <c r="AB509" t="str">
        <f>HYPERLINK("Melting_Curves/meltCurve_G3V576_HNRNPC.pdf", "Melting_Curves/meltCurve_G3V576_HNRNPC.pdf")</f>
        <v>Melting_Curves/meltCurve_G3V576_HNRNPC.pdf</v>
      </c>
    </row>
    <row r="510" spans="1:28" x14ac:dyDescent="0.25">
      <c r="A510" t="s">
        <v>514</v>
      </c>
      <c r="B510">
        <v>1</v>
      </c>
      <c r="C510">
        <v>0.87126030453616898</v>
      </c>
      <c r="D510">
        <v>1.0011590339452101</v>
      </c>
      <c r="E510">
        <v>0.93535488170609804</v>
      </c>
      <c r="F510">
        <v>0.95143647769584005</v>
      </c>
      <c r="G510">
        <v>0.91520217898381695</v>
      </c>
      <c r="H510">
        <v>1.1764484302334</v>
      </c>
      <c r="I510">
        <v>1.43967952711415</v>
      </c>
      <c r="J510">
        <v>2.46917694101966</v>
      </c>
      <c r="K510">
        <v>1.2848470799588501</v>
      </c>
      <c r="L510">
        <v>5476.2172671868202</v>
      </c>
      <c r="M510">
        <v>89.139093726679107</v>
      </c>
      <c r="O510">
        <v>61.403596218675197</v>
      </c>
      <c r="P510">
        <v>0.181461421495277</v>
      </c>
      <c r="Q510">
        <v>1.5</v>
      </c>
      <c r="R510">
        <v>0.50935284765686395</v>
      </c>
      <c r="S510" t="s">
        <v>2512</v>
      </c>
      <c r="T510" t="s">
        <v>4002</v>
      </c>
      <c r="U510" t="s">
        <v>4002</v>
      </c>
      <c r="V510" t="s">
        <v>4002</v>
      </c>
      <c r="W510" t="s">
        <v>4507</v>
      </c>
      <c r="X510">
        <v>2</v>
      </c>
      <c r="Y510" t="s">
        <v>6482</v>
      </c>
      <c r="Z510" t="s">
        <v>8408</v>
      </c>
      <c r="AA510">
        <v>1.1423336330914491</v>
      </c>
      <c r="AB510" t="str">
        <f>HYPERLINK("Melting_Curves/meltCurve_G3V578_NDRG2.pdf", "Melting_Curves/meltCurve_G3V578_NDRG2.pdf")</f>
        <v>Melting_Curves/meltCurve_G3V578_NDRG2.pdf</v>
      </c>
    </row>
    <row r="511" spans="1:28" x14ac:dyDescent="0.25">
      <c r="A511" t="s">
        <v>515</v>
      </c>
      <c r="B511">
        <v>1</v>
      </c>
      <c r="C511">
        <v>1.0950774276804001</v>
      </c>
      <c r="D511">
        <v>1.14654801591569</v>
      </c>
      <c r="E511">
        <v>1.39074093988601</v>
      </c>
      <c r="F511">
        <v>1.24485159694591</v>
      </c>
      <c r="G511">
        <v>1.36681363587483</v>
      </c>
      <c r="H511">
        <v>1.0650069899989201</v>
      </c>
      <c r="I511">
        <v>1.7738466501774399</v>
      </c>
      <c r="J511">
        <v>1.7790891493709</v>
      </c>
      <c r="K511">
        <v>1.5183084202602399</v>
      </c>
      <c r="L511">
        <v>560.71228570469498</v>
      </c>
      <c r="M511">
        <v>11.377004734209001</v>
      </c>
      <c r="O511">
        <v>47.835713553339197</v>
      </c>
      <c r="P511">
        <v>2.9738177701866701E-2</v>
      </c>
      <c r="Q511">
        <v>1.5</v>
      </c>
      <c r="R511">
        <v>0.49091502576372098</v>
      </c>
      <c r="S511" t="s">
        <v>2513</v>
      </c>
      <c r="T511" t="s">
        <v>4002</v>
      </c>
      <c r="U511" t="s">
        <v>4002</v>
      </c>
      <c r="V511" t="s">
        <v>4002</v>
      </c>
      <c r="W511" t="s">
        <v>4508</v>
      </c>
      <c r="X511">
        <v>3</v>
      </c>
      <c r="Y511" t="s">
        <v>6483</v>
      </c>
      <c r="Z511" t="s">
        <v>8409</v>
      </c>
      <c r="AA511">
        <v>1.325574208881048</v>
      </c>
      <c r="AB511" t="str">
        <f>HYPERLINK("Melting_Curves/meltCurve_G3V5D9_APEX1.pdf", "Melting_Curves/meltCurve_G3V5D9_APEX1.pdf")</f>
        <v>Melting_Curves/meltCurve_G3V5D9_APEX1.pdf</v>
      </c>
    </row>
    <row r="512" spans="1:28" x14ac:dyDescent="0.25">
      <c r="A512" t="s">
        <v>516</v>
      </c>
      <c r="B512">
        <v>1</v>
      </c>
      <c r="C512">
        <v>1.0713227191549199</v>
      </c>
      <c r="D512">
        <v>1.27078821040899</v>
      </c>
      <c r="E512">
        <v>1.5531152233663901</v>
      </c>
      <c r="F512">
        <v>1.69586199034844</v>
      </c>
      <c r="G512">
        <v>2.0849640916517802</v>
      </c>
      <c r="H512">
        <v>2.3570315765474801</v>
      </c>
      <c r="I512">
        <v>2.6472115616015</v>
      </c>
      <c r="J512">
        <v>2.2279641803143702</v>
      </c>
      <c r="K512">
        <v>2.2227710858633798</v>
      </c>
      <c r="L512">
        <v>2105.6146693815899</v>
      </c>
      <c r="M512">
        <v>46.064027009972101</v>
      </c>
      <c r="O512">
        <v>45.624709245599703</v>
      </c>
      <c r="P512">
        <v>0.126203770060627</v>
      </c>
      <c r="Q512">
        <v>1.5</v>
      </c>
      <c r="R512">
        <v>-0.16645668040252201</v>
      </c>
      <c r="S512" t="s">
        <v>2514</v>
      </c>
      <c r="T512" t="s">
        <v>4002</v>
      </c>
      <c r="U512" t="s">
        <v>4002</v>
      </c>
      <c r="V512" t="s">
        <v>4002</v>
      </c>
      <c r="W512" t="s">
        <v>4509</v>
      </c>
      <c r="X512">
        <v>11</v>
      </c>
      <c r="Y512" t="s">
        <v>6484</v>
      </c>
      <c r="Z512" t="s">
        <v>8410</v>
      </c>
      <c r="AA512">
        <v>1.4036172150901911</v>
      </c>
      <c r="AB512" t="str">
        <f>HYPERLINK("Melting_Curves/meltCurve_G3V5I3_SERPINA3.pdf", "Melting_Curves/meltCurve_G3V5I3_SERPINA3.pdf")</f>
        <v>Melting_Curves/meltCurve_G3V5I3_SERPINA3.pdf</v>
      </c>
    </row>
    <row r="513" spans="1:28" x14ac:dyDescent="0.25">
      <c r="A513" t="s">
        <v>517</v>
      </c>
      <c r="B513">
        <v>1</v>
      </c>
      <c r="C513">
        <v>0.73910885238151502</v>
      </c>
      <c r="D513">
        <v>0.89327502659260105</v>
      </c>
      <c r="E513">
        <v>0.92043493676870303</v>
      </c>
      <c r="F513">
        <v>0.909419690343931</v>
      </c>
      <c r="G513">
        <v>1.0687152818815699</v>
      </c>
      <c r="H513">
        <v>0.64848126698971797</v>
      </c>
      <c r="I513">
        <v>1.2919749438600601</v>
      </c>
      <c r="J513">
        <v>0.46680061458456401</v>
      </c>
      <c r="K513">
        <v>0.92442973643777304</v>
      </c>
      <c r="L513">
        <v>1.0000000000000001E-5</v>
      </c>
      <c r="M513">
        <v>1.0000000000000001E-5</v>
      </c>
      <c r="Q513">
        <v>0.77252918460314102</v>
      </c>
      <c r="R513">
        <v>1.4881180732118101E-9</v>
      </c>
      <c r="S513" t="s">
        <v>2515</v>
      </c>
      <c r="T513" t="s">
        <v>4002</v>
      </c>
      <c r="U513" t="s">
        <v>4002</v>
      </c>
      <c r="V513" t="s">
        <v>4002</v>
      </c>
      <c r="W513" t="s">
        <v>4510</v>
      </c>
      <c r="X513">
        <v>1</v>
      </c>
      <c r="Y513" t="s">
        <v>6485</v>
      </c>
      <c r="Z513" t="s">
        <v>8411</v>
      </c>
      <c r="AA513">
        <v>0.88626403423255362</v>
      </c>
      <c r="AB513" t="str">
        <f>HYPERLINK("Melting_Curves/meltCurve_G3V5V4_COCH.pdf", "Melting_Curves/meltCurve_G3V5V4_COCH.pdf")</f>
        <v>Melting_Curves/meltCurve_G3V5V4_COCH.pdf</v>
      </c>
    </row>
    <row r="514" spans="1:28" x14ac:dyDescent="0.25">
      <c r="A514" t="s">
        <v>518</v>
      </c>
      <c r="B514">
        <v>1</v>
      </c>
      <c r="C514">
        <v>0.93705260765822096</v>
      </c>
      <c r="D514">
        <v>1.06374275650494</v>
      </c>
      <c r="E514">
        <v>1.1721395295989101</v>
      </c>
      <c r="F514">
        <v>1.15674355186911</v>
      </c>
      <c r="G514">
        <v>1.32127031019202</v>
      </c>
      <c r="H514">
        <v>0.94597204863083695</v>
      </c>
      <c r="I514">
        <v>1.51715714123395</v>
      </c>
      <c r="J514">
        <v>0.97767299170548805</v>
      </c>
      <c r="K514">
        <v>1.1518009317123099</v>
      </c>
      <c r="L514">
        <v>11526.6585320822</v>
      </c>
      <c r="M514">
        <v>250</v>
      </c>
      <c r="O514">
        <v>46.103683914192501</v>
      </c>
      <c r="P514">
        <v>0.24067578494219</v>
      </c>
      <c r="Q514">
        <v>1.1775366436553401</v>
      </c>
      <c r="R514">
        <v>0.22990902245147499</v>
      </c>
      <c r="S514" t="s">
        <v>2516</v>
      </c>
      <c r="T514" t="s">
        <v>4002</v>
      </c>
      <c r="U514" t="s">
        <v>4002</v>
      </c>
      <c r="V514" t="s">
        <v>4002</v>
      </c>
      <c r="W514" t="s">
        <v>4511</v>
      </c>
      <c r="X514">
        <v>14</v>
      </c>
      <c r="Y514" t="s">
        <v>6486</v>
      </c>
      <c r="Z514" t="s">
        <v>8412</v>
      </c>
      <c r="AA514">
        <v>1.1413839004522841</v>
      </c>
      <c r="AB514" t="str">
        <f>HYPERLINK("Melting_Curves/meltCurve_G3XAM2_CFI.pdf", "Melting_Curves/meltCurve_G3XAM2_CFI.pdf")</f>
        <v>Melting_Curves/meltCurve_G3XAM2_CFI.pdf</v>
      </c>
    </row>
    <row r="515" spans="1:28" x14ac:dyDescent="0.25">
      <c r="A515" t="s">
        <v>519</v>
      </c>
      <c r="B515">
        <v>1</v>
      </c>
      <c r="C515">
        <v>0.92877800058444804</v>
      </c>
      <c r="D515">
        <v>1.10521065306986</v>
      </c>
      <c r="E515">
        <v>1.34322191880208</v>
      </c>
      <c r="F515">
        <v>1.46615745825734</v>
      </c>
      <c r="G515">
        <v>1.6450185914811699</v>
      </c>
      <c r="H515">
        <v>1.4808694162577201</v>
      </c>
      <c r="I515">
        <v>2.1610455566863802</v>
      </c>
      <c r="J515">
        <v>1.97372000927055</v>
      </c>
      <c r="K515">
        <v>1.69832424752366</v>
      </c>
      <c r="L515">
        <v>1592.0894907158199</v>
      </c>
      <c r="M515">
        <v>32.828189533173799</v>
      </c>
      <c r="O515">
        <v>48.318731008650701</v>
      </c>
      <c r="P515">
        <v>8.4926531092965302E-2</v>
      </c>
      <c r="Q515">
        <v>1.5</v>
      </c>
      <c r="R515">
        <v>0.50468024472432804</v>
      </c>
      <c r="S515" t="s">
        <v>2517</v>
      </c>
      <c r="T515" t="s">
        <v>4002</v>
      </c>
      <c r="U515" t="s">
        <v>4002</v>
      </c>
      <c r="V515" t="s">
        <v>4002</v>
      </c>
      <c r="W515" t="s">
        <v>4512</v>
      </c>
      <c r="X515">
        <v>3</v>
      </c>
      <c r="Y515" t="s">
        <v>6487</v>
      </c>
      <c r="Z515" t="s">
        <v>8413</v>
      </c>
      <c r="AA515">
        <v>1.3558601201209151</v>
      </c>
      <c r="AB515" t="str">
        <f>HYPERLINK("Melting_Curves/meltCurve_G3XAP6_COMP.pdf", "Melting_Curves/meltCurve_G3XAP6_COMP.pdf")</f>
        <v>Melting_Curves/meltCurve_G3XAP6_COMP.pdf</v>
      </c>
    </row>
    <row r="516" spans="1:28" x14ac:dyDescent="0.25">
      <c r="A516" t="s">
        <v>520</v>
      </c>
      <c r="B516">
        <v>1</v>
      </c>
      <c r="C516">
        <v>0.85744245524296703</v>
      </c>
      <c r="D516">
        <v>0.97641943734015302</v>
      </c>
      <c r="E516">
        <v>1.07237851662404</v>
      </c>
      <c r="F516">
        <v>0.99570332480818402</v>
      </c>
      <c r="G516">
        <v>1.08035805626598</v>
      </c>
      <c r="H516">
        <v>1.10695652173913</v>
      </c>
      <c r="I516">
        <v>1.20961636828644</v>
      </c>
      <c r="J516">
        <v>1.19759590792839</v>
      </c>
      <c r="K516">
        <v>1.1350895140665</v>
      </c>
      <c r="L516">
        <v>1433.9851953002999</v>
      </c>
      <c r="M516">
        <v>24.725946218419601</v>
      </c>
      <c r="O516">
        <v>57.619803761442</v>
      </c>
      <c r="P516">
        <v>1.9354600490566001E-2</v>
      </c>
      <c r="Q516">
        <v>1.18040848251422</v>
      </c>
      <c r="R516">
        <v>0.69979922431409602</v>
      </c>
      <c r="S516" t="s">
        <v>2518</v>
      </c>
      <c r="T516" t="s">
        <v>4002</v>
      </c>
      <c r="U516" t="s">
        <v>4002</v>
      </c>
      <c r="V516" t="s">
        <v>4002</v>
      </c>
      <c r="W516" t="s">
        <v>4513</v>
      </c>
      <c r="X516">
        <v>4</v>
      </c>
      <c r="Y516" t="s">
        <v>6488</v>
      </c>
      <c r="Z516" t="s">
        <v>8414</v>
      </c>
      <c r="AA516">
        <v>1.0705988145667369</v>
      </c>
      <c r="AB516" t="str">
        <f>HYPERLINK("Melting_Curves/meltCurve_G5E972_TMPO.pdf", "Melting_Curves/meltCurve_G5E972_TMPO.pdf")</f>
        <v>Melting_Curves/meltCurve_G5E972_TMPO.pdf</v>
      </c>
    </row>
    <row r="517" spans="1:28" x14ac:dyDescent="0.25">
      <c r="A517" t="s">
        <v>521</v>
      </c>
      <c r="B517">
        <v>1</v>
      </c>
      <c r="C517">
        <v>1.16538807781126</v>
      </c>
      <c r="D517">
        <v>1.21478335746996</v>
      </c>
      <c r="E517">
        <v>1.3814239304865199</v>
      </c>
      <c r="F517">
        <v>1.4326979529531501</v>
      </c>
      <c r="G517">
        <v>1.8951230967943999</v>
      </c>
      <c r="H517">
        <v>1.8448471564444799</v>
      </c>
      <c r="I517">
        <v>3.2889741281459202</v>
      </c>
      <c r="J517">
        <v>2.2382480723315998</v>
      </c>
      <c r="K517">
        <v>2.7627304395475401</v>
      </c>
      <c r="L517">
        <v>1131.2414473456499</v>
      </c>
      <c r="M517">
        <v>24.621433236505499</v>
      </c>
      <c r="O517">
        <v>45.645499997248798</v>
      </c>
      <c r="P517">
        <v>6.7426614278726399E-2</v>
      </c>
      <c r="Q517">
        <v>1.5</v>
      </c>
      <c r="R517">
        <v>-0.119098944258701</v>
      </c>
      <c r="S517" t="s">
        <v>2519</v>
      </c>
      <c r="T517" t="s">
        <v>4002</v>
      </c>
      <c r="U517" t="s">
        <v>4002</v>
      </c>
      <c r="V517" t="s">
        <v>4002</v>
      </c>
      <c r="W517" t="s">
        <v>4514</v>
      </c>
      <c r="X517">
        <v>3</v>
      </c>
      <c r="Y517" t="s">
        <v>6489</v>
      </c>
      <c r="Z517" t="s">
        <v>8415</v>
      </c>
      <c r="AA517">
        <v>1.396111421868057</v>
      </c>
      <c r="AB517" t="str">
        <f>HYPERLINK("Melting_Curves/meltCurve_G5E9W9_GIMAP4.pdf", "Melting_Curves/meltCurve_G5E9W9_GIMAP4.pdf")</f>
        <v>Melting_Curves/meltCurve_G5E9W9_GIMAP4.pdf</v>
      </c>
    </row>
    <row r="518" spans="1:28" x14ac:dyDescent="0.25">
      <c r="A518" t="s">
        <v>522</v>
      </c>
      <c r="B518">
        <v>1</v>
      </c>
      <c r="C518">
        <v>1.07221480987325</v>
      </c>
      <c r="D518">
        <v>1.10456971314209</v>
      </c>
      <c r="E518">
        <v>1.4491327551701101</v>
      </c>
      <c r="F518">
        <v>1.18003669112742</v>
      </c>
      <c r="G518">
        <v>1.3529853235490299</v>
      </c>
      <c r="H518">
        <v>0.96897931954636396</v>
      </c>
      <c r="I518">
        <v>1.58163775850567</v>
      </c>
      <c r="J518">
        <v>0.64363742494996701</v>
      </c>
      <c r="K518">
        <v>0.853152101400934</v>
      </c>
      <c r="L518">
        <v>2632.01268873154</v>
      </c>
      <c r="M518">
        <v>38.848438550645497</v>
      </c>
      <c r="O518">
        <v>67.572021351137707</v>
      </c>
      <c r="P518">
        <v>-3.7225914237127899E-2</v>
      </c>
      <c r="Q518">
        <v>0.74100124120865796</v>
      </c>
      <c r="R518">
        <v>-0.130086285752816</v>
      </c>
      <c r="S518" t="s">
        <v>2520</v>
      </c>
      <c r="T518" t="s">
        <v>4002</v>
      </c>
      <c r="U518" t="s">
        <v>4002</v>
      </c>
      <c r="V518" t="s">
        <v>4002</v>
      </c>
      <c r="W518" t="s">
        <v>4515</v>
      </c>
      <c r="X518">
        <v>1</v>
      </c>
      <c r="Y518" t="s">
        <v>6490</v>
      </c>
      <c r="Z518" t="s">
        <v>8416</v>
      </c>
      <c r="AA518">
        <v>0.9775625513955355</v>
      </c>
      <c r="AB518" t="str">
        <f>HYPERLINK("Melting_Curves/meltCurve_G5EA43_TMPRSS5.pdf", "Melting_Curves/meltCurve_G5EA43_TMPRSS5.pdf")</f>
        <v>Melting_Curves/meltCurve_G5EA43_TMPRSS5.pdf</v>
      </c>
    </row>
    <row r="519" spans="1:28" x14ac:dyDescent="0.25">
      <c r="A519" t="s">
        <v>523</v>
      </c>
      <c r="B519">
        <v>1</v>
      </c>
      <c r="C519">
        <v>0.95708023864604896</v>
      </c>
      <c r="D519">
        <v>1.0446243759892899</v>
      </c>
      <c r="E519">
        <v>1.05594788749543</v>
      </c>
      <c r="F519">
        <v>0.89930597832704295</v>
      </c>
      <c r="G519">
        <v>0.92286618775112605</v>
      </c>
      <c r="H519">
        <v>0.83300864483136505</v>
      </c>
      <c r="I519">
        <v>1.09862413247291</v>
      </c>
      <c r="J519">
        <v>1.12681115305004</v>
      </c>
      <c r="K519">
        <v>1.03433580908316</v>
      </c>
      <c r="L519">
        <v>15000</v>
      </c>
      <c r="M519">
        <v>238.84276957254701</v>
      </c>
      <c r="O519">
        <v>62.798419113521199</v>
      </c>
      <c r="P519">
        <v>8.2553495340501604E-2</v>
      </c>
      <c r="Q519">
        <v>1.0868224564243101</v>
      </c>
      <c r="R519">
        <v>0.28733768530450199</v>
      </c>
      <c r="S519" t="s">
        <v>2521</v>
      </c>
      <c r="T519" t="s">
        <v>4002</v>
      </c>
      <c r="U519" t="s">
        <v>4002</v>
      </c>
      <c r="V519" t="s">
        <v>4002</v>
      </c>
      <c r="W519" t="s">
        <v>4516</v>
      </c>
      <c r="X519">
        <v>16</v>
      </c>
      <c r="Y519" t="s">
        <v>6491</v>
      </c>
      <c r="Z519" t="s">
        <v>8417</v>
      </c>
      <c r="AA519">
        <v>1.0208187372145541</v>
      </c>
      <c r="AB519" t="str">
        <f>HYPERLINK("Melting_Curves/meltCurve_G5EA52_PDIA3.pdf", "Melting_Curves/meltCurve_G5EA52_PDIA3.pdf")</f>
        <v>Melting_Curves/meltCurve_G5EA52_PDIA3.pdf</v>
      </c>
    </row>
    <row r="520" spans="1:28" x14ac:dyDescent="0.25">
      <c r="A520" t="s">
        <v>524</v>
      </c>
      <c r="B520">
        <v>1</v>
      </c>
      <c r="C520">
        <v>0.98283968496439</v>
      </c>
      <c r="D520">
        <v>1.04745372666495</v>
      </c>
      <c r="E520">
        <v>1.0650108119904</v>
      </c>
      <c r="F520">
        <v>1.0566587973892501</v>
      </c>
      <c r="G520">
        <v>1.0092844247822701</v>
      </c>
      <c r="H520">
        <v>0.81411311920963403</v>
      </c>
      <c r="I520">
        <v>1.1221457337274601</v>
      </c>
      <c r="J520">
        <v>0.92270914753903199</v>
      </c>
      <c r="K520">
        <v>0.99208443271767799</v>
      </c>
      <c r="L520">
        <v>5707.8153343366703</v>
      </c>
      <c r="M520">
        <v>98.1525459496373</v>
      </c>
      <c r="O520">
        <v>58.128365763884901</v>
      </c>
      <c r="P520">
        <v>-1.542554156242E-2</v>
      </c>
      <c r="Q520">
        <v>0.96345845289045795</v>
      </c>
      <c r="R520">
        <v>8.1115119879717396E-2</v>
      </c>
      <c r="S520" t="s">
        <v>2522</v>
      </c>
      <c r="T520" t="s">
        <v>4002</v>
      </c>
      <c r="U520" t="s">
        <v>4002</v>
      </c>
      <c r="V520" t="s">
        <v>4002</v>
      </c>
      <c r="W520" t="s">
        <v>4517</v>
      </c>
      <c r="X520">
        <v>1</v>
      </c>
      <c r="Y520" t="s">
        <v>6492</v>
      </c>
      <c r="Z520" t="s">
        <v>8418</v>
      </c>
      <c r="AA520">
        <v>0.98559334991358083</v>
      </c>
      <c r="AB520" t="str">
        <f>HYPERLINK("Melting_Curves/meltCurve_G8JL86_COBLL1.pdf", "Melting_Curves/meltCurve_G8JL86_COBLL1.pdf")</f>
        <v>Melting_Curves/meltCurve_G8JL86_COBLL1.pdf</v>
      </c>
    </row>
    <row r="521" spans="1:28" x14ac:dyDescent="0.25">
      <c r="A521" t="s">
        <v>525</v>
      </c>
      <c r="B521">
        <v>1</v>
      </c>
      <c r="C521">
        <v>0.93093987614642904</v>
      </c>
      <c r="D521">
        <v>0.94936113506310305</v>
      </c>
      <c r="E521">
        <v>0.98408716782942696</v>
      </c>
      <c r="F521">
        <v>1.0467194481461199</v>
      </c>
      <c r="G521">
        <v>1.06051579524967</v>
      </c>
      <c r="H521">
        <v>0.93470251626557999</v>
      </c>
      <c r="I521">
        <v>1.1459590812886999</v>
      </c>
      <c r="J521">
        <v>0.991220506388649</v>
      </c>
      <c r="K521">
        <v>1.00290036842518</v>
      </c>
      <c r="L521">
        <v>4536.4988317619</v>
      </c>
      <c r="M521">
        <v>88.165784915189406</v>
      </c>
      <c r="O521">
        <v>51.427732572463597</v>
      </c>
      <c r="P521">
        <v>1.29687388755396E-2</v>
      </c>
      <c r="Q521">
        <v>1.0302590296548999</v>
      </c>
      <c r="R521">
        <v>0.13267617629845299</v>
      </c>
      <c r="S521" t="s">
        <v>2523</v>
      </c>
      <c r="T521" t="s">
        <v>4002</v>
      </c>
      <c r="U521" t="s">
        <v>4002</v>
      </c>
      <c r="V521" t="s">
        <v>4002</v>
      </c>
      <c r="W521" t="s">
        <v>4518</v>
      </c>
      <c r="X521">
        <v>3</v>
      </c>
      <c r="Y521" t="s">
        <v>6493</v>
      </c>
      <c r="Z521" t="s">
        <v>8419</v>
      </c>
      <c r="AA521">
        <v>1.018683938688894</v>
      </c>
      <c r="AB521" t="str">
        <f>HYPERLINK("Melting_Curves/meltCurve_G8JL88_APOL1.pdf", "Melting_Curves/meltCurve_G8JL88_APOL1.pdf")</f>
        <v>Melting_Curves/meltCurve_G8JL88_APOL1.pdf</v>
      </c>
    </row>
    <row r="522" spans="1:28" x14ac:dyDescent="0.25">
      <c r="A522" t="s">
        <v>526</v>
      </c>
      <c r="B522">
        <v>1</v>
      </c>
      <c r="C522">
        <v>0.83108583114974099</v>
      </c>
      <c r="D522">
        <v>1.1350844677360901</v>
      </c>
      <c r="E522">
        <v>1.5666901003387199</v>
      </c>
      <c r="F522">
        <v>1.6835176072090501</v>
      </c>
      <c r="G522">
        <v>1.7533499499371501</v>
      </c>
      <c r="H522">
        <v>1.62184444302422</v>
      </c>
      <c r="I522">
        <v>2.0586693934939602</v>
      </c>
      <c r="J522">
        <v>1.8167060778424</v>
      </c>
      <c r="K522">
        <v>1.53925140069449</v>
      </c>
      <c r="L522">
        <v>11545.713220711599</v>
      </c>
      <c r="M522">
        <v>250</v>
      </c>
      <c r="O522">
        <v>46.179897498338804</v>
      </c>
      <c r="P522">
        <v>0.67670137305321199</v>
      </c>
      <c r="Q522">
        <v>1.5</v>
      </c>
      <c r="R522">
        <v>0.58901550212944598</v>
      </c>
      <c r="S522" t="s">
        <v>2524</v>
      </c>
      <c r="T522" t="s">
        <v>4002</v>
      </c>
      <c r="U522" t="s">
        <v>4002</v>
      </c>
      <c r="V522" t="s">
        <v>4002</v>
      </c>
      <c r="W522" t="s">
        <v>4519</v>
      </c>
      <c r="X522">
        <v>3</v>
      </c>
      <c r="Y522" t="s">
        <v>6494</v>
      </c>
      <c r="Z522" t="s">
        <v>8420</v>
      </c>
      <c r="AA522">
        <v>1.396911926858537</v>
      </c>
      <c r="AB522" t="str">
        <f>HYPERLINK("Melting_Curves/meltCurve_G8JLA8_TGFBI.pdf", "Melting_Curves/meltCurve_G8JLA8_TGFBI.pdf")</f>
        <v>Melting_Curves/meltCurve_G8JLA8_TGFBI.pdf</v>
      </c>
    </row>
    <row r="523" spans="1:28" x14ac:dyDescent="0.25">
      <c r="A523" t="s">
        <v>527</v>
      </c>
      <c r="B523">
        <v>1</v>
      </c>
      <c r="C523">
        <v>0.909328609986505</v>
      </c>
      <c r="D523">
        <v>0.96027327935222695</v>
      </c>
      <c r="E523">
        <v>0.993336707152497</v>
      </c>
      <c r="F523">
        <v>1.0312078272604599</v>
      </c>
      <c r="G523">
        <v>0.99704790823211897</v>
      </c>
      <c r="H523">
        <v>1.0241228070175401</v>
      </c>
      <c r="I523">
        <v>1.2270580296896101</v>
      </c>
      <c r="J523">
        <v>1.17923414304993</v>
      </c>
      <c r="K523">
        <v>1.0048076923076901</v>
      </c>
      <c r="L523">
        <v>15000</v>
      </c>
      <c r="M523">
        <v>244.359647822461</v>
      </c>
      <c r="O523">
        <v>61.380825692202201</v>
      </c>
      <c r="P523">
        <v>0.13638288320338299</v>
      </c>
      <c r="Q523">
        <v>1.1370323310732999</v>
      </c>
      <c r="R523">
        <v>0.54773827453064805</v>
      </c>
      <c r="S523" t="s">
        <v>2525</v>
      </c>
      <c r="T523" t="s">
        <v>4002</v>
      </c>
      <c r="U523" t="s">
        <v>4002</v>
      </c>
      <c r="V523" t="s">
        <v>4002</v>
      </c>
      <c r="W523" t="s">
        <v>4520</v>
      </c>
      <c r="X523">
        <v>3</v>
      </c>
      <c r="Y523" t="s">
        <v>6495</v>
      </c>
      <c r="Z523" t="s">
        <v>8421</v>
      </c>
      <c r="AA523">
        <v>1.03933598321056</v>
      </c>
      <c r="AB523" t="str">
        <f>HYPERLINK("Melting_Curves/meltCurve_G8JLC6_MIA3.pdf", "Melting_Curves/meltCurve_G8JLC6_MIA3.pdf")</f>
        <v>Melting_Curves/meltCurve_G8JLC6_MIA3.pdf</v>
      </c>
    </row>
    <row r="524" spans="1:28" x14ac:dyDescent="0.25">
      <c r="A524" t="s">
        <v>528</v>
      </c>
      <c r="B524">
        <v>1</v>
      </c>
      <c r="C524">
        <v>1.0185430862931899</v>
      </c>
      <c r="D524">
        <v>1.0012211300729701</v>
      </c>
      <c r="E524">
        <v>1.02080443828017</v>
      </c>
      <c r="F524">
        <v>0.96285352469396401</v>
      </c>
      <c r="G524">
        <v>1.0124374359283601</v>
      </c>
      <c r="H524">
        <v>0.82757944883314205</v>
      </c>
      <c r="I524">
        <v>1.0986401736718301</v>
      </c>
      <c r="J524">
        <v>0.89605318699873404</v>
      </c>
      <c r="K524">
        <v>0.95407947898450196</v>
      </c>
      <c r="L524">
        <v>14669.212279179499</v>
      </c>
      <c r="M524">
        <v>250</v>
      </c>
      <c r="O524">
        <v>58.6730941051459</v>
      </c>
      <c r="P524">
        <v>-5.9555432652022497E-2</v>
      </c>
      <c r="Q524">
        <v>0.94409117591555303</v>
      </c>
      <c r="R524">
        <v>0.162508411219807</v>
      </c>
      <c r="S524" t="s">
        <v>2526</v>
      </c>
      <c r="T524" t="s">
        <v>4002</v>
      </c>
      <c r="U524" t="s">
        <v>4002</v>
      </c>
      <c r="V524" t="s">
        <v>4002</v>
      </c>
      <c r="W524" t="s">
        <v>4521</v>
      </c>
      <c r="X524">
        <v>4</v>
      </c>
      <c r="Y524" t="s">
        <v>6496</v>
      </c>
      <c r="Z524" t="s">
        <v>8422</v>
      </c>
      <c r="AA524">
        <v>0.97890362229340411</v>
      </c>
      <c r="AB524" t="str">
        <f>HYPERLINK("Melting_Curves/meltCurve_G8JLG2_CDSN.pdf", "Melting_Curves/meltCurve_G8JLG2_CDSN.pdf")</f>
        <v>Melting_Curves/meltCurve_G8JLG2_CDSN.pdf</v>
      </c>
    </row>
    <row r="525" spans="1:28" x14ac:dyDescent="0.25">
      <c r="A525" t="s">
        <v>529</v>
      </c>
      <c r="B525">
        <v>1</v>
      </c>
      <c r="C525">
        <v>0.944811456238973</v>
      </c>
      <c r="D525">
        <v>1.07675105658364</v>
      </c>
      <c r="E525">
        <v>1.10206803167699</v>
      </c>
      <c r="F525">
        <v>0.95849575314923496</v>
      </c>
      <c r="G525">
        <v>1.12455377292684</v>
      </c>
      <c r="H525">
        <v>0.83742973205859395</v>
      </c>
      <c r="I525">
        <v>1.20114070001231</v>
      </c>
      <c r="J525">
        <v>0.89146936933240295</v>
      </c>
      <c r="K525">
        <v>0.94725288252431195</v>
      </c>
      <c r="L525">
        <v>2135.6501273547401</v>
      </c>
      <c r="M525">
        <v>30.748781233707501</v>
      </c>
      <c r="O525">
        <v>69.163006848591706</v>
      </c>
      <c r="P525">
        <v>-1.1233482911421899E-2</v>
      </c>
      <c r="Q525">
        <v>0.898931034592934</v>
      </c>
      <c r="R525">
        <v>3.7852998178730203E-2</v>
      </c>
      <c r="S525" t="s">
        <v>2527</v>
      </c>
      <c r="T525" t="s">
        <v>4002</v>
      </c>
      <c r="U525" t="s">
        <v>4002</v>
      </c>
      <c r="V525" t="s">
        <v>4002</v>
      </c>
      <c r="W525" t="s">
        <v>4522</v>
      </c>
      <c r="X525">
        <v>6</v>
      </c>
      <c r="Y525" t="s">
        <v>6497</v>
      </c>
      <c r="Z525" t="s">
        <v>8423</v>
      </c>
      <c r="AA525">
        <v>0.99412059175494794</v>
      </c>
      <c r="AB525" t="str">
        <f>HYPERLINK("Melting_Curves/meltCurve_H0Y2P0_CD44.pdf", "Melting_Curves/meltCurve_H0Y2P0_CD44.pdf")</f>
        <v>Melting_Curves/meltCurve_H0Y2P0_CD44.pdf</v>
      </c>
    </row>
    <row r="526" spans="1:28" x14ac:dyDescent="0.25">
      <c r="A526" t="s">
        <v>530</v>
      </c>
      <c r="B526">
        <v>1</v>
      </c>
      <c r="C526">
        <v>1.1857905453744999</v>
      </c>
      <c r="D526">
        <v>1.2055473006438799</v>
      </c>
      <c r="E526">
        <v>1.0843101645479101</v>
      </c>
      <c r="F526">
        <v>1.0646634747674899</v>
      </c>
      <c r="G526">
        <v>1.28864674481316</v>
      </c>
      <c r="H526">
        <v>1.04463155577569</v>
      </c>
      <c r="I526">
        <v>1.3429640636178499</v>
      </c>
      <c r="J526">
        <v>7.6011226679874504</v>
      </c>
      <c r="K526">
        <v>1.3113202355401501</v>
      </c>
      <c r="L526">
        <v>2343.2406495651098</v>
      </c>
      <c r="M526">
        <v>41.015646895337902</v>
      </c>
      <c r="O526">
        <v>56.9951034986018</v>
      </c>
      <c r="P526">
        <v>8.99544893775064E-2</v>
      </c>
      <c r="Q526">
        <v>1.5</v>
      </c>
      <c r="R526">
        <v>-5.5442286798290698E-3</v>
      </c>
      <c r="S526" t="s">
        <v>2528</v>
      </c>
      <c r="T526" t="s">
        <v>4002</v>
      </c>
      <c r="U526" t="s">
        <v>4002</v>
      </c>
      <c r="V526" t="s">
        <v>4002</v>
      </c>
      <c r="W526" t="s">
        <v>4523</v>
      </c>
      <c r="X526">
        <v>1</v>
      </c>
      <c r="Y526" t="s">
        <v>6498</v>
      </c>
      <c r="Z526" t="s">
        <v>8424</v>
      </c>
      <c r="AA526">
        <v>1.212635260378836</v>
      </c>
      <c r="AB526" t="str">
        <f>HYPERLINK("Melting_Curves/meltCurve_H0Y2X5_ALDH1A3.pdf", "Melting_Curves/meltCurve_H0Y2X5_ALDH1A3.pdf")</f>
        <v>Melting_Curves/meltCurve_H0Y2X5_ALDH1A3.pdf</v>
      </c>
    </row>
    <row r="527" spans="1:28" x14ac:dyDescent="0.25">
      <c r="A527" t="s">
        <v>531</v>
      </c>
      <c r="B527">
        <v>1</v>
      </c>
      <c r="C527">
        <v>0.98785727883386398</v>
      </c>
      <c r="D527">
        <v>1.0788257050393</v>
      </c>
      <c r="E527">
        <v>1.0719724783117099</v>
      </c>
      <c r="F527">
        <v>0.82987952462538395</v>
      </c>
      <c r="G527">
        <v>0.91690462592804101</v>
      </c>
      <c r="H527">
        <v>0.65796415653640095</v>
      </c>
      <c r="I527">
        <v>1.02954774142667</v>
      </c>
      <c r="J527">
        <v>0.78496641374996601</v>
      </c>
      <c r="K527">
        <v>0.79147969867558698</v>
      </c>
      <c r="L527">
        <v>12931.3766601446</v>
      </c>
      <c r="M527">
        <v>250</v>
      </c>
      <c r="O527">
        <v>51.722196504559697</v>
      </c>
      <c r="P527">
        <v>-0.19930876976658801</v>
      </c>
      <c r="Q527">
        <v>0.83506100236527203</v>
      </c>
      <c r="R527">
        <v>0.496911956135694</v>
      </c>
      <c r="S527" t="s">
        <v>2529</v>
      </c>
      <c r="T527" t="s">
        <v>4002</v>
      </c>
      <c r="U527" t="s">
        <v>4002</v>
      </c>
      <c r="V527" t="s">
        <v>4002</v>
      </c>
      <c r="W527" t="s">
        <v>4524</v>
      </c>
      <c r="X527">
        <v>2</v>
      </c>
      <c r="Y527" t="s">
        <v>6499</v>
      </c>
      <c r="Z527" t="s">
        <v>8425</v>
      </c>
      <c r="AA527">
        <v>0.89954241884360009</v>
      </c>
      <c r="AB527" t="str">
        <f>HYPERLINK("Melting_Curves/meltCurve_H0Y3P2_EIF4G2.pdf", "Melting_Curves/meltCurve_H0Y3P2_EIF4G2.pdf")</f>
        <v>Melting_Curves/meltCurve_H0Y3P2_EIF4G2.pdf</v>
      </c>
    </row>
    <row r="528" spans="1:28" x14ac:dyDescent="0.25">
      <c r="A528" t="s">
        <v>532</v>
      </c>
      <c r="B528">
        <v>1</v>
      </c>
      <c r="C528">
        <v>0.77486892935982299</v>
      </c>
      <c r="D528">
        <v>0.75303532008829999</v>
      </c>
      <c r="E528">
        <v>0.87751793598233996</v>
      </c>
      <c r="F528">
        <v>0.95077952538631305</v>
      </c>
      <c r="G528">
        <v>0.92911837748344395</v>
      </c>
      <c r="H528">
        <v>0.97388934878587197</v>
      </c>
      <c r="I528">
        <v>1.0216611479028701</v>
      </c>
      <c r="J528">
        <v>1.3186396247240599</v>
      </c>
      <c r="K528">
        <v>0.78421633554083903</v>
      </c>
      <c r="L528">
        <v>15000</v>
      </c>
      <c r="M528">
        <v>212.99509728567401</v>
      </c>
      <c r="Q528">
        <v>0</v>
      </c>
      <c r="R528">
        <v>3.4929563123148502E-2</v>
      </c>
      <c r="S528" t="s">
        <v>2530</v>
      </c>
      <c r="T528" t="s">
        <v>4002</v>
      </c>
      <c r="U528" t="s">
        <v>4002</v>
      </c>
      <c r="V528" t="s">
        <v>4002</v>
      </c>
      <c r="W528" t="s">
        <v>4525</v>
      </c>
      <c r="X528">
        <v>1</v>
      </c>
      <c r="Y528" t="s">
        <v>6500</v>
      </c>
      <c r="Z528" t="s">
        <v>8426</v>
      </c>
      <c r="AA528">
        <v>0.99737959132629928</v>
      </c>
      <c r="AB528" t="str">
        <f>HYPERLINK("Melting_Curves/meltCurve_H0Y3R8_TJP1.pdf", "Melting_Curves/meltCurve_H0Y3R8_TJP1.pdf")</f>
        <v>Melting_Curves/meltCurve_H0Y3R8_TJP1.pdf</v>
      </c>
    </row>
    <row r="529" spans="1:28" x14ac:dyDescent="0.25">
      <c r="A529" t="s">
        <v>533</v>
      </c>
      <c r="B529">
        <v>1</v>
      </c>
      <c r="C529">
        <v>1.09975886398142</v>
      </c>
      <c r="D529">
        <v>1.21929981244976</v>
      </c>
      <c r="E529">
        <v>1.1966374921854099</v>
      </c>
      <c r="F529">
        <v>0.99108020005358599</v>
      </c>
      <c r="G529">
        <v>0.94549879431990702</v>
      </c>
      <c r="H529">
        <v>0.81349915155845298</v>
      </c>
      <c r="I529">
        <v>1.2933151737072399</v>
      </c>
      <c r="J529">
        <v>1.2009913369652601</v>
      </c>
      <c r="K529">
        <v>1.1557783334821801</v>
      </c>
      <c r="L529">
        <v>76.632774582836802</v>
      </c>
      <c r="M529">
        <v>1.0000000000000001E-5</v>
      </c>
      <c r="Q529">
        <v>1.4669764065747499</v>
      </c>
      <c r="R529">
        <v>1.3529793345791701E-2</v>
      </c>
      <c r="S529" t="s">
        <v>2531</v>
      </c>
      <c r="T529" t="s">
        <v>4002</v>
      </c>
      <c r="U529" t="s">
        <v>4002</v>
      </c>
      <c r="V529" t="s">
        <v>4002</v>
      </c>
      <c r="W529" t="s">
        <v>4526</v>
      </c>
      <c r="X529">
        <v>1</v>
      </c>
      <c r="Y529" t="s">
        <v>6501</v>
      </c>
      <c r="Z529" t="s">
        <v>8427</v>
      </c>
      <c r="AA529">
        <v>1.091400642121811</v>
      </c>
      <c r="AB529" t="str">
        <f>HYPERLINK("Melting_Curves/meltCurve_H0Y477_DUT.pdf", "Melting_Curves/meltCurve_H0Y477_DUT.pdf")</f>
        <v>Melting_Curves/meltCurve_H0Y477_DUT.pdf</v>
      </c>
    </row>
    <row r="530" spans="1:28" x14ac:dyDescent="0.25">
      <c r="A530" t="s">
        <v>534</v>
      </c>
      <c r="B530">
        <v>1</v>
      </c>
      <c r="C530">
        <v>0.88170079561758197</v>
      </c>
      <c r="D530">
        <v>0.928894395895831</v>
      </c>
      <c r="E530">
        <v>0.84289813486370202</v>
      </c>
      <c r="F530">
        <v>0.70265423242467695</v>
      </c>
      <c r="G530">
        <v>0.84803921568627505</v>
      </c>
      <c r="H530">
        <v>0.70874092430763902</v>
      </c>
      <c r="I530">
        <v>0.79381331246467501</v>
      </c>
      <c r="J530">
        <v>0.71667536194078496</v>
      </c>
      <c r="K530">
        <v>0.69399156558410502</v>
      </c>
      <c r="L530">
        <v>490.25182205178601</v>
      </c>
      <c r="M530">
        <v>10.2321330899616</v>
      </c>
      <c r="O530">
        <v>46.191050402441398</v>
      </c>
      <c r="P530">
        <v>-1.5744184012384199E-2</v>
      </c>
      <c r="Q530">
        <v>0.71582990991581796</v>
      </c>
      <c r="R530">
        <v>0.73382996349219998</v>
      </c>
      <c r="S530" t="s">
        <v>2532</v>
      </c>
      <c r="T530" t="s">
        <v>4002</v>
      </c>
      <c r="U530" t="s">
        <v>4002</v>
      </c>
      <c r="V530" t="s">
        <v>4002</v>
      </c>
      <c r="W530" t="s">
        <v>4527</v>
      </c>
      <c r="X530">
        <v>2</v>
      </c>
      <c r="Y530" t="s">
        <v>6502</v>
      </c>
      <c r="Z530" t="s">
        <v>8428</v>
      </c>
      <c r="AA530">
        <v>0.80540415431745638</v>
      </c>
      <c r="AB530" t="str">
        <f>HYPERLINK("Melting_Curves/meltCurve_H0Y4S8_KIAA0319L.pdf", "Melting_Curves/meltCurve_H0Y4S8_KIAA0319L.pdf")</f>
        <v>Melting_Curves/meltCurve_H0Y4S8_KIAA0319L.pdf</v>
      </c>
    </row>
    <row r="531" spans="1:28" x14ac:dyDescent="0.25">
      <c r="A531" t="s">
        <v>535</v>
      </c>
      <c r="B531">
        <v>1</v>
      </c>
      <c r="C531">
        <v>0.89793456330469901</v>
      </c>
      <c r="D531">
        <v>0.87721779645152598</v>
      </c>
      <c r="E531">
        <v>0.86195062087900698</v>
      </c>
      <c r="F531">
        <v>0.95973126442997703</v>
      </c>
      <c r="G531">
        <v>1.00183039707136</v>
      </c>
      <c r="H531">
        <v>0.81535869542608697</v>
      </c>
      <c r="I531">
        <v>1.24635480583231</v>
      </c>
      <c r="J531">
        <v>1.0220895646567001</v>
      </c>
      <c r="K531">
        <v>1.1897372964203301</v>
      </c>
      <c r="L531">
        <v>15000</v>
      </c>
      <c r="M531">
        <v>239.799483805964</v>
      </c>
      <c r="O531">
        <v>62.547911181900403</v>
      </c>
      <c r="P531">
        <v>0.14633322794626699</v>
      </c>
      <c r="Q531">
        <v>1.1526748518659899</v>
      </c>
      <c r="R531">
        <v>0.38729486481136499</v>
      </c>
      <c r="S531" t="s">
        <v>2533</v>
      </c>
      <c r="T531" t="s">
        <v>4002</v>
      </c>
      <c r="U531" t="s">
        <v>4002</v>
      </c>
      <c r="V531" t="s">
        <v>4002</v>
      </c>
      <c r="W531" t="s">
        <v>4528</v>
      </c>
      <c r="X531">
        <v>4</v>
      </c>
      <c r="Y531" t="s">
        <v>6503</v>
      </c>
      <c r="Z531" t="s">
        <v>8429</v>
      </c>
      <c r="AA531">
        <v>1.0378845291852981</v>
      </c>
      <c r="AB531" t="str">
        <f>HYPERLINK("Melting_Curves/meltCurve_H0Y4U3_FCGR3B.pdf", "Melting_Curves/meltCurve_H0Y4U3_FCGR3B.pdf")</f>
        <v>Melting_Curves/meltCurve_H0Y4U3_FCGR3B.pdf</v>
      </c>
    </row>
    <row r="532" spans="1:28" x14ac:dyDescent="0.25">
      <c r="A532" t="s">
        <v>536</v>
      </c>
      <c r="B532">
        <v>1</v>
      </c>
      <c r="C532">
        <v>1.0251735307727901</v>
      </c>
      <c r="D532">
        <v>1.1279037482646901</v>
      </c>
      <c r="E532">
        <v>1.0188801480795899</v>
      </c>
      <c r="F532">
        <v>0.94197130957889896</v>
      </c>
      <c r="G532">
        <v>0.90696899583526103</v>
      </c>
      <c r="H532">
        <v>0.71339194817214302</v>
      </c>
      <c r="I532">
        <v>0.884044423877834</v>
      </c>
      <c r="J532">
        <v>0.85592781119851902</v>
      </c>
      <c r="K532">
        <v>0.63639055992596005</v>
      </c>
      <c r="L532">
        <v>1345.68554579327</v>
      </c>
      <c r="M532">
        <v>23.5850160528827</v>
      </c>
      <c r="O532">
        <v>56.651356649072</v>
      </c>
      <c r="P532">
        <v>-2.5050059131932499E-2</v>
      </c>
      <c r="Q532">
        <v>0.75932248079201303</v>
      </c>
      <c r="R532">
        <v>0.68546265859696698</v>
      </c>
      <c r="S532" t="s">
        <v>2534</v>
      </c>
      <c r="T532" t="s">
        <v>4002</v>
      </c>
      <c r="U532" t="s">
        <v>4002</v>
      </c>
      <c r="V532" t="s">
        <v>4002</v>
      </c>
      <c r="W532" t="s">
        <v>4529</v>
      </c>
      <c r="X532">
        <v>1</v>
      </c>
      <c r="Y532" t="s">
        <v>6504</v>
      </c>
      <c r="Z532" t="s">
        <v>8430</v>
      </c>
      <c r="AA532">
        <v>0.89852416162458226</v>
      </c>
      <c r="AB532" t="str">
        <f>HYPERLINK("Melting_Curves/meltCurve_H0Y512_APMAP.pdf", "Melting_Curves/meltCurve_H0Y512_APMAP.pdf")</f>
        <v>Melting_Curves/meltCurve_H0Y512_APMAP.pdf</v>
      </c>
    </row>
    <row r="533" spans="1:28" x14ac:dyDescent="0.25">
      <c r="A533" t="s">
        <v>537</v>
      </c>
      <c r="B533">
        <v>1</v>
      </c>
      <c r="C533">
        <v>0.909281204632162</v>
      </c>
      <c r="D533">
        <v>0.95792115421407398</v>
      </c>
      <c r="E533">
        <v>0.74284524573190602</v>
      </c>
      <c r="F533">
        <v>0.81565886761875805</v>
      </c>
      <c r="G533">
        <v>0.96667679530031403</v>
      </c>
      <c r="H533">
        <v>1.0409872041594901</v>
      </c>
      <c r="I533">
        <v>0.82520229132201195</v>
      </c>
      <c r="J533">
        <v>0.88230527701813</v>
      </c>
      <c r="K533">
        <v>0.764441743475472</v>
      </c>
      <c r="L533">
        <v>1114.9193473195401</v>
      </c>
      <c r="M533">
        <v>25.865538089661602</v>
      </c>
      <c r="O533">
        <v>42.849262465741901</v>
      </c>
      <c r="P533">
        <v>-1.98012038891568E-2</v>
      </c>
      <c r="Q533">
        <v>0.86878959824908097</v>
      </c>
      <c r="R533">
        <v>0.166147843217411</v>
      </c>
      <c r="S533" t="s">
        <v>2535</v>
      </c>
      <c r="T533" t="s">
        <v>4002</v>
      </c>
      <c r="U533" t="s">
        <v>4002</v>
      </c>
      <c r="V533" t="s">
        <v>4002</v>
      </c>
      <c r="W533" t="s">
        <v>4530</v>
      </c>
      <c r="X533">
        <v>1</v>
      </c>
      <c r="Y533" t="s">
        <v>6505</v>
      </c>
      <c r="Z533" t="s">
        <v>8431</v>
      </c>
      <c r="AA533">
        <v>0.88405165950288855</v>
      </c>
      <c r="AB533" t="str">
        <f>HYPERLINK("Melting_Curves/meltCurve_H0Y555_PSMF1.pdf", "Melting_Curves/meltCurve_H0Y555_PSMF1.pdf")</f>
        <v>Melting_Curves/meltCurve_H0Y555_PSMF1.pdf</v>
      </c>
    </row>
    <row r="534" spans="1:28" x14ac:dyDescent="0.25">
      <c r="A534" t="s">
        <v>538</v>
      </c>
      <c r="B534">
        <v>1</v>
      </c>
      <c r="C534">
        <v>0.88101329955668195</v>
      </c>
      <c r="D534">
        <v>1.0446358454718201</v>
      </c>
      <c r="E534">
        <v>0.89626345788473705</v>
      </c>
      <c r="F534">
        <v>0.95202026599113398</v>
      </c>
      <c r="G534">
        <v>0.85692210259657997</v>
      </c>
      <c r="H534">
        <v>0.65651678277390701</v>
      </c>
      <c r="I534">
        <v>0.86692843571880895</v>
      </c>
      <c r="J534">
        <v>0.93778340721975895</v>
      </c>
      <c r="K534">
        <v>0.863863204559848</v>
      </c>
      <c r="L534">
        <v>1176.59123977267</v>
      </c>
      <c r="M534">
        <v>22.809157287720701</v>
      </c>
      <c r="O534">
        <v>51.1925665618162</v>
      </c>
      <c r="P534">
        <v>-1.81704673890992E-2</v>
      </c>
      <c r="Q534">
        <v>0.83687694976021298</v>
      </c>
      <c r="R534">
        <v>0.30793606828030201</v>
      </c>
      <c r="S534" t="s">
        <v>2536</v>
      </c>
      <c r="T534" t="s">
        <v>4002</v>
      </c>
      <c r="U534" t="s">
        <v>4002</v>
      </c>
      <c r="V534" t="s">
        <v>4002</v>
      </c>
      <c r="W534" t="s">
        <v>4531</v>
      </c>
      <c r="X534">
        <v>1</v>
      </c>
      <c r="Y534" t="s">
        <v>6506</v>
      </c>
      <c r="Z534" t="s">
        <v>8432</v>
      </c>
      <c r="AA534">
        <v>0.90163411897212076</v>
      </c>
      <c r="AB534" t="str">
        <f>HYPERLINK("Melting_Curves/meltCurve_H0Y561_PSMD4.pdf", "Melting_Curves/meltCurve_H0Y561_PSMD4.pdf")</f>
        <v>Melting_Curves/meltCurve_H0Y561_PSMD4.pdf</v>
      </c>
    </row>
    <row r="535" spans="1:28" x14ac:dyDescent="0.25">
      <c r="A535" t="s">
        <v>539</v>
      </c>
      <c r="B535">
        <v>1</v>
      </c>
      <c r="C535">
        <v>0.86953606865111299</v>
      </c>
      <c r="D535">
        <v>1.11660856351122</v>
      </c>
      <c r="E535">
        <v>1.2890855457227099</v>
      </c>
      <c r="F535">
        <v>1.16597389827478</v>
      </c>
      <c r="G535">
        <v>1.1633816036470901</v>
      </c>
      <c r="H535">
        <v>1.40486725663717</v>
      </c>
      <c r="I535">
        <v>1.30081791364977</v>
      </c>
      <c r="J535">
        <v>2.2935103244837798</v>
      </c>
      <c r="K535">
        <v>1.1578171091445399</v>
      </c>
      <c r="L535">
        <v>745.30994566285199</v>
      </c>
      <c r="M535">
        <v>13.846999137689799</v>
      </c>
      <c r="O535">
        <v>52.739317542517803</v>
      </c>
      <c r="P535">
        <v>3.28239690578652E-2</v>
      </c>
      <c r="Q535">
        <v>1.5</v>
      </c>
      <c r="R535">
        <v>0.34235111528499401</v>
      </c>
      <c r="S535" t="s">
        <v>2537</v>
      </c>
      <c r="T535" t="s">
        <v>4002</v>
      </c>
      <c r="U535" t="s">
        <v>4002</v>
      </c>
      <c r="V535" t="s">
        <v>4002</v>
      </c>
      <c r="W535" t="s">
        <v>4532</v>
      </c>
      <c r="X535">
        <v>1</v>
      </c>
      <c r="Y535" t="s">
        <v>6507</v>
      </c>
      <c r="Z535" t="s">
        <v>8433</v>
      </c>
      <c r="AA535">
        <v>1.2581804070527549</v>
      </c>
      <c r="AB535" t="str">
        <f>HYPERLINK("Melting_Curves/meltCurve_H0Y5A1_PTGDS.pdf", "Melting_Curves/meltCurve_H0Y5A1_PTGDS.pdf")</f>
        <v>Melting_Curves/meltCurve_H0Y5A1_PTGDS.pdf</v>
      </c>
    </row>
    <row r="536" spans="1:28" x14ac:dyDescent="0.25">
      <c r="A536" t="s">
        <v>540</v>
      </c>
      <c r="B536">
        <v>1</v>
      </c>
      <c r="C536">
        <v>1.16601208459214</v>
      </c>
      <c r="D536">
        <v>1.0442094662638499</v>
      </c>
      <c r="E536">
        <v>0.90287009063444101</v>
      </c>
      <c r="F536">
        <v>1.0828298086606201</v>
      </c>
      <c r="G536">
        <v>1.3036253776435001</v>
      </c>
      <c r="H536">
        <v>1.3850956696878101</v>
      </c>
      <c r="I536">
        <v>1.8041289023162099</v>
      </c>
      <c r="J536">
        <v>1.82532729103726</v>
      </c>
      <c r="K536">
        <v>1.3232628398791499</v>
      </c>
      <c r="L536">
        <v>2167.6253143662102</v>
      </c>
      <c r="M536">
        <v>38.5242164747809</v>
      </c>
      <c r="O536">
        <v>56.115592855181802</v>
      </c>
      <c r="P536">
        <v>8.5814627596001905E-2</v>
      </c>
      <c r="Q536">
        <v>1.5</v>
      </c>
      <c r="R536">
        <v>0.69052481753952</v>
      </c>
      <c r="S536" t="s">
        <v>2538</v>
      </c>
      <c r="T536" t="s">
        <v>4002</v>
      </c>
      <c r="U536" t="s">
        <v>4002</v>
      </c>
      <c r="V536" t="s">
        <v>4002</v>
      </c>
      <c r="W536" t="s">
        <v>4533</v>
      </c>
      <c r="X536">
        <v>1</v>
      </c>
      <c r="Y536" t="s">
        <v>6508</v>
      </c>
      <c r="Z536" t="s">
        <v>8434</v>
      </c>
      <c r="AA536">
        <v>1.2268130911061541</v>
      </c>
      <c r="AB536" t="str">
        <f>HYPERLINK("Melting_Curves/meltCurve_H0Y5R6_UROD.pdf", "Melting_Curves/meltCurve_H0Y5R6_UROD.pdf")</f>
        <v>Melting_Curves/meltCurve_H0Y5R6_UROD.pdf</v>
      </c>
    </row>
    <row r="537" spans="1:28" x14ac:dyDescent="0.25">
      <c r="A537" t="s">
        <v>541</v>
      </c>
      <c r="B537">
        <v>1</v>
      </c>
      <c r="C537">
        <v>0.86342444073741398</v>
      </c>
      <c r="D537">
        <v>0.84327815560973496</v>
      </c>
      <c r="E537">
        <v>0.94296163223405605</v>
      </c>
      <c r="F537">
        <v>0.83286282561272895</v>
      </c>
      <c r="G537">
        <v>1.08169724966851</v>
      </c>
      <c r="H537">
        <v>0.86308225330424704</v>
      </c>
      <c r="I537">
        <v>1.10492322169468</v>
      </c>
      <c r="J537">
        <v>0.88744172120278897</v>
      </c>
      <c r="K537">
        <v>1.02613456520809</v>
      </c>
      <c r="L537">
        <v>10228.6100604599</v>
      </c>
      <c r="M537">
        <v>250</v>
      </c>
      <c r="O537">
        <v>40.9118277143805</v>
      </c>
      <c r="P537">
        <v>-9.4069716693790703E-2</v>
      </c>
      <c r="Q537">
        <v>0.93842298399040602</v>
      </c>
      <c r="R537">
        <v>3.65076265283584E-2</v>
      </c>
      <c r="S537" t="s">
        <v>2539</v>
      </c>
      <c r="T537" t="s">
        <v>4002</v>
      </c>
      <c r="U537" t="s">
        <v>4002</v>
      </c>
      <c r="V537" t="s">
        <v>4002</v>
      </c>
      <c r="W537" t="s">
        <v>4534</v>
      </c>
      <c r="X537">
        <v>1</v>
      </c>
      <c r="Y537" t="s">
        <v>6509</v>
      </c>
      <c r="Z537" t="s">
        <v>8435</v>
      </c>
      <c r="AA537">
        <v>0.9403054036454056</v>
      </c>
      <c r="AB537" t="str">
        <f>HYPERLINK("Melting_Curves/meltCurve_H0Y612_TRIM33.pdf", "Melting_Curves/meltCurve_H0Y612_TRIM33.pdf")</f>
        <v>Melting_Curves/meltCurve_H0Y612_TRIM33.pdf</v>
      </c>
    </row>
    <row r="538" spans="1:28" x14ac:dyDescent="0.25">
      <c r="A538" t="s">
        <v>542</v>
      </c>
      <c r="B538">
        <v>1</v>
      </c>
      <c r="C538">
        <v>1.0331530031904601</v>
      </c>
      <c r="D538">
        <v>1.1815785823276499</v>
      </c>
      <c r="E538">
        <v>1.3605909280066599</v>
      </c>
      <c r="F538">
        <v>1.2204882785407101</v>
      </c>
      <c r="G538">
        <v>1.3712026633374901</v>
      </c>
      <c r="H538">
        <v>1.4388958246636101</v>
      </c>
      <c r="I538">
        <v>1.59550561797753</v>
      </c>
      <c r="J538">
        <v>1.56505756693023</v>
      </c>
      <c r="K538">
        <v>1.38271604938272</v>
      </c>
      <c r="L538">
        <v>576.22219718610199</v>
      </c>
      <c r="M538">
        <v>11.647073693434301</v>
      </c>
      <c r="O538">
        <v>48.082614158294902</v>
      </c>
      <c r="P538">
        <v>3.02870018957591E-2</v>
      </c>
      <c r="Q538">
        <v>1.5</v>
      </c>
      <c r="R538">
        <v>0.82834556161712203</v>
      </c>
      <c r="S538" t="s">
        <v>2540</v>
      </c>
      <c r="T538" t="s">
        <v>4002</v>
      </c>
      <c r="U538" t="s">
        <v>4002</v>
      </c>
      <c r="V538" t="s">
        <v>4002</v>
      </c>
      <c r="W538" t="s">
        <v>4535</v>
      </c>
      <c r="X538">
        <v>3</v>
      </c>
      <c r="Y538" t="s">
        <v>6510</v>
      </c>
      <c r="Z538" t="s">
        <v>8436</v>
      </c>
      <c r="AA538">
        <v>1.32337521449328</v>
      </c>
      <c r="AB538" t="str">
        <f>HYPERLINK("Melting_Curves/meltCurve_H0Y614_UFM1.pdf", "Melting_Curves/meltCurve_H0Y614_UFM1.pdf")</f>
        <v>Melting_Curves/meltCurve_H0Y614_UFM1.pdf</v>
      </c>
    </row>
    <row r="539" spans="1:28" x14ac:dyDescent="0.25">
      <c r="A539" t="s">
        <v>543</v>
      </c>
      <c r="B539">
        <v>1</v>
      </c>
      <c r="C539">
        <v>0.80808719001737495</v>
      </c>
      <c r="D539">
        <v>0.88580003159058596</v>
      </c>
      <c r="E539">
        <v>0.86261254146264399</v>
      </c>
      <c r="F539">
        <v>0.95087663876164896</v>
      </c>
      <c r="G539">
        <v>1.0003159058600499</v>
      </c>
      <c r="H539">
        <v>1.0528510503869799</v>
      </c>
      <c r="I539">
        <v>1.0570525983257</v>
      </c>
      <c r="J539">
        <v>1.4387932396145899</v>
      </c>
      <c r="K539">
        <v>0.90409098088769502</v>
      </c>
      <c r="L539">
        <v>15000</v>
      </c>
      <c r="M539">
        <v>233.68126704680901</v>
      </c>
      <c r="O539">
        <v>64.185295452309404</v>
      </c>
      <c r="P539">
        <v>0.15603097542254499</v>
      </c>
      <c r="Q539">
        <v>1.1714282792644399</v>
      </c>
      <c r="R539">
        <v>0.22195360191227201</v>
      </c>
      <c r="S539" t="s">
        <v>2541</v>
      </c>
      <c r="T539" t="s">
        <v>4002</v>
      </c>
      <c r="U539" t="s">
        <v>4002</v>
      </c>
      <c r="V539" t="s">
        <v>4002</v>
      </c>
      <c r="W539" t="s">
        <v>4536</v>
      </c>
      <c r="X539">
        <v>2</v>
      </c>
      <c r="Y539" t="s">
        <v>6511</v>
      </c>
      <c r="Z539" t="s">
        <v>8437</v>
      </c>
      <c r="AA539">
        <v>1.033177852512152</v>
      </c>
      <c r="AB539" t="str">
        <f>HYPERLINK("Melting_Curves/meltCurve_H0Y630_STK24.pdf", "Melting_Curves/meltCurve_H0Y630_STK24.pdf")</f>
        <v>Melting_Curves/meltCurve_H0Y630_STK24.pdf</v>
      </c>
    </row>
    <row r="540" spans="1:28" x14ac:dyDescent="0.25">
      <c r="A540" t="s">
        <v>544</v>
      </c>
      <c r="B540">
        <v>1</v>
      </c>
      <c r="C540">
        <v>0.931696044711952</v>
      </c>
      <c r="D540">
        <v>0.95471481799942703</v>
      </c>
      <c r="E540">
        <v>0.89518844941243902</v>
      </c>
      <c r="F540">
        <v>0.78183218687302902</v>
      </c>
      <c r="G540">
        <v>0.832831756950416</v>
      </c>
      <c r="H540">
        <v>0.59438592719977101</v>
      </c>
      <c r="I540">
        <v>0.93250214961306999</v>
      </c>
      <c r="J540">
        <v>0.70824376612209805</v>
      </c>
      <c r="K540">
        <v>0.76794926913155603</v>
      </c>
      <c r="L540">
        <v>773.03517566496305</v>
      </c>
      <c r="M540">
        <v>15.631316321316699</v>
      </c>
      <c r="O540">
        <v>48.6660759394208</v>
      </c>
      <c r="P540">
        <v>-1.9763228950525898E-2</v>
      </c>
      <c r="Q540">
        <v>0.75390016364785795</v>
      </c>
      <c r="R540">
        <v>0.52582756997506297</v>
      </c>
      <c r="S540" t="s">
        <v>2542</v>
      </c>
      <c r="T540" t="s">
        <v>4002</v>
      </c>
      <c r="U540" t="s">
        <v>4002</v>
      </c>
      <c r="V540" t="s">
        <v>4002</v>
      </c>
      <c r="W540" t="s">
        <v>4537</v>
      </c>
      <c r="X540">
        <v>4</v>
      </c>
      <c r="Y540" t="s">
        <v>6512</v>
      </c>
      <c r="Z540" t="s">
        <v>8438</v>
      </c>
      <c r="AA540">
        <v>0.8369941441122587</v>
      </c>
      <c r="AB540" t="str">
        <f>HYPERLINK("Melting_Curves/meltCurve_H0Y750_ATP6AP2.pdf", "Melting_Curves/meltCurve_H0Y750_ATP6AP2.pdf")</f>
        <v>Melting_Curves/meltCurve_H0Y750_ATP6AP2.pdf</v>
      </c>
    </row>
    <row r="541" spans="1:28" x14ac:dyDescent="0.25">
      <c r="A541" t="s">
        <v>545</v>
      </c>
      <c r="B541">
        <v>1</v>
      </c>
      <c r="C541">
        <v>0.89314811752384105</v>
      </c>
      <c r="D541">
        <v>0.873854804035059</v>
      </c>
      <c r="E541">
        <v>0.91362107932308001</v>
      </c>
      <c r="F541">
        <v>0.88920125682156403</v>
      </c>
      <c r="G541">
        <v>1.0475276996857901</v>
      </c>
      <c r="H541">
        <v>0.74994763243481599</v>
      </c>
      <c r="I541">
        <v>1.3124965547654499</v>
      </c>
      <c r="J541">
        <v>0.80791577090568301</v>
      </c>
      <c r="K541">
        <v>1.0028995093986</v>
      </c>
      <c r="L541">
        <v>10232.243423587601</v>
      </c>
      <c r="M541">
        <v>250</v>
      </c>
      <c r="O541">
        <v>40.9263358961297</v>
      </c>
      <c r="P541">
        <v>-8.6433562610103903E-2</v>
      </c>
      <c r="Q541">
        <v>0.94340142988201703</v>
      </c>
      <c r="R541">
        <v>1.3076858379895299E-2</v>
      </c>
      <c r="S541" t="s">
        <v>2543</v>
      </c>
      <c r="T541" t="s">
        <v>4002</v>
      </c>
      <c r="U541" t="s">
        <v>4002</v>
      </c>
      <c r="V541" t="s">
        <v>4002</v>
      </c>
      <c r="W541" t="s">
        <v>4538</v>
      </c>
      <c r="X541">
        <v>4</v>
      </c>
      <c r="Y541" t="s">
        <v>6513</v>
      </c>
      <c r="Z541" t="s">
        <v>8439</v>
      </c>
      <c r="AA541">
        <v>0.94515899431162642</v>
      </c>
      <c r="AB541" t="str">
        <f>HYPERLINK("Melting_Curves/meltCurve_H0Y755_FCGR3A.pdf", "Melting_Curves/meltCurve_H0Y755_FCGR3A.pdf")</f>
        <v>Melting_Curves/meltCurve_H0Y755_FCGR3A.pdf</v>
      </c>
    </row>
    <row r="542" spans="1:28" x14ac:dyDescent="0.25">
      <c r="A542" t="s">
        <v>546</v>
      </c>
      <c r="B542">
        <v>1</v>
      </c>
      <c r="C542">
        <v>1.06193086123719</v>
      </c>
      <c r="D542">
        <v>1.1380348833889999</v>
      </c>
      <c r="E542">
        <v>1.22825497416574</v>
      </c>
      <c r="F542">
        <v>1.26135422911136</v>
      </c>
      <c r="G542">
        <v>1.2463532299962901</v>
      </c>
      <c r="H542">
        <v>0.98852444977305798</v>
      </c>
      <c r="I542">
        <v>1.2725014986726</v>
      </c>
      <c r="J542">
        <v>1.09618623504896</v>
      </c>
      <c r="K542">
        <v>1.1571037081442199</v>
      </c>
      <c r="L542">
        <v>1614.16867404552</v>
      </c>
      <c r="M542">
        <v>36.867030574912597</v>
      </c>
      <c r="O542">
        <v>43.655303842152698</v>
      </c>
      <c r="P542">
        <v>3.7447816430416898E-2</v>
      </c>
      <c r="Q542">
        <v>1.1773716069062701</v>
      </c>
      <c r="R542">
        <v>0.34700783606257701</v>
      </c>
      <c r="S542" t="s">
        <v>2544</v>
      </c>
      <c r="T542" t="s">
        <v>4002</v>
      </c>
      <c r="U542" t="s">
        <v>4002</v>
      </c>
      <c r="V542" t="s">
        <v>4002</v>
      </c>
      <c r="W542" t="s">
        <v>4539</v>
      </c>
      <c r="X542">
        <v>1</v>
      </c>
      <c r="Y542" t="s">
        <v>6514</v>
      </c>
      <c r="Z542" t="s">
        <v>8440</v>
      </c>
      <c r="AA542">
        <v>1.154200492824289</v>
      </c>
      <c r="AB542" t="str">
        <f>HYPERLINK("Melting_Curves/meltCurve_H0Y798_PCCA.pdf", "Melting_Curves/meltCurve_H0Y798_PCCA.pdf")</f>
        <v>Melting_Curves/meltCurve_H0Y798_PCCA.pdf</v>
      </c>
    </row>
    <row r="543" spans="1:28" x14ac:dyDescent="0.25">
      <c r="A543" t="s">
        <v>547</v>
      </c>
      <c r="B543">
        <v>1</v>
      </c>
      <c r="C543">
        <v>0.93759485437594803</v>
      </c>
      <c r="D543">
        <v>1.21500325215003</v>
      </c>
      <c r="E543">
        <v>1.65368215653682</v>
      </c>
      <c r="F543">
        <v>1.58253234082532</v>
      </c>
      <c r="G543">
        <v>1.82116788321168</v>
      </c>
      <c r="H543">
        <v>1.5663438606634399</v>
      </c>
      <c r="I543">
        <v>2.0696682806966802</v>
      </c>
      <c r="J543">
        <v>1.6922020669220199</v>
      </c>
      <c r="K543">
        <v>1.7801546578015499</v>
      </c>
      <c r="L543">
        <v>11512.963932803699</v>
      </c>
      <c r="M543">
        <v>250</v>
      </c>
      <c r="O543">
        <v>46.048908579430098</v>
      </c>
      <c r="P543">
        <v>0.67862628901941102</v>
      </c>
      <c r="Q543">
        <v>1.5</v>
      </c>
      <c r="R543">
        <v>0.52125736371998799</v>
      </c>
      <c r="S543" t="s">
        <v>2545</v>
      </c>
      <c r="T543" t="s">
        <v>4002</v>
      </c>
      <c r="U543" t="s">
        <v>4002</v>
      </c>
      <c r="V543" t="s">
        <v>4002</v>
      </c>
      <c r="W543" t="s">
        <v>4540</v>
      </c>
      <c r="X543">
        <v>1</v>
      </c>
      <c r="Y543" t="s">
        <v>6515</v>
      </c>
      <c r="Z543" t="s">
        <v>8441</v>
      </c>
      <c r="AA543">
        <v>1.3990953276680449</v>
      </c>
      <c r="AB543" t="str">
        <f>HYPERLINK("Melting_Curves/meltCurve_H0Y7V4_DNAH8.pdf", "Melting_Curves/meltCurve_H0Y7V4_DNAH8.pdf")</f>
        <v>Melting_Curves/meltCurve_H0Y7V4_DNAH8.pdf</v>
      </c>
    </row>
    <row r="544" spans="1:28" x14ac:dyDescent="0.25">
      <c r="A544" t="s">
        <v>548</v>
      </c>
      <c r="B544">
        <v>1</v>
      </c>
      <c r="C544">
        <v>1.1239005736137699</v>
      </c>
      <c r="D544">
        <v>0.98954748247291302</v>
      </c>
      <c r="E544">
        <v>1.1607818143191</v>
      </c>
      <c r="F544">
        <v>1.31234331846187</v>
      </c>
      <c r="G544">
        <v>1.38121946037816</v>
      </c>
      <c r="H544">
        <v>1.3848311026131299</v>
      </c>
      <c r="I544">
        <v>2.5134055661780299</v>
      </c>
      <c r="J544">
        <v>2.5506267261525402</v>
      </c>
      <c r="K544">
        <v>2.4650520501380901</v>
      </c>
      <c r="L544">
        <v>1563.6088044805599</v>
      </c>
      <c r="M544">
        <v>30.196469718988801</v>
      </c>
      <c r="O544">
        <v>51.555673553643302</v>
      </c>
      <c r="P544">
        <v>7.3213722191052599E-2</v>
      </c>
      <c r="Q544">
        <v>1.5</v>
      </c>
      <c r="R544">
        <v>0.18617504669922</v>
      </c>
      <c r="S544" t="s">
        <v>2546</v>
      </c>
      <c r="T544" t="s">
        <v>4002</v>
      </c>
      <c r="U544" t="s">
        <v>4002</v>
      </c>
      <c r="V544" t="s">
        <v>4002</v>
      </c>
      <c r="W544" t="s">
        <v>4541</v>
      </c>
      <c r="X544">
        <v>1</v>
      </c>
      <c r="Y544" t="s">
        <v>6516</v>
      </c>
      <c r="Z544" t="s">
        <v>8442</v>
      </c>
      <c r="AA544">
        <v>1.300504374234899</v>
      </c>
      <c r="AB544" t="str">
        <f>HYPERLINK("Melting_Curves/meltCurve_H0Y8I3_PGM3.pdf", "Melting_Curves/meltCurve_H0Y8I3_PGM3.pdf")</f>
        <v>Melting_Curves/meltCurve_H0Y8I3_PGM3.pdf</v>
      </c>
    </row>
    <row r="545" spans="1:28" x14ac:dyDescent="0.25">
      <c r="A545" t="s">
        <v>549</v>
      </c>
      <c r="B545">
        <v>1</v>
      </c>
      <c r="C545">
        <v>0.96948605669509103</v>
      </c>
      <c r="D545">
        <v>0.92590458631021</v>
      </c>
      <c r="E545">
        <v>0.90297303526158101</v>
      </c>
      <c r="F545">
        <v>0.84505646462318496</v>
      </c>
      <c r="G545">
        <v>0.78727817469463002</v>
      </c>
      <c r="H545">
        <v>0.77096105093339495</v>
      </c>
      <c r="I545">
        <v>0.88089421525697198</v>
      </c>
      <c r="J545">
        <v>0.79073519244065404</v>
      </c>
      <c r="K545">
        <v>0.81590228163171197</v>
      </c>
      <c r="L545">
        <v>761.45323719638895</v>
      </c>
      <c r="M545">
        <v>15.7750950120348</v>
      </c>
      <c r="O545">
        <v>47.513624852201403</v>
      </c>
      <c r="P545">
        <v>-1.6094200379409802E-2</v>
      </c>
      <c r="Q545">
        <v>0.80611707132874699</v>
      </c>
      <c r="R545">
        <v>0.83830107790267605</v>
      </c>
      <c r="S545" t="s">
        <v>2547</v>
      </c>
      <c r="T545" t="s">
        <v>4002</v>
      </c>
      <c r="U545" t="s">
        <v>4002</v>
      </c>
      <c r="V545" t="s">
        <v>4002</v>
      </c>
      <c r="W545" t="s">
        <v>4542</v>
      </c>
      <c r="X545">
        <v>1</v>
      </c>
      <c r="Y545" t="s">
        <v>6517</v>
      </c>
      <c r="Z545" t="s">
        <v>8443</v>
      </c>
      <c r="AA545">
        <v>0.86402193867180299</v>
      </c>
      <c r="AB545" t="str">
        <f>HYPERLINK("Melting_Curves/meltCurve_H0Y961_SEPT11.pdf", "Melting_Curves/meltCurve_H0Y961_SEPT11.pdf")</f>
        <v>Melting_Curves/meltCurve_H0Y961_SEPT11.pdf</v>
      </c>
    </row>
    <row r="546" spans="1:28" x14ac:dyDescent="0.25">
      <c r="A546" t="s">
        <v>550</v>
      </c>
      <c r="B546">
        <v>1</v>
      </c>
      <c r="C546">
        <v>1.02941480919191</v>
      </c>
      <c r="D546">
        <v>1.0594851977089199</v>
      </c>
      <c r="E546">
        <v>0.99737768269960703</v>
      </c>
      <c r="F546">
        <v>1.0974742943896201</v>
      </c>
      <c r="G546">
        <v>1.07040576909806</v>
      </c>
      <c r="H546">
        <v>1.0625905734593899</v>
      </c>
      <c r="I546">
        <v>1.4706887033331</v>
      </c>
      <c r="J546">
        <v>1.03955903664343</v>
      </c>
      <c r="K546">
        <v>1.1607204471741099</v>
      </c>
      <c r="L546">
        <v>967.88679398901104</v>
      </c>
      <c r="M546">
        <v>17.291635841418</v>
      </c>
      <c r="O546">
        <v>55.241757692421302</v>
      </c>
      <c r="P546">
        <v>1.5496813896792401E-2</v>
      </c>
      <c r="Q546">
        <v>1.1980197687282299</v>
      </c>
      <c r="R546">
        <v>0.27518593379360901</v>
      </c>
      <c r="S546" t="s">
        <v>2548</v>
      </c>
      <c r="T546" t="s">
        <v>4002</v>
      </c>
      <c r="U546" t="s">
        <v>4002</v>
      </c>
      <c r="V546" t="s">
        <v>4002</v>
      </c>
      <c r="W546" t="s">
        <v>4543</v>
      </c>
      <c r="X546">
        <v>1</v>
      </c>
      <c r="Y546" t="s">
        <v>6518</v>
      </c>
      <c r="Z546" t="s">
        <v>8444</v>
      </c>
      <c r="AA546">
        <v>1.08951891443883</v>
      </c>
      <c r="AB546" t="str">
        <f>HYPERLINK("Melting_Curves/meltCurve_H0Y9I0_MLLT4.pdf", "Melting_Curves/meltCurve_H0Y9I0_MLLT4.pdf")</f>
        <v>Melting_Curves/meltCurve_H0Y9I0_MLLT4.pdf</v>
      </c>
    </row>
    <row r="547" spans="1:28" x14ac:dyDescent="0.25">
      <c r="A547" t="s">
        <v>551</v>
      </c>
      <c r="B547">
        <v>1</v>
      </c>
      <c r="C547">
        <v>1.09579998349699</v>
      </c>
      <c r="D547">
        <v>1.0405148939681499</v>
      </c>
      <c r="E547">
        <v>1.37412327749814</v>
      </c>
      <c r="F547">
        <v>0.96328079874577099</v>
      </c>
      <c r="G547">
        <v>1.0257446984074601</v>
      </c>
      <c r="H547">
        <v>1.2526611106526899</v>
      </c>
      <c r="I547">
        <v>1.3004373298126899</v>
      </c>
      <c r="J547">
        <v>1.3500288802706499</v>
      </c>
      <c r="K547">
        <v>0.91731991088373599</v>
      </c>
      <c r="L547">
        <v>998.18374664811301</v>
      </c>
      <c r="M547">
        <v>22.6870730959001</v>
      </c>
      <c r="O547">
        <v>43.660342166188897</v>
      </c>
      <c r="P547">
        <v>2.12330675292382E-2</v>
      </c>
      <c r="Q547">
        <v>1.1634454454865</v>
      </c>
      <c r="R547">
        <v>9.8755603051776802E-2</v>
      </c>
      <c r="S547" t="s">
        <v>2549</v>
      </c>
      <c r="T547" t="s">
        <v>4002</v>
      </c>
      <c r="U547" t="s">
        <v>4002</v>
      </c>
      <c r="V547" t="s">
        <v>4002</v>
      </c>
      <c r="W547" t="s">
        <v>4544</v>
      </c>
      <c r="X547">
        <v>1</v>
      </c>
      <c r="Y547" t="s">
        <v>6519</v>
      </c>
      <c r="Z547" t="s">
        <v>8445</v>
      </c>
      <c r="AA547">
        <v>1.139297536843318</v>
      </c>
      <c r="AB547" t="str">
        <f>HYPERLINK("Melting_Curves/meltCurve_H0Y9J0_RAP1GDS1.pdf", "Melting_Curves/meltCurve_H0Y9J0_RAP1GDS1.pdf")</f>
        <v>Melting_Curves/meltCurve_H0Y9J0_RAP1GDS1.pdf</v>
      </c>
    </row>
    <row r="548" spans="1:28" x14ac:dyDescent="0.25">
      <c r="A548" t="s">
        <v>552</v>
      </c>
      <c r="B548">
        <v>1</v>
      </c>
      <c r="C548">
        <v>0.96728449543983497</v>
      </c>
      <c r="D548">
        <v>1.5197999411591601</v>
      </c>
      <c r="E548">
        <v>1.41341571050309</v>
      </c>
      <c r="F548">
        <v>1.43965872315387</v>
      </c>
      <c r="G548">
        <v>1.7782681180739399</v>
      </c>
      <c r="H548">
        <v>1.3219966656859901</v>
      </c>
      <c r="I548">
        <v>1.6946160635481</v>
      </c>
      <c r="J548">
        <v>3.1434735706580401</v>
      </c>
      <c r="K548">
        <v>1.7639894086496</v>
      </c>
      <c r="L548">
        <v>11111.6083531412</v>
      </c>
      <c r="M548">
        <v>250</v>
      </c>
      <c r="O548">
        <v>44.443589106001397</v>
      </c>
      <c r="P548">
        <v>0.70313853233725099</v>
      </c>
      <c r="Q548">
        <v>1.5</v>
      </c>
      <c r="R548">
        <v>0.126411771015743</v>
      </c>
      <c r="S548" t="s">
        <v>2550</v>
      </c>
      <c r="T548" t="s">
        <v>4002</v>
      </c>
      <c r="U548" t="s">
        <v>4002</v>
      </c>
      <c r="V548" t="s">
        <v>4002</v>
      </c>
      <c r="W548" t="s">
        <v>4545</v>
      </c>
      <c r="X548">
        <v>1</v>
      </c>
      <c r="Y548" t="s">
        <v>6520</v>
      </c>
      <c r="Z548" t="s">
        <v>8446</v>
      </c>
      <c r="AA548">
        <v>1.4258537750578011</v>
      </c>
      <c r="AB548" t="str">
        <f>HYPERLINK("Melting_Curves/meltCurve_H0Y9X3_PDCD6.pdf", "Melting_Curves/meltCurve_H0Y9X3_PDCD6.pdf")</f>
        <v>Melting_Curves/meltCurve_H0Y9X3_PDCD6.pdf</v>
      </c>
    </row>
    <row r="549" spans="1:28" x14ac:dyDescent="0.25">
      <c r="A549" t="s">
        <v>553</v>
      </c>
      <c r="B549">
        <v>1</v>
      </c>
      <c r="C549">
        <v>1.0063445067146</v>
      </c>
      <c r="D549">
        <v>1.10780374325896</v>
      </c>
      <c r="E549">
        <v>0.79655281801839894</v>
      </c>
      <c r="F549">
        <v>1.0359522047160801</v>
      </c>
      <c r="G549">
        <v>1.1282119065242699</v>
      </c>
      <c r="H549">
        <v>1.2161890663001</v>
      </c>
      <c r="I549">
        <v>1.77228507983504</v>
      </c>
      <c r="J549">
        <v>2.0001586126678599</v>
      </c>
      <c r="K549">
        <v>1.75938458284868</v>
      </c>
      <c r="L549">
        <v>15000</v>
      </c>
      <c r="M549">
        <v>245.62960154884601</v>
      </c>
      <c r="O549">
        <v>61.063507885243503</v>
      </c>
      <c r="P549">
        <v>0.50281584222921005</v>
      </c>
      <c r="Q549">
        <v>1.5</v>
      </c>
      <c r="R549">
        <v>0.69053126402410203</v>
      </c>
      <c r="S549" t="s">
        <v>2551</v>
      </c>
      <c r="T549" t="s">
        <v>4002</v>
      </c>
      <c r="U549" t="s">
        <v>4002</v>
      </c>
      <c r="V549" t="s">
        <v>4002</v>
      </c>
      <c r="W549" t="s">
        <v>4546</v>
      </c>
      <c r="X549">
        <v>1</v>
      </c>
      <c r="Y549" t="s">
        <v>6521</v>
      </c>
      <c r="Z549" t="s">
        <v>8447</v>
      </c>
      <c r="AA549">
        <v>1.148818518605355</v>
      </c>
      <c r="AB549" t="str">
        <f>HYPERLINK("Melting_Curves/meltCurve_H0YA68_MAN2B2.pdf", "Melting_Curves/meltCurve_H0YA68_MAN2B2.pdf")</f>
        <v>Melting_Curves/meltCurve_H0YA68_MAN2B2.pdf</v>
      </c>
    </row>
    <row r="550" spans="1:28" x14ac:dyDescent="0.25">
      <c r="A550" t="s">
        <v>554</v>
      </c>
      <c r="B550">
        <v>1</v>
      </c>
      <c r="C550">
        <v>0.98067108582155205</v>
      </c>
      <c r="D550">
        <v>1.0789288437848299</v>
      </c>
      <c r="E550">
        <v>1.34680588959934</v>
      </c>
      <c r="F550">
        <v>1.69402240863495</v>
      </c>
      <c r="G550">
        <v>2.5290080366046799</v>
      </c>
      <c r="H550">
        <v>2.2223265090631799</v>
      </c>
      <c r="I550">
        <v>4.1203730861735197</v>
      </c>
      <c r="J550">
        <v>2.3438728221974499</v>
      </c>
      <c r="K550">
        <v>2.82076025107057</v>
      </c>
      <c r="L550">
        <v>12459.146895003199</v>
      </c>
      <c r="M550">
        <v>250</v>
      </c>
      <c r="O550">
        <v>49.8333986097199</v>
      </c>
      <c r="P550">
        <v>0.62708948334696901</v>
      </c>
      <c r="Q550">
        <v>1.5</v>
      </c>
      <c r="R550">
        <v>-0.21331891298960301</v>
      </c>
      <c r="S550" t="s">
        <v>2552</v>
      </c>
      <c r="T550" t="s">
        <v>4002</v>
      </c>
      <c r="U550" t="s">
        <v>4002</v>
      </c>
      <c r="V550" t="s">
        <v>4002</v>
      </c>
      <c r="W550" t="s">
        <v>4547</v>
      </c>
      <c r="X550">
        <v>10</v>
      </c>
      <c r="Y550" t="s">
        <v>6522</v>
      </c>
      <c r="Z550" t="s">
        <v>8448</v>
      </c>
      <c r="AA550">
        <v>1.3360131424486661</v>
      </c>
      <c r="AB550" t="str">
        <f>HYPERLINK("Melting_Curves/meltCurve_H0YAC1_KLKB1.pdf", "Melting_Curves/meltCurve_H0YAC1_KLKB1.pdf")</f>
        <v>Melting_Curves/meltCurve_H0YAC1_KLKB1.pdf</v>
      </c>
    </row>
    <row r="551" spans="1:28" x14ac:dyDescent="0.25">
      <c r="A551" t="s">
        <v>555</v>
      </c>
      <c r="B551">
        <v>1</v>
      </c>
      <c r="C551">
        <v>0.92347600518806705</v>
      </c>
      <c r="D551">
        <v>1.1382133592736701</v>
      </c>
      <c r="E551">
        <v>1.18036640726329</v>
      </c>
      <c r="F551">
        <v>2.1905804150454</v>
      </c>
      <c r="G551">
        <v>3.69212062256809</v>
      </c>
      <c r="H551">
        <v>2.7298962386510999</v>
      </c>
      <c r="I551">
        <v>4.5980058365758802</v>
      </c>
      <c r="J551">
        <v>2.5010538261997399</v>
      </c>
      <c r="K551">
        <v>3.5034857328145299</v>
      </c>
      <c r="L551">
        <v>12528.607744094301</v>
      </c>
      <c r="M551">
        <v>250</v>
      </c>
      <c r="O551">
        <v>50.111223503036101</v>
      </c>
      <c r="P551">
        <v>0.623612786744421</v>
      </c>
      <c r="Q551">
        <v>1.5</v>
      </c>
      <c r="R551">
        <v>-0.42211317112192698</v>
      </c>
      <c r="S551" t="s">
        <v>2553</v>
      </c>
      <c r="T551" t="s">
        <v>4002</v>
      </c>
      <c r="U551" t="s">
        <v>4002</v>
      </c>
      <c r="V551" t="s">
        <v>4002</v>
      </c>
      <c r="W551" t="s">
        <v>4548</v>
      </c>
      <c r="X551">
        <v>4</v>
      </c>
      <c r="Y551" t="s">
        <v>6523</v>
      </c>
      <c r="Z551" t="s">
        <v>8449</v>
      </c>
      <c r="AA551">
        <v>1.331382175370508</v>
      </c>
      <c r="AB551" t="str">
        <f>HYPERLINK("Melting_Curves/meltCurve_H0YAL9_TMPRSS11A.pdf", "Melting_Curves/meltCurve_H0YAL9_TMPRSS11A.pdf")</f>
        <v>Melting_Curves/meltCurve_H0YAL9_TMPRSS11A.pdf</v>
      </c>
    </row>
    <row r="552" spans="1:28" x14ac:dyDescent="0.25">
      <c r="A552" t="s">
        <v>556</v>
      </c>
      <c r="B552">
        <v>1</v>
      </c>
      <c r="C552">
        <v>1.0453808752025899</v>
      </c>
      <c r="D552">
        <v>1.3192534545272301</v>
      </c>
      <c r="E552">
        <v>1.1841300606526399</v>
      </c>
      <c r="F552">
        <v>1.22317833213588</v>
      </c>
      <c r="G552">
        <v>1.12775484970509</v>
      </c>
      <c r="H552">
        <v>1.25544286454243</v>
      </c>
      <c r="I552">
        <v>1.2537385754147901</v>
      </c>
      <c r="J552">
        <v>1.3994385871109001</v>
      </c>
      <c r="K552">
        <v>1.21189994820298</v>
      </c>
      <c r="L552">
        <v>10788.945272389999</v>
      </c>
      <c r="M552">
        <v>250</v>
      </c>
      <c r="O552">
        <v>43.153008882809303</v>
      </c>
      <c r="P552">
        <v>0.35752797506353701</v>
      </c>
      <c r="Q552">
        <v>1.2468545862770299</v>
      </c>
      <c r="R552">
        <v>0.626496784685595</v>
      </c>
      <c r="S552" t="s">
        <v>2554</v>
      </c>
      <c r="T552" t="s">
        <v>4002</v>
      </c>
      <c r="U552" t="s">
        <v>4002</v>
      </c>
      <c r="V552" t="s">
        <v>4002</v>
      </c>
      <c r="W552" t="s">
        <v>4549</v>
      </c>
      <c r="X552">
        <v>1</v>
      </c>
      <c r="Y552" t="s">
        <v>6524</v>
      </c>
      <c r="Z552" t="s">
        <v>8450</v>
      </c>
      <c r="AA552">
        <v>1.220868588894368</v>
      </c>
      <c r="AB552" t="str">
        <f>HYPERLINK("Melting_Curves/meltCurve_H0YAZ5_C8orf58.pdf", "Melting_Curves/meltCurve_H0YAZ5_C8orf58.pdf")</f>
        <v>Melting_Curves/meltCurve_H0YAZ5_C8orf58.pdf</v>
      </c>
    </row>
    <row r="553" spans="1:28" x14ac:dyDescent="0.25">
      <c r="A553" t="s">
        <v>557</v>
      </c>
      <c r="B553">
        <v>1</v>
      </c>
      <c r="C553">
        <v>0.85813614931664595</v>
      </c>
      <c r="D553">
        <v>1.10073224257436</v>
      </c>
      <c r="E553">
        <v>1.12502444429959</v>
      </c>
      <c r="F553">
        <v>1.5500510614258101</v>
      </c>
      <c r="G553">
        <v>1.46678834495796</v>
      </c>
      <c r="H553">
        <v>0.97814136410055796</v>
      </c>
      <c r="I553">
        <v>2.0114073398083598</v>
      </c>
      <c r="J553">
        <v>1.4385850552984401</v>
      </c>
      <c r="K553">
        <v>1.3404167481476701</v>
      </c>
      <c r="L553">
        <v>12549.904693180801</v>
      </c>
      <c r="M553">
        <v>250</v>
      </c>
      <c r="O553">
        <v>50.196406344569098</v>
      </c>
      <c r="P553">
        <v>0.57801913593264898</v>
      </c>
      <c r="Q553">
        <v>1.4642317340773301</v>
      </c>
      <c r="R553">
        <v>0.45166341934750798</v>
      </c>
      <c r="S553" t="s">
        <v>2555</v>
      </c>
      <c r="T553" t="s">
        <v>4002</v>
      </c>
      <c r="U553" t="s">
        <v>4002</v>
      </c>
      <c r="V553" t="s">
        <v>4002</v>
      </c>
      <c r="W553" t="s">
        <v>4550</v>
      </c>
      <c r="X553">
        <v>1</v>
      </c>
      <c r="Y553" t="s">
        <v>6525</v>
      </c>
      <c r="Z553" t="s">
        <v>8451</v>
      </c>
      <c r="AA553">
        <v>1.306357945144317</v>
      </c>
      <c r="AB553" t="str">
        <f>HYPERLINK("Melting_Curves/meltCurve_H0YBD0_AP3B1.pdf", "Melting_Curves/meltCurve_H0YBD0_AP3B1.pdf")</f>
        <v>Melting_Curves/meltCurve_H0YBD0_AP3B1.pdf</v>
      </c>
    </row>
    <row r="554" spans="1:28" x14ac:dyDescent="0.25">
      <c r="A554" t="s">
        <v>558</v>
      </c>
      <c r="B554">
        <v>1</v>
      </c>
      <c r="C554">
        <v>1.0147452920562201</v>
      </c>
      <c r="D554">
        <v>1.2432851928650199</v>
      </c>
      <c r="E554">
        <v>1.3473268095116799</v>
      </c>
      <c r="F554">
        <v>1.0654201074369101</v>
      </c>
      <c r="G554">
        <v>1.28645397552961</v>
      </c>
      <c r="H554">
        <v>0.92084106369820695</v>
      </c>
      <c r="I554">
        <v>1.1890089369081001</v>
      </c>
      <c r="J554">
        <v>1.7385135872530799</v>
      </c>
      <c r="K554">
        <v>1.0898298713424801</v>
      </c>
      <c r="L554">
        <v>10841.011930230499</v>
      </c>
      <c r="M554">
        <v>250</v>
      </c>
      <c r="O554">
        <v>43.361273735516598</v>
      </c>
      <c r="P554">
        <v>0.33884637295810699</v>
      </c>
      <c r="Q554">
        <v>1.2350849594778299</v>
      </c>
      <c r="R554">
        <v>0.16529526470370401</v>
      </c>
      <c r="S554" t="s">
        <v>2556</v>
      </c>
      <c r="T554" t="s">
        <v>4002</v>
      </c>
      <c r="U554" t="s">
        <v>4002</v>
      </c>
      <c r="V554" t="s">
        <v>4002</v>
      </c>
      <c r="W554" t="s">
        <v>4551</v>
      </c>
      <c r="X554">
        <v>2</v>
      </c>
      <c r="Y554" t="s">
        <v>6526</v>
      </c>
      <c r="Z554" t="s">
        <v>8452</v>
      </c>
      <c r="AA554">
        <v>1.2087058346806989</v>
      </c>
      <c r="AB554" t="str">
        <f>HYPERLINK("Melting_Curves/meltCurve_H0YC33_LARP1.pdf", "Melting_Curves/meltCurve_H0YC33_LARP1.pdf")</f>
        <v>Melting_Curves/meltCurve_H0YC33_LARP1.pdf</v>
      </c>
    </row>
    <row r="555" spans="1:28" x14ac:dyDescent="0.25">
      <c r="A555" t="s">
        <v>559</v>
      </c>
      <c r="B555">
        <v>1</v>
      </c>
      <c r="C555">
        <v>0.836693671194493</v>
      </c>
      <c r="D555">
        <v>1.3479320216848401</v>
      </c>
      <c r="E555">
        <v>0.98952305536943397</v>
      </c>
      <c r="F555">
        <v>0.67137723091916901</v>
      </c>
      <c r="G555">
        <v>0.66406773466528601</v>
      </c>
      <c r="H555">
        <v>0.89571785344459998</v>
      </c>
      <c r="I555">
        <v>0.76834988122068604</v>
      </c>
      <c r="J555">
        <v>1.0477553755253699</v>
      </c>
      <c r="K555">
        <v>0.80252177620759002</v>
      </c>
      <c r="L555">
        <v>12642.3959742324</v>
      </c>
      <c r="M555">
        <v>250</v>
      </c>
      <c r="O555">
        <v>50.566347428658801</v>
      </c>
      <c r="P555">
        <v>-0.23694309150256801</v>
      </c>
      <c r="Q555">
        <v>0.80829845192461702</v>
      </c>
      <c r="R555">
        <v>0.33050876701123899</v>
      </c>
      <c r="S555" t="s">
        <v>2557</v>
      </c>
      <c r="T555" t="s">
        <v>4002</v>
      </c>
      <c r="U555" t="s">
        <v>4002</v>
      </c>
      <c r="V555" t="s">
        <v>4002</v>
      </c>
      <c r="W555" t="s">
        <v>4552</v>
      </c>
      <c r="X555">
        <v>1</v>
      </c>
      <c r="Y555" t="s">
        <v>6527</v>
      </c>
      <c r="Z555" t="s">
        <v>8453</v>
      </c>
      <c r="AA555">
        <v>0.8758556517317041</v>
      </c>
      <c r="AB555" t="str">
        <f>HYPERLINK("Melting_Curves/meltCurve_H0YC68_GSR.pdf", "Melting_Curves/meltCurve_H0YC68_GSR.pdf")</f>
        <v>Melting_Curves/meltCurve_H0YC68_GSR.pdf</v>
      </c>
    </row>
    <row r="556" spans="1:28" x14ac:dyDescent="0.25">
      <c r="A556" t="s">
        <v>560</v>
      </c>
      <c r="B556">
        <v>1</v>
      </c>
      <c r="C556">
        <v>1.1246177370030599</v>
      </c>
      <c r="D556">
        <v>1.1131498470948</v>
      </c>
      <c r="E556">
        <v>1.08498980632008</v>
      </c>
      <c r="F556">
        <v>1.19164118246687</v>
      </c>
      <c r="G556">
        <v>1.08498980632008</v>
      </c>
      <c r="H556">
        <v>1.04466106014271</v>
      </c>
      <c r="I556">
        <v>1.20304536187564</v>
      </c>
      <c r="J556">
        <v>1.4675713557594301</v>
      </c>
      <c r="K556">
        <v>1.14201070336391</v>
      </c>
      <c r="L556">
        <v>211.30549862077899</v>
      </c>
      <c r="M556">
        <v>2.9505708032989801</v>
      </c>
      <c r="O556">
        <v>52.342211606851897</v>
      </c>
      <c r="P556">
        <v>7.2746380614169097E-3</v>
      </c>
      <c r="Q556">
        <v>1.5</v>
      </c>
      <c r="R556">
        <v>0.28936162413933297</v>
      </c>
      <c r="S556" t="s">
        <v>2558</v>
      </c>
      <c r="T556" t="s">
        <v>4002</v>
      </c>
      <c r="U556" t="s">
        <v>4002</v>
      </c>
      <c r="V556" t="s">
        <v>4002</v>
      </c>
      <c r="W556" t="s">
        <v>4553</v>
      </c>
      <c r="X556">
        <v>1</v>
      </c>
      <c r="Y556" t="s">
        <v>6528</v>
      </c>
      <c r="Z556" t="s">
        <v>8454</v>
      </c>
      <c r="AA556">
        <v>1.14416353633555</v>
      </c>
      <c r="AB556" t="str">
        <f>HYPERLINK("Melting_Curves/meltCurve_H0YCR2_REPS1.pdf", "Melting_Curves/meltCurve_H0YCR2_REPS1.pdf")</f>
        <v>Melting_Curves/meltCurve_H0YCR2_REPS1.pdf</v>
      </c>
    </row>
    <row r="557" spans="1:28" x14ac:dyDescent="0.25">
      <c r="A557" t="s">
        <v>561</v>
      </c>
      <c r="B557">
        <v>1</v>
      </c>
      <c r="C557">
        <v>1.14446813745592</v>
      </c>
      <c r="D557">
        <v>1.47810218978102</v>
      </c>
      <c r="E557">
        <v>1.74981546789141</v>
      </c>
      <c r="F557">
        <v>1.59296317559255</v>
      </c>
      <c r="G557">
        <v>1.84265562207824</v>
      </c>
      <c r="H557">
        <v>1.6861313868613099</v>
      </c>
      <c r="I557">
        <v>2.2280406790781599</v>
      </c>
      <c r="J557">
        <v>1.67493643894038</v>
      </c>
      <c r="K557">
        <v>1.6705896826047699</v>
      </c>
      <c r="L557">
        <v>2724.0883108387502</v>
      </c>
      <c r="M557">
        <v>62.593129110167801</v>
      </c>
      <c r="O557">
        <v>43.476202545217298</v>
      </c>
      <c r="P557">
        <v>0.17996380828319</v>
      </c>
      <c r="Q557">
        <v>1.5</v>
      </c>
      <c r="R557">
        <v>0.244273533356685</v>
      </c>
      <c r="S557" t="s">
        <v>2559</v>
      </c>
      <c r="T557" t="s">
        <v>4002</v>
      </c>
      <c r="U557" t="s">
        <v>4002</v>
      </c>
      <c r="V557" t="s">
        <v>4002</v>
      </c>
      <c r="W557" t="s">
        <v>4554</v>
      </c>
      <c r="X557">
        <v>1</v>
      </c>
      <c r="Y557" t="s">
        <v>6529</v>
      </c>
      <c r="Z557" t="s">
        <v>8455</v>
      </c>
      <c r="AA557">
        <v>1.4406742383710609</v>
      </c>
      <c r="AB557" t="str">
        <f>HYPERLINK("Melting_Curves/meltCurve_H0YCR9_EFEMP2.pdf", "Melting_Curves/meltCurve_H0YCR9_EFEMP2.pdf")</f>
        <v>Melting_Curves/meltCurve_H0YCR9_EFEMP2.pdf</v>
      </c>
    </row>
    <row r="558" spans="1:28" x14ac:dyDescent="0.25">
      <c r="A558" t="s">
        <v>562</v>
      </c>
      <c r="B558">
        <v>1</v>
      </c>
      <c r="C558">
        <v>0.88653689586262996</v>
      </c>
      <c r="D558">
        <v>1.0044408259936299</v>
      </c>
      <c r="E558">
        <v>1.06239360521057</v>
      </c>
      <c r="F558">
        <v>1.03878321367774</v>
      </c>
      <c r="G558">
        <v>1.2206350381170901</v>
      </c>
      <c r="H558">
        <v>0.73128561912515699</v>
      </c>
      <c r="I558">
        <v>1.2877655243875401</v>
      </c>
      <c r="J558">
        <v>1.0695729405669501</v>
      </c>
      <c r="K558">
        <v>0.85574716897342895</v>
      </c>
      <c r="L558">
        <v>15000</v>
      </c>
      <c r="M558">
        <v>212.50525444145899</v>
      </c>
      <c r="Q558">
        <v>0</v>
      </c>
      <c r="R558">
        <v>7.4795488011953501E-2</v>
      </c>
      <c r="S558" t="s">
        <v>2560</v>
      </c>
      <c r="T558" t="s">
        <v>4002</v>
      </c>
      <c r="U558" t="s">
        <v>4002</v>
      </c>
      <c r="V558" t="s">
        <v>4002</v>
      </c>
      <c r="W558" t="s">
        <v>4555</v>
      </c>
      <c r="X558">
        <v>3</v>
      </c>
      <c r="Y558" t="s">
        <v>6530</v>
      </c>
      <c r="Z558" t="s">
        <v>8456</v>
      </c>
      <c r="AA558">
        <v>0.99832003545703374</v>
      </c>
      <c r="AB558" t="str">
        <f>HYPERLINK("Melting_Curves/meltCurve_H0YCY1_PICALM.pdf", "Melting_Curves/meltCurve_H0YCY1_PICALM.pdf")</f>
        <v>Melting_Curves/meltCurve_H0YCY1_PICALM.pdf</v>
      </c>
    </row>
    <row r="559" spans="1:28" x14ac:dyDescent="0.25">
      <c r="A559" t="s">
        <v>563</v>
      </c>
      <c r="B559">
        <v>1</v>
      </c>
      <c r="C559">
        <v>0.371688382193268</v>
      </c>
      <c r="D559">
        <v>1.1416395222584099</v>
      </c>
      <c r="E559">
        <v>1.22109120521173</v>
      </c>
      <c r="F559">
        <v>1.3351520086862101</v>
      </c>
      <c r="G559">
        <v>1.53512486427796</v>
      </c>
      <c r="H559">
        <v>1.5057003257329</v>
      </c>
      <c r="I559">
        <v>3.4014657980455998</v>
      </c>
      <c r="J559">
        <v>2.4603420195439698</v>
      </c>
      <c r="K559">
        <v>2.5931596091205198</v>
      </c>
      <c r="L559">
        <v>1655.29748917907</v>
      </c>
      <c r="M559">
        <v>32.713831809870598</v>
      </c>
      <c r="O559">
        <v>50.411365333023298</v>
      </c>
      <c r="P559">
        <v>8.11175813876618E-2</v>
      </c>
      <c r="Q559">
        <v>1.5</v>
      </c>
      <c r="R559">
        <v>0.150516194585049</v>
      </c>
      <c r="S559" t="s">
        <v>2561</v>
      </c>
      <c r="T559" t="s">
        <v>4002</v>
      </c>
      <c r="U559" t="s">
        <v>4002</v>
      </c>
      <c r="V559" t="s">
        <v>4002</v>
      </c>
      <c r="W559" t="s">
        <v>4556</v>
      </c>
      <c r="X559">
        <v>1</v>
      </c>
      <c r="Y559" t="s">
        <v>6531</v>
      </c>
      <c r="Z559" t="s">
        <v>8457</v>
      </c>
      <c r="AA559">
        <v>1.3207214064992241</v>
      </c>
      <c r="AB559" t="str">
        <f>HYPERLINK("Melting_Curves/meltCurve_H0YCY6_DAK.pdf", "Melting_Curves/meltCurve_H0YCY6_DAK.pdf")</f>
        <v>Melting_Curves/meltCurve_H0YCY6_DAK.pdf</v>
      </c>
    </row>
    <row r="560" spans="1:28" x14ac:dyDescent="0.25">
      <c r="A560" t="s">
        <v>564</v>
      </c>
      <c r="B560">
        <v>1</v>
      </c>
      <c r="C560">
        <v>0.97091554853985795</v>
      </c>
      <c r="D560">
        <v>0.91768942383583296</v>
      </c>
      <c r="E560">
        <v>0.836108918705604</v>
      </c>
      <c r="F560">
        <v>0.67631215469613304</v>
      </c>
      <c r="G560">
        <v>0.73013022888713497</v>
      </c>
      <c r="H560">
        <v>0.44414956590371002</v>
      </c>
      <c r="I560">
        <v>0.69963496448303097</v>
      </c>
      <c r="J560">
        <v>0.23099842146803501</v>
      </c>
      <c r="K560">
        <v>0.48801302288871401</v>
      </c>
      <c r="L560">
        <v>468.33489083889202</v>
      </c>
      <c r="M560">
        <v>8.1986353035302901</v>
      </c>
      <c r="N560">
        <v>63.502614408602099</v>
      </c>
      <c r="O560">
        <v>54.027005738410999</v>
      </c>
      <c r="P560">
        <v>-2.7321568041115501E-2</v>
      </c>
      <c r="Q560">
        <v>0.280572526545321</v>
      </c>
      <c r="R560">
        <v>0.78554554514290198</v>
      </c>
      <c r="S560" t="s">
        <v>2562</v>
      </c>
      <c r="T560" t="s">
        <v>4002</v>
      </c>
      <c r="U560" t="s">
        <v>4002</v>
      </c>
      <c r="V560" t="s">
        <v>4002</v>
      </c>
      <c r="W560" t="s">
        <v>4557</v>
      </c>
      <c r="X560">
        <v>2</v>
      </c>
      <c r="Y560" t="s">
        <v>6532</v>
      </c>
      <c r="Z560" t="s">
        <v>8458</v>
      </c>
      <c r="AA560">
        <v>0.69953254294740741</v>
      </c>
      <c r="AB560" t="str">
        <f>HYPERLINK("Melting_Curves/meltCurve_H0YDB2_STIM1.pdf", "Melting_Curves/meltCurve_H0YDB2_STIM1.pdf")</f>
        <v>Melting_Curves/meltCurve_H0YDB2_STIM1.pdf</v>
      </c>
    </row>
    <row r="561" spans="1:28" x14ac:dyDescent="0.25">
      <c r="A561" t="s">
        <v>565</v>
      </c>
      <c r="B561">
        <v>1</v>
      </c>
      <c r="C561">
        <v>1.12487538025001</v>
      </c>
      <c r="D561">
        <v>0.97727447020629399</v>
      </c>
      <c r="E561">
        <v>0.95342416728444002</v>
      </c>
      <c r="F561">
        <v>0.81597177841969404</v>
      </c>
      <c r="G561">
        <v>0.84958715713591904</v>
      </c>
      <c r="H561">
        <v>0.74958460083335499</v>
      </c>
      <c r="I561">
        <v>0.88338147703162095</v>
      </c>
      <c r="J561">
        <v>1.0225977146655101</v>
      </c>
      <c r="K561">
        <v>0.90868887241493901</v>
      </c>
      <c r="L561">
        <v>12528.1525206734</v>
      </c>
      <c r="M561">
        <v>250</v>
      </c>
      <c r="O561">
        <v>50.109402642671697</v>
      </c>
      <c r="P561">
        <v>-0.160105593000821</v>
      </c>
      <c r="Q561">
        <v>0.87163526870155505</v>
      </c>
      <c r="R561">
        <v>0.45900702170524099</v>
      </c>
      <c r="S561" t="s">
        <v>2563</v>
      </c>
      <c r="T561" t="s">
        <v>4002</v>
      </c>
      <c r="U561" t="s">
        <v>4002</v>
      </c>
      <c r="V561" t="s">
        <v>4002</v>
      </c>
      <c r="W561" t="s">
        <v>4335</v>
      </c>
      <c r="X561">
        <v>1</v>
      </c>
      <c r="Y561" t="s">
        <v>6309</v>
      </c>
      <c r="Z561" t="s">
        <v>8459</v>
      </c>
      <c r="AA561">
        <v>0.91491664050845301</v>
      </c>
      <c r="AB561" t="str">
        <f>HYPERLINK("Melting_Curves/meltCurve_H0YDU3_TOR1AIP1.pdf", "Melting_Curves/meltCurve_H0YDU3_TOR1AIP1.pdf")</f>
        <v>Melting_Curves/meltCurve_H0YDU3_TOR1AIP1.pdf</v>
      </c>
    </row>
    <row r="562" spans="1:28" x14ac:dyDescent="0.25">
      <c r="A562" t="s">
        <v>566</v>
      </c>
      <c r="B562">
        <v>1</v>
      </c>
      <c r="C562">
        <v>0.96886135191192901</v>
      </c>
      <c r="D562">
        <v>1.0526511726852099</v>
      </c>
      <c r="E562">
        <v>1.02087432856459</v>
      </c>
      <c r="F562">
        <v>0.95189597404669501</v>
      </c>
      <c r="G562">
        <v>1.0172844758815101</v>
      </c>
      <c r="H562">
        <v>0.79051215231612004</v>
      </c>
      <c r="I562">
        <v>1.37834388129554</v>
      </c>
      <c r="J562">
        <v>0.99117162154975302</v>
      </c>
      <c r="K562">
        <v>1.00438759772377</v>
      </c>
      <c r="L562">
        <v>2426.6790914078401</v>
      </c>
      <c r="M562">
        <v>39.035241911668102</v>
      </c>
      <c r="O562">
        <v>62.003883065134197</v>
      </c>
      <c r="P562">
        <v>1.32559783635758E-2</v>
      </c>
      <c r="Q562">
        <v>1.0842234047685799</v>
      </c>
      <c r="R562">
        <v>7.85339856765018E-2</v>
      </c>
      <c r="S562" t="s">
        <v>2564</v>
      </c>
      <c r="T562" t="s">
        <v>4002</v>
      </c>
      <c r="U562" t="s">
        <v>4002</v>
      </c>
      <c r="V562" t="s">
        <v>4002</v>
      </c>
      <c r="W562" t="s">
        <v>4558</v>
      </c>
      <c r="X562">
        <v>1</v>
      </c>
      <c r="Y562" t="s">
        <v>6533</v>
      </c>
      <c r="Z562" t="s">
        <v>8460</v>
      </c>
      <c r="AA562">
        <v>1.0216881257491039</v>
      </c>
      <c r="AB562" t="str">
        <f>HYPERLINK("Melting_Curves/meltCurve_H0YE06_CR1.pdf", "Melting_Curves/meltCurve_H0YE06_CR1.pdf")</f>
        <v>Melting_Curves/meltCurve_H0YE06_CR1.pdf</v>
      </c>
    </row>
    <row r="563" spans="1:28" x14ac:dyDescent="0.25">
      <c r="A563" t="s">
        <v>567</v>
      </c>
      <c r="B563">
        <v>1</v>
      </c>
      <c r="C563">
        <v>0.94931385568835802</v>
      </c>
      <c r="D563">
        <v>1.0415164737873901</v>
      </c>
      <c r="E563">
        <v>1.1607221906026699</v>
      </c>
      <c r="F563">
        <v>1.2192183646366901</v>
      </c>
      <c r="G563">
        <v>1.92404983241637</v>
      </c>
      <c r="H563">
        <v>4.6502877379371403</v>
      </c>
      <c r="I563">
        <v>6.8791500664010599</v>
      </c>
      <c r="J563">
        <v>7.0078416492759104</v>
      </c>
      <c r="K563">
        <v>6.8323531271738398</v>
      </c>
      <c r="L563">
        <v>8389.5427043535092</v>
      </c>
      <c r="M563">
        <v>158.04627353880699</v>
      </c>
      <c r="O563">
        <v>53.074326986709799</v>
      </c>
      <c r="P563">
        <v>0.372228636983161</v>
      </c>
      <c r="Q563">
        <v>1.5</v>
      </c>
      <c r="R563">
        <v>-0.44810974467617398</v>
      </c>
      <c r="S563" t="s">
        <v>2565</v>
      </c>
      <c r="T563" t="s">
        <v>4002</v>
      </c>
      <c r="U563" t="s">
        <v>4002</v>
      </c>
      <c r="V563" t="s">
        <v>4002</v>
      </c>
      <c r="W563" t="s">
        <v>4559</v>
      </c>
      <c r="X563">
        <v>7</v>
      </c>
      <c r="Y563" t="s">
        <v>6534</v>
      </c>
      <c r="Z563" t="s">
        <v>8461</v>
      </c>
      <c r="AA563">
        <v>1.281836326284947</v>
      </c>
      <c r="AB563" t="str">
        <f>HYPERLINK("Melting_Curves/meltCurve_H0YE91_CHI3L2.pdf", "Melting_Curves/meltCurve_H0YE91_CHI3L2.pdf")</f>
        <v>Melting_Curves/meltCurve_H0YE91_CHI3L2.pdf</v>
      </c>
    </row>
    <row r="564" spans="1:28" x14ac:dyDescent="0.25">
      <c r="A564" t="s">
        <v>568</v>
      </c>
      <c r="B564">
        <v>1</v>
      </c>
      <c r="C564">
        <v>0.77764184397163105</v>
      </c>
      <c r="D564">
        <v>0.98661347517730502</v>
      </c>
      <c r="E564">
        <v>1.15283687943262</v>
      </c>
      <c r="F564">
        <v>1.0699468085106401</v>
      </c>
      <c r="G564">
        <v>0.92420212765957399</v>
      </c>
      <c r="H564">
        <v>1.0124113475177301</v>
      </c>
      <c r="I564">
        <v>1.0534574468085101</v>
      </c>
      <c r="J564">
        <v>17.7579787234043</v>
      </c>
      <c r="K564">
        <v>1.27145390070922</v>
      </c>
      <c r="L564">
        <v>15000</v>
      </c>
      <c r="M564">
        <v>232.62456356587199</v>
      </c>
      <c r="O564">
        <v>64.476816810414803</v>
      </c>
      <c r="P564">
        <v>0.45098489563053401</v>
      </c>
      <c r="Q564">
        <v>1.5</v>
      </c>
      <c r="R564">
        <v>-4.91652086626524E-2</v>
      </c>
      <c r="S564" t="s">
        <v>2566</v>
      </c>
      <c r="T564" t="s">
        <v>4002</v>
      </c>
      <c r="U564" t="s">
        <v>4002</v>
      </c>
      <c r="V564" t="s">
        <v>4002</v>
      </c>
      <c r="W564" t="s">
        <v>4560</v>
      </c>
      <c r="X564">
        <v>1</v>
      </c>
      <c r="Y564" t="s">
        <v>6535</v>
      </c>
      <c r="Z564" t="s">
        <v>8462</v>
      </c>
      <c r="AA564">
        <v>1.0919082715568691</v>
      </c>
      <c r="AB564" t="str">
        <f>HYPERLINK("Melting_Curves/meltCurve_H0YEN5_RPS2.pdf", "Melting_Curves/meltCurve_H0YEN5_RPS2.pdf")</f>
        <v>Melting_Curves/meltCurve_H0YEN5_RPS2.pdf</v>
      </c>
    </row>
    <row r="565" spans="1:28" x14ac:dyDescent="0.25">
      <c r="A565" t="s">
        <v>569</v>
      </c>
      <c r="B565">
        <v>1</v>
      </c>
      <c r="C565">
        <v>0.88690143469349703</v>
      </c>
      <c r="D565">
        <v>0.99622694242593601</v>
      </c>
      <c r="E565">
        <v>1.0400596236258599</v>
      </c>
      <c r="F565">
        <v>1.3408794484814599</v>
      </c>
      <c r="G565">
        <v>1.2471119806223201</v>
      </c>
      <c r="H565">
        <v>0.68092043972424099</v>
      </c>
      <c r="I565">
        <v>1.20514253773058</v>
      </c>
      <c r="J565">
        <v>0.98793553195453698</v>
      </c>
      <c r="K565">
        <v>1.2152971865101501</v>
      </c>
      <c r="L565">
        <v>12529.879809947901</v>
      </c>
      <c r="M565">
        <v>250</v>
      </c>
      <c r="O565">
        <v>50.1163116693915</v>
      </c>
      <c r="P565">
        <v>0.14077389335611801</v>
      </c>
      <c r="Q565">
        <v>1.11288109346853</v>
      </c>
      <c r="R565">
        <v>0.12138562708230601</v>
      </c>
      <c r="S565" t="s">
        <v>2567</v>
      </c>
      <c r="T565" t="s">
        <v>4002</v>
      </c>
      <c r="U565" t="s">
        <v>4002</v>
      </c>
      <c r="V565" t="s">
        <v>4002</v>
      </c>
      <c r="W565" t="s">
        <v>4561</v>
      </c>
      <c r="X565">
        <v>1</v>
      </c>
      <c r="Y565" t="s">
        <v>6536</v>
      </c>
      <c r="Z565" t="s">
        <v>8463</v>
      </c>
      <c r="AA565">
        <v>1.0747944179909961</v>
      </c>
      <c r="AB565" t="str">
        <f>HYPERLINK("Melting_Curves/meltCurve_H0YEP8_SERPINH1.pdf", "Melting_Curves/meltCurve_H0YEP8_SERPINH1.pdf")</f>
        <v>Melting_Curves/meltCurve_H0YEP8_SERPINH1.pdf</v>
      </c>
    </row>
    <row r="566" spans="1:28" x14ac:dyDescent="0.25">
      <c r="A566" t="s">
        <v>570</v>
      </c>
      <c r="B566">
        <v>1</v>
      </c>
      <c r="C566">
        <v>0.94342862048244502</v>
      </c>
      <c r="D566">
        <v>1.01184651043008</v>
      </c>
      <c r="E566">
        <v>0.97647866769679803</v>
      </c>
      <c r="F566">
        <v>0.89484075886342196</v>
      </c>
      <c r="G566">
        <v>0.85261395827968101</v>
      </c>
      <c r="H566">
        <v>0.82113486136149005</v>
      </c>
      <c r="I566">
        <v>0.83978023864709395</v>
      </c>
      <c r="J566">
        <v>0.97647866769679803</v>
      </c>
      <c r="K566">
        <v>0.89054854493947999</v>
      </c>
      <c r="L566">
        <v>2958.2787755169602</v>
      </c>
      <c r="M566">
        <v>57.667608350378202</v>
      </c>
      <c r="O566">
        <v>51.237215155490098</v>
      </c>
      <c r="P566">
        <v>-3.4801523972305702E-2</v>
      </c>
      <c r="Q566">
        <v>0.87631654146205096</v>
      </c>
      <c r="R566">
        <v>0.57862294451341301</v>
      </c>
      <c r="S566" t="s">
        <v>2568</v>
      </c>
      <c r="T566" t="s">
        <v>4002</v>
      </c>
      <c r="U566" t="s">
        <v>4002</v>
      </c>
      <c r="V566" t="s">
        <v>4002</v>
      </c>
      <c r="W566" t="s">
        <v>4562</v>
      </c>
      <c r="X566">
        <v>2</v>
      </c>
      <c r="Y566" t="s">
        <v>6537</v>
      </c>
      <c r="Z566" t="s">
        <v>8464</v>
      </c>
      <c r="AA566">
        <v>0.92310910709934457</v>
      </c>
      <c r="AB566" t="str">
        <f>HYPERLINK("Melting_Curves/meltCurve_H0YFI1_LAMTOR1.pdf", "Melting_Curves/meltCurve_H0YFI1_LAMTOR1.pdf")</f>
        <v>Melting_Curves/meltCurve_H0YFI1_LAMTOR1.pdf</v>
      </c>
    </row>
    <row r="567" spans="1:28" x14ac:dyDescent="0.25">
      <c r="A567" t="s">
        <v>571</v>
      </c>
      <c r="B567">
        <v>1</v>
      </c>
      <c r="C567">
        <v>0.99270669166791303</v>
      </c>
      <c r="D567">
        <v>1.1215244624923799</v>
      </c>
      <c r="E567">
        <v>1.3398290558961901</v>
      </c>
      <c r="F567">
        <v>1.3482267137549</v>
      </c>
      <c r="G567">
        <v>1.56276961658365</v>
      </c>
      <c r="H567">
        <v>1.25516225885493</v>
      </c>
      <c r="I567">
        <v>1.7768523737763</v>
      </c>
      <c r="J567">
        <v>4.8903127839961398</v>
      </c>
      <c r="K567">
        <v>1.7015035258659399</v>
      </c>
      <c r="L567">
        <v>1262.0197093212701</v>
      </c>
      <c r="M567">
        <v>25.924963599305102</v>
      </c>
      <c r="O567">
        <v>48.392812654098798</v>
      </c>
      <c r="P567">
        <v>6.6965659637753305E-2</v>
      </c>
      <c r="Q567">
        <v>1.5</v>
      </c>
      <c r="R567">
        <v>2.4119981138889999E-2</v>
      </c>
      <c r="S567" t="s">
        <v>2569</v>
      </c>
      <c r="T567" t="s">
        <v>4002</v>
      </c>
      <c r="U567" t="s">
        <v>4002</v>
      </c>
      <c r="V567" t="s">
        <v>4002</v>
      </c>
      <c r="W567" t="s">
        <v>4563</v>
      </c>
      <c r="X567">
        <v>2</v>
      </c>
      <c r="Y567" t="s">
        <v>6538</v>
      </c>
      <c r="Z567" t="s">
        <v>8465</v>
      </c>
      <c r="AA567">
        <v>1.3512367218416299</v>
      </c>
      <c r="AB567" t="str">
        <f>HYPERLINK("Melting_Curves/meltCurve_H0YFS9_GLTP.pdf", "Melting_Curves/meltCurve_H0YFS9_GLTP.pdf")</f>
        <v>Melting_Curves/meltCurve_H0YFS9_GLTP.pdf</v>
      </c>
    </row>
    <row r="568" spans="1:28" x14ac:dyDescent="0.25">
      <c r="A568" t="s">
        <v>572</v>
      </c>
      <c r="B568">
        <v>1</v>
      </c>
      <c r="C568">
        <v>1.11380412670735</v>
      </c>
      <c r="D568">
        <v>1.26794536471956</v>
      </c>
      <c r="E568">
        <v>1.3962801511188601</v>
      </c>
      <c r="F568">
        <v>1.4438244696309199</v>
      </c>
      <c r="G568">
        <v>1.70514385353095</v>
      </c>
      <c r="H568">
        <v>1.61238012205754</v>
      </c>
      <c r="I568">
        <v>2.0108689334495802</v>
      </c>
      <c r="J568">
        <v>2.0348735832606799</v>
      </c>
      <c r="K568">
        <v>1.6426620168555699</v>
      </c>
      <c r="L568">
        <v>1074.33186072133</v>
      </c>
      <c r="M568">
        <v>23.508524153211798</v>
      </c>
      <c r="O568">
        <v>45.372834783039302</v>
      </c>
      <c r="P568">
        <v>6.4765967652421097E-2</v>
      </c>
      <c r="Q568">
        <v>1.5</v>
      </c>
      <c r="R568">
        <v>0.41900930780940498</v>
      </c>
      <c r="S568" t="s">
        <v>2570</v>
      </c>
      <c r="T568" t="s">
        <v>4002</v>
      </c>
      <c r="U568" t="s">
        <v>4002</v>
      </c>
      <c r="V568" t="s">
        <v>4002</v>
      </c>
      <c r="W568" t="s">
        <v>4564</v>
      </c>
      <c r="X568">
        <v>3</v>
      </c>
      <c r="Y568" t="s">
        <v>6539</v>
      </c>
      <c r="Z568" t="s">
        <v>8466</v>
      </c>
      <c r="AA568">
        <v>1.3995780042623469</v>
      </c>
      <c r="AB568" t="str">
        <f>HYPERLINK("Melting_Curves/meltCurve_H0YGL6_RAB6A.pdf", "Melting_Curves/meltCurve_H0YGL6_RAB6A.pdf")</f>
        <v>Melting_Curves/meltCurve_H0YGL6_RAB6A.pdf</v>
      </c>
    </row>
    <row r="569" spans="1:28" x14ac:dyDescent="0.25">
      <c r="A569" t="s">
        <v>573</v>
      </c>
      <c r="B569">
        <v>1</v>
      </c>
      <c r="C569">
        <v>0.93906142343123999</v>
      </c>
      <c r="D569">
        <v>1.10375889963508</v>
      </c>
      <c r="E569">
        <v>1.2849669533263599</v>
      </c>
      <c r="F569">
        <v>1.0708143006609301</v>
      </c>
      <c r="G569">
        <v>1.2676908158317799</v>
      </c>
      <c r="H569">
        <v>1.26608313981678</v>
      </c>
      <c r="I569">
        <v>1.3680302141016201</v>
      </c>
      <c r="J569">
        <v>1.84038073851022</v>
      </c>
      <c r="K569">
        <v>1.15474519611096</v>
      </c>
      <c r="L569">
        <v>529.77938751087299</v>
      </c>
      <c r="M569">
        <v>9.5601835648914495</v>
      </c>
      <c r="O569">
        <v>53.1531993057934</v>
      </c>
      <c r="P569">
        <v>2.24955979051151E-2</v>
      </c>
      <c r="Q569">
        <v>1.5</v>
      </c>
      <c r="R569">
        <v>0.456650545643283</v>
      </c>
      <c r="S569" t="s">
        <v>2571</v>
      </c>
      <c r="T569" t="s">
        <v>4002</v>
      </c>
      <c r="U569" t="s">
        <v>4002</v>
      </c>
      <c r="V569" t="s">
        <v>4002</v>
      </c>
      <c r="W569" t="s">
        <v>4565</v>
      </c>
      <c r="X569">
        <v>2</v>
      </c>
      <c r="Y569" t="s">
        <v>6540</v>
      </c>
      <c r="Z569" t="s">
        <v>8467</v>
      </c>
      <c r="AA569">
        <v>1.2309982062033049</v>
      </c>
      <c r="AB569" t="str">
        <f>HYPERLINK("Melting_Curves/meltCurve_H0YGL9_RYR2.pdf", "Melting_Curves/meltCurve_H0YGL9_RYR2.pdf")</f>
        <v>Melting_Curves/meltCurve_H0YGL9_RYR2.pdf</v>
      </c>
    </row>
    <row r="570" spans="1:28" x14ac:dyDescent="0.25">
      <c r="A570" t="s">
        <v>574</v>
      </c>
      <c r="B570">
        <v>1</v>
      </c>
      <c r="C570">
        <v>1.0780715751082699</v>
      </c>
      <c r="D570">
        <v>1.19346934123547</v>
      </c>
      <c r="E570">
        <v>0.99025529974925897</v>
      </c>
      <c r="F570">
        <v>1.03761112377479</v>
      </c>
      <c r="G570">
        <v>1.11049692272624</v>
      </c>
      <c r="H570">
        <v>1.0619728744016399</v>
      </c>
      <c r="I570">
        <v>1.2091976293594699</v>
      </c>
      <c r="J570">
        <v>4.49709368589013</v>
      </c>
      <c r="K570">
        <v>1.0804650102575799</v>
      </c>
      <c r="L570">
        <v>15000</v>
      </c>
      <c r="M570">
        <v>234.04952785672199</v>
      </c>
      <c r="O570">
        <v>64.084319951524293</v>
      </c>
      <c r="P570">
        <v>0.456526511605018</v>
      </c>
      <c r="Q570">
        <v>1.5</v>
      </c>
      <c r="R570">
        <v>0.12421041783494501</v>
      </c>
      <c r="S570" t="s">
        <v>2572</v>
      </c>
      <c r="T570" t="s">
        <v>4002</v>
      </c>
      <c r="U570" t="s">
        <v>4002</v>
      </c>
      <c r="V570" t="s">
        <v>4002</v>
      </c>
      <c r="W570" t="s">
        <v>4566</v>
      </c>
      <c r="X570">
        <v>3</v>
      </c>
      <c r="Y570" t="s">
        <v>6541</v>
      </c>
      <c r="Z570" t="s">
        <v>8468</v>
      </c>
      <c r="AA570">
        <v>1.098452514295303</v>
      </c>
      <c r="AB570" t="str">
        <f>HYPERLINK("Melting_Curves/meltCurve_H0YH81_ATP5B.pdf", "Melting_Curves/meltCurve_H0YH81_ATP5B.pdf")</f>
        <v>Melting_Curves/meltCurve_H0YH81_ATP5B.pdf</v>
      </c>
    </row>
    <row r="571" spans="1:28" x14ac:dyDescent="0.25">
      <c r="A571" t="s">
        <v>575</v>
      </c>
      <c r="B571">
        <v>1</v>
      </c>
      <c r="C571">
        <v>0.902925035963557</v>
      </c>
      <c r="D571">
        <v>1.07224678991955</v>
      </c>
      <c r="E571">
        <v>1.1950556769140599</v>
      </c>
      <c r="F571">
        <v>1.30321274441899</v>
      </c>
      <c r="G571">
        <v>1.60512014491981</v>
      </c>
      <c r="H571">
        <v>1.44117960466727</v>
      </c>
      <c r="I571">
        <v>1.80062869625446</v>
      </c>
      <c r="J571">
        <v>1.8345676381267</v>
      </c>
      <c r="K571">
        <v>1.6954552719910501</v>
      </c>
      <c r="L571">
        <v>1515.2486488700199</v>
      </c>
      <c r="M571">
        <v>29.651073914575498</v>
      </c>
      <c r="O571">
        <v>50.871905035664597</v>
      </c>
      <c r="P571">
        <v>7.2857691675206698E-2</v>
      </c>
      <c r="Q571">
        <v>1.5</v>
      </c>
      <c r="R571">
        <v>0.73296291836442995</v>
      </c>
      <c r="S571" t="s">
        <v>2573</v>
      </c>
      <c r="T571" t="s">
        <v>4002</v>
      </c>
      <c r="U571" t="s">
        <v>4002</v>
      </c>
      <c r="V571" t="s">
        <v>4002</v>
      </c>
      <c r="W571" t="s">
        <v>4567</v>
      </c>
      <c r="X571">
        <v>5</v>
      </c>
      <c r="Y571" t="s">
        <v>6542</v>
      </c>
      <c r="Z571" t="s">
        <v>8469</v>
      </c>
      <c r="AA571">
        <v>1.3117321532365041</v>
      </c>
      <c r="AB571" t="str">
        <f>HYPERLINK("Melting_Curves/meltCurve_H0YHL7_CORO1C.pdf", "Melting_Curves/meltCurve_H0YHL7_CORO1C.pdf")</f>
        <v>Melting_Curves/meltCurve_H0YHL7_CORO1C.pdf</v>
      </c>
    </row>
    <row r="572" spans="1:28" x14ac:dyDescent="0.25">
      <c r="A572" t="s">
        <v>576</v>
      </c>
      <c r="B572">
        <v>1</v>
      </c>
      <c r="C572">
        <v>0.97116172958328895</v>
      </c>
      <c r="D572">
        <v>1.0148290735393699</v>
      </c>
      <c r="E572">
        <v>1.0203543293052399</v>
      </c>
      <c r="F572">
        <v>0.82215805796171504</v>
      </c>
      <c r="G572">
        <v>0.91809550968999198</v>
      </c>
      <c r="H572">
        <v>0.46968238691049102</v>
      </c>
      <c r="I572">
        <v>0.985705628631519</v>
      </c>
      <c r="J572">
        <v>0.54596656329091398</v>
      </c>
      <c r="K572">
        <v>0.55140864316353599</v>
      </c>
      <c r="L572">
        <v>543.8209799256</v>
      </c>
      <c r="M572">
        <v>8.56462466395684</v>
      </c>
      <c r="O572">
        <v>60.318722241749299</v>
      </c>
      <c r="P572">
        <v>-2.1941865834984E-2</v>
      </c>
      <c r="Q572">
        <v>0.38241437981353399</v>
      </c>
      <c r="R572">
        <v>0.55156737998490701</v>
      </c>
      <c r="S572" t="s">
        <v>2574</v>
      </c>
      <c r="T572" t="s">
        <v>4002</v>
      </c>
      <c r="U572" t="s">
        <v>4002</v>
      </c>
      <c r="V572" t="s">
        <v>4002</v>
      </c>
      <c r="W572" t="s">
        <v>4568</v>
      </c>
      <c r="X572">
        <v>2</v>
      </c>
      <c r="Y572" t="s">
        <v>6543</v>
      </c>
      <c r="Z572" t="s">
        <v>8470</v>
      </c>
      <c r="AA572">
        <v>0.8358139872877075</v>
      </c>
      <c r="AB572" t="str">
        <f>HYPERLINK("Melting_Curves/meltCurve_H0YIP0_MARS.pdf", "Melting_Curves/meltCurve_H0YIP0_MARS.pdf")</f>
        <v>Melting_Curves/meltCurve_H0YIP0_MARS.pdf</v>
      </c>
    </row>
    <row r="573" spans="1:28" x14ac:dyDescent="0.25">
      <c r="A573" t="s">
        <v>577</v>
      </c>
      <c r="B573">
        <v>1</v>
      </c>
      <c r="C573">
        <v>0.93081048088241702</v>
      </c>
      <c r="D573">
        <v>1.29803374460479</v>
      </c>
      <c r="E573">
        <v>1.04233334786589</v>
      </c>
      <c r="F573">
        <v>1.0249814709857401</v>
      </c>
      <c r="G573">
        <v>0.97392858699917195</v>
      </c>
      <c r="H573">
        <v>1.17465230849719</v>
      </c>
      <c r="I573">
        <v>1.1344988446614599</v>
      </c>
      <c r="J573">
        <v>2.3803897632645898</v>
      </c>
      <c r="K573">
        <v>1.1046344334481399</v>
      </c>
      <c r="L573">
        <v>15000</v>
      </c>
      <c r="M573">
        <v>233.37872598907899</v>
      </c>
      <c r="O573">
        <v>64.268483469585505</v>
      </c>
      <c r="P573">
        <v>0.45391358030427598</v>
      </c>
      <c r="Q573">
        <v>1.5</v>
      </c>
      <c r="R573">
        <v>0.35273179353982098</v>
      </c>
      <c r="S573" t="s">
        <v>2575</v>
      </c>
      <c r="T573" t="s">
        <v>4002</v>
      </c>
      <c r="U573" t="s">
        <v>4002</v>
      </c>
      <c r="V573" t="s">
        <v>4002</v>
      </c>
      <c r="W573" t="s">
        <v>4569</v>
      </c>
      <c r="X573">
        <v>1</v>
      </c>
      <c r="Y573" t="s">
        <v>6544</v>
      </c>
      <c r="Z573" t="s">
        <v>8471</v>
      </c>
      <c r="AA573">
        <v>1.0953817694320049</v>
      </c>
      <c r="AB573" t="str">
        <f>HYPERLINK("Melting_Curves/meltCurve_H0YJH9_PABPN1.pdf", "Melting_Curves/meltCurve_H0YJH9_PABPN1.pdf")</f>
        <v>Melting_Curves/meltCurve_H0YJH9_PABPN1.pdf</v>
      </c>
    </row>
    <row r="574" spans="1:28" x14ac:dyDescent="0.25">
      <c r="A574" t="s">
        <v>578</v>
      </c>
      <c r="B574">
        <v>1</v>
      </c>
      <c r="C574">
        <v>0.95391860567471598</v>
      </c>
      <c r="D574">
        <v>1.07322261670726</v>
      </c>
      <c r="E574">
        <v>1.1104867814911501</v>
      </c>
      <c r="F574">
        <v>1.0186907661160201</v>
      </c>
      <c r="G574">
        <v>0.93830873507232804</v>
      </c>
      <c r="H574">
        <v>0.94937061705935899</v>
      </c>
      <c r="I574">
        <v>1.3039670197470701</v>
      </c>
      <c r="J574">
        <v>1.4405533875179699</v>
      </c>
      <c r="K574">
        <v>1.22135500718876</v>
      </c>
      <c r="L574">
        <v>15000</v>
      </c>
      <c r="M574">
        <v>236.79258595281999</v>
      </c>
      <c r="O574">
        <v>63.342041991163804</v>
      </c>
      <c r="P574">
        <v>0.30933087682296201</v>
      </c>
      <c r="Q574">
        <v>1.33098426100753</v>
      </c>
      <c r="R574">
        <v>0.80593599230564705</v>
      </c>
      <c r="S574" t="s">
        <v>2576</v>
      </c>
      <c r="T574" t="s">
        <v>4002</v>
      </c>
      <c r="U574" t="s">
        <v>4002</v>
      </c>
      <c r="V574" t="s">
        <v>4002</v>
      </c>
      <c r="W574" t="s">
        <v>4570</v>
      </c>
      <c r="X574">
        <v>2</v>
      </c>
      <c r="Y574" t="s">
        <v>6545</v>
      </c>
      <c r="Z574" t="s">
        <v>8472</v>
      </c>
      <c r="AA574">
        <v>1.0733649163679699</v>
      </c>
      <c r="AB574" t="str">
        <f>HYPERLINK("Melting_Curves/meltCurve_H0YK42_SNX1.pdf", "Melting_Curves/meltCurve_H0YK42_SNX1.pdf")</f>
        <v>Melting_Curves/meltCurve_H0YK42_SNX1.pdf</v>
      </c>
    </row>
    <row r="575" spans="1:28" x14ac:dyDescent="0.25">
      <c r="A575" t="s">
        <v>579</v>
      </c>
      <c r="B575">
        <v>1</v>
      </c>
      <c r="C575">
        <v>0.82829970831307698</v>
      </c>
      <c r="D575">
        <v>0.76007737805866105</v>
      </c>
      <c r="E575">
        <v>1.1162088802463099</v>
      </c>
      <c r="F575">
        <v>0.83923796791443805</v>
      </c>
      <c r="G575">
        <v>1.0336655323286299</v>
      </c>
      <c r="H575">
        <v>1.0592894182466399</v>
      </c>
      <c r="I575">
        <v>1.19713174526009</v>
      </c>
      <c r="J575">
        <v>1.0059147625992499</v>
      </c>
      <c r="K575">
        <v>0.99819721276940498</v>
      </c>
      <c r="L575">
        <v>14246.1518836053</v>
      </c>
      <c r="M575">
        <v>250</v>
      </c>
      <c r="O575">
        <v>56.980936195007203</v>
      </c>
      <c r="P575">
        <v>7.1441939868002693E-2</v>
      </c>
      <c r="Q575">
        <v>1.06513328622809</v>
      </c>
      <c r="R575">
        <v>9.2513553019252695E-2</v>
      </c>
      <c r="S575" t="s">
        <v>2577</v>
      </c>
      <c r="T575" t="s">
        <v>4002</v>
      </c>
      <c r="U575" t="s">
        <v>4002</v>
      </c>
      <c r="V575" t="s">
        <v>4002</v>
      </c>
      <c r="W575" t="s">
        <v>4571</v>
      </c>
      <c r="X575">
        <v>2</v>
      </c>
      <c r="Y575" t="s">
        <v>6546</v>
      </c>
      <c r="Z575" t="s">
        <v>8473</v>
      </c>
      <c r="AA575">
        <v>1.0282513289700219</v>
      </c>
      <c r="AB575" t="str">
        <f>HYPERLINK("Melting_Curves/meltCurve_H0YKE7_CHP1.pdf", "Melting_Curves/meltCurve_H0YKE7_CHP1.pdf")</f>
        <v>Melting_Curves/meltCurve_H0YKE7_CHP1.pdf</v>
      </c>
    </row>
    <row r="576" spans="1:28" x14ac:dyDescent="0.25">
      <c r="A576" t="s">
        <v>580</v>
      </c>
      <c r="B576">
        <v>1</v>
      </c>
      <c r="C576">
        <v>0.98466115087849804</v>
      </c>
      <c r="D576">
        <v>1.1229339035046899</v>
      </c>
      <c r="E576">
        <v>1.50618202100958</v>
      </c>
      <c r="F576">
        <v>1.6208794273496301</v>
      </c>
      <c r="G576">
        <v>1.8372966440457399</v>
      </c>
      <c r="H576">
        <v>1.51746769545412</v>
      </c>
      <c r="I576">
        <v>2.3036162498838002</v>
      </c>
      <c r="J576">
        <v>1.77395184531003</v>
      </c>
      <c r="K576">
        <v>1.7038951380496401</v>
      </c>
      <c r="L576">
        <v>11551.555588146501</v>
      </c>
      <c r="M576">
        <v>250</v>
      </c>
      <c r="O576">
        <v>46.203258511939602</v>
      </c>
      <c r="P576">
        <v>0.67635912124099795</v>
      </c>
      <c r="Q576">
        <v>1.5</v>
      </c>
      <c r="R576">
        <v>0.41934982186849401</v>
      </c>
      <c r="S576" t="s">
        <v>2578</v>
      </c>
      <c r="T576" t="s">
        <v>4002</v>
      </c>
      <c r="U576" t="s">
        <v>4002</v>
      </c>
      <c r="V576" t="s">
        <v>4002</v>
      </c>
      <c r="W576" t="s">
        <v>4572</v>
      </c>
      <c r="X576">
        <v>6</v>
      </c>
      <c r="Y576" t="s">
        <v>6385</v>
      </c>
      <c r="Z576" t="s">
        <v>8474</v>
      </c>
      <c r="AA576">
        <v>1.3965224151896829</v>
      </c>
      <c r="AB576" t="str">
        <f>HYPERLINK("Melting_Curves/meltCurve_H0YLF3_B2M.pdf", "Melting_Curves/meltCurve_H0YLF3_B2M.pdf")</f>
        <v>Melting_Curves/meltCurve_H0YLF3_B2M.pdf</v>
      </c>
    </row>
    <row r="577" spans="1:28" x14ac:dyDescent="0.25">
      <c r="A577" t="s">
        <v>581</v>
      </c>
      <c r="B577">
        <v>1</v>
      </c>
      <c r="C577">
        <v>0.85021814559071096</v>
      </c>
      <c r="D577">
        <v>0.89776357827476005</v>
      </c>
      <c r="E577">
        <v>0.88584286646741595</v>
      </c>
      <c r="F577">
        <v>0.77044900202686495</v>
      </c>
      <c r="G577">
        <v>0.82053660379951199</v>
      </c>
      <c r="H577">
        <v>0.83644233742141605</v>
      </c>
      <c r="I577">
        <v>0.90305403826995101</v>
      </c>
      <c r="J577">
        <v>1.3548387096774199</v>
      </c>
      <c r="K577">
        <v>0.75152014840770898</v>
      </c>
      <c r="L577">
        <v>10242.2238701817</v>
      </c>
      <c r="M577">
        <v>250</v>
      </c>
      <c r="O577">
        <v>40.966278431504598</v>
      </c>
      <c r="P577">
        <v>-0.15753723469433001</v>
      </c>
      <c r="Q577">
        <v>0.896740584400326</v>
      </c>
      <c r="R577">
        <v>3.5772111980681899E-2</v>
      </c>
      <c r="S577" t="s">
        <v>2579</v>
      </c>
      <c r="T577" t="s">
        <v>4002</v>
      </c>
      <c r="U577" t="s">
        <v>4002</v>
      </c>
      <c r="V577" t="s">
        <v>4002</v>
      </c>
      <c r="W577" t="s">
        <v>4573</v>
      </c>
      <c r="X577">
        <v>1</v>
      </c>
      <c r="Y577" t="s">
        <v>6547</v>
      </c>
      <c r="Z577" t="s">
        <v>8475</v>
      </c>
      <c r="AA577">
        <v>0.90008417762522319</v>
      </c>
      <c r="AB577" t="str">
        <f>HYPERLINK("Melting_Curves/meltCurve_H0YLR3_SNRPA1.pdf", "Melting_Curves/meltCurve_H0YLR3_SNRPA1.pdf")</f>
        <v>Melting_Curves/meltCurve_H0YLR3_SNRPA1.pdf</v>
      </c>
    </row>
    <row r="578" spans="1:28" x14ac:dyDescent="0.25">
      <c r="A578" t="s">
        <v>582</v>
      </c>
      <c r="B578">
        <v>1</v>
      </c>
      <c r="C578">
        <v>0.90205464480874298</v>
      </c>
      <c r="D578">
        <v>1.02232786885246</v>
      </c>
      <c r="E578">
        <v>1.0337486338797801</v>
      </c>
      <c r="F578">
        <v>1.03165027322404</v>
      </c>
      <c r="G578">
        <v>1.13431693989071</v>
      </c>
      <c r="H578">
        <v>1.3086338797814201</v>
      </c>
      <c r="I578">
        <v>1.0558688524590201</v>
      </c>
      <c r="J578">
        <v>4.8885245901639296</v>
      </c>
      <c r="K578">
        <v>0.88891803278688497</v>
      </c>
      <c r="L578">
        <v>3662.65729732916</v>
      </c>
      <c r="M578">
        <v>60.415130898686002</v>
      </c>
      <c r="O578">
        <v>60.558532691249802</v>
      </c>
      <c r="P578">
        <v>0.124704083858418</v>
      </c>
      <c r="Q578">
        <v>1.5</v>
      </c>
      <c r="R578">
        <v>0.10176249243699299</v>
      </c>
      <c r="S578" t="s">
        <v>2580</v>
      </c>
      <c r="T578" t="s">
        <v>4002</v>
      </c>
      <c r="U578" t="s">
        <v>4002</v>
      </c>
      <c r="V578" t="s">
        <v>4002</v>
      </c>
      <c r="W578" t="s">
        <v>4574</v>
      </c>
      <c r="X578">
        <v>10</v>
      </c>
      <c r="Y578" t="s">
        <v>6548</v>
      </c>
      <c r="Z578" t="s">
        <v>8476</v>
      </c>
      <c r="AA578">
        <v>1.155345663866896</v>
      </c>
      <c r="AB578" t="str">
        <f>HYPERLINK("Melting_Curves/meltCurve_H0YMD0_ANXA2.pdf", "Melting_Curves/meltCurve_H0YMD0_ANXA2.pdf")</f>
        <v>Melting_Curves/meltCurve_H0YMD0_ANXA2.pdf</v>
      </c>
    </row>
    <row r="579" spans="1:28" x14ac:dyDescent="0.25">
      <c r="A579" t="s">
        <v>583</v>
      </c>
      <c r="B579">
        <v>1</v>
      </c>
      <c r="C579">
        <v>0.88103283720690295</v>
      </c>
      <c r="D579">
        <v>0.76289111873500703</v>
      </c>
      <c r="E579">
        <v>0.88294167719967998</v>
      </c>
      <c r="F579">
        <v>0.90969123223360104</v>
      </c>
      <c r="G579">
        <v>0.91572729383238305</v>
      </c>
      <c r="H579">
        <v>0.79743080455026205</v>
      </c>
      <c r="I579">
        <v>1.1779348414888999</v>
      </c>
      <c r="J579">
        <v>0.80326050506874402</v>
      </c>
      <c r="K579">
        <v>0.84068924600820305</v>
      </c>
      <c r="L579">
        <v>10274.341692672901</v>
      </c>
      <c r="M579">
        <v>250</v>
      </c>
      <c r="O579">
        <v>41.094734435430901</v>
      </c>
      <c r="P579">
        <v>-0.17378599501575001</v>
      </c>
      <c r="Q579">
        <v>0.88573296449991001</v>
      </c>
      <c r="R579">
        <v>9.01474961331373E-2</v>
      </c>
      <c r="S579" t="s">
        <v>2581</v>
      </c>
      <c r="T579" t="s">
        <v>4002</v>
      </c>
      <c r="U579" t="s">
        <v>4002</v>
      </c>
      <c r="V579" t="s">
        <v>4002</v>
      </c>
      <c r="W579" t="s">
        <v>4575</v>
      </c>
      <c r="X579">
        <v>1</v>
      </c>
      <c r="Y579" t="s">
        <v>6549</v>
      </c>
      <c r="Z579" t="s">
        <v>8477</v>
      </c>
      <c r="AA579">
        <v>0.88992158557968681</v>
      </c>
      <c r="AB579" t="str">
        <f>HYPERLINK("Melting_Curves/meltCurve_H0YMR0_CASC4.pdf", "Melting_Curves/meltCurve_H0YMR0_CASC4.pdf")</f>
        <v>Melting_Curves/meltCurve_H0YMR0_CASC4.pdf</v>
      </c>
    </row>
    <row r="580" spans="1:28" x14ac:dyDescent="0.25">
      <c r="A580" t="s">
        <v>584</v>
      </c>
      <c r="B580">
        <v>1</v>
      </c>
      <c r="C580">
        <v>0.95281817467180296</v>
      </c>
      <c r="D580">
        <v>1.0217435736184299</v>
      </c>
      <c r="E580">
        <v>1.1020360034588501</v>
      </c>
      <c r="F580">
        <v>1.0329691062023401</v>
      </c>
      <c r="G580">
        <v>1.0959358540995201</v>
      </c>
      <c r="H580">
        <v>1.3704268532348101</v>
      </c>
      <c r="I580">
        <v>1.6008175457904299</v>
      </c>
      <c r="J580">
        <v>1.64468202185363</v>
      </c>
      <c r="K580">
        <v>1.57283232450279</v>
      </c>
      <c r="L580">
        <v>2775.1025310241398</v>
      </c>
      <c r="M580">
        <v>47.009453667872698</v>
      </c>
      <c r="O580">
        <v>58.9263298127753</v>
      </c>
      <c r="P580">
        <v>9.9720924778232301E-2</v>
      </c>
      <c r="Q580">
        <v>1.5</v>
      </c>
      <c r="R580">
        <v>0.91967539513804397</v>
      </c>
      <c r="S580" t="s">
        <v>2582</v>
      </c>
      <c r="T580" t="s">
        <v>4002</v>
      </c>
      <c r="U580" t="s">
        <v>4002</v>
      </c>
      <c r="V580" t="s">
        <v>4002</v>
      </c>
      <c r="W580" t="s">
        <v>4576</v>
      </c>
      <c r="X580">
        <v>7</v>
      </c>
      <c r="Y580" t="s">
        <v>6550</v>
      </c>
      <c r="Z580" t="s">
        <v>8478</v>
      </c>
      <c r="AA580">
        <v>1.1813312963639819</v>
      </c>
      <c r="AB580" t="str">
        <f>HYPERLINK("Melting_Curves/meltCurve_H0YN26_ANP32A.pdf", "Melting_Curves/meltCurve_H0YN26_ANP32A.pdf")</f>
        <v>Melting_Curves/meltCurve_H0YN26_ANP32A.pdf</v>
      </c>
    </row>
    <row r="581" spans="1:28" x14ac:dyDescent="0.25">
      <c r="A581" t="s">
        <v>585</v>
      </c>
      <c r="B581">
        <v>1</v>
      </c>
      <c r="C581">
        <v>1.0224734883067601</v>
      </c>
      <c r="D581">
        <v>1.2629398131891301</v>
      </c>
      <c r="E581">
        <v>1.1238851042910301</v>
      </c>
      <c r="F581">
        <v>0.79844090174871796</v>
      </c>
      <c r="G581">
        <v>1.0764098602429899</v>
      </c>
      <c r="H581">
        <v>1.3042348479528101</v>
      </c>
      <c r="I581">
        <v>1.04642179928366</v>
      </c>
      <c r="J581">
        <v>4.8571528899501404</v>
      </c>
      <c r="K581">
        <v>1.2552145515836799</v>
      </c>
      <c r="L581">
        <v>3825.5649321041501</v>
      </c>
      <c r="M581">
        <v>62.950246348494403</v>
      </c>
      <c r="O581">
        <v>60.710006684255198</v>
      </c>
      <c r="P581">
        <v>0.12961262720319899</v>
      </c>
      <c r="Q581">
        <v>1.5</v>
      </c>
      <c r="R581">
        <v>9.7285345854386293E-2</v>
      </c>
      <c r="S581" t="s">
        <v>2583</v>
      </c>
      <c r="T581" t="s">
        <v>4002</v>
      </c>
      <c r="U581" t="s">
        <v>4002</v>
      </c>
      <c r="V581" t="s">
        <v>4002</v>
      </c>
      <c r="W581" t="s">
        <v>4577</v>
      </c>
      <c r="X581">
        <v>2</v>
      </c>
      <c r="Y581" t="s">
        <v>6551</v>
      </c>
      <c r="Z581" t="s">
        <v>8479</v>
      </c>
      <c r="AA581">
        <v>1.1529742452637091</v>
      </c>
      <c r="AB581" t="str">
        <f>HYPERLINK("Melting_Curves/meltCurve_H0YN73_RPS17L.pdf", "Melting_Curves/meltCurve_H0YN73_RPS17L.pdf")</f>
        <v>Melting_Curves/meltCurve_H0YN73_RPS17L.pdf</v>
      </c>
    </row>
    <row r="582" spans="1:28" x14ac:dyDescent="0.25">
      <c r="A582" t="s">
        <v>586</v>
      </c>
      <c r="B582">
        <v>1</v>
      </c>
      <c r="C582">
        <v>0.96565381521133697</v>
      </c>
      <c r="D582">
        <v>1.1096602512531699</v>
      </c>
      <c r="E582">
        <v>1.1441302060771099</v>
      </c>
      <c r="F582">
        <v>1.0399158363760099</v>
      </c>
      <c r="G582">
        <v>1.20422055820286</v>
      </c>
      <c r="H582">
        <v>0.96305464447057398</v>
      </c>
      <c r="I582">
        <v>1.29531530416486</v>
      </c>
      <c r="J582">
        <v>1.0367597004765099</v>
      </c>
      <c r="K582">
        <v>1.06714524413639</v>
      </c>
      <c r="L582">
        <v>11161.725469447099</v>
      </c>
      <c r="M582">
        <v>250</v>
      </c>
      <c r="O582">
        <v>44.644051002377402</v>
      </c>
      <c r="P582">
        <v>0.15054286590122501</v>
      </c>
      <c r="Q582">
        <v>1.1075334790334801</v>
      </c>
      <c r="R582">
        <v>0.23465433217705001</v>
      </c>
      <c r="S582" t="s">
        <v>2584</v>
      </c>
      <c r="T582" t="s">
        <v>4002</v>
      </c>
      <c r="U582" t="s">
        <v>4002</v>
      </c>
      <c r="V582" t="s">
        <v>4002</v>
      </c>
      <c r="W582" t="s">
        <v>4578</v>
      </c>
      <c r="X582">
        <v>11</v>
      </c>
      <c r="Y582" t="s">
        <v>6552</v>
      </c>
      <c r="Z582" t="s">
        <v>8480</v>
      </c>
      <c r="AA582">
        <v>1.0908684691006221</v>
      </c>
      <c r="AB582" t="str">
        <f>HYPERLINK("Melting_Curves/meltCurve_H0YNE3_PSME1.pdf", "Melting_Curves/meltCurve_H0YNE3_PSME1.pdf")</f>
        <v>Melting_Curves/meltCurve_H0YNE3_PSME1.pdf</v>
      </c>
    </row>
    <row r="583" spans="1:28" x14ac:dyDescent="0.25">
      <c r="A583" t="s">
        <v>587</v>
      </c>
      <c r="B583">
        <v>1</v>
      </c>
      <c r="C583">
        <v>1.10716963719213</v>
      </c>
      <c r="D583">
        <v>1.3501759243236999</v>
      </c>
      <c r="E583">
        <v>1.70583145872988</v>
      </c>
      <c r="F583">
        <v>1.75157178289208</v>
      </c>
      <c r="G583">
        <v>1.95898944454058</v>
      </c>
      <c r="H583">
        <v>1.65247736055834</v>
      </c>
      <c r="I583">
        <v>2.4522120320701402</v>
      </c>
      <c r="J583">
        <v>1.8617407856030499</v>
      </c>
      <c r="K583">
        <v>1.9110572763453899</v>
      </c>
      <c r="L583">
        <v>1840.7962350006101</v>
      </c>
      <c r="M583">
        <v>41.252382692411203</v>
      </c>
      <c r="O583">
        <v>44.518308849950202</v>
      </c>
      <c r="P583">
        <v>0.115830035948899</v>
      </c>
      <c r="Q583">
        <v>1.5</v>
      </c>
      <c r="R583">
        <v>6.9063585653399803E-2</v>
      </c>
      <c r="S583" t="s">
        <v>2585</v>
      </c>
      <c r="T583" t="s">
        <v>4002</v>
      </c>
      <c r="U583" t="s">
        <v>4002</v>
      </c>
      <c r="V583" t="s">
        <v>4002</v>
      </c>
      <c r="W583" t="s">
        <v>4579</v>
      </c>
      <c r="X583">
        <v>4</v>
      </c>
      <c r="Y583" t="s">
        <v>6553</v>
      </c>
      <c r="Z583" t="s">
        <v>8481</v>
      </c>
      <c r="AA583">
        <v>1.4213863170995269</v>
      </c>
      <c r="AB583" t="str">
        <f>HYPERLINK("Melting_Curves/meltCurve_H0YNE9_RAB8B.pdf", "Melting_Curves/meltCurve_H0YNE9_RAB8B.pdf")</f>
        <v>Melting_Curves/meltCurve_H0YNE9_RAB8B.pdf</v>
      </c>
    </row>
    <row r="584" spans="1:28" x14ac:dyDescent="0.25">
      <c r="A584" t="s">
        <v>588</v>
      </c>
      <c r="B584">
        <v>1</v>
      </c>
      <c r="C584">
        <v>0.99916074031538504</v>
      </c>
      <c r="D584">
        <v>1.1981536286938499</v>
      </c>
      <c r="E584">
        <v>1.21118423958655</v>
      </c>
      <c r="F584">
        <v>1.3285701665267899</v>
      </c>
      <c r="G584">
        <v>1.2052210786695501</v>
      </c>
      <c r="H584">
        <v>2.6587967666416401</v>
      </c>
      <c r="I584">
        <v>3.4661424974601398</v>
      </c>
      <c r="J584">
        <v>5.4899730553469697</v>
      </c>
      <c r="K584">
        <v>4.1832678121825202</v>
      </c>
      <c r="L584">
        <v>1575.7174715665601</v>
      </c>
      <c r="M584">
        <v>31.153824591105401</v>
      </c>
      <c r="O584">
        <v>50.371590019154702</v>
      </c>
      <c r="P584">
        <v>7.7310442397107701E-2</v>
      </c>
      <c r="Q584">
        <v>1.5</v>
      </c>
      <c r="R584">
        <v>-0.23028030066278601</v>
      </c>
      <c r="S584" t="s">
        <v>2586</v>
      </c>
      <c r="T584" t="s">
        <v>4002</v>
      </c>
      <c r="U584" t="s">
        <v>4002</v>
      </c>
      <c r="V584" t="s">
        <v>4002</v>
      </c>
      <c r="W584" t="s">
        <v>4580</v>
      </c>
      <c r="X584">
        <v>1</v>
      </c>
      <c r="Y584" t="s">
        <v>6554</v>
      </c>
      <c r="Z584" t="s">
        <v>8482</v>
      </c>
      <c r="AA584">
        <v>1.3207960035968951</v>
      </c>
      <c r="AB584" t="str">
        <f>HYPERLINK("Melting_Curves/meltCurve_H3BLU7_AKR7A2.pdf", "Melting_Curves/meltCurve_H3BLU7_AKR7A2.pdf")</f>
        <v>Melting_Curves/meltCurve_H3BLU7_AKR7A2.pdf</v>
      </c>
    </row>
    <row r="585" spans="1:28" x14ac:dyDescent="0.25">
      <c r="A585" t="s">
        <v>589</v>
      </c>
      <c r="B585">
        <v>1</v>
      </c>
      <c r="C585">
        <v>0.92924918805323797</v>
      </c>
      <c r="D585">
        <v>1.02349869451697</v>
      </c>
      <c r="E585">
        <v>1.06864930268102</v>
      </c>
      <c r="F585">
        <v>1.06158058969624</v>
      </c>
      <c r="G585">
        <v>1.1323950837419601</v>
      </c>
      <c r="H585">
        <v>1.0191683117875601</v>
      </c>
      <c r="I585">
        <v>1.1722600776921599</v>
      </c>
      <c r="J585">
        <v>1.04852575940903</v>
      </c>
      <c r="K585">
        <v>1.0285295803349701</v>
      </c>
      <c r="L585">
        <v>11536.8673960541</v>
      </c>
      <c r="M585">
        <v>250</v>
      </c>
      <c r="O585">
        <v>46.144514194410803</v>
      </c>
      <c r="P585">
        <v>0.10276501719614101</v>
      </c>
      <c r="Q585">
        <v>1.0758726723415</v>
      </c>
      <c r="R585">
        <v>0.42129658593934599</v>
      </c>
      <c r="S585" t="s">
        <v>2587</v>
      </c>
      <c r="T585" t="s">
        <v>4002</v>
      </c>
      <c r="U585" t="s">
        <v>4002</v>
      </c>
      <c r="V585" t="s">
        <v>4002</v>
      </c>
      <c r="W585" t="s">
        <v>4581</v>
      </c>
      <c r="X585">
        <v>7</v>
      </c>
      <c r="Y585" t="s">
        <v>6555</v>
      </c>
      <c r="Z585" t="s">
        <v>8483</v>
      </c>
      <c r="AA585">
        <v>1.0603190293755289</v>
      </c>
      <c r="AB585" t="str">
        <f>HYPERLINK("Melting_Curves/meltCurve_H3BLV0_CD55.pdf", "Melting_Curves/meltCurve_H3BLV0_CD55.pdf")</f>
        <v>Melting_Curves/meltCurve_H3BLV0_CD55.pdf</v>
      </c>
    </row>
    <row r="586" spans="1:28" x14ac:dyDescent="0.25">
      <c r="A586" t="s">
        <v>590</v>
      </c>
      <c r="B586">
        <v>1</v>
      </c>
      <c r="C586">
        <v>1.31132603660076</v>
      </c>
      <c r="D586">
        <v>1.1416056471001499</v>
      </c>
      <c r="E586">
        <v>1.06754783677861</v>
      </c>
      <c r="F586">
        <v>1.26730412444698</v>
      </c>
      <c r="G586">
        <v>1.1665257819104</v>
      </c>
      <c r="H586">
        <v>0.68375580463492602</v>
      </c>
      <c r="I586">
        <v>1.1386415782020201</v>
      </c>
      <c r="J586">
        <v>6.77476369784062</v>
      </c>
      <c r="K586">
        <v>1.2619248882985099</v>
      </c>
      <c r="L586">
        <v>15000</v>
      </c>
      <c r="M586">
        <v>233.43534961330599</v>
      </c>
      <c r="O586">
        <v>64.252895376130198</v>
      </c>
      <c r="P586">
        <v>0.454133852821065</v>
      </c>
      <c r="Q586">
        <v>1.5</v>
      </c>
      <c r="R586">
        <v>3.1369416096206103E-2</v>
      </c>
      <c r="S586" t="s">
        <v>2588</v>
      </c>
      <c r="T586" t="s">
        <v>4002</v>
      </c>
      <c r="U586" t="s">
        <v>4002</v>
      </c>
      <c r="V586" t="s">
        <v>4002</v>
      </c>
      <c r="W586" t="s">
        <v>4582</v>
      </c>
      <c r="X586">
        <v>2</v>
      </c>
      <c r="Y586" t="s">
        <v>6556</v>
      </c>
      <c r="Z586" t="s">
        <v>8484</v>
      </c>
      <c r="AA586">
        <v>1.095641658784092</v>
      </c>
      <c r="AB586" t="str">
        <f>HYPERLINK("Melting_Curves/meltCurve_H3BM89_RPL4.pdf", "Melting_Curves/meltCurve_H3BM89_RPL4.pdf")</f>
        <v>Melting_Curves/meltCurve_H3BM89_RPL4.pdf</v>
      </c>
    </row>
    <row r="587" spans="1:28" x14ac:dyDescent="0.25">
      <c r="A587" t="s">
        <v>591</v>
      </c>
      <c r="B587">
        <v>1</v>
      </c>
      <c r="C587">
        <v>0.86110891089108899</v>
      </c>
      <c r="D587">
        <v>0.95909900990098995</v>
      </c>
      <c r="E587">
        <v>1.04306930693069</v>
      </c>
      <c r="F587">
        <v>0.99217821782178195</v>
      </c>
      <c r="G587">
        <v>0.94823762376237597</v>
      </c>
      <c r="H587">
        <v>0.79369306930693095</v>
      </c>
      <c r="I587">
        <v>1.07</v>
      </c>
      <c r="J587">
        <v>0.85650495049505004</v>
      </c>
      <c r="K587">
        <v>0.87135643564356402</v>
      </c>
      <c r="L587">
        <v>195.31704246509199</v>
      </c>
      <c r="M587">
        <v>0.688323276826181</v>
      </c>
      <c r="Q587">
        <v>0</v>
      </c>
      <c r="R587">
        <v>9.1826042564752394E-2</v>
      </c>
      <c r="S587" t="s">
        <v>2589</v>
      </c>
      <c r="T587" t="s">
        <v>4002</v>
      </c>
      <c r="U587" t="s">
        <v>4002</v>
      </c>
      <c r="V587" t="s">
        <v>4002</v>
      </c>
      <c r="W587" t="s">
        <v>4583</v>
      </c>
      <c r="X587">
        <v>3</v>
      </c>
      <c r="Y587" t="s">
        <v>6557</v>
      </c>
      <c r="Z587" t="s">
        <v>8485</v>
      </c>
      <c r="AA587">
        <v>0.9433560208187447</v>
      </c>
      <c r="AB587" t="str">
        <f>HYPERLINK("Melting_Curves/meltCurve_H3BNE1_SNAP23.pdf", "Melting_Curves/meltCurve_H3BNE1_SNAP23.pdf")</f>
        <v>Melting_Curves/meltCurve_H3BNE1_SNAP23.pdf</v>
      </c>
    </row>
    <row r="588" spans="1:28" x14ac:dyDescent="0.25">
      <c r="A588" t="s">
        <v>592</v>
      </c>
      <c r="B588">
        <v>1</v>
      </c>
      <c r="C588">
        <v>0.93427847451647095</v>
      </c>
      <c r="D588">
        <v>0.927029541007794</v>
      </c>
      <c r="E588">
        <v>1.0882381242582699</v>
      </c>
      <c r="F588">
        <v>1.6756262629502501</v>
      </c>
      <c r="G588">
        <v>2.5765788882830298</v>
      </c>
      <c r="H588">
        <v>2.52814574846842</v>
      </c>
      <c r="I588">
        <v>3.4733938480290001</v>
      </c>
      <c r="J588">
        <v>2.62029701382429</v>
      </c>
      <c r="K588">
        <v>2.6937165217949102</v>
      </c>
      <c r="L588">
        <v>12577.0179060275</v>
      </c>
      <c r="M588">
        <v>250</v>
      </c>
      <c r="O588">
        <v>50.304852289958802</v>
      </c>
      <c r="P588">
        <v>0.62121244063664205</v>
      </c>
      <c r="Q588">
        <v>1.5</v>
      </c>
      <c r="R588">
        <v>-0.12516530140069099</v>
      </c>
      <c r="S588" t="s">
        <v>2590</v>
      </c>
      <c r="T588" t="s">
        <v>4002</v>
      </c>
      <c r="U588" t="s">
        <v>4002</v>
      </c>
      <c r="V588" t="s">
        <v>4002</v>
      </c>
      <c r="W588" t="s">
        <v>4584</v>
      </c>
      <c r="X588">
        <v>8</v>
      </c>
      <c r="Y588" t="s">
        <v>6558</v>
      </c>
      <c r="Z588" t="s">
        <v>8486</v>
      </c>
      <c r="AA588">
        <v>1.3281546613234669</v>
      </c>
      <c r="AB588" t="str">
        <f>HYPERLINK("Melting_Curves/meltCurve_H3BP20_HEXA.pdf", "Melting_Curves/meltCurve_H3BP20_HEXA.pdf")</f>
        <v>Melting_Curves/meltCurve_H3BP20_HEXA.pdf</v>
      </c>
    </row>
    <row r="589" spans="1:28" x14ac:dyDescent="0.25">
      <c r="A589" t="s">
        <v>593</v>
      </c>
      <c r="B589">
        <v>1</v>
      </c>
      <c r="C589">
        <v>0.93953656770456195</v>
      </c>
      <c r="D589">
        <v>1.01498913830558</v>
      </c>
      <c r="E589">
        <v>1.0979000724112999</v>
      </c>
      <c r="F589">
        <v>1.0244026068066601</v>
      </c>
      <c r="G589">
        <v>1.4793627805937699</v>
      </c>
      <c r="H589">
        <v>1.3055032585083299</v>
      </c>
      <c r="I589">
        <v>2.1315713251267199</v>
      </c>
      <c r="J589">
        <v>3.69102099927589</v>
      </c>
      <c r="K589">
        <v>1.5942070963070201</v>
      </c>
      <c r="L589">
        <v>4458.3745435937999</v>
      </c>
      <c r="M589">
        <v>81.236013165420403</v>
      </c>
      <c r="O589">
        <v>54.848518145391701</v>
      </c>
      <c r="P589">
        <v>0.18513723339260699</v>
      </c>
      <c r="Q589">
        <v>1.5</v>
      </c>
      <c r="R589">
        <v>0.181528040282706</v>
      </c>
      <c r="S589" t="s">
        <v>2591</v>
      </c>
      <c r="T589" t="s">
        <v>4002</v>
      </c>
      <c r="U589" t="s">
        <v>4002</v>
      </c>
      <c r="V589" t="s">
        <v>4002</v>
      </c>
      <c r="W589" t="s">
        <v>4585</v>
      </c>
      <c r="X589">
        <v>1</v>
      </c>
      <c r="Y589" t="s">
        <v>6559</v>
      </c>
      <c r="Z589" t="s">
        <v>8487</v>
      </c>
      <c r="AA589">
        <v>1.2515138861853561</v>
      </c>
      <c r="AB589" t="str">
        <f>HYPERLINK("Melting_Curves/meltCurve_H3BP35_MVD.pdf", "Melting_Curves/meltCurve_H3BP35_MVD.pdf")</f>
        <v>Melting_Curves/meltCurve_H3BP35_MVD.pdf</v>
      </c>
    </row>
    <row r="590" spans="1:28" x14ac:dyDescent="0.25">
      <c r="A590" t="s">
        <v>594</v>
      </c>
      <c r="B590">
        <v>1</v>
      </c>
      <c r="C590">
        <v>0.85072393676510605</v>
      </c>
      <c r="D590">
        <v>1.1068071214823301</v>
      </c>
      <c r="E590">
        <v>1.09341655835323</v>
      </c>
      <c r="F590">
        <v>0.94991385303630305</v>
      </c>
      <c r="G590">
        <v>0.92940483027536802</v>
      </c>
      <c r="H590">
        <v>0.92284557023244596</v>
      </c>
      <c r="I590">
        <v>1.01931505607109</v>
      </c>
      <c r="J590">
        <v>1.32661790043225</v>
      </c>
      <c r="K590">
        <v>0.88027083396306205</v>
      </c>
      <c r="L590">
        <v>15000</v>
      </c>
      <c r="M590">
        <v>232.914779563548</v>
      </c>
      <c r="O590">
        <v>64.396489484331099</v>
      </c>
      <c r="P590">
        <v>9.35153613890847E-2</v>
      </c>
      <c r="Q590">
        <v>1.1034208473637399</v>
      </c>
      <c r="R590">
        <v>0.119690501031792</v>
      </c>
      <c r="S590" t="s">
        <v>2592</v>
      </c>
      <c r="T590" t="s">
        <v>4002</v>
      </c>
      <c r="U590" t="s">
        <v>4002</v>
      </c>
      <c r="V590" t="s">
        <v>4002</v>
      </c>
      <c r="W590" t="s">
        <v>4586</v>
      </c>
      <c r="X590">
        <v>2</v>
      </c>
      <c r="Y590" t="s">
        <v>6560</v>
      </c>
      <c r="Z590" t="s">
        <v>8488</v>
      </c>
      <c r="AA590">
        <v>1.0192874921095449</v>
      </c>
      <c r="AB590" t="str">
        <f>HYPERLINK("Melting_Curves/meltCurve_H3BPE7_FUS.pdf", "Melting_Curves/meltCurve_H3BPE7_FUS.pdf")</f>
        <v>Melting_Curves/meltCurve_H3BPE7_FUS.pdf</v>
      </c>
    </row>
    <row r="591" spans="1:28" x14ac:dyDescent="0.25">
      <c r="A591" t="s">
        <v>595</v>
      </c>
      <c r="B591">
        <v>1</v>
      </c>
      <c r="C591">
        <v>1.1654882046667101</v>
      </c>
      <c r="D591">
        <v>1.8223950633155499</v>
      </c>
      <c r="E591">
        <v>2.5385678472713198</v>
      </c>
      <c r="F591">
        <v>2.5353538599987102</v>
      </c>
      <c r="G591">
        <v>2.5178376293629898</v>
      </c>
      <c r="H591">
        <v>2.6000192839236398</v>
      </c>
      <c r="I591">
        <v>2.9654496368194398</v>
      </c>
      <c r="J591">
        <v>2.3721154464228298</v>
      </c>
      <c r="K591">
        <v>2.64180111846757</v>
      </c>
      <c r="L591">
        <v>10755.1917793546</v>
      </c>
      <c r="M591">
        <v>250</v>
      </c>
      <c r="O591">
        <v>43.0180140866523</v>
      </c>
      <c r="P591">
        <v>0.72643985803505295</v>
      </c>
      <c r="Q591">
        <v>1.5</v>
      </c>
      <c r="R591">
        <v>-1.20615903993111</v>
      </c>
      <c r="S591" t="s">
        <v>2593</v>
      </c>
      <c r="T591" t="s">
        <v>4002</v>
      </c>
      <c r="U591" t="s">
        <v>4002</v>
      </c>
      <c r="V591" t="s">
        <v>4002</v>
      </c>
      <c r="W591" t="s">
        <v>4587</v>
      </c>
      <c r="X591">
        <v>3</v>
      </c>
      <c r="Y591" t="s">
        <v>6561</v>
      </c>
      <c r="Z591" t="s">
        <v>8489</v>
      </c>
      <c r="AA591">
        <v>1.4496161309724389</v>
      </c>
      <c r="AB591" t="str">
        <f>HYPERLINK("Melting_Curves/meltCurve_H3BPK3_HAGH.pdf", "Melting_Curves/meltCurve_H3BPK3_HAGH.pdf")</f>
        <v>Melting_Curves/meltCurve_H3BPK3_HAGH.pdf</v>
      </c>
    </row>
    <row r="592" spans="1:28" x14ac:dyDescent="0.25">
      <c r="A592" t="s">
        <v>596</v>
      </c>
      <c r="B592">
        <v>1</v>
      </c>
      <c r="C592">
        <v>0.78781451445206896</v>
      </c>
      <c r="D592">
        <v>0.89145352464129801</v>
      </c>
      <c r="E592">
        <v>0.97238511124974003</v>
      </c>
      <c r="F592">
        <v>0.78893740902474496</v>
      </c>
      <c r="G592">
        <v>0.73033894780619701</v>
      </c>
      <c r="H592">
        <v>0.79704720316073996</v>
      </c>
      <c r="I592">
        <v>0.66271574131836097</v>
      </c>
      <c r="J592">
        <v>0.82046163443543396</v>
      </c>
      <c r="K592">
        <v>0.73570388854231605</v>
      </c>
      <c r="L592">
        <v>277.59704179236502</v>
      </c>
      <c r="M592">
        <v>5.4921062802929104</v>
      </c>
      <c r="O592">
        <v>45.026271613700501</v>
      </c>
      <c r="P592">
        <v>-9.8726984778120704E-3</v>
      </c>
      <c r="Q592">
        <v>0.67766702075186802</v>
      </c>
      <c r="R592">
        <v>0.46201667832582599</v>
      </c>
      <c r="S592" t="s">
        <v>2594</v>
      </c>
      <c r="T592" t="s">
        <v>4002</v>
      </c>
      <c r="U592" t="s">
        <v>4002</v>
      </c>
      <c r="V592" t="s">
        <v>4002</v>
      </c>
      <c r="W592" t="s">
        <v>4588</v>
      </c>
      <c r="X592">
        <v>2</v>
      </c>
      <c r="Y592" t="s">
        <v>6562</v>
      </c>
      <c r="Z592" t="s">
        <v>8490</v>
      </c>
      <c r="AA592">
        <v>0.81620460647624071</v>
      </c>
      <c r="AB592" t="str">
        <f>HYPERLINK("Melting_Curves/meltCurve_H3BQ52_ARPP19.pdf", "Melting_Curves/meltCurve_H3BQ52_ARPP19.pdf")</f>
        <v>Melting_Curves/meltCurve_H3BQ52_ARPP19.pdf</v>
      </c>
    </row>
    <row r="593" spans="1:28" x14ac:dyDescent="0.25">
      <c r="A593" t="s">
        <v>597</v>
      </c>
      <c r="B593">
        <v>1</v>
      </c>
      <c r="C593">
        <v>1.08060682880456</v>
      </c>
      <c r="D593">
        <v>1.1338825952626199</v>
      </c>
      <c r="E593">
        <v>1.19769468430642</v>
      </c>
      <c r="F593">
        <v>1.08880614750852</v>
      </c>
      <c r="G593">
        <v>1.2127465737146499</v>
      </c>
      <c r="H593">
        <v>1.3187435633367699</v>
      </c>
      <c r="I593">
        <v>1.91452111225541</v>
      </c>
      <c r="J593">
        <v>2.7364731046502402</v>
      </c>
      <c r="K593">
        <v>1.80468192981066</v>
      </c>
      <c r="L593">
        <v>2569.7074734589</v>
      </c>
      <c r="M593">
        <v>44.748943457317999</v>
      </c>
      <c r="O593">
        <v>57.310658579831198</v>
      </c>
      <c r="P593">
        <v>9.7601833294978901E-2</v>
      </c>
      <c r="Q593">
        <v>1.5</v>
      </c>
      <c r="R593">
        <v>0.300508752828336</v>
      </c>
      <c r="S593" t="s">
        <v>2595</v>
      </c>
      <c r="T593" t="s">
        <v>4002</v>
      </c>
      <c r="U593" t="s">
        <v>4002</v>
      </c>
      <c r="V593" t="s">
        <v>4002</v>
      </c>
      <c r="W593" t="s">
        <v>4589</v>
      </c>
      <c r="X593">
        <v>4</v>
      </c>
      <c r="Y593" t="s">
        <v>6563</v>
      </c>
      <c r="Z593" t="s">
        <v>8491</v>
      </c>
      <c r="AA593">
        <v>1.208010999633671</v>
      </c>
      <c r="AB593" t="str">
        <f>HYPERLINK("Melting_Curves/meltCurve_H3BQB1_APRT.pdf", "Melting_Curves/meltCurve_H3BQB1_APRT.pdf")</f>
        <v>Melting_Curves/meltCurve_H3BQB1_APRT.pdf</v>
      </c>
    </row>
    <row r="594" spans="1:28" x14ac:dyDescent="0.25">
      <c r="A594" t="s">
        <v>598</v>
      </c>
      <c r="B594">
        <v>1</v>
      </c>
      <c r="C594">
        <v>1.02468364318075</v>
      </c>
      <c r="D594">
        <v>1.04716896913429</v>
      </c>
      <c r="E594">
        <v>1.1859754056285801</v>
      </c>
      <c r="F594">
        <v>1.06475550695204</v>
      </c>
      <c r="G594">
        <v>1.1464726493628199</v>
      </c>
      <c r="H594">
        <v>1.1899926350793399</v>
      </c>
      <c r="I594">
        <v>1.7246189211507099</v>
      </c>
      <c r="J594">
        <v>2.14810185908452</v>
      </c>
      <c r="K594">
        <v>1.65275514986498</v>
      </c>
      <c r="L594">
        <v>15000</v>
      </c>
      <c r="M594">
        <v>245.412158951403</v>
      </c>
      <c r="O594">
        <v>61.117606995916198</v>
      </c>
      <c r="P594">
        <v>0.501926063938686</v>
      </c>
      <c r="Q594">
        <v>1.5</v>
      </c>
      <c r="R594">
        <v>0.58880810405711603</v>
      </c>
      <c r="S594" t="s">
        <v>2596</v>
      </c>
      <c r="T594" t="s">
        <v>4002</v>
      </c>
      <c r="U594" t="s">
        <v>4002</v>
      </c>
      <c r="V594" t="s">
        <v>4002</v>
      </c>
      <c r="W594" t="s">
        <v>4590</v>
      </c>
      <c r="X594">
        <v>2</v>
      </c>
      <c r="Y594" t="s">
        <v>6564</v>
      </c>
      <c r="Z594" t="s">
        <v>8492</v>
      </c>
      <c r="AA594">
        <v>1.1479165758310319</v>
      </c>
      <c r="AB594" t="str">
        <f>HYPERLINK("Melting_Curves/meltCurve_H3BQF7_IST1.pdf", "Melting_Curves/meltCurve_H3BQF7_IST1.pdf")</f>
        <v>Melting_Curves/meltCurve_H3BQF7_IST1.pdf</v>
      </c>
    </row>
    <row r="595" spans="1:28" x14ac:dyDescent="0.25">
      <c r="A595" t="s">
        <v>599</v>
      </c>
      <c r="B595">
        <v>1</v>
      </c>
      <c r="C595">
        <v>1.2007038485774399</v>
      </c>
      <c r="D595">
        <v>1.1121520883615299</v>
      </c>
      <c r="E595">
        <v>1.05601065284333</v>
      </c>
      <c r="F595">
        <v>1.4475264240449901</v>
      </c>
      <c r="G595">
        <v>1.9120427064880099</v>
      </c>
      <c r="H595">
        <v>2.0951384512953402</v>
      </c>
      <c r="I595">
        <v>2.7388269982998299</v>
      </c>
      <c r="J595">
        <v>4.6973570010343701</v>
      </c>
      <c r="K595">
        <v>2.3965330701827399</v>
      </c>
      <c r="L595">
        <v>3892.8344290442801</v>
      </c>
      <c r="M595">
        <v>75.731527215580797</v>
      </c>
      <c r="O595">
        <v>51.367280056647097</v>
      </c>
      <c r="P595">
        <v>0.184289345908277</v>
      </c>
      <c r="Q595">
        <v>1.5</v>
      </c>
      <c r="R595">
        <v>-0.13193051939546199</v>
      </c>
      <c r="S595" t="s">
        <v>2597</v>
      </c>
      <c r="T595" t="s">
        <v>4002</v>
      </c>
      <c r="U595" t="s">
        <v>4002</v>
      </c>
      <c r="V595" t="s">
        <v>4002</v>
      </c>
      <c r="W595" t="s">
        <v>4591</v>
      </c>
      <c r="X595">
        <v>1</v>
      </c>
      <c r="Y595" t="s">
        <v>6565</v>
      </c>
      <c r="Z595" t="s">
        <v>8493</v>
      </c>
      <c r="AA595">
        <v>1.3094558956865601</v>
      </c>
      <c r="AB595" t="str">
        <f>HYPERLINK("Melting_Curves/meltCurve_H3BQZ7_hCG_2044799.pdf", "Melting_Curves/meltCurve_H3BQZ7_hCG_2044799.pdf")</f>
        <v>Melting_Curves/meltCurve_H3BQZ7_hCG_2044799.pdf</v>
      </c>
    </row>
    <row r="596" spans="1:28" x14ac:dyDescent="0.25">
      <c r="A596" t="s">
        <v>600</v>
      </c>
      <c r="B596">
        <v>1</v>
      </c>
      <c r="C596">
        <v>0.84520938930170797</v>
      </c>
      <c r="D596">
        <v>0.91033905811721905</v>
      </c>
      <c r="E596">
        <v>0.95327493725702495</v>
      </c>
      <c r="F596">
        <v>0.91088037006052802</v>
      </c>
      <c r="G596">
        <v>0.89158998080803098</v>
      </c>
      <c r="H596">
        <v>1.0128684611977801</v>
      </c>
      <c r="I596">
        <v>1.00137788494661</v>
      </c>
      <c r="J596">
        <v>1.0207420894640999</v>
      </c>
      <c r="K596">
        <v>0.91781900497022795</v>
      </c>
      <c r="L596">
        <v>10224.9221900176</v>
      </c>
      <c r="M596">
        <v>250</v>
      </c>
      <c r="O596">
        <v>40.897061756696701</v>
      </c>
      <c r="P596">
        <v>-9.0997031630499298E-2</v>
      </c>
      <c r="Q596">
        <v>0.94045580634628401</v>
      </c>
      <c r="R596">
        <v>9.8148594851538803E-2</v>
      </c>
      <c r="S596" t="s">
        <v>2598</v>
      </c>
      <c r="T596" t="s">
        <v>4002</v>
      </c>
      <c r="U596" t="s">
        <v>4002</v>
      </c>
      <c r="V596" t="s">
        <v>4002</v>
      </c>
      <c r="W596" t="s">
        <v>4592</v>
      </c>
      <c r="X596">
        <v>3</v>
      </c>
      <c r="Y596" t="s">
        <v>6566</v>
      </c>
      <c r="Z596" t="s">
        <v>8494</v>
      </c>
      <c r="AA596">
        <v>0.94224690001170408</v>
      </c>
      <c r="AB596" t="str">
        <f>HYPERLINK("Melting_Curves/meltCurve_H3BR27_RBMX.pdf", "Melting_Curves/meltCurve_H3BR27_RBMX.pdf")</f>
        <v>Melting_Curves/meltCurve_H3BR27_RBMX.pdf</v>
      </c>
    </row>
    <row r="597" spans="1:28" x14ac:dyDescent="0.25">
      <c r="A597" t="s">
        <v>601</v>
      </c>
      <c r="B597">
        <v>1</v>
      </c>
      <c r="C597">
        <v>0.81755815388956499</v>
      </c>
      <c r="D597">
        <v>0.95351215985044901</v>
      </c>
      <c r="E597">
        <v>0.99421547360809803</v>
      </c>
      <c r="F597">
        <v>0.98878366224009295</v>
      </c>
      <c r="G597">
        <v>1.08264113009894</v>
      </c>
      <c r="H597">
        <v>0.93453609156481998</v>
      </c>
      <c r="I597">
        <v>1.0959032149974399</v>
      </c>
      <c r="J597">
        <v>0.97894291307338199</v>
      </c>
      <c r="K597">
        <v>0.96538102040456397</v>
      </c>
      <c r="L597">
        <v>15000</v>
      </c>
      <c r="M597">
        <v>224.31789896548099</v>
      </c>
      <c r="O597">
        <v>66.864070252187304</v>
      </c>
      <c r="P597">
        <v>-2.90418558118982E-2</v>
      </c>
      <c r="Q597">
        <v>0.96537312997366598</v>
      </c>
      <c r="R597">
        <v>-3.5415274553394001E-2</v>
      </c>
      <c r="S597" t="s">
        <v>2599</v>
      </c>
      <c r="T597" t="s">
        <v>4002</v>
      </c>
      <c r="U597" t="s">
        <v>4002</v>
      </c>
      <c r="V597" t="s">
        <v>4002</v>
      </c>
      <c r="W597" t="s">
        <v>4593</v>
      </c>
      <c r="X597">
        <v>4</v>
      </c>
      <c r="Y597" t="s">
        <v>6567</v>
      </c>
      <c r="Z597" t="s">
        <v>8495</v>
      </c>
      <c r="AA597">
        <v>0.99639158456034205</v>
      </c>
      <c r="AB597" t="str">
        <f>HYPERLINK("Melting_Curves/meltCurve_H3BRP9_SIRPB1.pdf", "Melting_Curves/meltCurve_H3BRP9_SIRPB1.pdf")</f>
        <v>Melting_Curves/meltCurve_H3BRP9_SIRPB1.pdf</v>
      </c>
    </row>
    <row r="598" spans="1:28" x14ac:dyDescent="0.25">
      <c r="A598" t="s">
        <v>602</v>
      </c>
      <c r="B598">
        <v>1</v>
      </c>
      <c r="C598">
        <v>0.95946861161760899</v>
      </c>
      <c r="D598">
        <v>1.0929148215681199</v>
      </c>
      <c r="E598">
        <v>1.0391247720760599</v>
      </c>
      <c r="F598">
        <v>0.847356082313102</v>
      </c>
      <c r="G598">
        <v>1.08767908309456</v>
      </c>
      <c r="H598">
        <v>0.86712685595207095</v>
      </c>
      <c r="I598">
        <v>1.2302943474863199</v>
      </c>
      <c r="J598">
        <v>1.13420161500391</v>
      </c>
      <c r="K598">
        <v>0.986350612138578</v>
      </c>
      <c r="L598">
        <v>3356.9664720261298</v>
      </c>
      <c r="M598">
        <v>53.7187895668688</v>
      </c>
      <c r="O598">
        <v>62.405073179903901</v>
      </c>
      <c r="P598">
        <v>2.2271962054674001E-2</v>
      </c>
      <c r="Q598">
        <v>1.1034931813278701</v>
      </c>
      <c r="R598">
        <v>0.17431349506102201</v>
      </c>
      <c r="S598" t="s">
        <v>2600</v>
      </c>
      <c r="T598" t="s">
        <v>4002</v>
      </c>
      <c r="U598" t="s">
        <v>4002</v>
      </c>
      <c r="V598" t="s">
        <v>4002</v>
      </c>
      <c r="W598" t="s">
        <v>4594</v>
      </c>
      <c r="X598">
        <v>4</v>
      </c>
      <c r="Y598" t="s">
        <v>6568</v>
      </c>
      <c r="Z598" t="s">
        <v>8496</v>
      </c>
      <c r="AA598">
        <v>1.025672248850291</v>
      </c>
      <c r="AB598" t="str">
        <f>HYPERLINK("Melting_Curves/meltCurve_H3BRU6_PCBP2.pdf", "Melting_Curves/meltCurve_H3BRU6_PCBP2.pdf")</f>
        <v>Melting_Curves/meltCurve_H3BRU6_PCBP2.pdf</v>
      </c>
    </row>
    <row r="599" spans="1:28" x14ac:dyDescent="0.25">
      <c r="A599" t="s">
        <v>603</v>
      </c>
      <c r="B599">
        <v>1</v>
      </c>
      <c r="C599">
        <v>0.88191077187202704</v>
      </c>
      <c r="D599">
        <v>1.0176553836159901</v>
      </c>
      <c r="E599">
        <v>1.0381875971510099</v>
      </c>
      <c r="F599">
        <v>1.09890262858734</v>
      </c>
      <c r="G599">
        <v>1.19070598334223</v>
      </c>
      <c r="H599">
        <v>0.91047026889079596</v>
      </c>
      <c r="I599">
        <v>1.2396120919657601</v>
      </c>
      <c r="J599">
        <v>0.85316567292299805</v>
      </c>
      <c r="K599">
        <v>1.2249495394752099</v>
      </c>
      <c r="L599">
        <v>12511.5524394937</v>
      </c>
      <c r="M599">
        <v>250</v>
      </c>
      <c r="O599">
        <v>50.042994711922198</v>
      </c>
      <c r="P599">
        <v>0.107783589030782</v>
      </c>
      <c r="Q599">
        <v>1.08630103861619</v>
      </c>
      <c r="R599">
        <v>0.14208960011400801</v>
      </c>
      <c r="S599" t="s">
        <v>2601</v>
      </c>
      <c r="T599" t="s">
        <v>4002</v>
      </c>
      <c r="U599" t="s">
        <v>4002</v>
      </c>
      <c r="V599" t="s">
        <v>4002</v>
      </c>
      <c r="W599" t="s">
        <v>4595</v>
      </c>
      <c r="X599">
        <v>1</v>
      </c>
      <c r="Y599" t="s">
        <v>6569</v>
      </c>
      <c r="Z599" t="s">
        <v>8497</v>
      </c>
      <c r="AA599">
        <v>1.0573935142261071</v>
      </c>
      <c r="AB599" t="str">
        <f>HYPERLINK("Melting_Curves/meltCurve_H3BTE3_AMDHD2.pdf", "Melting_Curves/meltCurve_H3BTE3_AMDHD2.pdf")</f>
        <v>Melting_Curves/meltCurve_H3BTE3_AMDHD2.pdf</v>
      </c>
    </row>
    <row r="600" spans="1:28" x14ac:dyDescent="0.25">
      <c r="A600" t="s">
        <v>604</v>
      </c>
      <c r="B600">
        <v>1</v>
      </c>
      <c r="C600">
        <v>0.98991400025293996</v>
      </c>
      <c r="D600">
        <v>1.22755153661313</v>
      </c>
      <c r="E600">
        <v>1.1260275705071501</v>
      </c>
      <c r="F600">
        <v>0.94356266599215899</v>
      </c>
      <c r="G600">
        <v>0.98770077146831903</v>
      </c>
      <c r="H600">
        <v>0.73191475907423797</v>
      </c>
      <c r="I600">
        <v>1.15242822815227</v>
      </c>
      <c r="J600">
        <v>1.0107499683824499</v>
      </c>
      <c r="K600">
        <v>0.757430125205514</v>
      </c>
      <c r="L600">
        <v>15000</v>
      </c>
      <c r="M600">
        <v>213.14706584945</v>
      </c>
      <c r="Q600">
        <v>0</v>
      </c>
      <c r="R600">
        <v>0.259584168530757</v>
      </c>
      <c r="S600" t="s">
        <v>2602</v>
      </c>
      <c r="T600" t="s">
        <v>4002</v>
      </c>
      <c r="U600" t="s">
        <v>4002</v>
      </c>
      <c r="V600" t="s">
        <v>4002</v>
      </c>
      <c r="W600" t="s">
        <v>4596</v>
      </c>
      <c r="X600">
        <v>2</v>
      </c>
      <c r="Y600" t="s">
        <v>6570</v>
      </c>
      <c r="Z600" t="s">
        <v>8498</v>
      </c>
      <c r="AA600">
        <v>0.99700464957726886</v>
      </c>
      <c r="AB600" t="str">
        <f>HYPERLINK("Melting_Curves/meltCurve_H3BTK3_CARHSP1.pdf", "Melting_Curves/meltCurve_H3BTK3_CARHSP1.pdf")</f>
        <v>Melting_Curves/meltCurve_H3BTK3_CARHSP1.pdf</v>
      </c>
    </row>
    <row r="601" spans="1:28" x14ac:dyDescent="0.25">
      <c r="A601" t="s">
        <v>605</v>
      </c>
      <c r="B601">
        <v>1</v>
      </c>
      <c r="C601">
        <v>0.97448991094577797</v>
      </c>
      <c r="D601">
        <v>0.96489685492052801</v>
      </c>
      <c r="E601">
        <v>0.83116897756735397</v>
      </c>
      <c r="F601">
        <v>0.73072934280238999</v>
      </c>
      <c r="G601">
        <v>0.80530943523841703</v>
      </c>
      <c r="H601">
        <v>0.952248900913088</v>
      </c>
      <c r="I601">
        <v>1.1108668695750199</v>
      </c>
      <c r="J601">
        <v>1.3343478750986399</v>
      </c>
      <c r="K601">
        <v>1.2393191297486199</v>
      </c>
      <c r="L601">
        <v>15000</v>
      </c>
      <c r="M601">
        <v>233.91312604255401</v>
      </c>
      <c r="O601">
        <v>64.121696962322901</v>
      </c>
      <c r="P601">
        <v>0.261592377754226</v>
      </c>
      <c r="Q601">
        <v>1.2868371526442</v>
      </c>
      <c r="R601">
        <v>0.54461681756147695</v>
      </c>
      <c r="S601" t="s">
        <v>2603</v>
      </c>
      <c r="T601" t="s">
        <v>4002</v>
      </c>
      <c r="U601" t="s">
        <v>4002</v>
      </c>
      <c r="V601" t="s">
        <v>4002</v>
      </c>
      <c r="W601" t="s">
        <v>4597</v>
      </c>
      <c r="X601">
        <v>1</v>
      </c>
      <c r="Y601" t="s">
        <v>6571</v>
      </c>
      <c r="Z601" t="s">
        <v>8499</v>
      </c>
      <c r="AA601">
        <v>1.0561222884729919</v>
      </c>
      <c r="AB601" t="str">
        <f>HYPERLINK("Melting_Curves/meltCurve_H3BUD9_RAB27A.pdf", "Melting_Curves/meltCurve_H3BUD9_RAB27A.pdf")</f>
        <v>Melting_Curves/meltCurve_H3BUD9_RAB27A.pdf</v>
      </c>
    </row>
    <row r="602" spans="1:28" x14ac:dyDescent="0.25">
      <c r="A602" t="s">
        <v>606</v>
      </c>
      <c r="B602">
        <v>1</v>
      </c>
      <c r="C602">
        <v>1.02821614826643</v>
      </c>
      <c r="D602">
        <v>1.0201980736235901</v>
      </c>
      <c r="E602">
        <v>0.986155231284081</v>
      </c>
      <c r="F602">
        <v>0.87539708155673002</v>
      </c>
      <c r="G602">
        <v>1.1306844242105101</v>
      </c>
      <c r="H602">
        <v>0.47352506497698199</v>
      </c>
      <c r="I602">
        <v>1.4021608031664601</v>
      </c>
      <c r="J602">
        <v>0.68583416854944201</v>
      </c>
      <c r="K602">
        <v>0.83399867497919</v>
      </c>
      <c r="L602">
        <v>425.60450254568798</v>
      </c>
      <c r="M602">
        <v>4.4773928412652202</v>
      </c>
      <c r="Q602">
        <v>0</v>
      </c>
      <c r="R602">
        <v>5.9826983004577103E-2</v>
      </c>
      <c r="S602" t="s">
        <v>2604</v>
      </c>
      <c r="T602" t="s">
        <v>4002</v>
      </c>
      <c r="U602" t="s">
        <v>4002</v>
      </c>
      <c r="V602" t="s">
        <v>4002</v>
      </c>
      <c r="W602" t="s">
        <v>4598</v>
      </c>
      <c r="X602">
        <v>1</v>
      </c>
      <c r="Y602" t="s">
        <v>6572</v>
      </c>
      <c r="Z602" t="s">
        <v>8500</v>
      </c>
      <c r="AA602">
        <v>0.94644987696881766</v>
      </c>
      <c r="AB602" t="str">
        <f>HYPERLINK("Melting_Curves/meltCurve_H3BV04_SCAMP2.pdf", "Melting_Curves/meltCurve_H3BV04_SCAMP2.pdf")</f>
        <v>Melting_Curves/meltCurve_H3BV04_SCAMP2.pdf</v>
      </c>
    </row>
    <row r="603" spans="1:28" x14ac:dyDescent="0.25">
      <c r="A603" t="s">
        <v>607</v>
      </c>
      <c r="B603">
        <v>1</v>
      </c>
      <c r="C603">
        <v>0.973159720310521</v>
      </c>
      <c r="D603">
        <v>0.96225843748279505</v>
      </c>
      <c r="E603">
        <v>0.79659197269173598</v>
      </c>
      <c r="F603">
        <v>0.88735341078015795</v>
      </c>
      <c r="G603">
        <v>0.91614821340087005</v>
      </c>
      <c r="H603">
        <v>0.66500578098331797</v>
      </c>
      <c r="I603">
        <v>0.82439574960083695</v>
      </c>
      <c r="J603">
        <v>1.07600616638221</v>
      </c>
      <c r="K603">
        <v>0.79736277046743398</v>
      </c>
      <c r="L603">
        <v>11549.382644323099</v>
      </c>
      <c r="M603">
        <v>250</v>
      </c>
      <c r="O603">
        <v>46.194576233812299</v>
      </c>
      <c r="P603">
        <v>-0.200459522481507</v>
      </c>
      <c r="Q603">
        <v>0.85183772346957398</v>
      </c>
      <c r="R603">
        <v>0.25585156735456699</v>
      </c>
      <c r="S603" t="s">
        <v>2605</v>
      </c>
      <c r="T603" t="s">
        <v>4002</v>
      </c>
      <c r="U603" t="s">
        <v>4002</v>
      </c>
      <c r="V603" t="s">
        <v>4002</v>
      </c>
      <c r="W603" t="s">
        <v>4599</v>
      </c>
      <c r="X603">
        <v>1</v>
      </c>
      <c r="Y603" t="s">
        <v>6573</v>
      </c>
      <c r="Z603" t="s">
        <v>8501</v>
      </c>
      <c r="AA603">
        <v>0.88245774383976405</v>
      </c>
      <c r="AB603" t="str">
        <f>HYPERLINK("Melting_Curves/meltCurve_H3BV11_NUP93.pdf", "Melting_Curves/meltCurve_H3BV11_NUP93.pdf")</f>
        <v>Melting_Curves/meltCurve_H3BV11_NUP93.pdf</v>
      </c>
    </row>
    <row r="604" spans="1:28" x14ac:dyDescent="0.25">
      <c r="A604" t="s">
        <v>608</v>
      </c>
      <c r="B604">
        <v>1</v>
      </c>
      <c r="C604">
        <v>0.816144293317564</v>
      </c>
      <c r="D604">
        <v>1.2063276167948001</v>
      </c>
      <c r="E604">
        <v>1.05866351271437</v>
      </c>
      <c r="F604">
        <v>1.06061502069781</v>
      </c>
      <c r="G604">
        <v>1.28509757539917</v>
      </c>
      <c r="H604">
        <v>1.21496156120639</v>
      </c>
      <c r="I604">
        <v>1.5465405085748101</v>
      </c>
      <c r="J604">
        <v>1.24624482554701</v>
      </c>
      <c r="K604">
        <v>1.38267297457126</v>
      </c>
      <c r="L604">
        <v>897.33535641547599</v>
      </c>
      <c r="M604">
        <v>16.149981022052099</v>
      </c>
      <c r="O604">
        <v>54.731668584387798</v>
      </c>
      <c r="P604">
        <v>2.8870798246253701E-2</v>
      </c>
      <c r="Q604">
        <v>1.3913385389730999</v>
      </c>
      <c r="R604">
        <v>0.63107302077611105</v>
      </c>
      <c r="S604" t="s">
        <v>2606</v>
      </c>
      <c r="T604" t="s">
        <v>4002</v>
      </c>
      <c r="U604" t="s">
        <v>4002</v>
      </c>
      <c r="V604" t="s">
        <v>4002</v>
      </c>
      <c r="W604" t="s">
        <v>4600</v>
      </c>
      <c r="X604">
        <v>1</v>
      </c>
      <c r="Y604" t="s">
        <v>6574</v>
      </c>
      <c r="Z604" t="s">
        <v>8502</v>
      </c>
      <c r="AA604">
        <v>1.1816277980102221</v>
      </c>
      <c r="AB604" t="str">
        <f>HYPERLINK("Melting_Curves/meltCurve_H3BV53_MBTPS1.pdf", "Melting_Curves/meltCurve_H3BV53_MBTPS1.pdf")</f>
        <v>Melting_Curves/meltCurve_H3BV53_MBTPS1.pdf</v>
      </c>
    </row>
    <row r="605" spans="1:28" x14ac:dyDescent="0.25">
      <c r="A605" t="s">
        <v>609</v>
      </c>
      <c r="B605">
        <v>1</v>
      </c>
      <c r="C605">
        <v>0.998440904650988</v>
      </c>
      <c r="D605">
        <v>1.0753249680667201</v>
      </c>
      <c r="E605">
        <v>1.7898038921030901</v>
      </c>
      <c r="F605">
        <v>2.23889848974378</v>
      </c>
      <c r="G605">
        <v>2.58133593808701</v>
      </c>
      <c r="H605">
        <v>2.60162296190548</v>
      </c>
      <c r="I605">
        <v>3.3432263881583899</v>
      </c>
      <c r="J605">
        <v>2.8460064617927698</v>
      </c>
      <c r="K605">
        <v>2.5612367570816699</v>
      </c>
      <c r="S605" t="s">
        <v>2607</v>
      </c>
      <c r="T605" t="s">
        <v>4002</v>
      </c>
      <c r="U605" t="s">
        <v>4003</v>
      </c>
      <c r="V605" t="s">
        <v>4002</v>
      </c>
      <c r="W605" t="s">
        <v>4601</v>
      </c>
      <c r="X605">
        <v>1</v>
      </c>
      <c r="Y605" t="s">
        <v>6575</v>
      </c>
      <c r="Z605" t="s">
        <v>8503</v>
      </c>
      <c r="AB605" t="str">
        <f>HYPERLINK("Melting_Curves/meltCurve_H3BVC8_PRSS8.pdf", "Melting_Curves/meltCurve_H3BVC8_PRSS8.pdf")</f>
        <v>Melting_Curves/meltCurve_H3BVC8_PRSS8.pdf</v>
      </c>
    </row>
    <row r="606" spans="1:28" x14ac:dyDescent="0.25">
      <c r="A606" t="s">
        <v>610</v>
      </c>
      <c r="B606">
        <v>1</v>
      </c>
      <c r="C606">
        <v>0.91586825264832405</v>
      </c>
      <c r="D606">
        <v>1.1463899634838599</v>
      </c>
      <c r="E606">
        <v>1.04982103474457</v>
      </c>
      <c r="F606">
        <v>0.82750641744097797</v>
      </c>
      <c r="G606">
        <v>0.93134242018872704</v>
      </c>
      <c r="H606">
        <v>0.67630789254853796</v>
      </c>
      <c r="I606">
        <v>1.13008424021114</v>
      </c>
      <c r="J606">
        <v>0.88629379225568505</v>
      </c>
      <c r="K606">
        <v>0.83209805126721903</v>
      </c>
      <c r="L606">
        <v>4750.2850447518204</v>
      </c>
      <c r="M606">
        <v>92.334602465701707</v>
      </c>
      <c r="O606">
        <v>51.422305105765197</v>
      </c>
      <c r="P606">
        <v>-5.3595866314160502E-2</v>
      </c>
      <c r="Q606">
        <v>0.88060715228762199</v>
      </c>
      <c r="R606">
        <v>0.24684958178308999</v>
      </c>
      <c r="S606" t="s">
        <v>2608</v>
      </c>
      <c r="T606" t="s">
        <v>4002</v>
      </c>
      <c r="U606" t="s">
        <v>4002</v>
      </c>
      <c r="V606" t="s">
        <v>4002</v>
      </c>
      <c r="W606" t="s">
        <v>4602</v>
      </c>
      <c r="X606">
        <v>1</v>
      </c>
      <c r="Y606" t="s">
        <v>6576</v>
      </c>
      <c r="Z606" t="s">
        <v>8504</v>
      </c>
      <c r="AA606">
        <v>0.92624032295454806</v>
      </c>
      <c r="AB606" t="str">
        <f>HYPERLINK("Melting_Curves/meltCurve_H7BXI7_LYPD6B.pdf", "Melting_Curves/meltCurve_H7BXI7_LYPD6B.pdf")</f>
        <v>Melting_Curves/meltCurve_H7BXI7_LYPD6B.pdf</v>
      </c>
    </row>
    <row r="607" spans="1:28" x14ac:dyDescent="0.25">
      <c r="A607" t="s">
        <v>611</v>
      </c>
      <c r="B607">
        <v>1</v>
      </c>
      <c r="C607">
        <v>0.83009645179592395</v>
      </c>
      <c r="D607">
        <v>0.85231091520097801</v>
      </c>
      <c r="E607">
        <v>0.88408327150525901</v>
      </c>
      <c r="F607">
        <v>0.75660105616898699</v>
      </c>
      <c r="G607">
        <v>0.81914197180639803</v>
      </c>
      <c r="H607">
        <v>0.60297647623619799</v>
      </c>
      <c r="I607">
        <v>1.0779906603238301</v>
      </c>
      <c r="J607">
        <v>0.441801597346484</v>
      </c>
      <c r="K607">
        <v>0.60415484659363705</v>
      </c>
      <c r="L607">
        <v>200.95224083883301</v>
      </c>
      <c r="M607">
        <v>2.3219438511977599</v>
      </c>
      <c r="O607">
        <v>56.091947085640399</v>
      </c>
      <c r="P607">
        <v>-1.09910127632054E-2</v>
      </c>
      <c r="Q607">
        <v>0</v>
      </c>
      <c r="R607">
        <v>0.30603019669952303</v>
      </c>
      <c r="S607" t="s">
        <v>2609</v>
      </c>
      <c r="T607" t="s">
        <v>4002</v>
      </c>
      <c r="U607" t="s">
        <v>4002</v>
      </c>
      <c r="V607" t="s">
        <v>4002</v>
      </c>
      <c r="W607" t="s">
        <v>4603</v>
      </c>
      <c r="X607">
        <v>1</v>
      </c>
      <c r="Y607" t="s">
        <v>6577</v>
      </c>
      <c r="Z607" t="s">
        <v>8505</v>
      </c>
      <c r="AA607">
        <v>0.78959336056560092</v>
      </c>
      <c r="AB607" t="str">
        <f>HYPERLINK("Melting_Curves/meltCurve_H7BXU9_FGFR2.pdf", "Melting_Curves/meltCurve_H7BXU9_FGFR2.pdf")</f>
        <v>Melting_Curves/meltCurve_H7BXU9_FGFR2.pdf</v>
      </c>
    </row>
    <row r="608" spans="1:28" x14ac:dyDescent="0.25">
      <c r="A608" t="s">
        <v>612</v>
      </c>
      <c r="B608">
        <v>1</v>
      </c>
      <c r="C608">
        <v>0.80705955047501399</v>
      </c>
      <c r="D608">
        <v>1.0192322545763499</v>
      </c>
      <c r="E608">
        <v>1.0229396771452799</v>
      </c>
      <c r="F608">
        <v>1.0649571329265499</v>
      </c>
      <c r="G608">
        <v>1.50760794006334</v>
      </c>
      <c r="H608">
        <v>2.26878813624778</v>
      </c>
      <c r="I608">
        <v>2.9377461960299698</v>
      </c>
      <c r="J608">
        <v>2.9208310805591999</v>
      </c>
      <c r="K608">
        <v>2.9161195643778499</v>
      </c>
      <c r="L608">
        <v>12866.0821381692</v>
      </c>
      <c r="M608">
        <v>240.85452300763799</v>
      </c>
      <c r="O608">
        <v>53.414795610901898</v>
      </c>
      <c r="P608">
        <v>0.56364187382647202</v>
      </c>
      <c r="Q608">
        <v>1.5</v>
      </c>
      <c r="R608">
        <v>9.8254882551140302E-2</v>
      </c>
      <c r="S608" t="s">
        <v>2610</v>
      </c>
      <c r="T608" t="s">
        <v>4002</v>
      </c>
      <c r="U608" t="s">
        <v>4002</v>
      </c>
      <c r="V608" t="s">
        <v>4002</v>
      </c>
      <c r="W608" t="s">
        <v>4604</v>
      </c>
      <c r="X608">
        <v>1</v>
      </c>
      <c r="Y608" t="s">
        <v>6578</v>
      </c>
      <c r="Z608" t="s">
        <v>8506</v>
      </c>
      <c r="AA608">
        <v>1.2763081906310121</v>
      </c>
      <c r="AB608" t="str">
        <f>HYPERLINK("Melting_Curves/meltCurve_H7BXV5_COL18A1.pdf", "Melting_Curves/meltCurve_H7BXV5_COL18A1.pdf")</f>
        <v>Melting_Curves/meltCurve_H7BXV5_COL18A1.pdf</v>
      </c>
    </row>
    <row r="609" spans="1:28" x14ac:dyDescent="0.25">
      <c r="A609" t="s">
        <v>613</v>
      </c>
      <c r="B609">
        <v>1</v>
      </c>
      <c r="C609">
        <v>0.90150669321700305</v>
      </c>
      <c r="D609">
        <v>0.97555220479057103</v>
      </c>
      <c r="E609">
        <v>0.99612104190886197</v>
      </c>
      <c r="F609">
        <v>0.98758042795151901</v>
      </c>
      <c r="G609">
        <v>0.85614475304734206</v>
      </c>
      <c r="H609">
        <v>1.0463172918657</v>
      </c>
      <c r="I609">
        <v>1.01956744437666</v>
      </c>
      <c r="J609">
        <v>1.1257265852507501</v>
      </c>
      <c r="K609">
        <v>0.91007032769714202</v>
      </c>
      <c r="L609">
        <v>15.1653188434729</v>
      </c>
      <c r="M609">
        <v>15.4938933301363</v>
      </c>
      <c r="Q609">
        <v>0.98185867926317105</v>
      </c>
      <c r="R609">
        <v>-1.50801504616993E-9</v>
      </c>
      <c r="S609" t="s">
        <v>2611</v>
      </c>
      <c r="T609" t="s">
        <v>4002</v>
      </c>
      <c r="U609" t="s">
        <v>4002</v>
      </c>
      <c r="V609" t="s">
        <v>4002</v>
      </c>
      <c r="W609" t="s">
        <v>4605</v>
      </c>
      <c r="X609">
        <v>1</v>
      </c>
      <c r="Y609" t="s">
        <v>6579</v>
      </c>
      <c r="Z609" t="s">
        <v>8507</v>
      </c>
      <c r="AA609">
        <v>0.98185868376175334</v>
      </c>
      <c r="AB609" t="str">
        <f>HYPERLINK("Melting_Curves/meltCurve_H7BY83_WDR44.pdf", "Melting_Curves/meltCurve_H7BY83_WDR44.pdf")</f>
        <v>Melting_Curves/meltCurve_H7BY83_WDR44.pdf</v>
      </c>
    </row>
    <row r="610" spans="1:28" x14ac:dyDescent="0.25">
      <c r="A610" t="s">
        <v>614</v>
      </c>
      <c r="B610">
        <v>1</v>
      </c>
      <c r="C610">
        <v>0.90208710232537603</v>
      </c>
      <c r="D610">
        <v>0.93478356793010597</v>
      </c>
      <c r="E610">
        <v>1.07761549662445</v>
      </c>
      <c r="F610">
        <v>1.01716454132286</v>
      </c>
      <c r="G610">
        <v>1.21616732118431</v>
      </c>
      <c r="H610">
        <v>0.67585933018576505</v>
      </c>
      <c r="I610">
        <v>1.25857123946521</v>
      </c>
      <c r="J610">
        <v>0.49684507788024501</v>
      </c>
      <c r="K610">
        <v>0.96730353439526995</v>
      </c>
      <c r="L610">
        <v>15000</v>
      </c>
      <c r="M610">
        <v>229.081505926451</v>
      </c>
      <c r="O610">
        <v>65.473887803854396</v>
      </c>
      <c r="P610">
        <v>-0.23386012936812201</v>
      </c>
      <c r="Q610">
        <v>0.732641327290245</v>
      </c>
      <c r="R610">
        <v>0.25738250382810601</v>
      </c>
      <c r="S610" t="s">
        <v>2612</v>
      </c>
      <c r="T610" t="s">
        <v>4002</v>
      </c>
      <c r="U610" t="s">
        <v>4002</v>
      </c>
      <c r="V610" t="s">
        <v>4002</v>
      </c>
      <c r="W610" t="s">
        <v>4606</v>
      </c>
      <c r="X610">
        <v>1</v>
      </c>
      <c r="Y610" t="s">
        <v>6580</v>
      </c>
      <c r="Z610" t="s">
        <v>8508</v>
      </c>
      <c r="AA610">
        <v>0.95974455257238278</v>
      </c>
      <c r="AB610" t="str">
        <f>HYPERLINK("Melting_Curves/meltCurve_H7BYG8_LTN1.pdf", "Melting_Curves/meltCurve_H7BYG8_LTN1.pdf")</f>
        <v>Melting_Curves/meltCurve_H7BYG8_LTN1.pdf</v>
      </c>
    </row>
    <row r="611" spans="1:28" x14ac:dyDescent="0.25">
      <c r="A611" t="s">
        <v>615</v>
      </c>
      <c r="B611">
        <v>1</v>
      </c>
      <c r="C611">
        <v>1.21832588059936</v>
      </c>
      <c r="D611">
        <v>1.00094139797599</v>
      </c>
      <c r="E611">
        <v>1.37302894798776</v>
      </c>
      <c r="F611">
        <v>1.55009021730603</v>
      </c>
      <c r="G611">
        <v>1.49156664313172</v>
      </c>
      <c r="H611">
        <v>1.37412724562642</v>
      </c>
      <c r="I611">
        <v>1.9440652702596699</v>
      </c>
      <c r="J611">
        <v>1.43869145681337</v>
      </c>
      <c r="K611">
        <v>1.6050835490703701</v>
      </c>
      <c r="L611">
        <v>12446.1151208557</v>
      </c>
      <c r="M611">
        <v>250</v>
      </c>
      <c r="O611">
        <v>49.781274564042498</v>
      </c>
      <c r="P611">
        <v>0.627746080882855</v>
      </c>
      <c r="Q611">
        <v>1.5</v>
      </c>
      <c r="R611">
        <v>0.61596808071624498</v>
      </c>
      <c r="S611" t="s">
        <v>2613</v>
      </c>
      <c r="T611" t="s">
        <v>4002</v>
      </c>
      <c r="U611" t="s">
        <v>4002</v>
      </c>
      <c r="V611" t="s">
        <v>4002</v>
      </c>
      <c r="W611" t="s">
        <v>4607</v>
      </c>
      <c r="X611">
        <v>1</v>
      </c>
      <c r="Y611" t="s">
        <v>6581</v>
      </c>
      <c r="Z611" t="s">
        <v>8509</v>
      </c>
      <c r="AA611">
        <v>1.336881973132954</v>
      </c>
      <c r="AB611" t="str">
        <f>HYPERLINK("Melting_Curves/meltCurve_H7BYJ3_CIT.pdf", "Melting_Curves/meltCurve_H7BYJ3_CIT.pdf")</f>
        <v>Melting_Curves/meltCurve_H7BYJ3_CIT.pdf</v>
      </c>
    </row>
    <row r="612" spans="1:28" x14ac:dyDescent="0.25">
      <c r="A612" t="s">
        <v>616</v>
      </c>
      <c r="B612">
        <v>1</v>
      </c>
      <c r="C612">
        <v>0.780281427639549</v>
      </c>
      <c r="D612">
        <v>0.83010902991333502</v>
      </c>
      <c r="E612">
        <v>0.872546826949958</v>
      </c>
      <c r="F612">
        <v>0.77546361010157505</v>
      </c>
      <c r="G612">
        <v>0.85648122262603699</v>
      </c>
      <c r="H612">
        <v>0.70733389246109402</v>
      </c>
      <c r="I612">
        <v>0.86154132886031098</v>
      </c>
      <c r="J612">
        <v>0.88215450563787201</v>
      </c>
      <c r="K612">
        <v>0.76088901313950197</v>
      </c>
      <c r="L612">
        <v>10254.6597673829</v>
      </c>
      <c r="M612">
        <v>250</v>
      </c>
      <c r="O612">
        <v>41.015999550513499</v>
      </c>
      <c r="P612">
        <v>-0.28329064189333197</v>
      </c>
      <c r="Q612">
        <v>0.81408875223202604</v>
      </c>
      <c r="R612">
        <v>0.51565308803570598</v>
      </c>
      <c r="S612" t="s">
        <v>2614</v>
      </c>
      <c r="T612" t="s">
        <v>4002</v>
      </c>
      <c r="U612" t="s">
        <v>4002</v>
      </c>
      <c r="V612" t="s">
        <v>4002</v>
      </c>
      <c r="W612" t="s">
        <v>4608</v>
      </c>
      <c r="X612">
        <v>2</v>
      </c>
      <c r="Y612" t="s">
        <v>6582</v>
      </c>
      <c r="Z612" t="s">
        <v>8510</v>
      </c>
      <c r="AA612">
        <v>0.82041633119571811</v>
      </c>
      <c r="AB612" t="str">
        <f>HYPERLINK("Melting_Curves/meltCurve_H7BYP0_EPS15.pdf", "Melting_Curves/meltCurve_H7BYP0_EPS15.pdf")</f>
        <v>Melting_Curves/meltCurve_H7BYP0_EPS15.pdf</v>
      </c>
    </row>
    <row r="613" spans="1:28" x14ac:dyDescent="0.25">
      <c r="A613" t="s">
        <v>617</v>
      </c>
      <c r="B613">
        <v>1</v>
      </c>
      <c r="C613">
        <v>0.55712309820193595</v>
      </c>
      <c r="D613">
        <v>0.88974510966212195</v>
      </c>
      <c r="E613">
        <v>0.65755779490219302</v>
      </c>
      <c r="F613">
        <v>0.78166370282552899</v>
      </c>
      <c r="G613">
        <v>0.755384311400909</v>
      </c>
      <c r="H613">
        <v>0.87933873411051799</v>
      </c>
      <c r="I613">
        <v>0.78357373378120299</v>
      </c>
      <c r="J613">
        <v>0.71962062833432106</v>
      </c>
      <c r="K613">
        <v>0.878811829019298</v>
      </c>
      <c r="L613">
        <v>10232.7729505834</v>
      </c>
      <c r="M613">
        <v>250</v>
      </c>
      <c r="O613">
        <v>40.928472711925103</v>
      </c>
      <c r="P613">
        <v>-0.355834067703931</v>
      </c>
      <c r="Q613">
        <v>0.76698008269107798</v>
      </c>
      <c r="R613">
        <v>0.33028957753966598</v>
      </c>
      <c r="S613" t="s">
        <v>2615</v>
      </c>
      <c r="T613" t="s">
        <v>4002</v>
      </c>
      <c r="U613" t="s">
        <v>4002</v>
      </c>
      <c r="V613" t="s">
        <v>4002</v>
      </c>
      <c r="W613" t="s">
        <v>4609</v>
      </c>
      <c r="X613">
        <v>1</v>
      </c>
      <c r="Y613" t="s">
        <v>6583</v>
      </c>
      <c r="Z613" t="s">
        <v>8511</v>
      </c>
      <c r="AA613">
        <v>0.77423249254450299</v>
      </c>
      <c r="AB613" t="str">
        <f>HYPERLINK("Melting_Curves/meltCurve_H7BYW6_PDGFA.pdf", "Melting_Curves/meltCurve_H7BYW6_PDGFA.pdf")</f>
        <v>Melting_Curves/meltCurve_H7BYW6_PDGFA.pdf</v>
      </c>
    </row>
    <row r="614" spans="1:28" x14ac:dyDescent="0.25">
      <c r="A614" t="s">
        <v>618</v>
      </c>
      <c r="B614">
        <v>1</v>
      </c>
      <c r="C614">
        <v>0.94402800250965901</v>
      </c>
      <c r="D614">
        <v>1.1847571244592701</v>
      </c>
      <c r="E614">
        <v>1.1467490010897201</v>
      </c>
      <c r="F614">
        <v>1.1657695736882101</v>
      </c>
      <c r="G614">
        <v>1.0287950335171501</v>
      </c>
      <c r="H614">
        <v>1.08503120562692</v>
      </c>
      <c r="I614">
        <v>1.69699171152132</v>
      </c>
      <c r="J614">
        <v>2.0948056665455899</v>
      </c>
      <c r="K614">
        <v>1.9502030842386799</v>
      </c>
      <c r="L614">
        <v>15000</v>
      </c>
      <c r="M614">
        <v>244.317404691831</v>
      </c>
      <c r="O614">
        <v>61.3914329479964</v>
      </c>
      <c r="P614">
        <v>0.49745828453687602</v>
      </c>
      <c r="Q614">
        <v>1.5</v>
      </c>
      <c r="R614">
        <v>0.57203133448209997</v>
      </c>
      <c r="S614" t="s">
        <v>2616</v>
      </c>
      <c r="T614" t="s">
        <v>4002</v>
      </c>
      <c r="U614" t="s">
        <v>4002</v>
      </c>
      <c r="V614" t="s">
        <v>4002</v>
      </c>
      <c r="W614" t="s">
        <v>4610</v>
      </c>
      <c r="X614">
        <v>2</v>
      </c>
      <c r="Y614" t="s">
        <v>6584</v>
      </c>
      <c r="Z614" t="s">
        <v>8512</v>
      </c>
      <c r="AA614">
        <v>1.143351187966638</v>
      </c>
      <c r="AB614" t="str">
        <f>HYPERLINK("Melting_Curves/meltCurve_H7BZ14_PPIL3.pdf", "Melting_Curves/meltCurve_H7BZ14_PPIL3.pdf")</f>
        <v>Melting_Curves/meltCurve_H7BZ14_PPIL3.pdf</v>
      </c>
    </row>
    <row r="615" spans="1:28" x14ac:dyDescent="0.25">
      <c r="A615" t="s">
        <v>619</v>
      </c>
      <c r="B615">
        <v>1</v>
      </c>
      <c r="C615">
        <v>0.97259294566253596</v>
      </c>
      <c r="D615">
        <v>1.1166587225929501</v>
      </c>
      <c r="E615">
        <v>1.01447807435653</v>
      </c>
      <c r="F615">
        <v>0.96723069590085797</v>
      </c>
      <c r="G615">
        <v>1.13596282173499</v>
      </c>
      <c r="H615">
        <v>0.95287178265014305</v>
      </c>
      <c r="I615">
        <v>1.4302311725452801</v>
      </c>
      <c r="J615">
        <v>2.14901096282173</v>
      </c>
      <c r="K615">
        <v>1.10164442326025</v>
      </c>
      <c r="L615">
        <v>15000</v>
      </c>
      <c r="M615">
        <v>236.19414175315401</v>
      </c>
      <c r="O615">
        <v>63.5025259868954</v>
      </c>
      <c r="P615">
        <v>0.46493060419097398</v>
      </c>
      <c r="Q615">
        <v>1.5</v>
      </c>
      <c r="R615">
        <v>0.49203699101221299</v>
      </c>
      <c r="S615" t="s">
        <v>2617</v>
      </c>
      <c r="T615" t="s">
        <v>4002</v>
      </c>
      <c r="U615" t="s">
        <v>4002</v>
      </c>
      <c r="V615" t="s">
        <v>4002</v>
      </c>
      <c r="W615" t="s">
        <v>4611</v>
      </c>
      <c r="X615">
        <v>2</v>
      </c>
      <c r="Y615" t="s">
        <v>6585</v>
      </c>
      <c r="Z615" t="s">
        <v>8513</v>
      </c>
      <c r="AA615">
        <v>1.108152917735522</v>
      </c>
      <c r="AB615" t="str">
        <f>HYPERLINK("Melting_Curves/meltCurve_H7BZ35_DARS.pdf", "Melting_Curves/meltCurve_H7BZ35_DARS.pdf")</f>
        <v>Melting_Curves/meltCurve_H7BZ35_DARS.pdf</v>
      </c>
    </row>
    <row r="616" spans="1:28" x14ac:dyDescent="0.25">
      <c r="A616" t="s">
        <v>620</v>
      </c>
      <c r="B616">
        <v>1</v>
      </c>
      <c r="C616">
        <v>0.985072383910234</v>
      </c>
      <c r="D616">
        <v>0.84851976155888398</v>
      </c>
      <c r="E616">
        <v>1.8756365943662401</v>
      </c>
      <c r="F616">
        <v>2.11424468600244</v>
      </c>
      <c r="G616">
        <v>1.6315517039857099</v>
      </c>
      <c r="H616">
        <v>1.65087077760524</v>
      </c>
      <c r="I616">
        <v>2.8247257426238499</v>
      </c>
      <c r="J616">
        <v>2.6749486550117698</v>
      </c>
      <c r="K616">
        <v>1.99986641954282</v>
      </c>
      <c r="L616">
        <v>11959.099930434701</v>
      </c>
      <c r="M616">
        <v>250</v>
      </c>
      <c r="O616">
        <v>47.833338678717702</v>
      </c>
      <c r="P616">
        <v>0.65331003459963299</v>
      </c>
      <c r="Q616">
        <v>1.5</v>
      </c>
      <c r="R616">
        <v>5.6502369345809898E-2</v>
      </c>
      <c r="S616" t="s">
        <v>2618</v>
      </c>
      <c r="T616" t="s">
        <v>4002</v>
      </c>
      <c r="U616" t="s">
        <v>4002</v>
      </c>
      <c r="V616" t="s">
        <v>4002</v>
      </c>
      <c r="W616" t="s">
        <v>4612</v>
      </c>
      <c r="X616">
        <v>1</v>
      </c>
      <c r="Y616" t="s">
        <v>6586</v>
      </c>
      <c r="Z616" t="s">
        <v>8514</v>
      </c>
      <c r="AA616">
        <v>1.3693513619025139</v>
      </c>
      <c r="AB616" t="str">
        <f>HYPERLINK("Melting_Curves/meltCurve_H7BZ87_KREMEN1.pdf", "Melting_Curves/meltCurve_H7BZ87_KREMEN1.pdf")</f>
        <v>Melting_Curves/meltCurve_H7BZ87_KREMEN1.pdf</v>
      </c>
    </row>
    <row r="617" spans="1:28" x14ac:dyDescent="0.25">
      <c r="A617" t="s">
        <v>621</v>
      </c>
      <c r="B617">
        <v>1</v>
      </c>
      <c r="C617">
        <v>0.90003972808334098</v>
      </c>
      <c r="D617">
        <v>1.06268208704864</v>
      </c>
      <c r="E617">
        <v>1.10947294076101</v>
      </c>
      <c r="F617">
        <v>1.2858435596362701</v>
      </c>
      <c r="G617">
        <v>1.3992672375739399</v>
      </c>
      <c r="H617">
        <v>1.0966275271475201</v>
      </c>
      <c r="I617">
        <v>1.64970866072217</v>
      </c>
      <c r="J617">
        <v>1.1145934492804801</v>
      </c>
      <c r="K617">
        <v>1.2061666813807701</v>
      </c>
      <c r="L617">
        <v>3418.7850555094501</v>
      </c>
      <c r="M617">
        <v>67.868034916372594</v>
      </c>
      <c r="O617">
        <v>50.330317735208702</v>
      </c>
      <c r="P617">
        <v>9.8988730983812695E-2</v>
      </c>
      <c r="Q617">
        <v>1.2936365539619701</v>
      </c>
      <c r="R617">
        <v>0.45319447390782303</v>
      </c>
      <c r="S617" t="s">
        <v>2619</v>
      </c>
      <c r="T617" t="s">
        <v>4002</v>
      </c>
      <c r="U617" t="s">
        <v>4002</v>
      </c>
      <c r="V617" t="s">
        <v>4002</v>
      </c>
      <c r="W617" t="s">
        <v>4613</v>
      </c>
      <c r="X617">
        <v>1</v>
      </c>
      <c r="Y617" t="s">
        <v>6587</v>
      </c>
      <c r="Z617" t="s">
        <v>8515</v>
      </c>
      <c r="AA617">
        <v>1.191743711369474</v>
      </c>
      <c r="AB617" t="str">
        <f>HYPERLINK("Melting_Curves/meltCurve_H7BZ97_ITGA6.pdf", "Melting_Curves/meltCurve_H7BZ97_ITGA6.pdf")</f>
        <v>Melting_Curves/meltCurve_H7BZ97_ITGA6.pdf</v>
      </c>
    </row>
    <row r="618" spans="1:28" x14ac:dyDescent="0.25">
      <c r="A618" t="s">
        <v>622</v>
      </c>
      <c r="B618">
        <v>1</v>
      </c>
      <c r="C618">
        <v>0.91162857142857101</v>
      </c>
      <c r="D618">
        <v>1.03971428571429</v>
      </c>
      <c r="E618">
        <v>0.95200952380952397</v>
      </c>
      <c r="F618">
        <v>0.92630476190476196</v>
      </c>
      <c r="G618">
        <v>1.0827619047618999</v>
      </c>
      <c r="H618">
        <v>0.85074285714285702</v>
      </c>
      <c r="I618">
        <v>1.15933333333333</v>
      </c>
      <c r="J618">
        <v>1.01742857142857</v>
      </c>
      <c r="K618">
        <v>0.97771428571428598</v>
      </c>
      <c r="L618">
        <v>1.0000000000000001E-5</v>
      </c>
      <c r="M618">
        <v>13.1784271905619</v>
      </c>
      <c r="Q618">
        <v>0.99176379753935295</v>
      </c>
      <c r="R618">
        <v>-4.2188474935755901E-15</v>
      </c>
      <c r="S618" t="s">
        <v>2620</v>
      </c>
      <c r="T618" t="s">
        <v>4002</v>
      </c>
      <c r="U618" t="s">
        <v>4002</v>
      </c>
      <c r="V618" t="s">
        <v>4002</v>
      </c>
      <c r="W618" t="s">
        <v>4614</v>
      </c>
      <c r="X618">
        <v>7</v>
      </c>
      <c r="Y618" t="s">
        <v>6491</v>
      </c>
      <c r="Z618" t="s">
        <v>8516</v>
      </c>
      <c r="AA618">
        <v>0.99176381311363593</v>
      </c>
      <c r="AB618" t="str">
        <f>HYPERLINK("Melting_Curves/meltCurve_H7BZJ3_PDIA3.pdf", "Melting_Curves/meltCurve_H7BZJ3_PDIA3.pdf")</f>
        <v>Melting_Curves/meltCurve_H7BZJ3_PDIA3.pdf</v>
      </c>
    </row>
    <row r="619" spans="1:28" x14ac:dyDescent="0.25">
      <c r="A619" t="s">
        <v>623</v>
      </c>
      <c r="B619">
        <v>1</v>
      </c>
      <c r="C619">
        <v>0.83953172498544704</v>
      </c>
      <c r="D619">
        <v>1.07981372485609</v>
      </c>
      <c r="E619">
        <v>1.0957894056011901</v>
      </c>
      <c r="F619">
        <v>1.01849815665222</v>
      </c>
      <c r="G619">
        <v>1.0038807321648</v>
      </c>
      <c r="H619">
        <v>0.80939137183882004</v>
      </c>
      <c r="I619">
        <v>1.1472737856542301</v>
      </c>
      <c r="J619">
        <v>0.72530884160144904</v>
      </c>
      <c r="K619">
        <v>0.83920833063837996</v>
      </c>
      <c r="L619">
        <v>15000</v>
      </c>
      <c r="M619">
        <v>228.65724191997001</v>
      </c>
      <c r="O619">
        <v>65.595342097220694</v>
      </c>
      <c r="P619">
        <v>-0.19012542755231601</v>
      </c>
      <c r="Q619">
        <v>0.78183337699279298</v>
      </c>
      <c r="R619">
        <v>0.41280117597822502</v>
      </c>
      <c r="S619" t="s">
        <v>2621</v>
      </c>
      <c r="T619" t="s">
        <v>4002</v>
      </c>
      <c r="U619" t="s">
        <v>4002</v>
      </c>
      <c r="V619" t="s">
        <v>4002</v>
      </c>
      <c r="W619" t="s">
        <v>4116</v>
      </c>
      <c r="X619">
        <v>2</v>
      </c>
      <c r="Z619" t="s">
        <v>8517</v>
      </c>
      <c r="AA619">
        <v>0.96803495431727737</v>
      </c>
      <c r="AB619" t="str">
        <f>HYPERLINK("Melting_Curves/meltCurve_H7BZT4_.pdf", "Melting_Curves/meltCurve_H7BZT4_.pdf")</f>
        <v>Melting_Curves/meltCurve_H7BZT4_.pdf</v>
      </c>
    </row>
    <row r="620" spans="1:28" x14ac:dyDescent="0.25">
      <c r="A620" t="s">
        <v>624</v>
      </c>
      <c r="B620">
        <v>1</v>
      </c>
      <c r="C620">
        <v>0.961792054099746</v>
      </c>
      <c r="D620">
        <v>1.1244294167371101</v>
      </c>
      <c r="E620">
        <v>1.17723302338687</v>
      </c>
      <c r="F620">
        <v>1.0634544942237201</v>
      </c>
      <c r="G620">
        <v>1.0867850098619301</v>
      </c>
      <c r="H620">
        <v>0.92256973795435304</v>
      </c>
      <c r="I620">
        <v>1.44063116370809</v>
      </c>
      <c r="J620">
        <v>1.2916877993801099</v>
      </c>
      <c r="K620">
        <v>1.36494787264018</v>
      </c>
      <c r="L620">
        <v>15000</v>
      </c>
      <c r="M620">
        <v>240.12029405308499</v>
      </c>
      <c r="O620">
        <v>62.464355781055701</v>
      </c>
      <c r="P620">
        <v>0.351720772494932</v>
      </c>
      <c r="Q620">
        <v>1.3659834175711401</v>
      </c>
      <c r="R620">
        <v>0.71648438111206902</v>
      </c>
      <c r="S620" t="s">
        <v>2622</v>
      </c>
      <c r="T620" t="s">
        <v>4002</v>
      </c>
      <c r="U620" t="s">
        <v>4002</v>
      </c>
      <c r="V620" t="s">
        <v>4002</v>
      </c>
      <c r="W620" t="s">
        <v>4615</v>
      </c>
      <c r="X620">
        <v>3</v>
      </c>
      <c r="Y620" t="s">
        <v>6588</v>
      </c>
      <c r="Z620" t="s">
        <v>8518</v>
      </c>
      <c r="AA620">
        <v>1.0918343360453839</v>
      </c>
      <c r="AB620" t="str">
        <f>HYPERLINK("Melting_Curves/meltCurve_H7BZT7_ESD.pdf", "Melting_Curves/meltCurve_H7BZT7_ESD.pdf")</f>
        <v>Melting_Curves/meltCurve_H7BZT7_ESD.pdf</v>
      </c>
    </row>
    <row r="621" spans="1:28" x14ac:dyDescent="0.25">
      <c r="A621" t="s">
        <v>625</v>
      </c>
      <c r="B621">
        <v>1</v>
      </c>
      <c r="C621">
        <v>0.88230940044411499</v>
      </c>
      <c r="D621">
        <v>0.873998096647986</v>
      </c>
      <c r="E621">
        <v>0.94820767685312501</v>
      </c>
      <c r="F621">
        <v>0.99718726868985896</v>
      </c>
      <c r="G621">
        <v>1.16451305910965</v>
      </c>
      <c r="H621">
        <v>0.67975044940255902</v>
      </c>
      <c r="I621">
        <v>1.34528920376441</v>
      </c>
      <c r="J621">
        <v>0.78016284233900801</v>
      </c>
      <c r="K621">
        <v>1.0010574177857701</v>
      </c>
      <c r="L621">
        <v>1.0000000000000001E-5</v>
      </c>
      <c r="M621">
        <v>1.0000000000000001E-5</v>
      </c>
      <c r="Q621">
        <v>0.93449540360754602</v>
      </c>
      <c r="R621">
        <v>-6.7671579451200604E-10</v>
      </c>
      <c r="S621" t="s">
        <v>2623</v>
      </c>
      <c r="T621" t="s">
        <v>4002</v>
      </c>
      <c r="U621" t="s">
        <v>4002</v>
      </c>
      <c r="V621" t="s">
        <v>4002</v>
      </c>
      <c r="W621" t="s">
        <v>4616</v>
      </c>
      <c r="X621">
        <v>28</v>
      </c>
      <c r="Y621" t="s">
        <v>6589</v>
      </c>
      <c r="Z621" t="s">
        <v>8519</v>
      </c>
      <c r="AA621">
        <v>0.9672475410970659</v>
      </c>
      <c r="AB621" t="str">
        <f>HYPERLINK("Melting_Curves/meltCurve_H7C013_ALB.pdf", "Melting_Curves/meltCurve_H7C013_ALB.pdf")</f>
        <v>Melting_Curves/meltCurve_H7C013_ALB.pdf</v>
      </c>
    </row>
    <row r="622" spans="1:28" x14ac:dyDescent="0.25">
      <c r="A622" t="s">
        <v>626</v>
      </c>
      <c r="B622">
        <v>1</v>
      </c>
      <c r="C622">
        <v>0.74958438043688402</v>
      </c>
      <c r="D622">
        <v>0.86785231007152497</v>
      </c>
      <c r="E622">
        <v>0.62107094529286699</v>
      </c>
      <c r="F622">
        <v>1.0258650686255599</v>
      </c>
      <c r="G622">
        <v>0.74131065145950104</v>
      </c>
      <c r="H622">
        <v>1.1799342741156</v>
      </c>
      <c r="I622">
        <v>1.4777111927314901</v>
      </c>
      <c r="J622">
        <v>1.7032283007925799</v>
      </c>
      <c r="K622">
        <v>1.7304078871061299</v>
      </c>
      <c r="L622">
        <v>6362.8391976216899</v>
      </c>
      <c r="M622">
        <v>103.722753813002</v>
      </c>
      <c r="O622">
        <v>61.321886593052596</v>
      </c>
      <c r="P622">
        <v>0.21143095143478099</v>
      </c>
      <c r="Q622">
        <v>1.5</v>
      </c>
      <c r="R622">
        <v>0.73547286855059202</v>
      </c>
      <c r="S622" t="s">
        <v>2624</v>
      </c>
      <c r="T622" t="s">
        <v>4002</v>
      </c>
      <c r="U622" t="s">
        <v>4002</v>
      </c>
      <c r="V622" t="s">
        <v>4002</v>
      </c>
      <c r="W622" t="s">
        <v>4617</v>
      </c>
      <c r="X622">
        <v>1</v>
      </c>
      <c r="Y622" t="s">
        <v>6590</v>
      </c>
      <c r="Z622" t="s">
        <v>8520</v>
      </c>
      <c r="AA622">
        <v>1.1439423086217431</v>
      </c>
      <c r="AB622" t="str">
        <f>HYPERLINK("Melting_Curves/meltCurve_H7C270_CTDSP1.pdf", "Melting_Curves/meltCurve_H7C270_CTDSP1.pdf")</f>
        <v>Melting_Curves/meltCurve_H7C270_CTDSP1.pdf</v>
      </c>
    </row>
    <row r="623" spans="1:28" x14ac:dyDescent="0.25">
      <c r="A623" t="s">
        <v>627</v>
      </c>
      <c r="B623">
        <v>1</v>
      </c>
      <c r="C623">
        <v>0.78474611981178499</v>
      </c>
      <c r="D623">
        <v>0.78650186108575004</v>
      </c>
      <c r="E623">
        <v>0.48931104712409601</v>
      </c>
      <c r="F623">
        <v>0.37114965938619299</v>
      </c>
      <c r="G623">
        <v>0.380132031743802</v>
      </c>
      <c r="H623">
        <v>0.31756443570475501</v>
      </c>
      <c r="I623">
        <v>0.39220450874359197</v>
      </c>
      <c r="J623">
        <v>0.62233302900484599</v>
      </c>
      <c r="K623">
        <v>0.30893321160193798</v>
      </c>
      <c r="L623">
        <v>890.11362048421699</v>
      </c>
      <c r="M623">
        <v>19.301809253859599</v>
      </c>
      <c r="N623">
        <v>50.0428889996249</v>
      </c>
      <c r="O623">
        <v>45.629113619955397</v>
      </c>
      <c r="P623">
        <v>-6.4504486247095705E-2</v>
      </c>
      <c r="Q623">
        <v>0.39007328157982402</v>
      </c>
      <c r="R623">
        <v>0.829211287688148</v>
      </c>
      <c r="S623" t="s">
        <v>2625</v>
      </c>
      <c r="T623" t="s">
        <v>4002</v>
      </c>
      <c r="U623" t="s">
        <v>4002</v>
      </c>
      <c r="V623" t="s">
        <v>4002</v>
      </c>
      <c r="W623" t="s">
        <v>4618</v>
      </c>
      <c r="X623">
        <v>2</v>
      </c>
      <c r="Y623" t="s">
        <v>6591</v>
      </c>
      <c r="Z623" t="s">
        <v>8521</v>
      </c>
      <c r="AA623">
        <v>0.52455029834788836</v>
      </c>
      <c r="AB623" t="str">
        <f>HYPERLINK("Melting_Curves/meltCurve_H7C393_APEH.pdf", "Melting_Curves/meltCurve_H7C393_APEH.pdf")</f>
        <v>Melting_Curves/meltCurve_H7C393_APEH.pdf</v>
      </c>
    </row>
    <row r="624" spans="1:28" x14ac:dyDescent="0.25">
      <c r="A624" t="s">
        <v>628</v>
      </c>
      <c r="B624">
        <v>1</v>
      </c>
      <c r="C624">
        <v>0.94276233927830799</v>
      </c>
      <c r="D624">
        <v>1.01667357942762</v>
      </c>
      <c r="E624">
        <v>1.1296142679386101</v>
      </c>
      <c r="F624">
        <v>1.1295727913728699</v>
      </c>
      <c r="G624">
        <v>1.59597677312319</v>
      </c>
      <c r="H624">
        <v>2.0995022812111199</v>
      </c>
      <c r="I624">
        <v>3.21028618830361</v>
      </c>
      <c r="J624">
        <v>3.39021153048528</v>
      </c>
      <c r="K624">
        <v>3.03231024471174</v>
      </c>
      <c r="L624">
        <v>10084.974905545199</v>
      </c>
      <c r="M624">
        <v>189.23217818033001</v>
      </c>
      <c r="O624">
        <v>53.288241901981898</v>
      </c>
      <c r="P624">
        <v>0.44388827734095898</v>
      </c>
      <c r="Q624">
        <v>1.5</v>
      </c>
      <c r="R624">
        <v>-2.3256525466961001E-2</v>
      </c>
      <c r="S624" t="s">
        <v>2626</v>
      </c>
      <c r="T624" t="s">
        <v>4002</v>
      </c>
      <c r="U624" t="s">
        <v>4002</v>
      </c>
      <c r="V624" t="s">
        <v>4002</v>
      </c>
      <c r="W624" t="s">
        <v>4619</v>
      </c>
      <c r="X624">
        <v>9</v>
      </c>
      <c r="Y624" t="s">
        <v>6592</v>
      </c>
      <c r="Z624" t="s">
        <v>8522</v>
      </c>
      <c r="AA624">
        <v>1.27834859636644</v>
      </c>
      <c r="AB624" t="str">
        <f>HYPERLINK("Melting_Curves/meltCurve_H7C3G9_NAGK.pdf", "Melting_Curves/meltCurve_H7C3G9_NAGK.pdf")</f>
        <v>Melting_Curves/meltCurve_H7C3G9_NAGK.pdf</v>
      </c>
    </row>
    <row r="625" spans="1:28" x14ac:dyDescent="0.25">
      <c r="A625" t="s">
        <v>629</v>
      </c>
      <c r="B625">
        <v>1</v>
      </c>
      <c r="C625">
        <v>1.0939881785658701</v>
      </c>
      <c r="D625">
        <v>1.4747627935915399</v>
      </c>
      <c r="E625">
        <v>2.09336599782237</v>
      </c>
      <c r="F625">
        <v>2.1489734017732101</v>
      </c>
      <c r="G625">
        <v>2.4670633068906498</v>
      </c>
      <c r="H625">
        <v>2.2826256027376002</v>
      </c>
      <c r="I625">
        <v>2.8707808368331</v>
      </c>
      <c r="J625">
        <v>2.5666899984445499</v>
      </c>
      <c r="K625">
        <v>2.5875719396484702</v>
      </c>
      <c r="L625">
        <v>3032.2411419141699</v>
      </c>
      <c r="M625">
        <v>69.2066961258395</v>
      </c>
      <c r="O625">
        <v>43.777745692667999</v>
      </c>
      <c r="P625">
        <v>0.19760819850043601</v>
      </c>
      <c r="Q625">
        <v>1.5</v>
      </c>
      <c r="R625">
        <v>-0.70881541272488202</v>
      </c>
      <c r="S625" t="s">
        <v>2627</v>
      </c>
      <c r="T625" t="s">
        <v>4002</v>
      </c>
      <c r="U625" t="s">
        <v>4002</v>
      </c>
      <c r="V625" t="s">
        <v>4002</v>
      </c>
      <c r="W625" t="s">
        <v>4620</v>
      </c>
      <c r="X625">
        <v>6</v>
      </c>
      <c r="Y625" t="s">
        <v>6593</v>
      </c>
      <c r="Z625" t="s">
        <v>8523</v>
      </c>
      <c r="AA625">
        <v>1.4359140642573629</v>
      </c>
      <c r="AB625" t="str">
        <f>HYPERLINK("Melting_Curves/meltCurve_H7C3P4_GNS.pdf", "Melting_Curves/meltCurve_H7C3P4_GNS.pdf")</f>
        <v>Melting_Curves/meltCurve_H7C3P4_GNS.pdf</v>
      </c>
    </row>
    <row r="626" spans="1:28" x14ac:dyDescent="0.25">
      <c r="A626" t="s">
        <v>630</v>
      </c>
      <c r="B626">
        <v>1</v>
      </c>
      <c r="C626">
        <v>0.99211083317298399</v>
      </c>
      <c r="D626">
        <v>1.1291541823579501</v>
      </c>
      <c r="E626">
        <v>1.0457681629511499</v>
      </c>
      <c r="F626">
        <v>1.05944363506419</v>
      </c>
      <c r="G626">
        <v>1.07350394458341</v>
      </c>
      <c r="H626">
        <v>0.94593034442947799</v>
      </c>
      <c r="I626">
        <v>1.5335770636905901</v>
      </c>
      <c r="J626">
        <v>1.41578932900849</v>
      </c>
      <c r="K626">
        <v>1.29533522086918</v>
      </c>
      <c r="L626">
        <v>15000</v>
      </c>
      <c r="M626">
        <v>240.51975649501</v>
      </c>
      <c r="O626">
        <v>62.360607597995703</v>
      </c>
      <c r="P626">
        <v>0.40018019253449</v>
      </c>
      <c r="Q626">
        <v>1.4150259969494501</v>
      </c>
      <c r="R626">
        <v>0.83159713932300305</v>
      </c>
      <c r="S626" t="s">
        <v>2628</v>
      </c>
      <c r="T626" t="s">
        <v>4002</v>
      </c>
      <c r="U626" t="s">
        <v>4002</v>
      </c>
      <c r="V626" t="s">
        <v>4002</v>
      </c>
      <c r="W626" t="s">
        <v>4621</v>
      </c>
      <c r="X626">
        <v>1</v>
      </c>
      <c r="Y626" t="s">
        <v>6594</v>
      </c>
      <c r="Z626" t="s">
        <v>8524</v>
      </c>
      <c r="AA626">
        <v>1.1055758800852471</v>
      </c>
      <c r="AB626" t="str">
        <f>HYPERLINK("Melting_Curves/meltCurve_H7C3Q5_PPP1R7.pdf", "Melting_Curves/meltCurve_H7C3Q5_PPP1R7.pdf")</f>
        <v>Melting_Curves/meltCurve_H7C3Q5_PPP1R7.pdf</v>
      </c>
    </row>
    <row r="627" spans="1:28" x14ac:dyDescent="0.25">
      <c r="A627" t="s">
        <v>631</v>
      </c>
      <c r="B627">
        <v>1</v>
      </c>
      <c r="C627">
        <v>0.86264576276267302</v>
      </c>
      <c r="D627">
        <v>0.83079528762852595</v>
      </c>
      <c r="E627">
        <v>1.2360382505470799</v>
      </c>
      <c r="F627">
        <v>1.42289936748704</v>
      </c>
      <c r="G627">
        <v>3.37600047963068</v>
      </c>
      <c r="H627">
        <v>5.2573518390839098</v>
      </c>
      <c r="I627">
        <v>6.3997721754249204</v>
      </c>
      <c r="J627">
        <v>7.8001438892053097</v>
      </c>
      <c r="K627">
        <v>6.3351719176234296</v>
      </c>
      <c r="L627">
        <v>3516.0706003486498</v>
      </c>
      <c r="M627">
        <v>70.167430589150499</v>
      </c>
      <c r="O627">
        <v>50.069068430911997</v>
      </c>
      <c r="P627">
        <v>0.17517663157852301</v>
      </c>
      <c r="Q627">
        <v>1.5</v>
      </c>
      <c r="R627">
        <v>-0.54550499137416697</v>
      </c>
      <c r="S627" t="s">
        <v>2629</v>
      </c>
      <c r="T627" t="s">
        <v>4002</v>
      </c>
      <c r="U627" t="s">
        <v>4002</v>
      </c>
      <c r="V627" t="s">
        <v>4002</v>
      </c>
      <c r="W627" t="s">
        <v>4622</v>
      </c>
      <c r="X627">
        <v>1</v>
      </c>
      <c r="Y627" t="s">
        <v>6595</v>
      </c>
      <c r="Z627" t="s">
        <v>8525</v>
      </c>
      <c r="AA627">
        <v>1.330944962598662</v>
      </c>
      <c r="AB627" t="str">
        <f>HYPERLINK("Melting_Curves/meltCurve_H7C3R6_ZBTB8OS.pdf", "Melting_Curves/meltCurve_H7C3R6_ZBTB8OS.pdf")</f>
        <v>Melting_Curves/meltCurve_H7C3R6_ZBTB8OS.pdf</v>
      </c>
    </row>
    <row r="628" spans="1:28" x14ac:dyDescent="0.25">
      <c r="A628" t="s">
        <v>632</v>
      </c>
      <c r="B628">
        <v>1</v>
      </c>
      <c r="C628">
        <v>0.77915936952714504</v>
      </c>
      <c r="D628">
        <v>0.73577057793345002</v>
      </c>
      <c r="E628">
        <v>1.0509194395796799</v>
      </c>
      <c r="F628">
        <v>0.64693520140105099</v>
      </c>
      <c r="G628">
        <v>0.688441330998249</v>
      </c>
      <c r="H628">
        <v>0.73218038528896701</v>
      </c>
      <c r="I628">
        <v>0.570753064798599</v>
      </c>
      <c r="J628">
        <v>0.92972854640980696</v>
      </c>
      <c r="K628">
        <v>0.51401050788091096</v>
      </c>
      <c r="L628">
        <v>222.97523226811501</v>
      </c>
      <c r="M628">
        <v>4.1435473158265799</v>
      </c>
      <c r="O628">
        <v>44.663719604359102</v>
      </c>
      <c r="P628">
        <v>-1.11977141253414E-2</v>
      </c>
      <c r="Q628">
        <v>0.52267049811585098</v>
      </c>
      <c r="R628">
        <v>0.26230231710381702</v>
      </c>
      <c r="S628" t="s">
        <v>2630</v>
      </c>
      <c r="T628" t="s">
        <v>4002</v>
      </c>
      <c r="U628" t="s">
        <v>4002</v>
      </c>
      <c r="V628" t="s">
        <v>4002</v>
      </c>
      <c r="W628" t="s">
        <v>4623</v>
      </c>
      <c r="X628">
        <v>1</v>
      </c>
      <c r="Y628" t="s">
        <v>6596</v>
      </c>
      <c r="Z628" t="s">
        <v>8526</v>
      </c>
      <c r="AA628">
        <v>0.76204673142601564</v>
      </c>
      <c r="AB628" t="str">
        <f>HYPERLINK("Melting_Curves/meltCurve_H7C492_BCS1L.pdf", "Melting_Curves/meltCurve_H7C492_BCS1L.pdf")</f>
        <v>Melting_Curves/meltCurve_H7C492_BCS1L.pdf</v>
      </c>
    </row>
    <row r="629" spans="1:28" x14ac:dyDescent="0.25">
      <c r="A629" t="s">
        <v>633</v>
      </c>
      <c r="B629">
        <v>1</v>
      </c>
      <c r="C629">
        <v>0.94053811083285199</v>
      </c>
      <c r="D629">
        <v>1.0177550889359801</v>
      </c>
      <c r="E629">
        <v>1.05172413793103</v>
      </c>
      <c r="F629">
        <v>0.90361523149040002</v>
      </c>
      <c r="G629">
        <v>0.96237076992230097</v>
      </c>
      <c r="H629">
        <v>0.92024658062030396</v>
      </c>
      <c r="I629">
        <v>1.0968342644320299</v>
      </c>
      <c r="J629">
        <v>1.01682399023952</v>
      </c>
      <c r="K629">
        <v>1.0171129519039399</v>
      </c>
      <c r="L629">
        <v>1998.6314688842299</v>
      </c>
      <c r="M629">
        <v>31.501453827709501</v>
      </c>
      <c r="O629">
        <v>63.191653693787401</v>
      </c>
      <c r="P629">
        <v>4.1773965556185597E-3</v>
      </c>
      <c r="Q629">
        <v>1.0335191106788399</v>
      </c>
      <c r="R629">
        <v>5.1616128204644701E-2</v>
      </c>
      <c r="S629" t="s">
        <v>2631</v>
      </c>
      <c r="T629" t="s">
        <v>4002</v>
      </c>
      <c r="U629" t="s">
        <v>4002</v>
      </c>
      <c r="V629" t="s">
        <v>4002</v>
      </c>
      <c r="W629" t="s">
        <v>4624</v>
      </c>
      <c r="X629">
        <v>6</v>
      </c>
      <c r="Y629" t="s">
        <v>6597</v>
      </c>
      <c r="Z629" t="s">
        <v>8527</v>
      </c>
      <c r="AA629">
        <v>1.007235713226591</v>
      </c>
      <c r="AB629" t="str">
        <f>HYPERLINK("Melting_Curves/meltCurve_H7C4P1_ARHGAP25.pdf", "Melting_Curves/meltCurve_H7C4P1_ARHGAP25.pdf")</f>
        <v>Melting_Curves/meltCurve_H7C4P1_ARHGAP25.pdf</v>
      </c>
    </row>
    <row r="630" spans="1:28" x14ac:dyDescent="0.25">
      <c r="A630" t="s">
        <v>634</v>
      </c>
      <c r="B630">
        <v>1</v>
      </c>
      <c r="C630">
        <v>1.0822644847412699</v>
      </c>
      <c r="D630">
        <v>0.97840188707061804</v>
      </c>
      <c r="E630">
        <v>1.0813062066932</v>
      </c>
      <c r="F630">
        <v>1.0248415155535899</v>
      </c>
      <c r="G630">
        <v>1.05167330089931</v>
      </c>
      <c r="H630">
        <v>0.89289399970514505</v>
      </c>
      <c r="I630">
        <v>1.36333480760725</v>
      </c>
      <c r="J630">
        <v>0.82094943240454099</v>
      </c>
      <c r="K630">
        <v>0.84674922600619196</v>
      </c>
      <c r="L630">
        <v>15000</v>
      </c>
      <c r="M630">
        <v>227.523133161781</v>
      </c>
      <c r="O630">
        <v>65.9222688382212</v>
      </c>
      <c r="P630">
        <v>-0.14487552290380801</v>
      </c>
      <c r="Q630">
        <v>0.83209578757815506</v>
      </c>
      <c r="R630">
        <v>0.24720664219493699</v>
      </c>
      <c r="S630" t="s">
        <v>2632</v>
      </c>
      <c r="T630" t="s">
        <v>4002</v>
      </c>
      <c r="U630" t="s">
        <v>4002</v>
      </c>
      <c r="V630" t="s">
        <v>4002</v>
      </c>
      <c r="W630" t="s">
        <v>4625</v>
      </c>
      <c r="X630">
        <v>1</v>
      </c>
      <c r="Y630" t="s">
        <v>6598</v>
      </c>
      <c r="Z630" t="s">
        <v>8528</v>
      </c>
      <c r="AA630">
        <v>0.9772296841695447</v>
      </c>
      <c r="AB630" t="str">
        <f>HYPERLINK("Melting_Curves/meltCurve_H7C559_PPP4R2.pdf", "Melting_Curves/meltCurve_H7C559_PPP4R2.pdf")</f>
        <v>Melting_Curves/meltCurve_H7C559_PPP4R2.pdf</v>
      </c>
    </row>
    <row r="631" spans="1:28" x14ac:dyDescent="0.25">
      <c r="A631" t="s">
        <v>635</v>
      </c>
      <c r="B631">
        <v>1</v>
      </c>
      <c r="C631">
        <v>0.94431714023831304</v>
      </c>
      <c r="D631">
        <v>1.02703941338222</v>
      </c>
      <c r="E631">
        <v>1.30820348304308</v>
      </c>
      <c r="F631">
        <v>1.29527956003666</v>
      </c>
      <c r="G631">
        <v>1.2691567369385901</v>
      </c>
      <c r="H631">
        <v>1.6924839596700301</v>
      </c>
      <c r="I631">
        <v>1.4746562786434501</v>
      </c>
      <c r="J631">
        <v>1.47639780018332</v>
      </c>
      <c r="K631">
        <v>1.2130155820348301</v>
      </c>
      <c r="L631">
        <v>1189.32248468374</v>
      </c>
      <c r="M631">
        <v>24.048185464307402</v>
      </c>
      <c r="O631">
        <v>49.117633197258797</v>
      </c>
      <c r="P631">
        <v>5.22432898280763E-2</v>
      </c>
      <c r="Q631">
        <v>1.42681415597029</v>
      </c>
      <c r="R631">
        <v>0.69005975327012203</v>
      </c>
      <c r="S631" t="s">
        <v>2633</v>
      </c>
      <c r="T631" t="s">
        <v>4002</v>
      </c>
      <c r="U631" t="s">
        <v>4002</v>
      </c>
      <c r="V631" t="s">
        <v>4002</v>
      </c>
      <c r="W631" t="s">
        <v>4626</v>
      </c>
      <c r="X631">
        <v>11</v>
      </c>
      <c r="Y631" t="s">
        <v>6599</v>
      </c>
      <c r="Z631" t="s">
        <v>8529</v>
      </c>
      <c r="AA631">
        <v>1.288177820919532</v>
      </c>
      <c r="AB631" t="str">
        <f>HYPERLINK("Melting_Curves/meltCurve_H9KV70_LCN2.pdf", "Melting_Curves/meltCurve_H9KV70_LCN2.pdf")</f>
        <v>Melting_Curves/meltCurve_H9KV70_LCN2.pdf</v>
      </c>
    </row>
    <row r="632" spans="1:28" x14ac:dyDescent="0.25">
      <c r="A632" t="s">
        <v>636</v>
      </c>
      <c r="B632">
        <v>1</v>
      </c>
      <c r="C632">
        <v>0.75658353597617301</v>
      </c>
      <c r="D632">
        <v>0.52781390789647298</v>
      </c>
      <c r="E632">
        <v>0.73466040830175905</v>
      </c>
      <c r="F632">
        <v>0.66312277328507596</v>
      </c>
      <c r="G632">
        <v>0.63096382589681199</v>
      </c>
      <c r="H632">
        <v>0.67582800806801302</v>
      </c>
      <c r="I632">
        <v>0.81718788290071498</v>
      </c>
      <c r="J632">
        <v>0.68038982827197503</v>
      </c>
      <c r="K632">
        <v>0.62911647721917496</v>
      </c>
      <c r="L632">
        <v>10680.712549010001</v>
      </c>
      <c r="M632">
        <v>250</v>
      </c>
      <c r="O632">
        <v>42.720137293051799</v>
      </c>
      <c r="P632">
        <v>-0.48296130516326402</v>
      </c>
      <c r="Q632">
        <v>0.66988538977408296</v>
      </c>
      <c r="R632">
        <v>0.66717351146500203</v>
      </c>
      <c r="S632" t="s">
        <v>2634</v>
      </c>
      <c r="T632" t="s">
        <v>4002</v>
      </c>
      <c r="U632" t="s">
        <v>4002</v>
      </c>
      <c r="V632" t="s">
        <v>4002</v>
      </c>
      <c r="W632" t="s">
        <v>4627</v>
      </c>
      <c r="X632">
        <v>2</v>
      </c>
      <c r="Y632" t="s">
        <v>6600</v>
      </c>
      <c r="Z632" t="s">
        <v>8530</v>
      </c>
      <c r="AA632">
        <v>0.69987189552544227</v>
      </c>
      <c r="AB632" t="str">
        <f>HYPERLINK("Melting_Curves/meltCurve_H9KVA7_CEACAM5.pdf", "Melting_Curves/meltCurve_H9KVA7_CEACAM5.pdf")</f>
        <v>Melting_Curves/meltCurve_H9KVA7_CEACAM5.pdf</v>
      </c>
    </row>
    <row r="633" spans="1:28" x14ac:dyDescent="0.25">
      <c r="A633" t="s">
        <v>637</v>
      </c>
      <c r="B633">
        <v>1</v>
      </c>
      <c r="C633">
        <v>0.88060535269920304</v>
      </c>
      <c r="D633">
        <v>1.02061855670103</v>
      </c>
      <c r="E633">
        <v>0.77593824589914195</v>
      </c>
      <c r="F633">
        <v>0.82875425321212703</v>
      </c>
      <c r="G633">
        <v>0.88487126098217495</v>
      </c>
      <c r="H633">
        <v>1.10746026103296</v>
      </c>
      <c r="I633">
        <v>0.90543903306078899</v>
      </c>
      <c r="J633">
        <v>1.0086333858107801</v>
      </c>
      <c r="K633">
        <v>0.863440150322482</v>
      </c>
      <c r="L633">
        <v>10241.167523181601</v>
      </c>
      <c r="M633">
        <v>250</v>
      </c>
      <c r="O633">
        <v>40.9620486357299</v>
      </c>
      <c r="P633">
        <v>-0.122782955758204</v>
      </c>
      <c r="Q633">
        <v>0.91952893762781596</v>
      </c>
      <c r="R633">
        <v>6.1851748313881801E-2</v>
      </c>
      <c r="S633" t="s">
        <v>2635</v>
      </c>
      <c r="T633" t="s">
        <v>4002</v>
      </c>
      <c r="U633" t="s">
        <v>4002</v>
      </c>
      <c r="V633" t="s">
        <v>4002</v>
      </c>
      <c r="W633" t="s">
        <v>4116</v>
      </c>
      <c r="X633">
        <v>2</v>
      </c>
      <c r="Z633" t="s">
        <v>8531</v>
      </c>
      <c r="AA633">
        <v>0.92212332368581074</v>
      </c>
      <c r="AB633" t="str">
        <f>HYPERLINK("Melting_Curves/meltCurve_I3L097_.pdf", "Melting_Curves/meltCurve_I3L097_.pdf")</f>
        <v>Melting_Curves/meltCurve_I3L097_.pdf</v>
      </c>
    </row>
    <row r="634" spans="1:28" x14ac:dyDescent="0.25">
      <c r="A634" t="s">
        <v>638</v>
      </c>
      <c r="B634">
        <v>1</v>
      </c>
      <c r="C634">
        <v>1.06813050165254</v>
      </c>
      <c r="D634">
        <v>1.0547465558428</v>
      </c>
      <c r="E634">
        <v>1.13429758827187</v>
      </c>
      <c r="F634">
        <v>1.0854249157367699</v>
      </c>
      <c r="G634">
        <v>1.1809450571026501</v>
      </c>
      <c r="H634">
        <v>1.52347917143886</v>
      </c>
      <c r="I634">
        <v>1.68739160312837</v>
      </c>
      <c r="J634">
        <v>2.4722667626558499</v>
      </c>
      <c r="K634">
        <v>1.5788801989593899</v>
      </c>
      <c r="L634">
        <v>14282.3286769636</v>
      </c>
      <c r="M634">
        <v>250</v>
      </c>
      <c r="O634">
        <v>57.125640242844597</v>
      </c>
      <c r="P634">
        <v>0.54703964270349004</v>
      </c>
      <c r="Q634">
        <v>1.5</v>
      </c>
      <c r="R634">
        <v>0.45790015996886602</v>
      </c>
      <c r="S634" t="s">
        <v>2636</v>
      </c>
      <c r="T634" t="s">
        <v>4002</v>
      </c>
      <c r="U634" t="s">
        <v>4002</v>
      </c>
      <c r="V634" t="s">
        <v>4002</v>
      </c>
      <c r="W634" t="s">
        <v>4628</v>
      </c>
      <c r="X634">
        <v>2</v>
      </c>
      <c r="Y634" t="s">
        <v>6601</v>
      </c>
      <c r="Z634" t="s">
        <v>8532</v>
      </c>
      <c r="AA634">
        <v>1.2144612910066681</v>
      </c>
      <c r="AB634" t="str">
        <f>HYPERLINK("Melting_Curves/meltCurve_I3L0N3_NSF.pdf", "Melting_Curves/meltCurve_I3L0N3_NSF.pdf")</f>
        <v>Melting_Curves/meltCurve_I3L0N3_NSF.pdf</v>
      </c>
    </row>
    <row r="635" spans="1:28" x14ac:dyDescent="0.25">
      <c r="A635" t="s">
        <v>639</v>
      </c>
      <c r="B635">
        <v>1</v>
      </c>
      <c r="C635">
        <v>0.790019613759807</v>
      </c>
      <c r="D635">
        <v>0.84241098370549194</v>
      </c>
      <c r="E635">
        <v>0.72589770669885301</v>
      </c>
      <c r="F635">
        <v>0.94357272178636098</v>
      </c>
      <c r="G635">
        <v>0.94357272178636098</v>
      </c>
      <c r="H635">
        <v>0.69579812914906503</v>
      </c>
      <c r="I635">
        <v>0.76904797827398896</v>
      </c>
      <c r="J635">
        <v>0.58294357272178599</v>
      </c>
      <c r="K635">
        <v>0.77904345202172598</v>
      </c>
      <c r="L635">
        <v>136.82291445083499</v>
      </c>
      <c r="M635">
        <v>1.0659645598557801</v>
      </c>
      <c r="O635">
        <v>48.371783073032702</v>
      </c>
      <c r="P635">
        <v>-7.3101882697184598E-3</v>
      </c>
      <c r="Q635">
        <v>0</v>
      </c>
      <c r="R635">
        <v>0.31118319652944998</v>
      </c>
      <c r="S635" t="s">
        <v>2637</v>
      </c>
      <c r="T635" t="s">
        <v>4002</v>
      </c>
      <c r="U635" t="s">
        <v>4002</v>
      </c>
      <c r="V635" t="s">
        <v>4002</v>
      </c>
      <c r="W635" t="s">
        <v>4629</v>
      </c>
      <c r="X635">
        <v>1</v>
      </c>
      <c r="Y635" t="s">
        <v>6602</v>
      </c>
      <c r="Z635" t="s">
        <v>8533</v>
      </c>
      <c r="AA635">
        <v>0.80760314172288716</v>
      </c>
      <c r="AB635" t="str">
        <f>HYPERLINK("Melting_Curves/meltCurve_I3L0S7_MEFV.pdf", "Melting_Curves/meltCurve_I3L0S7_MEFV.pdf")</f>
        <v>Melting_Curves/meltCurve_I3L0S7_MEFV.pdf</v>
      </c>
    </row>
    <row r="636" spans="1:28" x14ac:dyDescent="0.25">
      <c r="A636" t="s">
        <v>640</v>
      </c>
      <c r="B636">
        <v>1</v>
      </c>
      <c r="C636">
        <v>0.83971337701651505</v>
      </c>
      <c r="D636">
        <v>1.04644211978388</v>
      </c>
      <c r="E636">
        <v>1.1428516687741901</v>
      </c>
      <c r="F636">
        <v>1.00329539793846</v>
      </c>
      <c r="G636">
        <v>1.13043644863394</v>
      </c>
      <c r="H636">
        <v>0.764072498754646</v>
      </c>
      <c r="I636">
        <v>0.98321646166225996</v>
      </c>
      <c r="J636">
        <v>0.89742115952025103</v>
      </c>
      <c r="K636">
        <v>1.06801548070659</v>
      </c>
      <c r="L636">
        <v>2594.7678757691901</v>
      </c>
      <c r="M636">
        <v>44.196534679764</v>
      </c>
      <c r="O636">
        <v>58.589942495141898</v>
      </c>
      <c r="P636">
        <v>-1.1302686646146899E-2</v>
      </c>
      <c r="Q636">
        <v>0.94006563241812202</v>
      </c>
      <c r="R636">
        <v>8.6929695331141102E-2</v>
      </c>
      <c r="S636" t="s">
        <v>2638</v>
      </c>
      <c r="T636" t="s">
        <v>4002</v>
      </c>
      <c r="U636" t="s">
        <v>4002</v>
      </c>
      <c r="V636" t="s">
        <v>4002</v>
      </c>
      <c r="W636" t="s">
        <v>4630</v>
      </c>
      <c r="X636">
        <v>1</v>
      </c>
      <c r="Y636" t="s">
        <v>6603</v>
      </c>
      <c r="Z636" t="s">
        <v>8534</v>
      </c>
      <c r="AA636">
        <v>0.97763998045106582</v>
      </c>
      <c r="AB636" t="str">
        <f>HYPERLINK("Melting_Curves/meltCurve_I3L0W2_SMG1.pdf", "Melting_Curves/meltCurve_I3L0W2_SMG1.pdf")</f>
        <v>Melting_Curves/meltCurve_I3L0W2_SMG1.pdf</v>
      </c>
    </row>
    <row r="637" spans="1:28" x14ac:dyDescent="0.25">
      <c r="A637" t="s">
        <v>641</v>
      </c>
      <c r="B637">
        <v>1</v>
      </c>
      <c r="C637">
        <v>0.88374039966512596</v>
      </c>
      <c r="D637">
        <v>0.93091398827940197</v>
      </c>
      <c r="E637">
        <v>1.01601572452954</v>
      </c>
      <c r="F637">
        <v>1.1348596804135</v>
      </c>
      <c r="G637">
        <v>1.19571943362574</v>
      </c>
      <c r="H637">
        <v>1.0739999272012499</v>
      </c>
      <c r="I637">
        <v>1.4745386379354299</v>
      </c>
      <c r="J637">
        <v>1.2260037127361401</v>
      </c>
      <c r="K637">
        <v>1.18723837949987</v>
      </c>
      <c r="L637">
        <v>1265.71863746596</v>
      </c>
      <c r="M637">
        <v>23.492450491783401</v>
      </c>
      <c r="O637">
        <v>53.491840358060102</v>
      </c>
      <c r="P637">
        <v>2.7461693688421399E-2</v>
      </c>
      <c r="Q637">
        <v>1.25011458773324</v>
      </c>
      <c r="R637">
        <v>0.60926814339173097</v>
      </c>
      <c r="S637" t="s">
        <v>2639</v>
      </c>
      <c r="T637" t="s">
        <v>4002</v>
      </c>
      <c r="U637" t="s">
        <v>4002</v>
      </c>
      <c r="V637" t="s">
        <v>4002</v>
      </c>
      <c r="W637" t="s">
        <v>4631</v>
      </c>
      <c r="X637">
        <v>4</v>
      </c>
      <c r="Y637" t="s">
        <v>6604</v>
      </c>
      <c r="Z637" t="s">
        <v>8535</v>
      </c>
      <c r="AA637">
        <v>1.131825807888764</v>
      </c>
      <c r="AB637" t="str">
        <f>HYPERLINK("Melting_Curves/meltCurve_I3L1J2_CDH5.pdf", "Melting_Curves/meltCurve_I3L1J2_CDH5.pdf")</f>
        <v>Melting_Curves/meltCurve_I3L1J2_CDH5.pdf</v>
      </c>
    </row>
    <row r="638" spans="1:28" x14ac:dyDescent="0.25">
      <c r="A638" t="s">
        <v>642</v>
      </c>
      <c r="B638">
        <v>1</v>
      </c>
      <c r="C638">
        <v>0.82844495627451697</v>
      </c>
      <c r="D638">
        <v>0.92330946125886204</v>
      </c>
      <c r="E638">
        <v>0.87454565084392</v>
      </c>
      <c r="F638">
        <v>0.74765177960916995</v>
      </c>
      <c r="G638">
        <v>0.95609457660056896</v>
      </c>
      <c r="H638">
        <v>1.23341850505632</v>
      </c>
      <c r="I638">
        <v>1.6081980782380201</v>
      </c>
      <c r="J638">
        <v>1.5272249613128399</v>
      </c>
      <c r="K638">
        <v>1.37301615863533</v>
      </c>
      <c r="L638">
        <v>15000</v>
      </c>
      <c r="M638">
        <v>245.768831660758</v>
      </c>
      <c r="O638">
        <v>61.028921851134797</v>
      </c>
      <c r="P638">
        <v>0.50338598772995002</v>
      </c>
      <c r="Q638">
        <v>1.5</v>
      </c>
      <c r="R638">
        <v>0.82777161683144596</v>
      </c>
      <c r="S638" t="s">
        <v>2640</v>
      </c>
      <c r="T638" t="s">
        <v>4002</v>
      </c>
      <c r="U638" t="s">
        <v>4002</v>
      </c>
      <c r="V638" t="s">
        <v>4002</v>
      </c>
      <c r="W638" t="s">
        <v>4632</v>
      </c>
      <c r="X638">
        <v>1</v>
      </c>
      <c r="Y638" t="s">
        <v>6605</v>
      </c>
      <c r="Z638" t="s">
        <v>8536</v>
      </c>
      <c r="AA638">
        <v>1.149395201004431</v>
      </c>
      <c r="AB638" t="str">
        <f>HYPERLINK("Melting_Curves/meltCurve_I3L1K4_RNF167.pdf", "Melting_Curves/meltCurve_I3L1K4_RNF167.pdf")</f>
        <v>Melting_Curves/meltCurve_I3L1K4_RNF167.pdf</v>
      </c>
    </row>
    <row r="639" spans="1:28" x14ac:dyDescent="0.25">
      <c r="A639" t="s">
        <v>643</v>
      </c>
      <c r="B639">
        <v>1</v>
      </c>
      <c r="C639">
        <v>0.89666999896583799</v>
      </c>
      <c r="D639">
        <v>0.91752559550484303</v>
      </c>
      <c r="E639">
        <v>1.0029128891033801</v>
      </c>
      <c r="F639">
        <v>1.07490778723844</v>
      </c>
      <c r="G639">
        <v>1.1118445999517399</v>
      </c>
      <c r="H639">
        <v>0.81355786135337305</v>
      </c>
      <c r="I639">
        <v>1.2260333000103401</v>
      </c>
      <c r="J639">
        <v>0.84180771484711603</v>
      </c>
      <c r="K639">
        <v>0.96504533075941901</v>
      </c>
      <c r="L639">
        <v>3089.4229244982698</v>
      </c>
      <c r="M639">
        <v>46.339338742477402</v>
      </c>
      <c r="O639">
        <v>66.545737133041797</v>
      </c>
      <c r="P639">
        <v>-1.42773391407217E-2</v>
      </c>
      <c r="Q639">
        <v>0.91798803311433197</v>
      </c>
      <c r="R639">
        <v>3.7356820952543703E-2</v>
      </c>
      <c r="S639" t="s">
        <v>2641</v>
      </c>
      <c r="T639" t="s">
        <v>4002</v>
      </c>
      <c r="U639" t="s">
        <v>4002</v>
      </c>
      <c r="V639" t="s">
        <v>4002</v>
      </c>
      <c r="W639" t="s">
        <v>4633</v>
      </c>
      <c r="X639">
        <v>2</v>
      </c>
      <c r="Y639" t="s">
        <v>6606</v>
      </c>
      <c r="Z639" t="s">
        <v>8537</v>
      </c>
      <c r="AA639">
        <v>0.99070021066613778</v>
      </c>
      <c r="AB639" t="str">
        <f>HYPERLINK("Melting_Curves/meltCurve_I3L1Y9_FLYWCH2.pdf", "Melting_Curves/meltCurve_I3L1Y9_FLYWCH2.pdf")</f>
        <v>Melting_Curves/meltCurve_I3L1Y9_FLYWCH2.pdf</v>
      </c>
    </row>
    <row r="640" spans="1:28" x14ac:dyDescent="0.25">
      <c r="A640" t="s">
        <v>644</v>
      </c>
      <c r="B640">
        <v>1</v>
      </c>
      <c r="C640">
        <v>0.946023357232611</v>
      </c>
      <c r="D640">
        <v>1.03407495010718</v>
      </c>
      <c r="E640">
        <v>1.02306157143913</v>
      </c>
      <c r="F640">
        <v>1.0579680685933901</v>
      </c>
      <c r="G640">
        <v>1.0409305935398001</v>
      </c>
      <c r="H640">
        <v>0.96073250055436499</v>
      </c>
      <c r="I640">
        <v>1.2785128243033499</v>
      </c>
      <c r="J640">
        <v>1.2572436987212701</v>
      </c>
      <c r="K640">
        <v>1.26829403503585</v>
      </c>
      <c r="L640">
        <v>15000</v>
      </c>
      <c r="M640">
        <v>239.517397657136</v>
      </c>
      <c r="O640">
        <v>62.621588929161199</v>
      </c>
      <c r="P640">
        <v>0.25673501955251299</v>
      </c>
      <c r="Q640">
        <v>1.26849237415723</v>
      </c>
      <c r="R640">
        <v>0.92435572650551101</v>
      </c>
      <c r="S640" t="s">
        <v>2642</v>
      </c>
      <c r="T640" t="s">
        <v>4002</v>
      </c>
      <c r="U640" t="s">
        <v>4002</v>
      </c>
      <c r="V640" t="s">
        <v>4002</v>
      </c>
      <c r="W640" t="s">
        <v>4634</v>
      </c>
      <c r="X640">
        <v>2</v>
      </c>
      <c r="Y640" t="s">
        <v>6607</v>
      </c>
      <c r="Z640" t="s">
        <v>8538</v>
      </c>
      <c r="AA640">
        <v>1.0659638943330769</v>
      </c>
      <c r="AB640" t="str">
        <f>HYPERLINK("Melting_Curves/meltCurve_I3L268_ACAP1.pdf", "Melting_Curves/meltCurve_I3L268_ACAP1.pdf")</f>
        <v>Melting_Curves/meltCurve_I3L268_ACAP1.pdf</v>
      </c>
    </row>
    <row r="641" spans="1:28" x14ac:dyDescent="0.25">
      <c r="A641" t="s">
        <v>645</v>
      </c>
      <c r="B641">
        <v>1</v>
      </c>
      <c r="C641">
        <v>1.1094731094731101</v>
      </c>
      <c r="D641">
        <v>1.24624624624625</v>
      </c>
      <c r="E641">
        <v>1.35681135681136</v>
      </c>
      <c r="F641">
        <v>1.24221949221949</v>
      </c>
      <c r="G641">
        <v>1.4520202020202</v>
      </c>
      <c r="H641">
        <v>0.98907998907998895</v>
      </c>
      <c r="I641">
        <v>1.5135817635817601</v>
      </c>
      <c r="J641">
        <v>1.4244471744471701</v>
      </c>
      <c r="K641">
        <v>1.01085176085176</v>
      </c>
      <c r="L641">
        <v>1786.7227952978101</v>
      </c>
      <c r="M641">
        <v>41.1359419527179</v>
      </c>
      <c r="O641">
        <v>43.332321078348201</v>
      </c>
      <c r="P641">
        <v>6.7175441926712098E-2</v>
      </c>
      <c r="Q641">
        <v>1.2830480874161101</v>
      </c>
      <c r="R641">
        <v>0.245246122441138</v>
      </c>
      <c r="S641" t="s">
        <v>2643</v>
      </c>
      <c r="T641" t="s">
        <v>4002</v>
      </c>
      <c r="U641" t="s">
        <v>4002</v>
      </c>
      <c r="V641" t="s">
        <v>4002</v>
      </c>
      <c r="W641" t="s">
        <v>4635</v>
      </c>
      <c r="X641">
        <v>2</v>
      </c>
      <c r="Y641" t="s">
        <v>6608</v>
      </c>
      <c r="Z641" t="s">
        <v>8539</v>
      </c>
      <c r="AA641">
        <v>1.2496063676902041</v>
      </c>
      <c r="AB641" t="str">
        <f>HYPERLINK("Melting_Curves/meltCurve_I3L2X8_PITPNA.pdf", "Melting_Curves/meltCurve_I3L2X8_PITPNA.pdf")</f>
        <v>Melting_Curves/meltCurve_I3L2X8_PITPNA.pdf</v>
      </c>
    </row>
    <row r="642" spans="1:28" x14ac:dyDescent="0.25">
      <c r="A642" t="s">
        <v>646</v>
      </c>
      <c r="B642">
        <v>1</v>
      </c>
      <c r="C642">
        <v>0.91205060499666302</v>
      </c>
      <c r="D642">
        <v>0.98955401445028002</v>
      </c>
      <c r="E642">
        <v>0.976989815164089</v>
      </c>
      <c r="F642">
        <v>0.85245045411020504</v>
      </c>
      <c r="G642">
        <v>0.97963032817804596</v>
      </c>
      <c r="H642">
        <v>0.89844180715550004</v>
      </c>
      <c r="I642">
        <v>0.97400110263180795</v>
      </c>
      <c r="J642">
        <v>1.5748483881263999</v>
      </c>
      <c r="K642">
        <v>0.87119519484664698</v>
      </c>
      <c r="L642">
        <v>15000</v>
      </c>
      <c r="M642">
        <v>230.37539510886199</v>
      </c>
      <c r="O642">
        <v>65.106223803497898</v>
      </c>
      <c r="P642">
        <v>0.19696269812417699</v>
      </c>
      <c r="Q642">
        <v>1.2226539065273301</v>
      </c>
      <c r="R642">
        <v>0.25464483330790699</v>
      </c>
      <c r="S642" t="s">
        <v>2644</v>
      </c>
      <c r="T642" t="s">
        <v>4002</v>
      </c>
      <c r="U642" t="s">
        <v>4002</v>
      </c>
      <c r="V642" t="s">
        <v>4002</v>
      </c>
      <c r="W642" t="s">
        <v>4636</v>
      </c>
      <c r="X642">
        <v>4</v>
      </c>
      <c r="Y642" t="s">
        <v>6609</v>
      </c>
      <c r="Z642" t="s">
        <v>8540</v>
      </c>
      <c r="AA642">
        <v>1.036254311586841</v>
      </c>
      <c r="AB642" t="str">
        <f>HYPERLINK("Melting_Curves/meltCurve_I3L397_EIF5A.pdf", "Melting_Curves/meltCurve_I3L397_EIF5A.pdf")</f>
        <v>Melting_Curves/meltCurve_I3L397_EIF5A.pdf</v>
      </c>
    </row>
    <row r="643" spans="1:28" x14ac:dyDescent="0.25">
      <c r="A643" t="s">
        <v>647</v>
      </c>
      <c r="B643">
        <v>1</v>
      </c>
      <c r="C643">
        <v>0.87208517657644102</v>
      </c>
      <c r="D643">
        <v>1.13533778210992</v>
      </c>
      <c r="E643">
        <v>1.4908150258678901</v>
      </c>
      <c r="F643">
        <v>1.70720551848242</v>
      </c>
      <c r="G643">
        <v>1.64797180775287</v>
      </c>
      <c r="H643">
        <v>1.0880257929069499</v>
      </c>
      <c r="I643">
        <v>1.6223288595636201</v>
      </c>
      <c r="J643">
        <v>1.51255904626228</v>
      </c>
      <c r="K643">
        <v>1.2903951413361301</v>
      </c>
      <c r="L643">
        <v>11542.987067373901</v>
      </c>
      <c r="M643">
        <v>250</v>
      </c>
      <c r="O643">
        <v>46.1690148472331</v>
      </c>
      <c r="P643">
        <v>0.64965160142049605</v>
      </c>
      <c r="Q643">
        <v>1.47990017077935</v>
      </c>
      <c r="R643">
        <v>0.61796658201983401</v>
      </c>
      <c r="S643" t="s">
        <v>2645</v>
      </c>
      <c r="T643" t="s">
        <v>4002</v>
      </c>
      <c r="U643" t="s">
        <v>4002</v>
      </c>
      <c r="V643" t="s">
        <v>4002</v>
      </c>
      <c r="W643" t="s">
        <v>4637</v>
      </c>
      <c r="X643">
        <v>6</v>
      </c>
      <c r="Y643" t="s">
        <v>6610</v>
      </c>
      <c r="Z643" t="s">
        <v>8541</v>
      </c>
      <c r="AA643">
        <v>1.381130649678578</v>
      </c>
      <c r="AB643" t="str">
        <f>HYPERLINK("Melting_Curves/meltCurve_I3L3D5_PFN1.pdf", "Melting_Curves/meltCurve_I3L3D5_PFN1.pdf")</f>
        <v>Melting_Curves/meltCurve_I3L3D5_PFN1.pdf</v>
      </c>
    </row>
    <row r="644" spans="1:28" x14ac:dyDescent="0.25">
      <c r="A644" t="s">
        <v>648</v>
      </c>
      <c r="B644">
        <v>1</v>
      </c>
      <c r="C644">
        <v>1.02331008583691</v>
      </c>
      <c r="D644">
        <v>1.19895386266094</v>
      </c>
      <c r="E644">
        <v>1.08666845493562</v>
      </c>
      <c r="F644">
        <v>0.92143240343347599</v>
      </c>
      <c r="G644">
        <v>1.0964055793991401</v>
      </c>
      <c r="H644">
        <v>0.99766630901287601</v>
      </c>
      <c r="I644">
        <v>0.91499463519313295</v>
      </c>
      <c r="J644">
        <v>1.15147532188841</v>
      </c>
      <c r="K644">
        <v>0.86351931330472098</v>
      </c>
      <c r="L644">
        <v>15000</v>
      </c>
      <c r="M644">
        <v>212.44076379069301</v>
      </c>
      <c r="Q644">
        <v>0</v>
      </c>
      <c r="R644">
        <v>0.115242151050323</v>
      </c>
      <c r="S644" t="s">
        <v>2646</v>
      </c>
      <c r="T644" t="s">
        <v>4002</v>
      </c>
      <c r="U644" t="s">
        <v>4002</v>
      </c>
      <c r="V644" t="s">
        <v>4002</v>
      </c>
      <c r="W644" t="s">
        <v>4638</v>
      </c>
      <c r="X644">
        <v>1</v>
      </c>
      <c r="Y644" t="s">
        <v>6611</v>
      </c>
      <c r="Z644" t="s">
        <v>8542</v>
      </c>
      <c r="AA644">
        <v>0.99841760028648496</v>
      </c>
      <c r="AB644" t="str">
        <f>HYPERLINK("Melting_Curves/meltCurve_I3L3G9_NDE1.pdf", "Melting_Curves/meltCurve_I3L3G9_NDE1.pdf")</f>
        <v>Melting_Curves/meltCurve_I3L3G9_NDE1.pdf</v>
      </c>
    </row>
    <row r="645" spans="1:28" x14ac:dyDescent="0.25">
      <c r="A645" t="s">
        <v>649</v>
      </c>
      <c r="B645">
        <v>1</v>
      </c>
      <c r="C645">
        <v>0.94706746406463105</v>
      </c>
      <c r="D645">
        <v>1.0643164410869801</v>
      </c>
      <c r="E645">
        <v>1.1287902633511699</v>
      </c>
      <c r="F645">
        <v>0.99748190116462099</v>
      </c>
      <c r="G645">
        <v>1.0271744832651299</v>
      </c>
      <c r="H645">
        <v>1.09164830552933</v>
      </c>
      <c r="I645">
        <v>1.18995908089393</v>
      </c>
      <c r="J645">
        <v>1.1506137865911199</v>
      </c>
      <c r="K645">
        <v>1.01474137026545</v>
      </c>
      <c r="L645">
        <v>534.60969813709403</v>
      </c>
      <c r="M645">
        <v>10.538886975536199</v>
      </c>
      <c r="O645">
        <v>49.0030430270238</v>
      </c>
      <c r="P645">
        <v>5.8061442983723304E-3</v>
      </c>
      <c r="Q645">
        <v>1.1079452155890801</v>
      </c>
      <c r="R645">
        <v>0.28724012032088397</v>
      </c>
      <c r="S645" t="s">
        <v>2647</v>
      </c>
      <c r="T645" t="s">
        <v>4002</v>
      </c>
      <c r="U645" t="s">
        <v>4002</v>
      </c>
      <c r="V645" t="s">
        <v>4002</v>
      </c>
      <c r="W645" t="s">
        <v>4639</v>
      </c>
      <c r="X645">
        <v>2</v>
      </c>
      <c r="Y645" t="s">
        <v>6612</v>
      </c>
      <c r="Z645" t="s">
        <v>8543</v>
      </c>
      <c r="AA645">
        <v>1.0650543203161911</v>
      </c>
      <c r="AB645" t="str">
        <f>HYPERLINK("Melting_Curves/meltCurve_I3L3H7_COL1A1.pdf", "Melting_Curves/meltCurve_I3L3H7_COL1A1.pdf")</f>
        <v>Melting_Curves/meltCurve_I3L3H7_COL1A1.pdf</v>
      </c>
    </row>
    <row r="646" spans="1:28" x14ac:dyDescent="0.25">
      <c r="A646" t="s">
        <v>650</v>
      </c>
      <c r="B646">
        <v>1</v>
      </c>
      <c r="C646">
        <v>0.91523686607956301</v>
      </c>
      <c r="D646">
        <v>0.98606893410264196</v>
      </c>
      <c r="E646">
        <v>1.0990358335863999</v>
      </c>
      <c r="F646">
        <v>1.0259641664136001</v>
      </c>
      <c r="G646">
        <v>1.3867294260552701</v>
      </c>
      <c r="H646">
        <v>1.79904342544792</v>
      </c>
      <c r="I646">
        <v>2.32174309140601</v>
      </c>
      <c r="J646">
        <v>2.0585712116610999</v>
      </c>
      <c r="K646">
        <v>1.89348618281203</v>
      </c>
      <c r="L646">
        <v>14180.007057647201</v>
      </c>
      <c r="M646">
        <v>250</v>
      </c>
      <c r="O646">
        <v>56.716398555235301</v>
      </c>
      <c r="P646">
        <v>0.55098703107630698</v>
      </c>
      <c r="Q646">
        <v>1.5</v>
      </c>
      <c r="R646">
        <v>0.49201240877010899</v>
      </c>
      <c r="S646" t="s">
        <v>2648</v>
      </c>
      <c r="T646" t="s">
        <v>4002</v>
      </c>
      <c r="U646" t="s">
        <v>4002</v>
      </c>
      <c r="V646" t="s">
        <v>4002</v>
      </c>
      <c r="W646" t="s">
        <v>4640</v>
      </c>
      <c r="X646">
        <v>5</v>
      </c>
      <c r="Y646" t="s">
        <v>6613</v>
      </c>
      <c r="Z646" t="s">
        <v>8544</v>
      </c>
      <c r="AA646">
        <v>1.2212830914401269</v>
      </c>
      <c r="AB646" t="str">
        <f>HYPERLINK("Melting_Curves/meltCurve_I3L3Q4_GLOD4.pdf", "Melting_Curves/meltCurve_I3L3Q4_GLOD4.pdf")</f>
        <v>Melting_Curves/meltCurve_I3L3Q4_GLOD4.pdf</v>
      </c>
    </row>
    <row r="647" spans="1:28" x14ac:dyDescent="0.25">
      <c r="A647" t="s">
        <v>651</v>
      </c>
      <c r="B647">
        <v>1</v>
      </c>
      <c r="C647">
        <v>0.98122968456713799</v>
      </c>
      <c r="D647">
        <v>1.0861603259625501</v>
      </c>
      <c r="E647">
        <v>1.0151993773749</v>
      </c>
      <c r="F647">
        <v>0.86778372934120795</v>
      </c>
      <c r="G647">
        <v>0.827198644874788</v>
      </c>
      <c r="H647">
        <v>0.74218285034107001</v>
      </c>
      <c r="I647">
        <v>0.96078835324818002</v>
      </c>
      <c r="J647">
        <v>0.97429382410841003</v>
      </c>
      <c r="K647">
        <v>0.74676097605640201</v>
      </c>
      <c r="L647">
        <v>13142.9403352755</v>
      </c>
      <c r="M647">
        <v>250</v>
      </c>
      <c r="O647">
        <v>52.568398267910801</v>
      </c>
      <c r="P647">
        <v>-0.178047960350494</v>
      </c>
      <c r="Q647">
        <v>0.85024486606192295</v>
      </c>
      <c r="R647">
        <v>0.52948917148223995</v>
      </c>
      <c r="S647" t="s">
        <v>2649</v>
      </c>
      <c r="T647" t="s">
        <v>4002</v>
      </c>
      <c r="U647" t="s">
        <v>4002</v>
      </c>
      <c r="V647" t="s">
        <v>4002</v>
      </c>
      <c r="W647" t="s">
        <v>4641</v>
      </c>
      <c r="X647">
        <v>1</v>
      </c>
      <c r="Y647" t="s">
        <v>6614</v>
      </c>
      <c r="Z647" t="s">
        <v>8545</v>
      </c>
      <c r="AA647">
        <v>0.91301487631252365</v>
      </c>
      <c r="AB647" t="str">
        <f>HYPERLINK("Melting_Curves/meltCurve_I3L4U9_NPLOC4.pdf", "Melting_Curves/meltCurve_I3L4U9_NPLOC4.pdf")</f>
        <v>Melting_Curves/meltCurve_I3L4U9_NPLOC4.pdf</v>
      </c>
    </row>
    <row r="648" spans="1:28" x14ac:dyDescent="0.25">
      <c r="A648" t="s">
        <v>652</v>
      </c>
      <c r="B648">
        <v>1</v>
      </c>
      <c r="C648">
        <v>1.2994011976047899</v>
      </c>
      <c r="D648">
        <v>1.4261606656816199</v>
      </c>
      <c r="E648">
        <v>2.0506260206858999</v>
      </c>
      <c r="F648">
        <v>2.14441247375379</v>
      </c>
      <c r="G648">
        <v>2.19729372423983</v>
      </c>
      <c r="H648">
        <v>2.3103662804261602</v>
      </c>
      <c r="I648">
        <v>2.2521191383466799</v>
      </c>
      <c r="J648">
        <v>3.5715841045182399</v>
      </c>
      <c r="K648">
        <v>2.2794929621276898</v>
      </c>
      <c r="L648">
        <v>2151.3054952564498</v>
      </c>
      <c r="M648">
        <v>50.489570102802297</v>
      </c>
      <c r="O648">
        <v>42.542223266157201</v>
      </c>
      <c r="P648">
        <v>0.14835146650263101</v>
      </c>
      <c r="Q648">
        <v>1.5</v>
      </c>
      <c r="R648">
        <v>-0.606862925942385</v>
      </c>
      <c r="S648" t="s">
        <v>2650</v>
      </c>
      <c r="T648" t="s">
        <v>4002</v>
      </c>
      <c r="U648" t="s">
        <v>4002</v>
      </c>
      <c r="V648" t="s">
        <v>4002</v>
      </c>
      <c r="W648" t="s">
        <v>4642</v>
      </c>
      <c r="X648">
        <v>1</v>
      </c>
      <c r="Y648" t="s">
        <v>6615</v>
      </c>
      <c r="Z648" t="s">
        <v>8546</v>
      </c>
      <c r="AA648">
        <v>1.4551607237131881</v>
      </c>
      <c r="AB648" t="str">
        <f>HYPERLINK("Melting_Curves/meltCurve_I3L4X0_PPP4C.pdf", "Melting_Curves/meltCurve_I3L4X0_PPP4C.pdf")</f>
        <v>Melting_Curves/meltCurve_I3L4X0_PPP4C.pdf</v>
      </c>
    </row>
    <row r="649" spans="1:28" x14ac:dyDescent="0.25">
      <c r="A649" t="s">
        <v>653</v>
      </c>
      <c r="B649">
        <v>1</v>
      </c>
      <c r="C649">
        <v>0.92707870164517603</v>
      </c>
      <c r="D649">
        <v>0.98701645175633601</v>
      </c>
      <c r="E649">
        <v>1.0560248999555399</v>
      </c>
      <c r="F649">
        <v>1.0100489106269499</v>
      </c>
      <c r="G649">
        <v>1.01307247665629</v>
      </c>
      <c r="H649">
        <v>1.02009782125389</v>
      </c>
      <c r="I649">
        <v>0.938105824811027</v>
      </c>
      <c r="J649">
        <v>0.98185860382392198</v>
      </c>
      <c r="K649">
        <v>0.88554913294797699</v>
      </c>
      <c r="L649">
        <v>1587.65334899256</v>
      </c>
      <c r="M649">
        <v>20.588622467440899</v>
      </c>
      <c r="Q649">
        <v>0</v>
      </c>
      <c r="R649">
        <v>0.46776462979793898</v>
      </c>
      <c r="S649" t="s">
        <v>2651</v>
      </c>
      <c r="T649" t="s">
        <v>4002</v>
      </c>
      <c r="U649" t="s">
        <v>4002</v>
      </c>
      <c r="V649" t="s">
        <v>4002</v>
      </c>
      <c r="W649" t="s">
        <v>4643</v>
      </c>
      <c r="X649">
        <v>1</v>
      </c>
      <c r="Y649" t="s">
        <v>6616</v>
      </c>
      <c r="Z649" t="s">
        <v>8547</v>
      </c>
      <c r="AA649">
        <v>0.98898949430131977</v>
      </c>
      <c r="AB649" t="str">
        <f>HYPERLINK("Melting_Curves/meltCurve_I3L506_SCPEP1.pdf", "Melting_Curves/meltCurve_I3L506_SCPEP1.pdf")</f>
        <v>Melting_Curves/meltCurve_I3L506_SCPEP1.pdf</v>
      </c>
    </row>
    <row r="650" spans="1:28" x14ac:dyDescent="0.25">
      <c r="A650" t="s">
        <v>654</v>
      </c>
      <c r="B650">
        <v>1</v>
      </c>
      <c r="C650">
        <v>1.02820811319065</v>
      </c>
      <c r="D650">
        <v>1.2899614936867601</v>
      </c>
      <c r="E650">
        <v>1.5574460463866799</v>
      </c>
      <c r="F650">
        <v>1.3698397062774199</v>
      </c>
      <c r="G650">
        <v>1.3215724903734201</v>
      </c>
      <c r="H650">
        <v>1.1156084892988301</v>
      </c>
      <c r="I650">
        <v>1.2377540968926299</v>
      </c>
      <c r="J650">
        <v>0.98406017730813999</v>
      </c>
      <c r="K650">
        <v>1.05928181248321</v>
      </c>
      <c r="L650">
        <v>10811.877206745799</v>
      </c>
      <c r="M650">
        <v>250</v>
      </c>
      <c r="O650">
        <v>43.2447408267982</v>
      </c>
      <c r="P650">
        <v>0.34966758084456001</v>
      </c>
      <c r="Q650">
        <v>1.24194054476122</v>
      </c>
      <c r="R650">
        <v>0.25769343490740998</v>
      </c>
      <c r="S650" t="s">
        <v>2652</v>
      </c>
      <c r="T650" t="s">
        <v>4002</v>
      </c>
      <c r="U650" t="s">
        <v>4002</v>
      </c>
      <c r="V650" t="s">
        <v>4002</v>
      </c>
      <c r="W650" t="s">
        <v>4644</v>
      </c>
      <c r="X650">
        <v>16</v>
      </c>
      <c r="Y650" t="s">
        <v>6617</v>
      </c>
      <c r="Z650" t="s">
        <v>8548</v>
      </c>
      <c r="AA650">
        <v>1.2157320466281529</v>
      </c>
      <c r="AB650" t="str">
        <f>HYPERLINK("Melting_Curves/meltCurve_I6L8B7_FABP5.pdf", "Melting_Curves/meltCurve_I6L8B7_FABP5.pdf")</f>
        <v>Melting_Curves/meltCurve_I6L8B7_FABP5.pdf</v>
      </c>
    </row>
    <row r="651" spans="1:28" x14ac:dyDescent="0.25">
      <c r="A651" t="s">
        <v>655</v>
      </c>
      <c r="B651">
        <v>1</v>
      </c>
      <c r="C651">
        <v>0.98508213208179696</v>
      </c>
      <c r="D651">
        <v>1.24136775058666</v>
      </c>
      <c r="E651">
        <v>1.3483070734160201</v>
      </c>
      <c r="F651">
        <v>1.1534808358475801</v>
      </c>
      <c r="G651">
        <v>1.2292993630573199</v>
      </c>
      <c r="H651">
        <v>1.0460945357023099</v>
      </c>
      <c r="I651">
        <v>1.2375684434015</v>
      </c>
      <c r="J651">
        <v>0.84048497038775305</v>
      </c>
      <c r="K651">
        <v>0.94636272209185401</v>
      </c>
      <c r="L651">
        <v>2111.11734485637</v>
      </c>
      <c r="M651">
        <v>30.4096109314915</v>
      </c>
      <c r="O651">
        <v>69.124559346022195</v>
      </c>
      <c r="P651">
        <v>-1.37580493554019E-2</v>
      </c>
      <c r="Q651">
        <v>0.87490622865301704</v>
      </c>
      <c r="R651">
        <v>-0.415926569711488</v>
      </c>
      <c r="S651" t="s">
        <v>2653</v>
      </c>
      <c r="T651" t="s">
        <v>4002</v>
      </c>
      <c r="U651" t="s">
        <v>4002</v>
      </c>
      <c r="V651" t="s">
        <v>4002</v>
      </c>
      <c r="W651" t="s">
        <v>4645</v>
      </c>
      <c r="X651">
        <v>9</v>
      </c>
      <c r="Y651" t="s">
        <v>6618</v>
      </c>
      <c r="Z651" t="s">
        <v>8549</v>
      </c>
      <c r="AA651">
        <v>0.99258848968349733</v>
      </c>
      <c r="AB651" t="str">
        <f>HYPERLINK("Melting_Curves/meltCurve_J3KMY5_NPC2.pdf", "Melting_Curves/meltCurve_J3KMY5_NPC2.pdf")</f>
        <v>Melting_Curves/meltCurve_J3KMY5_NPC2.pdf</v>
      </c>
    </row>
    <row r="652" spans="1:28" x14ac:dyDescent="0.25">
      <c r="A652" t="s">
        <v>656</v>
      </c>
      <c r="B652">
        <v>1</v>
      </c>
      <c r="C652">
        <v>0.97175169640613202</v>
      </c>
      <c r="D652">
        <v>1.0393063583815001</v>
      </c>
      <c r="E652">
        <v>1.01362151294295</v>
      </c>
      <c r="F652">
        <v>1.0424729831616</v>
      </c>
      <c r="G652">
        <v>1.1427494345312901</v>
      </c>
      <c r="H652">
        <v>1.04589092736869</v>
      </c>
      <c r="I652">
        <v>1.3950238753455599</v>
      </c>
      <c r="J652">
        <v>1.10887157577281</v>
      </c>
      <c r="K652">
        <v>1.1002764513696901</v>
      </c>
      <c r="L652">
        <v>1465.07835787204</v>
      </c>
      <c r="M652">
        <v>26.7172300222249</v>
      </c>
      <c r="O652">
        <v>54.532012335356598</v>
      </c>
      <c r="P652">
        <v>2.0852282479041799E-2</v>
      </c>
      <c r="Q652">
        <v>1.17024297501931</v>
      </c>
      <c r="R652">
        <v>0.417963053326391</v>
      </c>
      <c r="S652" t="s">
        <v>2654</v>
      </c>
      <c r="T652" t="s">
        <v>4002</v>
      </c>
      <c r="U652" t="s">
        <v>4002</v>
      </c>
      <c r="V652" t="s">
        <v>4002</v>
      </c>
      <c r="W652" t="s">
        <v>4646</v>
      </c>
      <c r="X652">
        <v>6</v>
      </c>
      <c r="Y652" t="s">
        <v>6619</v>
      </c>
      <c r="Z652" t="s">
        <v>8550</v>
      </c>
      <c r="AA652">
        <v>1.0846505881131669</v>
      </c>
      <c r="AB652" t="str">
        <f>HYPERLINK("Melting_Curves/meltCurve_J3KMZ9_LDLR.pdf", "Melting_Curves/meltCurve_J3KMZ9_LDLR.pdf")</f>
        <v>Melting_Curves/meltCurve_J3KMZ9_LDLR.pdf</v>
      </c>
    </row>
    <row r="653" spans="1:28" x14ac:dyDescent="0.25">
      <c r="A653" t="s">
        <v>657</v>
      </c>
      <c r="B653">
        <v>1</v>
      </c>
      <c r="C653">
        <v>0.82679780715898099</v>
      </c>
      <c r="D653">
        <v>0.84701709126088398</v>
      </c>
      <c r="E653">
        <v>0.87974846823605302</v>
      </c>
      <c r="F653">
        <v>0.82970009674298595</v>
      </c>
      <c r="G653">
        <v>0.96962270235407899</v>
      </c>
      <c r="H653">
        <v>1.00454692034827</v>
      </c>
      <c r="I653">
        <v>1.2210899709770999</v>
      </c>
      <c r="J653">
        <v>1.4335698161883299</v>
      </c>
      <c r="K653">
        <v>0.85859400193486002</v>
      </c>
      <c r="L653">
        <v>15000</v>
      </c>
      <c r="M653">
        <v>242.41939338102699</v>
      </c>
      <c r="O653">
        <v>61.872019323924299</v>
      </c>
      <c r="P653">
        <v>0.16758794709722899</v>
      </c>
      <c r="Q653">
        <v>1.1710920194877099</v>
      </c>
      <c r="R653">
        <v>0.244061025889665</v>
      </c>
      <c r="S653" t="s">
        <v>2655</v>
      </c>
      <c r="T653" t="s">
        <v>4002</v>
      </c>
      <c r="U653" t="s">
        <v>4002</v>
      </c>
      <c r="V653" t="s">
        <v>4002</v>
      </c>
      <c r="W653" t="s">
        <v>4647</v>
      </c>
      <c r="X653">
        <v>2</v>
      </c>
      <c r="Y653" t="s">
        <v>6620</v>
      </c>
      <c r="Z653" t="s">
        <v>8551</v>
      </c>
      <c r="AA653">
        <v>1.0463106038369689</v>
      </c>
      <c r="AB653" t="str">
        <f>HYPERLINK("Melting_Curves/meltCurve_J3KN36_NOMO3.pdf", "Melting_Curves/meltCurve_J3KN36_NOMO3.pdf")</f>
        <v>Melting_Curves/meltCurve_J3KN36_NOMO3.pdf</v>
      </c>
    </row>
    <row r="654" spans="1:28" x14ac:dyDescent="0.25">
      <c r="A654" t="s">
        <v>658</v>
      </c>
      <c r="B654">
        <v>1</v>
      </c>
      <c r="C654">
        <v>0.75459233993589203</v>
      </c>
      <c r="D654">
        <v>0.94159406591600203</v>
      </c>
      <c r="E654">
        <v>0.82490548204158798</v>
      </c>
      <c r="F654">
        <v>1.66043396071341</v>
      </c>
      <c r="G654">
        <v>2.6147571299416499</v>
      </c>
      <c r="H654">
        <v>2.5984219610421602</v>
      </c>
      <c r="I654">
        <v>3.2980603271143298</v>
      </c>
      <c r="J654">
        <v>3.9702679378647199</v>
      </c>
      <c r="K654">
        <v>2.8107791567354301</v>
      </c>
      <c r="L654">
        <v>5973.4868230572902</v>
      </c>
      <c r="M654">
        <v>116.045664114457</v>
      </c>
      <c r="O654">
        <v>51.460030198766297</v>
      </c>
      <c r="P654">
        <v>0.28188301411892602</v>
      </c>
      <c r="Q654">
        <v>1.5</v>
      </c>
      <c r="R654">
        <v>-0.12630316474588299</v>
      </c>
      <c r="S654" t="s">
        <v>2656</v>
      </c>
      <c r="T654" t="s">
        <v>4002</v>
      </c>
      <c r="U654" t="s">
        <v>4002</v>
      </c>
      <c r="V654" t="s">
        <v>4002</v>
      </c>
      <c r="W654" t="s">
        <v>4648</v>
      </c>
      <c r="X654">
        <v>1</v>
      </c>
      <c r="Y654" t="s">
        <v>6621</v>
      </c>
      <c r="Z654" t="s">
        <v>8552</v>
      </c>
      <c r="AA654">
        <v>1.308534987376091</v>
      </c>
      <c r="AB654" t="str">
        <f>HYPERLINK("Melting_Curves/meltCurve_J3KN60_ETFA.pdf", "Melting_Curves/meltCurve_J3KN60_ETFA.pdf")</f>
        <v>Melting_Curves/meltCurve_J3KN60_ETFA.pdf</v>
      </c>
    </row>
    <row r="655" spans="1:28" x14ac:dyDescent="0.25">
      <c r="A655" t="s">
        <v>659</v>
      </c>
      <c r="B655">
        <v>1</v>
      </c>
      <c r="C655">
        <v>0.91459867494632796</v>
      </c>
      <c r="D655">
        <v>1.02180336572866</v>
      </c>
      <c r="E655">
        <v>1.12575313372885</v>
      </c>
      <c r="F655">
        <v>0.95818232184491803</v>
      </c>
      <c r="G655">
        <v>0.89499988457720603</v>
      </c>
      <c r="H655">
        <v>0.71589833560331495</v>
      </c>
      <c r="I655">
        <v>1.0936771393614799</v>
      </c>
      <c r="J655">
        <v>0.82898958886400897</v>
      </c>
      <c r="K655">
        <v>0.89478058126918902</v>
      </c>
      <c r="L655">
        <v>13279.1740340858</v>
      </c>
      <c r="M655">
        <v>250</v>
      </c>
      <c r="O655">
        <v>53.1133029894076</v>
      </c>
      <c r="P655">
        <v>-0.134536576340828</v>
      </c>
      <c r="Q655">
        <v>0.88566910188338499</v>
      </c>
      <c r="R655">
        <v>0.27040195844943099</v>
      </c>
      <c r="S655" t="s">
        <v>2657</v>
      </c>
      <c r="T655" t="s">
        <v>4002</v>
      </c>
      <c r="U655" t="s">
        <v>4002</v>
      </c>
      <c r="V655" t="s">
        <v>4002</v>
      </c>
      <c r="W655" t="s">
        <v>4649</v>
      </c>
      <c r="X655">
        <v>22</v>
      </c>
      <c r="Y655" t="s">
        <v>6622</v>
      </c>
      <c r="Z655" t="s">
        <v>8553</v>
      </c>
      <c r="AA655">
        <v>0.93566788134555134</v>
      </c>
      <c r="AB655" t="str">
        <f>HYPERLINK("Melting_Curves/meltCurve_J3KN67_TPM3.pdf", "Melting_Curves/meltCurve_J3KN67_TPM3.pdf")</f>
        <v>Melting_Curves/meltCurve_J3KN67_TPM3.pdf</v>
      </c>
    </row>
    <row r="656" spans="1:28" x14ac:dyDescent="0.25">
      <c r="A656" t="s">
        <v>660</v>
      </c>
      <c r="B656">
        <v>1</v>
      </c>
      <c r="C656">
        <v>0.93521681469276197</v>
      </c>
      <c r="D656">
        <v>1.1236587228228101</v>
      </c>
      <c r="E656">
        <v>1.16111401358357</v>
      </c>
      <c r="F656">
        <v>1.07257967286903</v>
      </c>
      <c r="G656">
        <v>1.1548848611501801</v>
      </c>
      <c r="H656">
        <v>0.60712132781417005</v>
      </c>
      <c r="I656">
        <v>1.1674637302576101</v>
      </c>
      <c r="J656">
        <v>0.49491620785275098</v>
      </c>
      <c r="K656">
        <v>0.75822850942410502</v>
      </c>
      <c r="L656">
        <v>1442.8777105373999</v>
      </c>
      <c r="M656">
        <v>22.338588579322099</v>
      </c>
      <c r="O656">
        <v>64.080325373270398</v>
      </c>
      <c r="P656">
        <v>-3.3375527294744002E-2</v>
      </c>
      <c r="Q656">
        <v>0.61704479218138197</v>
      </c>
      <c r="R656">
        <v>0.339754607353425</v>
      </c>
      <c r="S656" t="s">
        <v>2658</v>
      </c>
      <c r="T656" t="s">
        <v>4002</v>
      </c>
      <c r="U656" t="s">
        <v>4002</v>
      </c>
      <c r="V656" t="s">
        <v>4002</v>
      </c>
      <c r="W656" t="s">
        <v>4650</v>
      </c>
      <c r="X656">
        <v>8</v>
      </c>
      <c r="Y656" t="s">
        <v>6623</v>
      </c>
      <c r="Z656" t="s">
        <v>8554</v>
      </c>
      <c r="AA656">
        <v>0.92859985681120161</v>
      </c>
      <c r="AB656" t="str">
        <f>HYPERLINK("Melting_Curves/meltCurve_J3KNB4_CAMP.pdf", "Melting_Curves/meltCurve_J3KNB4_CAMP.pdf")</f>
        <v>Melting_Curves/meltCurve_J3KNB4_CAMP.pdf</v>
      </c>
    </row>
    <row r="657" spans="1:28" x14ac:dyDescent="0.25">
      <c r="A657" t="s">
        <v>661</v>
      </c>
      <c r="B657">
        <v>1</v>
      </c>
      <c r="C657">
        <v>1.07783507426506</v>
      </c>
      <c r="D657">
        <v>1.1130063026135999</v>
      </c>
      <c r="E657">
        <v>1.20970514346159</v>
      </c>
      <c r="F657">
        <v>1.1784124465600101</v>
      </c>
      <c r="G657">
        <v>1.1832165366477101</v>
      </c>
      <c r="H657">
        <v>1.24589007889286</v>
      </c>
      <c r="I657">
        <v>1.15893164088325</v>
      </c>
      <c r="J657">
        <v>3.24174710211997</v>
      </c>
      <c r="K657">
        <v>1.3021728590947199</v>
      </c>
      <c r="L657">
        <v>3410.7405448015602</v>
      </c>
      <c r="M657">
        <v>55.685196914140803</v>
      </c>
      <c r="O657">
        <v>61.171557442688602</v>
      </c>
      <c r="P657">
        <v>0.113789050987502</v>
      </c>
      <c r="Q657">
        <v>1.5</v>
      </c>
      <c r="R657">
        <v>0.16463580706756001</v>
      </c>
      <c r="S657" t="s">
        <v>2659</v>
      </c>
      <c r="T657" t="s">
        <v>4002</v>
      </c>
      <c r="U657" t="s">
        <v>4002</v>
      </c>
      <c r="V657" t="s">
        <v>4002</v>
      </c>
      <c r="W657" t="s">
        <v>4651</v>
      </c>
      <c r="X657">
        <v>1</v>
      </c>
      <c r="Y657" t="s">
        <v>6624</v>
      </c>
      <c r="Z657" t="s">
        <v>8555</v>
      </c>
      <c r="AA657">
        <v>1.144762434484967</v>
      </c>
      <c r="AB657" t="str">
        <f>HYPERLINK("Melting_Curves/meltCurve_J3KNC7_CYB5A.pdf", "Melting_Curves/meltCurve_J3KNC7_CYB5A.pdf")</f>
        <v>Melting_Curves/meltCurve_J3KNC7_CYB5A.pdf</v>
      </c>
    </row>
    <row r="658" spans="1:28" x14ac:dyDescent="0.25">
      <c r="A658" t="s">
        <v>662</v>
      </c>
      <c r="B658">
        <v>1</v>
      </c>
      <c r="C658">
        <v>1.0121854928996501</v>
      </c>
      <c r="D658">
        <v>1.00637558187496</v>
      </c>
      <c r="E658">
        <v>1.0663249071946299</v>
      </c>
      <c r="F658">
        <v>1.0337045548288299</v>
      </c>
      <c r="G658">
        <v>1.11316952448294</v>
      </c>
      <c r="H658">
        <v>0.94240763655647897</v>
      </c>
      <c r="I658">
        <v>1.29055447528136</v>
      </c>
      <c r="J658">
        <v>1.0302280360615199</v>
      </c>
      <c r="K658">
        <v>0.94812326910612199</v>
      </c>
      <c r="L658">
        <v>11598.508010163099</v>
      </c>
      <c r="M658">
        <v>250</v>
      </c>
      <c r="O658">
        <v>46.391067039323602</v>
      </c>
      <c r="P658">
        <v>8.1703006389999305E-2</v>
      </c>
      <c r="Q658">
        <v>1.06064462917363</v>
      </c>
      <c r="R658">
        <v>6.8189025195069003E-2</v>
      </c>
      <c r="S658" t="s">
        <v>2660</v>
      </c>
      <c r="T658" t="s">
        <v>4002</v>
      </c>
      <c r="U658" t="s">
        <v>4002</v>
      </c>
      <c r="V658" t="s">
        <v>4002</v>
      </c>
      <c r="W658" t="s">
        <v>4652</v>
      </c>
      <c r="X658">
        <v>2</v>
      </c>
      <c r="Y658" t="s">
        <v>6625</v>
      </c>
      <c r="Z658" t="s">
        <v>8556</v>
      </c>
      <c r="AA658">
        <v>1.0477142347048309</v>
      </c>
      <c r="AB658" t="str">
        <f>HYPERLINK("Melting_Curves/meltCurve_J3KNL6_SEC16A.pdf", "Melting_Curves/meltCurve_J3KNL6_SEC16A.pdf")</f>
        <v>Melting_Curves/meltCurve_J3KNL6_SEC16A.pdf</v>
      </c>
    </row>
    <row r="659" spans="1:28" x14ac:dyDescent="0.25">
      <c r="A659" t="s">
        <v>663</v>
      </c>
      <c r="B659">
        <v>1</v>
      </c>
      <c r="C659">
        <v>0.89491834469636899</v>
      </c>
      <c r="D659">
        <v>1.01942286348502</v>
      </c>
      <c r="E659">
        <v>1.18737117488505</v>
      </c>
      <c r="F659">
        <v>1.4490843507214199</v>
      </c>
      <c r="G659">
        <v>1.7820675439987299</v>
      </c>
      <c r="H659">
        <v>2.2732677976851101</v>
      </c>
      <c r="I659">
        <v>2.8381163786269199</v>
      </c>
      <c r="J659">
        <v>6.3845726970033301</v>
      </c>
      <c r="K659">
        <v>2.7964959568733101</v>
      </c>
      <c r="L659">
        <v>2827.33725384011</v>
      </c>
      <c r="M659">
        <v>56.015460319527897</v>
      </c>
      <c r="O659">
        <v>50.410022240005297</v>
      </c>
      <c r="P659">
        <v>0.13889968792169299</v>
      </c>
      <c r="Q659">
        <v>1.5</v>
      </c>
      <c r="R659">
        <v>-0.140613223736929</v>
      </c>
      <c r="S659" t="s">
        <v>2661</v>
      </c>
      <c r="T659" t="s">
        <v>4002</v>
      </c>
      <c r="U659" t="s">
        <v>4002</v>
      </c>
      <c r="V659" t="s">
        <v>4002</v>
      </c>
      <c r="W659" t="s">
        <v>4653</v>
      </c>
      <c r="X659">
        <v>3</v>
      </c>
      <c r="Y659" t="s">
        <v>6626</v>
      </c>
      <c r="Z659" t="s">
        <v>8557</v>
      </c>
      <c r="AA659">
        <v>1.3245435443379381</v>
      </c>
      <c r="AB659" t="str">
        <f>HYPERLINK("Melting_Curves/meltCurve_J3KNT0_FSCN1.pdf", "Melting_Curves/meltCurve_J3KNT0_FSCN1.pdf")</f>
        <v>Melting_Curves/meltCurve_J3KNT0_FSCN1.pdf</v>
      </c>
    </row>
    <row r="660" spans="1:28" x14ac:dyDescent="0.25">
      <c r="A660" t="s">
        <v>664</v>
      </c>
      <c r="B660">
        <v>1</v>
      </c>
      <c r="C660">
        <v>1.0526583350984999</v>
      </c>
      <c r="D660">
        <v>1.22630798559627</v>
      </c>
      <c r="E660">
        <v>1.18131751747511</v>
      </c>
      <c r="F660">
        <v>1.2214361364117801</v>
      </c>
      <c r="G660">
        <v>1.42834145308197</v>
      </c>
      <c r="H660">
        <v>1.4120313492904</v>
      </c>
      <c r="I660">
        <v>1.4208006778225</v>
      </c>
      <c r="J660">
        <v>1.79279813598814</v>
      </c>
      <c r="K660">
        <v>1.29383605168397</v>
      </c>
      <c r="L660">
        <v>566.73808790881799</v>
      </c>
      <c r="M660">
        <v>11.155378353781799</v>
      </c>
      <c r="O660">
        <v>49.253448869559101</v>
      </c>
      <c r="P660">
        <v>2.8320221510130798E-2</v>
      </c>
      <c r="Q660">
        <v>1.5</v>
      </c>
      <c r="R660">
        <v>0.64613925843458997</v>
      </c>
      <c r="S660" t="s">
        <v>2662</v>
      </c>
      <c r="T660" t="s">
        <v>4002</v>
      </c>
      <c r="U660" t="s">
        <v>4002</v>
      </c>
      <c r="V660" t="s">
        <v>4002</v>
      </c>
      <c r="W660" t="s">
        <v>4654</v>
      </c>
      <c r="X660">
        <v>1</v>
      </c>
      <c r="Y660" t="s">
        <v>6627</v>
      </c>
      <c r="Z660" t="s">
        <v>8558</v>
      </c>
      <c r="AA660">
        <v>1.3016301677224209</v>
      </c>
      <c r="AB660" t="str">
        <f>HYPERLINK("Melting_Curves/meltCurve_J3KP29_NUP98.pdf", "Melting_Curves/meltCurve_J3KP29_NUP98.pdf")</f>
        <v>Melting_Curves/meltCurve_J3KP29_NUP98.pdf</v>
      </c>
    </row>
    <row r="661" spans="1:28" x14ac:dyDescent="0.25">
      <c r="A661" t="s">
        <v>665</v>
      </c>
      <c r="B661">
        <v>1</v>
      </c>
      <c r="C661">
        <v>1.51395929484754</v>
      </c>
      <c r="D661">
        <v>1.9688280245138801</v>
      </c>
      <c r="E661">
        <v>2.2203223121737201</v>
      </c>
      <c r="F661">
        <v>2.18385412726035</v>
      </c>
      <c r="G661">
        <v>2.2828175834153002</v>
      </c>
      <c r="H661">
        <v>1.9331164409472601</v>
      </c>
      <c r="I661">
        <v>2.55110842097299</v>
      </c>
      <c r="J661">
        <v>1.84822576984187</v>
      </c>
      <c r="K661">
        <v>1.98169024740864</v>
      </c>
      <c r="L661">
        <v>10280.1964294594</v>
      </c>
      <c r="M661">
        <v>250</v>
      </c>
      <c r="O661">
        <v>41.118154273161302</v>
      </c>
      <c r="P661">
        <v>0.76000493209884901</v>
      </c>
      <c r="Q661">
        <v>1.5</v>
      </c>
      <c r="R661">
        <v>-1.03290659615712</v>
      </c>
      <c r="S661" t="s">
        <v>2663</v>
      </c>
      <c r="T661" t="s">
        <v>4002</v>
      </c>
      <c r="U661" t="s">
        <v>4002</v>
      </c>
      <c r="V661" t="s">
        <v>4002</v>
      </c>
      <c r="W661" t="s">
        <v>4655</v>
      </c>
      <c r="X661">
        <v>17</v>
      </c>
      <c r="Y661" t="s">
        <v>6628</v>
      </c>
      <c r="Z661" t="s">
        <v>8559</v>
      </c>
      <c r="AA661">
        <v>1.481281820216543</v>
      </c>
      <c r="AB661" t="str">
        <f>HYPERLINK("Melting_Curves/meltCurve_J3KPA1_CRISP3.pdf", "Melting_Curves/meltCurve_J3KPA1_CRISP3.pdf")</f>
        <v>Melting_Curves/meltCurve_J3KPA1_CRISP3.pdf</v>
      </c>
    </row>
    <row r="662" spans="1:28" x14ac:dyDescent="0.25">
      <c r="A662" t="s">
        <v>666</v>
      </c>
      <c r="B662">
        <v>1</v>
      </c>
      <c r="C662">
        <v>1.05363169220277</v>
      </c>
      <c r="D662">
        <v>1.3420269745893301</v>
      </c>
      <c r="E662">
        <v>1.85506155709465</v>
      </c>
      <c r="F662">
        <v>1.9371376832896301</v>
      </c>
      <c r="G662">
        <v>2.6093858401044199</v>
      </c>
      <c r="H662">
        <v>2.5789306586079999</v>
      </c>
      <c r="I662">
        <v>3.5435015227590698</v>
      </c>
      <c r="J662">
        <v>4.1879990122643802</v>
      </c>
      <c r="K662">
        <v>3.0426960478816598</v>
      </c>
      <c r="L662">
        <v>3278.0808406461601</v>
      </c>
      <c r="M662">
        <v>72.085449725336204</v>
      </c>
      <c r="O662">
        <v>45.439945555573402</v>
      </c>
      <c r="P662">
        <v>0.198298611577124</v>
      </c>
      <c r="Q662">
        <v>1.5</v>
      </c>
      <c r="R662">
        <v>-0.59774830437833304</v>
      </c>
      <c r="S662" t="s">
        <v>2664</v>
      </c>
      <c r="T662" t="s">
        <v>4002</v>
      </c>
      <c r="U662" t="s">
        <v>4002</v>
      </c>
      <c r="V662" t="s">
        <v>4002</v>
      </c>
      <c r="W662" t="s">
        <v>4656</v>
      </c>
      <c r="X662">
        <v>7</v>
      </c>
      <c r="Y662" t="s">
        <v>6629</v>
      </c>
      <c r="Z662" t="s">
        <v>8560</v>
      </c>
      <c r="AA662">
        <v>1.4082696084991371</v>
      </c>
      <c r="AB662" t="str">
        <f>HYPERLINK("Melting_Curves/meltCurve_J3KPD9_NME2.pdf", "Melting_Curves/meltCurve_J3KPD9_NME2.pdf")</f>
        <v>Melting_Curves/meltCurve_J3KPD9_NME2.pdf</v>
      </c>
    </row>
    <row r="663" spans="1:28" x14ac:dyDescent="0.25">
      <c r="A663" t="s">
        <v>667</v>
      </c>
      <c r="B663">
        <v>1</v>
      </c>
      <c r="C663">
        <v>1.1997500000000001</v>
      </c>
      <c r="D663">
        <v>1.2679166666666699</v>
      </c>
      <c r="E663">
        <v>1.3614999999999999</v>
      </c>
      <c r="F663">
        <v>1.17408333333333</v>
      </c>
      <c r="G663">
        <v>1.26875</v>
      </c>
      <c r="H663">
        <v>1.232</v>
      </c>
      <c r="I663">
        <v>1.3440000000000001</v>
      </c>
      <c r="J663">
        <v>2.8276666666666701</v>
      </c>
      <c r="K663">
        <v>1.4460833333333301</v>
      </c>
      <c r="L663">
        <v>542.47362108146501</v>
      </c>
      <c r="M663">
        <v>11.4213343139504</v>
      </c>
      <c r="O663">
        <v>46.110404753279603</v>
      </c>
      <c r="P663">
        <v>3.0970960034482398E-2</v>
      </c>
      <c r="Q663">
        <v>1.5</v>
      </c>
      <c r="R663">
        <v>0.16490703031708701</v>
      </c>
      <c r="S663" t="s">
        <v>2665</v>
      </c>
      <c r="T663" t="s">
        <v>4002</v>
      </c>
      <c r="U663" t="s">
        <v>4002</v>
      </c>
      <c r="V663" t="s">
        <v>4002</v>
      </c>
      <c r="W663" t="s">
        <v>4657</v>
      </c>
      <c r="X663">
        <v>1</v>
      </c>
      <c r="Y663" t="s">
        <v>6630</v>
      </c>
      <c r="Z663" t="s">
        <v>8561</v>
      </c>
      <c r="AA663">
        <v>1.3529541219828101</v>
      </c>
      <c r="AB663" t="str">
        <f>HYPERLINK("Melting_Curves/meltCurve_J3KPM9_STAT1.pdf", "Melting_Curves/meltCurve_J3KPM9_STAT1.pdf")</f>
        <v>Melting_Curves/meltCurve_J3KPM9_STAT1.pdf</v>
      </c>
    </row>
    <row r="664" spans="1:28" x14ac:dyDescent="0.25">
      <c r="A664" t="s">
        <v>668</v>
      </c>
      <c r="B664">
        <v>1</v>
      </c>
      <c r="C664">
        <v>0.98285011421542801</v>
      </c>
      <c r="D664">
        <v>1.1367070813565301</v>
      </c>
      <c r="E664">
        <v>1.21036724652961</v>
      </c>
      <c r="F664">
        <v>1.18239325250395</v>
      </c>
      <c r="G664">
        <v>1.4660692321208899</v>
      </c>
      <c r="H664">
        <v>1.2495519240906701</v>
      </c>
      <c r="I664">
        <v>1.90356703567036</v>
      </c>
      <c r="J664">
        <v>1.82568968546828</v>
      </c>
      <c r="K664">
        <v>1.6094183798980799</v>
      </c>
      <c r="L664">
        <v>1025.1920461115899</v>
      </c>
      <c r="M664">
        <v>19.7016746506788</v>
      </c>
      <c r="O664">
        <v>51.508578761490902</v>
      </c>
      <c r="P664">
        <v>4.7813286869774797E-2</v>
      </c>
      <c r="Q664">
        <v>1.5</v>
      </c>
      <c r="R664">
        <v>0.61553144404946603</v>
      </c>
      <c r="S664" t="s">
        <v>2666</v>
      </c>
      <c r="T664" t="s">
        <v>4002</v>
      </c>
      <c r="U664" t="s">
        <v>4002</v>
      </c>
      <c r="V664" t="s">
        <v>4002</v>
      </c>
      <c r="W664" t="s">
        <v>4040</v>
      </c>
      <c r="X664">
        <v>22</v>
      </c>
      <c r="Y664" t="s">
        <v>6631</v>
      </c>
      <c r="Z664" t="s">
        <v>8562</v>
      </c>
      <c r="AA664">
        <v>1.2922973737966541</v>
      </c>
      <c r="AB664" t="str">
        <f>HYPERLINK("Melting_Curves/meltCurve_J3KPS3_ALDOA.pdf", "Melting_Curves/meltCurve_J3KPS3_ALDOA.pdf")</f>
        <v>Melting_Curves/meltCurve_J3KPS3_ALDOA.pdf</v>
      </c>
    </row>
    <row r="665" spans="1:28" x14ac:dyDescent="0.25">
      <c r="A665" t="s">
        <v>669</v>
      </c>
      <c r="B665">
        <v>1</v>
      </c>
      <c r="C665">
        <v>0.85606060606060597</v>
      </c>
      <c r="D665">
        <v>0.855228105228105</v>
      </c>
      <c r="E665">
        <v>0.94921744921744899</v>
      </c>
      <c r="F665">
        <v>0.90900765900765901</v>
      </c>
      <c r="G665">
        <v>1.20879120879121</v>
      </c>
      <c r="H665">
        <v>1.06460206460206</v>
      </c>
      <c r="I665">
        <v>1.61038961038961</v>
      </c>
      <c r="J665">
        <v>1.2808857808857801</v>
      </c>
      <c r="K665">
        <v>0.95596070596070604</v>
      </c>
      <c r="L665">
        <v>14113.8801902714</v>
      </c>
      <c r="M665">
        <v>250</v>
      </c>
      <c r="O665">
        <v>56.451894126632098</v>
      </c>
      <c r="P665">
        <v>0.25238248759967102</v>
      </c>
      <c r="Q665">
        <v>1.22795956740853</v>
      </c>
      <c r="R665">
        <v>0.40275085334312699</v>
      </c>
      <c r="S665" t="s">
        <v>2667</v>
      </c>
      <c r="T665" t="s">
        <v>4002</v>
      </c>
      <c r="U665" t="s">
        <v>4002</v>
      </c>
      <c r="V665" t="s">
        <v>4002</v>
      </c>
      <c r="W665" t="s">
        <v>4658</v>
      </c>
      <c r="X665">
        <v>1</v>
      </c>
      <c r="Y665" t="s">
        <v>6632</v>
      </c>
      <c r="Z665" t="s">
        <v>8563</v>
      </c>
      <c r="AA665">
        <v>1.102897201696813</v>
      </c>
      <c r="AB665" t="str">
        <f>HYPERLINK("Melting_Curves/meltCurve_J3KQ18_DDT.pdf", "Melting_Curves/meltCurve_J3KQ18_DDT.pdf")</f>
        <v>Melting_Curves/meltCurve_J3KQ18_DDT.pdf</v>
      </c>
    </row>
    <row r="666" spans="1:28" x14ac:dyDescent="0.25">
      <c r="A666" t="s">
        <v>670</v>
      </c>
      <c r="B666">
        <v>1</v>
      </c>
      <c r="C666">
        <v>0.99985485309059197</v>
      </c>
      <c r="D666">
        <v>1.1518651377858899</v>
      </c>
      <c r="E666">
        <v>1.1972131793393701</v>
      </c>
      <c r="F666">
        <v>1.0329276131627501</v>
      </c>
      <c r="G666">
        <v>1.0803491819934901</v>
      </c>
      <c r="H666">
        <v>0.95176975553113397</v>
      </c>
      <c r="I666">
        <v>1.11447944097705</v>
      </c>
      <c r="J666">
        <v>1.0713086030646699</v>
      </c>
      <c r="K666">
        <v>1.01320836875609</v>
      </c>
      <c r="L666">
        <v>10980.812246171899</v>
      </c>
      <c r="M666">
        <v>250</v>
      </c>
      <c r="O666">
        <v>43.920438072551597</v>
      </c>
      <c r="P666">
        <v>0.109060867297014</v>
      </c>
      <c r="Q666">
        <v>1.0766400172038999</v>
      </c>
      <c r="R666">
        <v>0.178956284808067</v>
      </c>
      <c r="S666" t="s">
        <v>2668</v>
      </c>
      <c r="T666" t="s">
        <v>4002</v>
      </c>
      <c r="U666" t="s">
        <v>4002</v>
      </c>
      <c r="V666" t="s">
        <v>4002</v>
      </c>
      <c r="W666" t="s">
        <v>4659</v>
      </c>
      <c r="X666">
        <v>1</v>
      </c>
      <c r="Y666" t="s">
        <v>6633</v>
      </c>
      <c r="Z666" t="s">
        <v>8564</v>
      </c>
      <c r="AA666">
        <v>1.066611513781357</v>
      </c>
      <c r="AB666" t="str">
        <f>HYPERLINK("Melting_Curves/meltCurve_J3KQ37_RGPD8.pdf", "Melting_Curves/meltCurve_J3KQ37_RGPD8.pdf")</f>
        <v>Melting_Curves/meltCurve_J3KQ37_RGPD8.pdf</v>
      </c>
    </row>
    <row r="667" spans="1:28" x14ac:dyDescent="0.25">
      <c r="A667" t="s">
        <v>671</v>
      </c>
      <c r="B667">
        <v>1</v>
      </c>
      <c r="C667">
        <v>0.90243818444796498</v>
      </c>
      <c r="D667">
        <v>0.94403884565052698</v>
      </c>
      <c r="E667">
        <v>1.1429850540670801</v>
      </c>
      <c r="F667">
        <v>1.1124733108340801</v>
      </c>
      <c r="G667">
        <v>1.1088917969557099</v>
      </c>
      <c r="H667">
        <v>0.73338384186238703</v>
      </c>
      <c r="I667">
        <v>1.2449893243336301</v>
      </c>
      <c r="J667">
        <v>0.67019078448929004</v>
      </c>
      <c r="K667">
        <v>0.90677732626213903</v>
      </c>
      <c r="L667">
        <v>15000</v>
      </c>
      <c r="M667">
        <v>228.76539574260499</v>
      </c>
      <c r="O667">
        <v>65.564346453253094</v>
      </c>
      <c r="P667">
        <v>-0.18441211419133899</v>
      </c>
      <c r="Q667">
        <v>0.78858935940118502</v>
      </c>
      <c r="R667">
        <v>0.27686275442654101</v>
      </c>
      <c r="S667" t="s">
        <v>2669</v>
      </c>
      <c r="T667" t="s">
        <v>4002</v>
      </c>
      <c r="U667" t="s">
        <v>4002</v>
      </c>
      <c r="V667" t="s">
        <v>4002</v>
      </c>
      <c r="W667" t="s">
        <v>4660</v>
      </c>
      <c r="X667">
        <v>7</v>
      </c>
      <c r="Y667" t="s">
        <v>6634</v>
      </c>
      <c r="Z667" t="s">
        <v>8565</v>
      </c>
      <c r="AA667">
        <v>0.96880622084995283</v>
      </c>
      <c r="AB667" t="str">
        <f>HYPERLINK("Melting_Curves/meltCurve_J3KQ45_TGOLN2.pdf", "Melting_Curves/meltCurve_J3KQ45_TGOLN2.pdf")</f>
        <v>Melting_Curves/meltCurve_J3KQ45_TGOLN2.pdf</v>
      </c>
    </row>
    <row r="668" spans="1:28" x14ac:dyDescent="0.25">
      <c r="A668" t="s">
        <v>672</v>
      </c>
      <c r="B668">
        <v>1</v>
      </c>
      <c r="C668">
        <v>1.0141503537588401</v>
      </c>
      <c r="D668">
        <v>1.0213755343883599</v>
      </c>
      <c r="E668">
        <v>1.2098052451311301</v>
      </c>
      <c r="F668">
        <v>1.2284307107677701</v>
      </c>
      <c r="G668">
        <v>1.4639365984149599</v>
      </c>
      <c r="H668">
        <v>1.2223805595139901</v>
      </c>
      <c r="I668">
        <v>1.8761719042976099</v>
      </c>
      <c r="J668">
        <v>1.1744793619840499</v>
      </c>
      <c r="K668">
        <v>1.3103577589439701</v>
      </c>
      <c r="L668">
        <v>1144.2176063619499</v>
      </c>
      <c r="M668">
        <v>22.544851552332201</v>
      </c>
      <c r="O668">
        <v>50.3586959579617</v>
      </c>
      <c r="P668">
        <v>4.5991322054939401E-2</v>
      </c>
      <c r="Q668">
        <v>1.4109170106920099</v>
      </c>
      <c r="R668">
        <v>0.466514352951994</v>
      </c>
      <c r="S668" t="s">
        <v>2670</v>
      </c>
      <c r="T668" t="s">
        <v>4002</v>
      </c>
      <c r="U668" t="s">
        <v>4002</v>
      </c>
      <c r="V668" t="s">
        <v>4002</v>
      </c>
      <c r="W668" t="s">
        <v>4661</v>
      </c>
      <c r="X668">
        <v>3</v>
      </c>
      <c r="Y668" t="s">
        <v>6635</v>
      </c>
      <c r="Z668" t="s">
        <v>8566</v>
      </c>
      <c r="AA668">
        <v>1.259096385690843</v>
      </c>
      <c r="AB668" t="str">
        <f>HYPERLINK("Melting_Curves/meltCurve_J3KRP0_CNDP1.pdf", "Melting_Curves/meltCurve_J3KRP0_CNDP1.pdf")</f>
        <v>Melting_Curves/meltCurve_J3KRP0_CNDP1.pdf</v>
      </c>
    </row>
    <row r="669" spans="1:28" x14ac:dyDescent="0.25">
      <c r="A669" t="s">
        <v>673</v>
      </c>
      <c r="B669">
        <v>1</v>
      </c>
      <c r="C669">
        <v>0.802409768748649</v>
      </c>
      <c r="D669">
        <v>0.70736978603847001</v>
      </c>
      <c r="E669">
        <v>1.19791441538794</v>
      </c>
      <c r="F669">
        <v>0.93435271234060902</v>
      </c>
      <c r="G669">
        <v>1.1260535984439199</v>
      </c>
      <c r="H669">
        <v>0.89253295872055305</v>
      </c>
      <c r="I669">
        <v>1.26988329371083</v>
      </c>
      <c r="J669">
        <v>1.3345580289604499</v>
      </c>
      <c r="K669">
        <v>1.15836395072401</v>
      </c>
      <c r="L669">
        <v>12103.4938933919</v>
      </c>
      <c r="M669">
        <v>192.89246260105</v>
      </c>
      <c r="O669">
        <v>62.740621356952097</v>
      </c>
      <c r="P669">
        <v>0.19679130694893299</v>
      </c>
      <c r="Q669">
        <v>1.25603507032753</v>
      </c>
      <c r="R669">
        <v>0.45316866674454798</v>
      </c>
      <c r="S669" t="s">
        <v>2671</v>
      </c>
      <c r="T669" t="s">
        <v>4002</v>
      </c>
      <c r="U669" t="s">
        <v>4002</v>
      </c>
      <c r="V669" t="s">
        <v>4002</v>
      </c>
      <c r="W669" t="s">
        <v>4662</v>
      </c>
      <c r="X669">
        <v>1</v>
      </c>
      <c r="Y669" t="s">
        <v>6636</v>
      </c>
      <c r="Z669" t="s">
        <v>8567</v>
      </c>
      <c r="AA669">
        <v>1.06185025658016</v>
      </c>
      <c r="AB669" t="str">
        <f>HYPERLINK("Melting_Curves/meltCurve_J3KRW7_TMEM199.pdf", "Melting_Curves/meltCurve_J3KRW7_TMEM199.pdf")</f>
        <v>Melting_Curves/meltCurve_J3KRW7_TMEM199.pdf</v>
      </c>
    </row>
    <row r="670" spans="1:28" x14ac:dyDescent="0.25">
      <c r="A670" t="s">
        <v>674</v>
      </c>
      <c r="B670">
        <v>1</v>
      </c>
      <c r="C670">
        <v>0.95809325809325796</v>
      </c>
      <c r="D670">
        <v>1.1501633501633499</v>
      </c>
      <c r="E670">
        <v>1.3270270270270299</v>
      </c>
      <c r="F670">
        <v>0.99407484407484403</v>
      </c>
      <c r="G670">
        <v>1.41829521829522</v>
      </c>
      <c r="H670">
        <v>0.81193941193941199</v>
      </c>
      <c r="I670">
        <v>1.57217107217107</v>
      </c>
      <c r="J670">
        <v>1.4701217701217699</v>
      </c>
      <c r="K670">
        <v>1.14183249183249</v>
      </c>
      <c r="L670">
        <v>467.190774825983</v>
      </c>
      <c r="M670">
        <v>9.3219086986209003</v>
      </c>
      <c r="O670">
        <v>47.973234098995398</v>
      </c>
      <c r="P670">
        <v>1.52639284279478E-2</v>
      </c>
      <c r="Q670">
        <v>1.31401073995113</v>
      </c>
      <c r="R670">
        <v>0.18631309282625999</v>
      </c>
      <c r="S670" t="s">
        <v>2672</v>
      </c>
      <c r="T670" t="s">
        <v>4002</v>
      </c>
      <c r="U670" t="s">
        <v>4002</v>
      </c>
      <c r="V670" t="s">
        <v>4002</v>
      </c>
      <c r="W670" t="s">
        <v>4663</v>
      </c>
      <c r="X670">
        <v>1</v>
      </c>
      <c r="Y670" t="s">
        <v>6637</v>
      </c>
      <c r="Z670" t="s">
        <v>8568</v>
      </c>
      <c r="AA670">
        <v>1.192693076288627</v>
      </c>
      <c r="AB670" t="str">
        <f>HYPERLINK("Melting_Curves/meltCurve_J3KSX6_NT5C.pdf", "Melting_Curves/meltCurve_J3KSX6_NT5C.pdf")</f>
        <v>Melting_Curves/meltCurve_J3KSX6_NT5C.pdf</v>
      </c>
    </row>
    <row r="671" spans="1:28" x14ac:dyDescent="0.25">
      <c r="A671" t="s">
        <v>675</v>
      </c>
      <c r="B671">
        <v>1</v>
      </c>
      <c r="C671">
        <v>0.87140270928272701</v>
      </c>
      <c r="D671">
        <v>1.0619888881952699</v>
      </c>
      <c r="E671">
        <v>1.1987015419189699</v>
      </c>
      <c r="F671">
        <v>1.11093076971097</v>
      </c>
      <c r="G671">
        <v>1.3185592109370099</v>
      </c>
      <c r="H671">
        <v>0.77938697796366796</v>
      </c>
      <c r="I671">
        <v>1.46675822460828</v>
      </c>
      <c r="J671">
        <v>1.02958986203883</v>
      </c>
      <c r="K671">
        <v>1.0561208564829301</v>
      </c>
      <c r="L671">
        <v>11508.863010265</v>
      </c>
      <c r="M671">
        <v>250</v>
      </c>
      <c r="O671">
        <v>46.032505832244901</v>
      </c>
      <c r="P671">
        <v>0.18621302467644499</v>
      </c>
      <c r="Q671">
        <v>1.13714963488128</v>
      </c>
      <c r="R671">
        <v>0.152832208074138</v>
      </c>
      <c r="S671" t="s">
        <v>2673</v>
      </c>
      <c r="T671" t="s">
        <v>4002</v>
      </c>
      <c r="U671" t="s">
        <v>4002</v>
      </c>
      <c r="V671" t="s">
        <v>4002</v>
      </c>
      <c r="W671" t="s">
        <v>4664</v>
      </c>
      <c r="X671">
        <v>1</v>
      </c>
      <c r="Y671" t="s">
        <v>6638</v>
      </c>
      <c r="Z671" t="s">
        <v>8569</v>
      </c>
      <c r="AA671">
        <v>1.109546552897136</v>
      </c>
      <c r="AB671" t="str">
        <f>HYPERLINK("Melting_Curves/meltCurve_J3KSY7_CASC3.pdf", "Melting_Curves/meltCurve_J3KSY7_CASC3.pdf")</f>
        <v>Melting_Curves/meltCurve_J3KSY7_CASC3.pdf</v>
      </c>
    </row>
    <row r="672" spans="1:28" x14ac:dyDescent="0.25">
      <c r="A672" t="s">
        <v>676</v>
      </c>
      <c r="B672">
        <v>1</v>
      </c>
      <c r="C672">
        <v>1.0098196367491701</v>
      </c>
      <c r="D672">
        <v>1.14249832763256</v>
      </c>
      <c r="E672">
        <v>1.0245238485907899</v>
      </c>
      <c r="F672">
        <v>0.90012495424655103</v>
      </c>
      <c r="G672">
        <v>0.90643577477943704</v>
      </c>
      <c r="H672">
        <v>0.378889043153391</v>
      </c>
      <c r="I672">
        <v>0.82593494806194701</v>
      </c>
      <c r="J672">
        <v>0.117864670764493</v>
      </c>
      <c r="K672">
        <v>0.452889724722008</v>
      </c>
      <c r="L672">
        <v>1243.6366030238501</v>
      </c>
      <c r="M672">
        <v>20.856937929613601</v>
      </c>
      <c r="N672">
        <v>63.086377597671799</v>
      </c>
      <c r="O672">
        <v>59.086973036713196</v>
      </c>
      <c r="P672">
        <v>-5.8184337542381601E-2</v>
      </c>
      <c r="Q672">
        <v>0.34068140414871301</v>
      </c>
      <c r="R672">
        <v>0.71455101369612395</v>
      </c>
      <c r="S672" t="s">
        <v>2674</v>
      </c>
      <c r="T672" t="s">
        <v>4002</v>
      </c>
      <c r="U672" t="s">
        <v>4002</v>
      </c>
      <c r="V672" t="s">
        <v>4002</v>
      </c>
      <c r="W672" t="s">
        <v>4665</v>
      </c>
      <c r="X672">
        <v>7</v>
      </c>
      <c r="Y672" t="s">
        <v>6639</v>
      </c>
      <c r="Z672" t="s">
        <v>8570</v>
      </c>
      <c r="AA672">
        <v>0.77789466749433844</v>
      </c>
      <c r="AB672" t="str">
        <f>HYPERLINK("Melting_Curves/meltCurve_J3KT11_LPO.pdf", "Melting_Curves/meltCurve_J3KT11_LPO.pdf")</f>
        <v>Melting_Curves/meltCurve_J3KT11_LPO.pdf</v>
      </c>
    </row>
    <row r="673" spans="1:28" x14ac:dyDescent="0.25">
      <c r="A673" t="s">
        <v>677</v>
      </c>
      <c r="B673">
        <v>1</v>
      </c>
      <c r="C673">
        <v>0.93410643653362102</v>
      </c>
      <c r="D673">
        <v>1.08971592952175</v>
      </c>
      <c r="E673">
        <v>1.03559870550162</v>
      </c>
      <c r="F673">
        <v>0.990560949298813</v>
      </c>
      <c r="G673">
        <v>1.0523193096008601</v>
      </c>
      <c r="H673">
        <v>0.87240201366415004</v>
      </c>
      <c r="I673">
        <v>1.0066522833513101</v>
      </c>
      <c r="J673">
        <v>1.1183027687882101</v>
      </c>
      <c r="K673">
        <v>0.89260158216468899</v>
      </c>
      <c r="L673">
        <v>15000</v>
      </c>
      <c r="M673">
        <v>212.16801395956</v>
      </c>
      <c r="Q673">
        <v>0</v>
      </c>
      <c r="R673">
        <v>0.19759454429636999</v>
      </c>
      <c r="S673" t="s">
        <v>2675</v>
      </c>
      <c r="T673" t="s">
        <v>4002</v>
      </c>
      <c r="U673" t="s">
        <v>4002</v>
      </c>
      <c r="V673" t="s">
        <v>4002</v>
      </c>
      <c r="W673" t="s">
        <v>4666</v>
      </c>
      <c r="X673">
        <v>4</v>
      </c>
      <c r="Y673" t="s">
        <v>6640</v>
      </c>
      <c r="Z673" t="s">
        <v>8571</v>
      </c>
      <c r="AA673">
        <v>0.99877469464804447</v>
      </c>
      <c r="AB673" t="str">
        <f>HYPERLINK("Melting_Curves/meltCurve_J3KT51_HN1.pdf", "Melting_Curves/meltCurve_J3KT51_HN1.pdf")</f>
        <v>Melting_Curves/meltCurve_J3KT51_HN1.pdf</v>
      </c>
    </row>
    <row r="674" spans="1:28" x14ac:dyDescent="0.25">
      <c r="A674" t="s">
        <v>678</v>
      </c>
      <c r="B674">
        <v>1</v>
      </c>
      <c r="C674">
        <v>1.56897723411485</v>
      </c>
      <c r="D674">
        <v>1.14075773020727</v>
      </c>
      <c r="E674">
        <v>1.0282874617736999</v>
      </c>
      <c r="F674">
        <v>1.24660210669385</v>
      </c>
      <c r="G674">
        <v>1.5052667346245301</v>
      </c>
      <c r="H674">
        <v>0.89296636085626901</v>
      </c>
      <c r="I674">
        <v>1.48445463812436</v>
      </c>
      <c r="J674">
        <v>1.0448521916411799</v>
      </c>
      <c r="K674">
        <v>1.1398233095480801</v>
      </c>
      <c r="L674">
        <v>10225.7444367445</v>
      </c>
      <c r="M674">
        <v>250</v>
      </c>
      <c r="O674">
        <v>40.900339266765499</v>
      </c>
      <c r="P674">
        <v>0.34840496036308599</v>
      </c>
      <c r="Q674">
        <v>1.2279982148127599</v>
      </c>
      <c r="R674">
        <v>9.2255195695658196E-2</v>
      </c>
      <c r="S674" t="s">
        <v>2676</v>
      </c>
      <c r="T674" t="s">
        <v>4002</v>
      </c>
      <c r="U674" t="s">
        <v>4002</v>
      </c>
      <c r="V674" t="s">
        <v>4002</v>
      </c>
      <c r="W674" t="s">
        <v>4667</v>
      </c>
      <c r="X674">
        <v>2</v>
      </c>
      <c r="Y674" t="s">
        <v>6641</v>
      </c>
      <c r="Z674" t="s">
        <v>8572</v>
      </c>
      <c r="AA674">
        <v>1.2211151013306061</v>
      </c>
      <c r="AB674" t="str">
        <f>HYPERLINK("Melting_Curves/meltCurve_J3KTD8_CBFB.pdf", "Melting_Curves/meltCurve_J3KTD8_CBFB.pdf")</f>
        <v>Melting_Curves/meltCurve_J3KTD8_CBFB.pdf</v>
      </c>
    </row>
    <row r="675" spans="1:28" x14ac:dyDescent="0.25">
      <c r="A675" t="s">
        <v>679</v>
      </c>
      <c r="B675">
        <v>1</v>
      </c>
      <c r="C675">
        <v>1.0170882283987599</v>
      </c>
      <c r="D675">
        <v>1.07744405949621</v>
      </c>
      <c r="E675">
        <v>1.07585506264815</v>
      </c>
      <c r="F675">
        <v>0.91984683112349896</v>
      </c>
      <c r="G675">
        <v>1.22904998827789</v>
      </c>
      <c r="H675">
        <v>0.90030998463101397</v>
      </c>
      <c r="I675">
        <v>1.16111386074136</v>
      </c>
      <c r="J675">
        <v>1.13300685092084</v>
      </c>
      <c r="K675">
        <v>1.0294094662533499</v>
      </c>
      <c r="L675">
        <v>323.59273759563098</v>
      </c>
      <c r="M675">
        <v>6.5359123924127003</v>
      </c>
      <c r="O675">
        <v>45.488267812597002</v>
      </c>
      <c r="P675">
        <v>3.30784915301529E-3</v>
      </c>
      <c r="Q675">
        <v>1.0918684061283701</v>
      </c>
      <c r="R675">
        <v>5.4102760699323703E-2</v>
      </c>
      <c r="S675" t="s">
        <v>2677</v>
      </c>
      <c r="T675" t="s">
        <v>4002</v>
      </c>
      <c r="U675" t="s">
        <v>4002</v>
      </c>
      <c r="V675" t="s">
        <v>4002</v>
      </c>
      <c r="W675" t="s">
        <v>4668</v>
      </c>
      <c r="X675">
        <v>2</v>
      </c>
      <c r="Y675" t="s">
        <v>6642</v>
      </c>
      <c r="Z675" t="s">
        <v>8573</v>
      </c>
      <c r="AA675">
        <v>1.0556058518470399</v>
      </c>
      <c r="AB675" t="str">
        <f>HYPERLINK("Melting_Curves/meltCurve_J3KTE9_CDH3.pdf", "Melting_Curves/meltCurve_J3KTE9_CDH3.pdf")</f>
        <v>Melting_Curves/meltCurve_J3KTE9_CDH3.pdf</v>
      </c>
    </row>
    <row r="676" spans="1:28" x14ac:dyDescent="0.25">
      <c r="A676" t="s">
        <v>680</v>
      </c>
      <c r="B676">
        <v>1</v>
      </c>
      <c r="C676">
        <v>0.92745505686682195</v>
      </c>
      <c r="D676">
        <v>1.09957197016021</v>
      </c>
      <c r="E676">
        <v>1.10465941054176</v>
      </c>
      <c r="F676">
        <v>0.98583832701479801</v>
      </c>
      <c r="G676">
        <v>1.1262565733154</v>
      </c>
      <c r="H676">
        <v>0.9114589702825</v>
      </c>
      <c r="I676">
        <v>1.28115445762505</v>
      </c>
      <c r="J676">
        <v>5.7074721780604101</v>
      </c>
      <c r="K676">
        <v>1.1039501039501001</v>
      </c>
      <c r="L676">
        <v>15000</v>
      </c>
      <c r="M676">
        <v>234.62848785573499</v>
      </c>
      <c r="O676">
        <v>63.926213396188402</v>
      </c>
      <c r="P676">
        <v>0.45878772679619001</v>
      </c>
      <c r="Q676">
        <v>1.5</v>
      </c>
      <c r="R676">
        <v>8.3720190785901302E-2</v>
      </c>
      <c r="S676" t="s">
        <v>2678</v>
      </c>
      <c r="T676" t="s">
        <v>4002</v>
      </c>
      <c r="U676" t="s">
        <v>4002</v>
      </c>
      <c r="V676" t="s">
        <v>4002</v>
      </c>
      <c r="W676" t="s">
        <v>4669</v>
      </c>
      <c r="X676">
        <v>1</v>
      </c>
      <c r="Y676" t="s">
        <v>6643</v>
      </c>
      <c r="Z676" t="s">
        <v>8574</v>
      </c>
      <c r="AA676">
        <v>1.101088712958407</v>
      </c>
      <c r="AB676" t="str">
        <f>HYPERLINK("Melting_Curves/meltCurve_J3KTJ8_RPL26.pdf", "Melting_Curves/meltCurve_J3KTJ8_RPL26.pdf")</f>
        <v>Melting_Curves/meltCurve_J3KTJ8_RPL26.pdf</v>
      </c>
    </row>
    <row r="677" spans="1:28" x14ac:dyDescent="0.25">
      <c r="A677" t="s">
        <v>681</v>
      </c>
      <c r="B677">
        <v>1</v>
      </c>
      <c r="C677">
        <v>0.89790861334126304</v>
      </c>
      <c r="D677">
        <v>0.94315591237981999</v>
      </c>
      <c r="E677">
        <v>1.0274060858360601</v>
      </c>
      <c r="F677">
        <v>1.0212359996035301</v>
      </c>
      <c r="G677">
        <v>1.0560759242739599</v>
      </c>
      <c r="H677">
        <v>1.0393002279710599</v>
      </c>
      <c r="I677">
        <v>1.16138864109426</v>
      </c>
      <c r="J677">
        <v>1.09800277529983</v>
      </c>
      <c r="K677">
        <v>0.97019030627416003</v>
      </c>
      <c r="L677">
        <v>1567.03710012949</v>
      </c>
      <c r="M677">
        <v>29.1545512231238</v>
      </c>
      <c r="O677">
        <v>53.498340857963001</v>
      </c>
      <c r="P677">
        <v>9.2121960451513503E-3</v>
      </c>
      <c r="Q677">
        <v>1.0676166918762999</v>
      </c>
      <c r="R677">
        <v>0.33581593778655999</v>
      </c>
      <c r="S677" t="s">
        <v>2679</v>
      </c>
      <c r="T677" t="s">
        <v>4002</v>
      </c>
      <c r="U677" t="s">
        <v>4002</v>
      </c>
      <c r="V677" t="s">
        <v>4002</v>
      </c>
      <c r="W677" t="s">
        <v>4670</v>
      </c>
      <c r="X677">
        <v>9</v>
      </c>
      <c r="Y677" t="s">
        <v>6644</v>
      </c>
      <c r="Z677" t="s">
        <v>8575</v>
      </c>
      <c r="AA677">
        <v>1.0361592864389979</v>
      </c>
      <c r="AB677" t="str">
        <f>HYPERLINK("Melting_Curves/meltCurve_J3QK90_NSFL1C.pdf", "Melting_Curves/meltCurve_J3QK90_NSFL1C.pdf")</f>
        <v>Melting_Curves/meltCurve_J3QK90_NSFL1C.pdf</v>
      </c>
    </row>
    <row r="678" spans="1:28" x14ac:dyDescent="0.25">
      <c r="A678" t="s">
        <v>682</v>
      </c>
      <c r="B678">
        <v>1</v>
      </c>
      <c r="C678">
        <v>1.0144566554497101</v>
      </c>
      <c r="D678">
        <v>1.18123684718848</v>
      </c>
      <c r="E678">
        <v>1.0369752854223599</v>
      </c>
      <c r="F678">
        <v>0.97481776684322397</v>
      </c>
      <c r="G678">
        <v>1.01443632260098</v>
      </c>
      <c r="H678">
        <v>0.63089779693584003</v>
      </c>
      <c r="I678">
        <v>1.1321330174964199</v>
      </c>
      <c r="J678">
        <v>0.459624045626913</v>
      </c>
      <c r="K678">
        <v>0.83032237731667402</v>
      </c>
      <c r="L678">
        <v>14670.5287395342</v>
      </c>
      <c r="M678">
        <v>250</v>
      </c>
      <c r="O678">
        <v>58.678359710422001</v>
      </c>
      <c r="P678">
        <v>-0.252171727218927</v>
      </c>
      <c r="Q678">
        <v>0.76324762725498696</v>
      </c>
      <c r="R678">
        <v>0.375403060210867</v>
      </c>
      <c r="S678" t="s">
        <v>2680</v>
      </c>
      <c r="T678" t="s">
        <v>4002</v>
      </c>
      <c r="U678" t="s">
        <v>4002</v>
      </c>
      <c r="V678" t="s">
        <v>4002</v>
      </c>
      <c r="W678" t="s">
        <v>4671</v>
      </c>
      <c r="X678">
        <v>2</v>
      </c>
      <c r="Y678" t="s">
        <v>6645</v>
      </c>
      <c r="Z678" t="s">
        <v>8576</v>
      </c>
      <c r="AA678">
        <v>0.91070651095629762</v>
      </c>
      <c r="AB678" t="str">
        <f>HYPERLINK("Melting_Curves/meltCurve_J3QL69_LIMD2.pdf", "Melting_Curves/meltCurve_J3QL69_LIMD2.pdf")</f>
        <v>Melting_Curves/meltCurve_J3QL69_LIMD2.pdf</v>
      </c>
    </row>
    <row r="679" spans="1:28" x14ac:dyDescent="0.25">
      <c r="A679" t="s">
        <v>683</v>
      </c>
      <c r="B679">
        <v>1</v>
      </c>
      <c r="C679">
        <v>1.16167120799273</v>
      </c>
      <c r="D679">
        <v>1.4385785649409599</v>
      </c>
      <c r="E679">
        <v>1.29586739327884</v>
      </c>
      <c r="F679">
        <v>1.5305404178019999</v>
      </c>
      <c r="G679">
        <v>1.70129427792916</v>
      </c>
      <c r="H679">
        <v>2.0017029972752001</v>
      </c>
      <c r="I679">
        <v>2.37920072661217</v>
      </c>
      <c r="J679">
        <v>2.3505903723887398</v>
      </c>
      <c r="K679">
        <v>2.0787920072661201</v>
      </c>
      <c r="L679">
        <v>1331.1587769636899</v>
      </c>
      <c r="M679">
        <v>30.330465880653101</v>
      </c>
      <c r="O679">
        <v>43.699042664085098</v>
      </c>
      <c r="P679">
        <v>8.6760066594051E-2</v>
      </c>
      <c r="Q679">
        <v>1.5</v>
      </c>
      <c r="R679">
        <v>-2.4729965717307199E-3</v>
      </c>
      <c r="S679" t="s">
        <v>2681</v>
      </c>
      <c r="T679" t="s">
        <v>4002</v>
      </c>
      <c r="U679" t="s">
        <v>4002</v>
      </c>
      <c r="V679" t="s">
        <v>4002</v>
      </c>
      <c r="W679" t="s">
        <v>4672</v>
      </c>
      <c r="X679">
        <v>1</v>
      </c>
      <c r="Y679" t="s">
        <v>6646</v>
      </c>
      <c r="Z679" t="s">
        <v>8577</v>
      </c>
      <c r="AA679">
        <v>1.431569596201228</v>
      </c>
      <c r="AB679" t="str">
        <f>HYPERLINK("Melting_Curves/meltCurve_J3QL71_SCRN2.pdf", "Melting_Curves/meltCurve_J3QL71_SCRN2.pdf")</f>
        <v>Melting_Curves/meltCurve_J3QL71_SCRN2.pdf</v>
      </c>
    </row>
    <row r="680" spans="1:28" x14ac:dyDescent="0.25">
      <c r="A680" t="s">
        <v>684</v>
      </c>
      <c r="B680">
        <v>1</v>
      </c>
      <c r="C680">
        <v>0.90758490775112199</v>
      </c>
      <c r="D680">
        <v>1.1562967477422601</v>
      </c>
      <c r="E680">
        <v>1.3676103939276401</v>
      </c>
      <c r="F680">
        <v>1.0870962380187299</v>
      </c>
      <c r="G680">
        <v>1.4671726965482901</v>
      </c>
      <c r="H680">
        <v>1.4883373040057599</v>
      </c>
      <c r="I680">
        <v>1.2635603080503099</v>
      </c>
      <c r="J680">
        <v>4.38783312094853</v>
      </c>
      <c r="K680">
        <v>1.65643525957117</v>
      </c>
      <c r="L680">
        <v>1054.29976803818</v>
      </c>
      <c r="M680">
        <v>20.966369879900402</v>
      </c>
      <c r="O680">
        <v>49.834532672254497</v>
      </c>
      <c r="P680">
        <v>5.2591383105954702E-2</v>
      </c>
      <c r="Q680">
        <v>1.5</v>
      </c>
      <c r="R680">
        <v>7.7129727855368799E-2</v>
      </c>
      <c r="S680" t="s">
        <v>2682</v>
      </c>
      <c r="T680" t="s">
        <v>4002</v>
      </c>
      <c r="U680" t="s">
        <v>4002</v>
      </c>
      <c r="V680" t="s">
        <v>4002</v>
      </c>
      <c r="W680" t="s">
        <v>4673</v>
      </c>
      <c r="X680">
        <v>1</v>
      </c>
      <c r="Y680" t="s">
        <v>6647</v>
      </c>
      <c r="Z680" t="s">
        <v>8578</v>
      </c>
      <c r="AA680">
        <v>1.3222326557542861</v>
      </c>
      <c r="AB680" t="str">
        <f>HYPERLINK("Melting_Curves/meltCurve_J3QLI9_SNRPD1.pdf", "Melting_Curves/meltCurve_J3QLI9_SNRPD1.pdf")</f>
        <v>Melting_Curves/meltCurve_J3QLI9_SNRPD1.pdf</v>
      </c>
    </row>
    <row r="681" spans="1:28" x14ac:dyDescent="0.25">
      <c r="A681" t="s">
        <v>685</v>
      </c>
      <c r="B681">
        <v>1</v>
      </c>
      <c r="C681">
        <v>0.93215676040103501</v>
      </c>
      <c r="D681">
        <v>1.04552967530067</v>
      </c>
      <c r="E681">
        <v>1.0931689175963999</v>
      </c>
      <c r="F681">
        <v>1.2582370979317501</v>
      </c>
      <c r="G681">
        <v>1.3898131837063099</v>
      </c>
      <c r="H681">
        <v>1.36034449011548</v>
      </c>
      <c r="I681">
        <v>2.0404079946064702</v>
      </c>
      <c r="J681">
        <v>1.5922881190056799</v>
      </c>
      <c r="K681">
        <v>1.7864987712316001</v>
      </c>
      <c r="L681">
        <v>1458.7791905838401</v>
      </c>
      <c r="M681">
        <v>27.551053596444198</v>
      </c>
      <c r="O681">
        <v>52.671645578047801</v>
      </c>
      <c r="P681">
        <v>6.5384601815308793E-2</v>
      </c>
      <c r="Q681">
        <v>1.5</v>
      </c>
      <c r="R681">
        <v>0.65378935434130203</v>
      </c>
      <c r="S681" t="s">
        <v>2683</v>
      </c>
      <c r="T681" t="s">
        <v>4002</v>
      </c>
      <c r="U681" t="s">
        <v>4002</v>
      </c>
      <c r="V681" t="s">
        <v>4002</v>
      </c>
      <c r="W681" t="s">
        <v>4674</v>
      </c>
      <c r="X681">
        <v>2</v>
      </c>
      <c r="Y681" t="s">
        <v>6648</v>
      </c>
      <c r="Z681" t="s">
        <v>8579</v>
      </c>
      <c r="AA681">
        <v>1.2803723827325399</v>
      </c>
      <c r="AB681" t="str">
        <f>HYPERLINK("Melting_Curves/meltCurve_J3QLP3_VWA1.pdf", "Melting_Curves/meltCurve_J3QLP3_VWA1.pdf")</f>
        <v>Melting_Curves/meltCurve_J3QLP3_VWA1.pdf</v>
      </c>
    </row>
    <row r="682" spans="1:28" x14ac:dyDescent="0.25">
      <c r="A682" t="s">
        <v>686</v>
      </c>
      <c r="B682">
        <v>1</v>
      </c>
      <c r="C682">
        <v>0.95042364333266105</v>
      </c>
      <c r="D682">
        <v>0.99024947885145598</v>
      </c>
      <c r="E682">
        <v>1.0830979759263</v>
      </c>
      <c r="F682">
        <v>0.91777620872839805</v>
      </c>
      <c r="G682">
        <v>0.93366283370318104</v>
      </c>
      <c r="H682">
        <v>0.65425996906731199</v>
      </c>
      <c r="I682">
        <v>1.0511229910564199</v>
      </c>
      <c r="J682">
        <v>0.76877815883262701</v>
      </c>
      <c r="K682">
        <v>0.87050299240131801</v>
      </c>
      <c r="L682">
        <v>1920.7844723047599</v>
      </c>
      <c r="M682">
        <v>35.092648819855903</v>
      </c>
      <c r="O682">
        <v>54.557842521338898</v>
      </c>
      <c r="P682">
        <v>-2.48586543365268E-2</v>
      </c>
      <c r="Q682">
        <v>0.84541152307023804</v>
      </c>
      <c r="R682">
        <v>0.32763366694110402</v>
      </c>
      <c r="S682" t="s">
        <v>2684</v>
      </c>
      <c r="T682" t="s">
        <v>4002</v>
      </c>
      <c r="U682" t="s">
        <v>4002</v>
      </c>
      <c r="V682" t="s">
        <v>4002</v>
      </c>
      <c r="W682" t="s">
        <v>4675</v>
      </c>
      <c r="X682">
        <v>1</v>
      </c>
      <c r="Y682" t="s">
        <v>6649</v>
      </c>
      <c r="Z682" t="s">
        <v>8580</v>
      </c>
      <c r="AA682">
        <v>0.92209392242565735</v>
      </c>
      <c r="AB682" t="str">
        <f>HYPERLINK("Melting_Curves/meltCurve_J3QLT3_RALBP1.pdf", "Melting_Curves/meltCurve_J3QLT3_RALBP1.pdf")</f>
        <v>Melting_Curves/meltCurve_J3QLT3_RALBP1.pdf</v>
      </c>
    </row>
    <row r="683" spans="1:28" x14ac:dyDescent="0.25">
      <c r="A683" t="s">
        <v>687</v>
      </c>
      <c r="B683">
        <v>1</v>
      </c>
      <c r="C683">
        <v>0.94348976979322596</v>
      </c>
      <c r="D683">
        <v>0.93396472043220702</v>
      </c>
      <c r="E683">
        <v>1.12619063117013</v>
      </c>
      <c r="F683">
        <v>1.2025646032675901</v>
      </c>
      <c r="G683">
        <v>1.6165462474777099</v>
      </c>
      <c r="H683">
        <v>1.04392588253162</v>
      </c>
      <c r="I683">
        <v>2.0239102605827899</v>
      </c>
      <c r="J683">
        <v>1.3453318579270499</v>
      </c>
      <c r="K683">
        <v>1.7337108637635901</v>
      </c>
      <c r="L683">
        <v>1908.6394210538499</v>
      </c>
      <c r="M683">
        <v>36.073026420298</v>
      </c>
      <c r="O683">
        <v>52.7486180545379</v>
      </c>
      <c r="P683">
        <v>8.5483613168938405E-2</v>
      </c>
      <c r="Q683">
        <v>1.5</v>
      </c>
      <c r="R683">
        <v>0.53000852370430296</v>
      </c>
      <c r="S683" t="s">
        <v>2685</v>
      </c>
      <c r="T683" t="s">
        <v>4002</v>
      </c>
      <c r="U683" t="s">
        <v>4002</v>
      </c>
      <c r="V683" t="s">
        <v>4002</v>
      </c>
      <c r="W683" t="s">
        <v>4676</v>
      </c>
      <c r="X683">
        <v>1</v>
      </c>
      <c r="Y683" t="s">
        <v>6650</v>
      </c>
      <c r="Z683" t="s">
        <v>8581</v>
      </c>
      <c r="AA683">
        <v>1.2825792003986809</v>
      </c>
      <c r="AB683" t="str">
        <f>HYPERLINK("Melting_Curves/meltCurve_J3QQL9_DUS1L.pdf", "Melting_Curves/meltCurve_J3QQL9_DUS1L.pdf")</f>
        <v>Melting_Curves/meltCurve_J3QQL9_DUS1L.pdf</v>
      </c>
    </row>
    <row r="684" spans="1:28" x14ac:dyDescent="0.25">
      <c r="A684" t="s">
        <v>688</v>
      </c>
      <c r="B684">
        <v>1</v>
      </c>
      <c r="C684">
        <v>1.0294098252555199</v>
      </c>
      <c r="D684">
        <v>1.21859545004946</v>
      </c>
      <c r="E684">
        <v>1.2163534454335601</v>
      </c>
      <c r="F684">
        <v>1.1378173425651199</v>
      </c>
      <c r="G684">
        <v>1.3839103198153599</v>
      </c>
      <c r="H684">
        <v>1.85816023738872</v>
      </c>
      <c r="I684">
        <v>1.5656445763270701</v>
      </c>
      <c r="J684">
        <v>2.0753709198813102</v>
      </c>
      <c r="K684">
        <v>1.40916584240026</v>
      </c>
      <c r="L684">
        <v>1240.67100105079</v>
      </c>
      <c r="M684">
        <v>23.6563634392176</v>
      </c>
      <c r="O684">
        <v>52.0750991209243</v>
      </c>
      <c r="P684">
        <v>5.6785207495116903E-2</v>
      </c>
      <c r="Q684">
        <v>1.5</v>
      </c>
      <c r="R684">
        <v>0.500368481008167</v>
      </c>
      <c r="S684" t="s">
        <v>2686</v>
      </c>
      <c r="T684" t="s">
        <v>4002</v>
      </c>
      <c r="U684" t="s">
        <v>4002</v>
      </c>
      <c r="V684" t="s">
        <v>4002</v>
      </c>
      <c r="W684" t="s">
        <v>4677</v>
      </c>
      <c r="X684">
        <v>1</v>
      </c>
      <c r="Y684" t="s">
        <v>6651</v>
      </c>
      <c r="Z684" t="s">
        <v>8582</v>
      </c>
      <c r="AA684">
        <v>1.2874863710665481</v>
      </c>
      <c r="AB684" t="str">
        <f>HYPERLINK("Melting_Curves/meltCurve_J3QQT6_USP14.pdf", "Melting_Curves/meltCurve_J3QQT6_USP14.pdf")</f>
        <v>Melting_Curves/meltCurve_J3QQT6_USP14.pdf</v>
      </c>
    </row>
    <row r="685" spans="1:28" x14ac:dyDescent="0.25">
      <c r="A685" t="s">
        <v>689</v>
      </c>
      <c r="B685">
        <v>1</v>
      </c>
      <c r="C685">
        <v>0.75317681515423496</v>
      </c>
      <c r="D685">
        <v>0.87845434361566399</v>
      </c>
      <c r="E685">
        <v>0.98332467287070702</v>
      </c>
      <c r="F685">
        <v>0.77497756152865005</v>
      </c>
      <c r="G685">
        <v>0.87162832443667604</v>
      </c>
      <c r="H685">
        <v>0.96369691530067503</v>
      </c>
      <c r="I685">
        <v>1.3533232557040999</v>
      </c>
      <c r="J685">
        <v>1.41005715905333</v>
      </c>
      <c r="K685">
        <v>1.29651849402428</v>
      </c>
      <c r="L685">
        <v>15000</v>
      </c>
      <c r="M685">
        <v>238.833444718409</v>
      </c>
      <c r="O685">
        <v>62.800870630384203</v>
      </c>
      <c r="P685">
        <v>0.33716885810533997</v>
      </c>
      <c r="Q685">
        <v>1.35463203768475</v>
      </c>
      <c r="R685">
        <v>0.70825685112353798</v>
      </c>
      <c r="S685" t="s">
        <v>2687</v>
      </c>
      <c r="T685" t="s">
        <v>4002</v>
      </c>
      <c r="U685" t="s">
        <v>4002</v>
      </c>
      <c r="V685" t="s">
        <v>4002</v>
      </c>
      <c r="W685" t="s">
        <v>4678</v>
      </c>
      <c r="X685">
        <v>1</v>
      </c>
      <c r="Y685" t="s">
        <v>6652</v>
      </c>
      <c r="Z685" t="s">
        <v>8583</v>
      </c>
      <c r="AA685">
        <v>1.0850065117365899</v>
      </c>
      <c r="AB685" t="str">
        <f>HYPERLINK("Melting_Curves/meltCurve_J3QR51_RAB31.pdf", "Melting_Curves/meltCurve_J3QR51_RAB31.pdf")</f>
        <v>Melting_Curves/meltCurve_J3QR51_RAB31.pdf</v>
      </c>
    </row>
    <row r="686" spans="1:28" x14ac:dyDescent="0.25">
      <c r="A686" t="s">
        <v>690</v>
      </c>
      <c r="B686">
        <v>1</v>
      </c>
      <c r="C686">
        <v>0.93971360956239203</v>
      </c>
      <c r="D686">
        <v>0.98708435281376605</v>
      </c>
      <c r="E686">
        <v>0.90898880911315205</v>
      </c>
      <c r="F686">
        <v>0.79960691508563597</v>
      </c>
      <c r="G686">
        <v>0.81023625205567396</v>
      </c>
      <c r="H686">
        <v>0.72933295896674799</v>
      </c>
      <c r="I686">
        <v>0.80145200754081303</v>
      </c>
      <c r="J686">
        <v>0.93473988207452596</v>
      </c>
      <c r="K686">
        <v>0.61180859171312796</v>
      </c>
      <c r="S686" t="s">
        <v>2688</v>
      </c>
      <c r="T686" t="s">
        <v>4002</v>
      </c>
      <c r="U686" t="s">
        <v>4003</v>
      </c>
      <c r="V686" t="s">
        <v>4002</v>
      </c>
      <c r="W686" t="s">
        <v>4679</v>
      </c>
      <c r="X686">
        <v>4</v>
      </c>
      <c r="Y686" t="s">
        <v>6653</v>
      </c>
      <c r="Z686" t="s">
        <v>8584</v>
      </c>
      <c r="AB686" t="str">
        <f>HYPERLINK("Melting_Curves/meltCurve_J3QRS3_MYL12A.pdf", "Melting_Curves/meltCurve_J3QRS3_MYL12A.pdf")</f>
        <v>Melting_Curves/meltCurve_J3QRS3_MYL12A.pdf</v>
      </c>
    </row>
    <row r="687" spans="1:28" x14ac:dyDescent="0.25">
      <c r="A687" t="s">
        <v>691</v>
      </c>
      <c r="B687">
        <v>1</v>
      </c>
      <c r="C687">
        <v>1.03775539441493</v>
      </c>
      <c r="D687">
        <v>1.0631019814418901</v>
      </c>
      <c r="E687">
        <v>1.1968437989023799</v>
      </c>
      <c r="F687">
        <v>0.919574177337947</v>
      </c>
      <c r="G687">
        <v>1.1017169557647</v>
      </c>
      <c r="H687">
        <v>1.03678561195477</v>
      </c>
      <c r="I687">
        <v>0.99228582133962195</v>
      </c>
      <c r="J687">
        <v>1.3552269070551699</v>
      </c>
      <c r="K687">
        <v>1.0564677877939701</v>
      </c>
      <c r="L687">
        <v>192.91027805717101</v>
      </c>
      <c r="M687">
        <v>1.73935193840892</v>
      </c>
      <c r="O687">
        <v>60.219180048960702</v>
      </c>
      <c r="P687">
        <v>4.0577248038629202E-3</v>
      </c>
      <c r="Q687">
        <v>1.5</v>
      </c>
      <c r="R687">
        <v>9.6340476629314706E-2</v>
      </c>
      <c r="S687" t="s">
        <v>2689</v>
      </c>
      <c r="T687" t="s">
        <v>4002</v>
      </c>
      <c r="U687" t="s">
        <v>4002</v>
      </c>
      <c r="V687" t="s">
        <v>4002</v>
      </c>
      <c r="W687" t="s">
        <v>4680</v>
      </c>
      <c r="X687">
        <v>1</v>
      </c>
      <c r="Y687" t="s">
        <v>6654</v>
      </c>
      <c r="Z687" t="s">
        <v>8585</v>
      </c>
      <c r="AA687">
        <v>1.074317335112323</v>
      </c>
      <c r="AB687" t="str">
        <f>HYPERLINK("Melting_Curves/meltCurve_J3QS28_NAPG.pdf", "Melting_Curves/meltCurve_J3QS28_NAPG.pdf")</f>
        <v>Melting_Curves/meltCurve_J3QS28_NAPG.pdf</v>
      </c>
    </row>
    <row r="688" spans="1:28" x14ac:dyDescent="0.25">
      <c r="A688" t="s">
        <v>692</v>
      </c>
      <c r="B688">
        <v>1</v>
      </c>
      <c r="C688">
        <v>0.93989314336598395</v>
      </c>
      <c r="D688">
        <v>1.0402938557435399</v>
      </c>
      <c r="E688">
        <v>1.1173196794300999</v>
      </c>
      <c r="F688">
        <v>1.27842089640843</v>
      </c>
      <c r="G688">
        <v>1.1454437518551499</v>
      </c>
      <c r="H688">
        <v>1.1515286435144001</v>
      </c>
      <c r="I688">
        <v>1.2322647669931699</v>
      </c>
      <c r="J688">
        <v>1.42779756604334</v>
      </c>
      <c r="K688">
        <v>1.0992134164440499</v>
      </c>
      <c r="L688">
        <v>12494.512336322699</v>
      </c>
      <c r="M688">
        <v>250</v>
      </c>
      <c r="O688">
        <v>49.974860235495598</v>
      </c>
      <c r="P688">
        <v>0.27819598432874798</v>
      </c>
      <c r="Q688">
        <v>1.22244484606903</v>
      </c>
      <c r="R688">
        <v>0.57887493426041303</v>
      </c>
      <c r="S688" t="s">
        <v>2690</v>
      </c>
      <c r="T688" t="s">
        <v>4002</v>
      </c>
      <c r="U688" t="s">
        <v>4002</v>
      </c>
      <c r="V688" t="s">
        <v>4002</v>
      </c>
      <c r="W688" t="s">
        <v>4681</v>
      </c>
      <c r="X688">
        <v>5</v>
      </c>
      <c r="Y688" t="s">
        <v>6655</v>
      </c>
      <c r="Z688" t="s">
        <v>8586</v>
      </c>
      <c r="AA688">
        <v>1.1484398135867331</v>
      </c>
      <c r="AB688" t="str">
        <f>HYPERLINK("Melting_Curves/meltCurve_J3QS39_UBB.pdf", "Melting_Curves/meltCurve_J3QS39_UBB.pdf")</f>
        <v>Melting_Curves/meltCurve_J3QS39_UBB.pdf</v>
      </c>
    </row>
    <row r="689" spans="1:28" x14ac:dyDescent="0.25">
      <c r="A689" t="s">
        <v>693</v>
      </c>
      <c r="B689">
        <v>1</v>
      </c>
      <c r="C689">
        <v>0.927565949203074</v>
      </c>
      <c r="D689">
        <v>1.0541305523756801</v>
      </c>
      <c r="E689">
        <v>1.1086510761953901</v>
      </c>
      <c r="F689">
        <v>1.0349464732743801</v>
      </c>
      <c r="G689">
        <v>1.0831897148176599</v>
      </c>
      <c r="H689">
        <v>0.84928232674575099</v>
      </c>
      <c r="I689">
        <v>1.3215000062898601</v>
      </c>
      <c r="J689">
        <v>0.99352144213955995</v>
      </c>
      <c r="K689">
        <v>1.0324808473702101</v>
      </c>
      <c r="L689">
        <v>11401.6403812224</v>
      </c>
      <c r="M689">
        <v>250</v>
      </c>
      <c r="O689">
        <v>45.603646322110301</v>
      </c>
      <c r="P689">
        <v>8.2929617833436803E-2</v>
      </c>
      <c r="Q689">
        <v>1.0605102829167701</v>
      </c>
      <c r="R689">
        <v>8.7390572955567597E-2</v>
      </c>
      <c r="S689" t="s">
        <v>2691</v>
      </c>
      <c r="T689" t="s">
        <v>4002</v>
      </c>
      <c r="U689" t="s">
        <v>4002</v>
      </c>
      <c r="V689" t="s">
        <v>4002</v>
      </c>
      <c r="W689" t="s">
        <v>4681</v>
      </c>
      <c r="X689">
        <v>5</v>
      </c>
      <c r="Y689" t="s">
        <v>6655</v>
      </c>
      <c r="Z689" t="s">
        <v>8587</v>
      </c>
      <c r="AA689">
        <v>1.0491969522772819</v>
      </c>
      <c r="AB689" t="str">
        <f>HYPERLINK("Melting_Curves/meltCurve_J3QSA3_UBB.pdf", "Melting_Curves/meltCurve_J3QSA3_UBB.pdf")</f>
        <v>Melting_Curves/meltCurve_J3QSA3_UBB.pdf</v>
      </c>
    </row>
    <row r="690" spans="1:28" x14ac:dyDescent="0.25">
      <c r="A690" t="s">
        <v>694</v>
      </c>
      <c r="B690">
        <v>1</v>
      </c>
      <c r="C690">
        <v>1.03127333056823</v>
      </c>
      <c r="D690">
        <v>1.1271671505599301</v>
      </c>
      <c r="E690">
        <v>1.2048942347573599</v>
      </c>
      <c r="F690">
        <v>1.2589796764827901</v>
      </c>
      <c r="G690">
        <v>1.5221070095396101</v>
      </c>
      <c r="H690">
        <v>1.3343840729987599</v>
      </c>
      <c r="I690">
        <v>1.90618000829531</v>
      </c>
      <c r="J690">
        <v>1.4812111157196199</v>
      </c>
      <c r="K690">
        <v>1.5116549149730401</v>
      </c>
      <c r="L690">
        <v>979.59240307923301</v>
      </c>
      <c r="M690">
        <v>19.233519773564801</v>
      </c>
      <c r="O690">
        <v>50.390528685829402</v>
      </c>
      <c r="P690">
        <v>4.7712963137863801E-2</v>
      </c>
      <c r="Q690">
        <v>1.5</v>
      </c>
      <c r="R690">
        <v>0.68920429958158202</v>
      </c>
      <c r="S690" t="s">
        <v>2692</v>
      </c>
      <c r="T690" t="s">
        <v>4002</v>
      </c>
      <c r="U690" t="s">
        <v>4002</v>
      </c>
      <c r="V690" t="s">
        <v>4002</v>
      </c>
      <c r="W690" t="s">
        <v>4682</v>
      </c>
      <c r="X690">
        <v>3</v>
      </c>
      <c r="Y690" t="s">
        <v>6656</v>
      </c>
      <c r="Z690" t="s">
        <v>8588</v>
      </c>
      <c r="AA690">
        <v>1.310340996492503</v>
      </c>
      <c r="AB690" t="str">
        <f>HYPERLINK("Melting_Curves/meltCurve_J3QSB7_MTAP.pdf", "Melting_Curves/meltCurve_J3QSB7_MTAP.pdf")</f>
        <v>Melting_Curves/meltCurve_J3QSB7_MTAP.pdf</v>
      </c>
    </row>
    <row r="691" spans="1:28" x14ac:dyDescent="0.25">
      <c r="A691" t="s">
        <v>695</v>
      </c>
      <c r="B691">
        <v>1</v>
      </c>
      <c r="C691">
        <v>0.99333480051560996</v>
      </c>
      <c r="D691">
        <v>0.98729839343540704</v>
      </c>
      <c r="E691">
        <v>0.98234665325242898</v>
      </c>
      <c r="F691">
        <v>0.90676580626906</v>
      </c>
      <c r="G691">
        <v>0.94886345772943104</v>
      </c>
      <c r="H691">
        <v>0.82714496808878601</v>
      </c>
      <c r="I691">
        <v>1.0352280944446199</v>
      </c>
      <c r="J691">
        <v>1.0119784952997799</v>
      </c>
      <c r="K691">
        <v>1.0521426101172699</v>
      </c>
      <c r="L691">
        <v>3257.8894178473702</v>
      </c>
      <c r="M691">
        <v>47.167043097279802</v>
      </c>
      <c r="O691">
        <v>68.9474978937304</v>
      </c>
      <c r="P691">
        <v>1.3630615336149799E-2</v>
      </c>
      <c r="Q691">
        <v>1.0796993552943299</v>
      </c>
      <c r="R691">
        <v>-9.0845569383637206E-2</v>
      </c>
      <c r="S691" t="s">
        <v>2693</v>
      </c>
      <c r="T691" t="s">
        <v>4002</v>
      </c>
      <c r="U691" t="s">
        <v>4002</v>
      </c>
      <c r="V691" t="s">
        <v>4002</v>
      </c>
      <c r="W691" t="s">
        <v>4683</v>
      </c>
      <c r="X691">
        <v>1</v>
      </c>
      <c r="Y691" t="s">
        <v>6657</v>
      </c>
      <c r="Z691" t="s">
        <v>8589</v>
      </c>
      <c r="AA691">
        <v>1.00399398448681</v>
      </c>
      <c r="AB691" t="str">
        <f>HYPERLINK("Melting_Curves/meltCurve_J3QSX6_ABLIM1.pdf", "Melting_Curves/meltCurve_J3QSX6_ABLIM1.pdf")</f>
        <v>Melting_Curves/meltCurve_J3QSX6_ABLIM1.pdf</v>
      </c>
    </row>
    <row r="692" spans="1:28" x14ac:dyDescent="0.25">
      <c r="A692" t="s">
        <v>696</v>
      </c>
      <c r="B692">
        <v>1</v>
      </c>
      <c r="C692">
        <v>0.99274652029013899</v>
      </c>
      <c r="D692">
        <v>0.98017055479317805</v>
      </c>
      <c r="E692">
        <v>1.0051950597921999</v>
      </c>
      <c r="F692">
        <v>0.94405018623799297</v>
      </c>
      <c r="G692">
        <v>0.919809841207606</v>
      </c>
      <c r="H692">
        <v>0.90882179964712795</v>
      </c>
      <c r="I692">
        <v>0.99402078023916896</v>
      </c>
      <c r="J692">
        <v>1.86639874534405</v>
      </c>
      <c r="K692">
        <v>0.87756322289747102</v>
      </c>
      <c r="L692">
        <v>15000</v>
      </c>
      <c r="M692">
        <v>230.852410388762</v>
      </c>
      <c r="O692">
        <v>64.971717519314794</v>
      </c>
      <c r="P692">
        <v>0.33016024690637003</v>
      </c>
      <c r="Q692">
        <v>1.37168463610155</v>
      </c>
      <c r="R692">
        <v>0.331868783067095</v>
      </c>
      <c r="S692" t="s">
        <v>2694</v>
      </c>
      <c r="T692" t="s">
        <v>4002</v>
      </c>
      <c r="U692" t="s">
        <v>4002</v>
      </c>
      <c r="V692" t="s">
        <v>4002</v>
      </c>
      <c r="W692" t="s">
        <v>4684</v>
      </c>
      <c r="X692">
        <v>5</v>
      </c>
      <c r="Y692" t="s">
        <v>6658</v>
      </c>
      <c r="Z692" t="s">
        <v>8590</v>
      </c>
      <c r="AA692">
        <v>1.0621878987054161</v>
      </c>
      <c r="AB692" t="str">
        <f>HYPERLINK("Melting_Curves/meltCurve_J9JID7_LMNB2.pdf", "Melting_Curves/meltCurve_J9JID7_LMNB2.pdf")</f>
        <v>Melting_Curves/meltCurve_J9JID7_LMNB2.pdf</v>
      </c>
    </row>
    <row r="693" spans="1:28" x14ac:dyDescent="0.25">
      <c r="A693" t="s">
        <v>697</v>
      </c>
      <c r="B693">
        <v>1</v>
      </c>
      <c r="C693">
        <v>0.89468078811904606</v>
      </c>
      <c r="D693">
        <v>0.95988403053073801</v>
      </c>
      <c r="E693">
        <v>0.96473581444884904</v>
      </c>
      <c r="F693">
        <v>0.85107390095260604</v>
      </c>
      <c r="G693">
        <v>0.86486006745163002</v>
      </c>
      <c r="H693">
        <v>0.82693331755517396</v>
      </c>
      <c r="I693">
        <v>0.87911957872315205</v>
      </c>
      <c r="J693">
        <v>0.81539553872551895</v>
      </c>
      <c r="K693">
        <v>0.822199869830188</v>
      </c>
      <c r="L693">
        <v>310.11064815361402</v>
      </c>
      <c r="M693">
        <v>5.7851781992794704</v>
      </c>
      <c r="O693">
        <v>48.238370304784397</v>
      </c>
      <c r="P693">
        <v>-6.7447157603668598E-3</v>
      </c>
      <c r="Q693">
        <v>0.77586923023967602</v>
      </c>
      <c r="R693">
        <v>0.69028231134496398</v>
      </c>
      <c r="S693" t="s">
        <v>2695</v>
      </c>
      <c r="T693" t="s">
        <v>4002</v>
      </c>
      <c r="U693" t="s">
        <v>4002</v>
      </c>
      <c r="V693" t="s">
        <v>4002</v>
      </c>
      <c r="W693" t="s">
        <v>4685</v>
      </c>
      <c r="X693">
        <v>20</v>
      </c>
      <c r="Y693" t="s">
        <v>6659</v>
      </c>
      <c r="Z693" t="s">
        <v>8591</v>
      </c>
      <c r="AA693">
        <v>0.88685227871000072</v>
      </c>
      <c r="AB693" t="str">
        <f>HYPERLINK("Melting_Curves/meltCurve_K4DI84_PRAM1.pdf", "Melting_Curves/meltCurve_K4DI84_PRAM1.pdf")</f>
        <v>Melting_Curves/meltCurve_K4DI84_PRAM1.pdf</v>
      </c>
    </row>
    <row r="694" spans="1:28" x14ac:dyDescent="0.25">
      <c r="A694" t="s">
        <v>698</v>
      </c>
      <c r="B694">
        <v>1</v>
      </c>
      <c r="C694">
        <v>1.02129970270013</v>
      </c>
      <c r="D694">
        <v>0.97723416097633797</v>
      </c>
      <c r="E694">
        <v>1.0486268547303299</v>
      </c>
      <c r="F694">
        <v>1.1420658946825399</v>
      </c>
      <c r="G694">
        <v>1.40260374950789</v>
      </c>
      <c r="H694">
        <v>1.7061482698233801</v>
      </c>
      <c r="I694">
        <v>2.3641448216879599</v>
      </c>
      <c r="J694">
        <v>2.3921100145256098</v>
      </c>
      <c r="K694">
        <v>2.28907321178882</v>
      </c>
      <c r="L694">
        <v>2447.8634095186599</v>
      </c>
      <c r="M694">
        <v>45.2032643957033</v>
      </c>
      <c r="O694">
        <v>54.046696015496401</v>
      </c>
      <c r="P694">
        <v>0.104546913242184</v>
      </c>
      <c r="Q694">
        <v>1.5</v>
      </c>
      <c r="R694">
        <v>0.326710971832048</v>
      </c>
      <c r="S694" t="s">
        <v>2696</v>
      </c>
      <c r="T694" t="s">
        <v>4002</v>
      </c>
      <c r="U694" t="s">
        <v>4002</v>
      </c>
      <c r="V694" t="s">
        <v>4002</v>
      </c>
      <c r="W694" t="s">
        <v>4686</v>
      </c>
      <c r="X694">
        <v>2</v>
      </c>
      <c r="Y694" t="s">
        <v>6660</v>
      </c>
      <c r="Z694" t="s">
        <v>8592</v>
      </c>
      <c r="AA694">
        <v>1.262665507245843</v>
      </c>
      <c r="AB694" t="str">
        <f>HYPERLINK("Melting_Curves/meltCurve_K7EII6_EML2.pdf", "Melting_Curves/meltCurve_K7EII6_EML2.pdf")</f>
        <v>Melting_Curves/meltCurve_K7EII6_EML2.pdf</v>
      </c>
    </row>
    <row r="695" spans="1:28" x14ac:dyDescent="0.25">
      <c r="A695" t="s">
        <v>699</v>
      </c>
      <c r="B695">
        <v>1</v>
      </c>
      <c r="C695">
        <v>0.99880722114764697</v>
      </c>
      <c r="D695">
        <v>1.14787234042553</v>
      </c>
      <c r="E695">
        <v>1.1931656995486799</v>
      </c>
      <c r="F695">
        <v>1.3102192134107</v>
      </c>
      <c r="G695">
        <v>1.30973565441651</v>
      </c>
      <c r="H695">
        <v>1.4928755641521601</v>
      </c>
      <c r="I695">
        <v>1.4316569954867799</v>
      </c>
      <c r="J695">
        <v>1.3744358478401</v>
      </c>
      <c r="K695">
        <v>1.35921985815603</v>
      </c>
      <c r="L695">
        <v>754.92803819586504</v>
      </c>
      <c r="M695">
        <v>15.238473319858199</v>
      </c>
      <c r="O695">
        <v>48.711265037110302</v>
      </c>
      <c r="P695">
        <v>3.2316772448729499E-2</v>
      </c>
      <c r="Q695">
        <v>1.4131755946645199</v>
      </c>
      <c r="R695">
        <v>0.91480741547668498</v>
      </c>
      <c r="S695" t="s">
        <v>2697</v>
      </c>
      <c r="T695" t="s">
        <v>4002</v>
      </c>
      <c r="U695" t="s">
        <v>4002</v>
      </c>
      <c r="V695" t="s">
        <v>4002</v>
      </c>
      <c r="W695" t="s">
        <v>4687</v>
      </c>
      <c r="X695">
        <v>1</v>
      </c>
      <c r="Y695" t="s">
        <v>6661</v>
      </c>
      <c r="Z695" t="s">
        <v>8593</v>
      </c>
      <c r="AA695">
        <v>1.272054150150578</v>
      </c>
      <c r="AB695" t="str">
        <f>HYPERLINK("Melting_Curves/meltCurve_K7EIN1_WBP2.pdf", "Melting_Curves/meltCurve_K7EIN1_WBP2.pdf")</f>
        <v>Melting_Curves/meltCurve_K7EIN1_WBP2.pdf</v>
      </c>
    </row>
    <row r="696" spans="1:28" x14ac:dyDescent="0.25">
      <c r="A696" t="s">
        <v>700</v>
      </c>
      <c r="B696">
        <v>1</v>
      </c>
      <c r="C696">
        <v>1.0894014193150301</v>
      </c>
      <c r="D696">
        <v>1.24753162604135</v>
      </c>
      <c r="E696">
        <v>1.2262419006479499</v>
      </c>
      <c r="F696">
        <v>1.5265350200555401</v>
      </c>
      <c r="G696">
        <v>1.7626504165381101</v>
      </c>
      <c r="H696">
        <v>0.77908053070040095</v>
      </c>
      <c r="I696">
        <v>2.3409827213822898</v>
      </c>
      <c r="J696">
        <v>0.71328293736501103</v>
      </c>
      <c r="K696">
        <v>1.5628278309163799</v>
      </c>
      <c r="L696">
        <v>954.64586359703799</v>
      </c>
      <c r="M696">
        <v>20.7466990679021</v>
      </c>
      <c r="O696">
        <v>45.5932381510599</v>
      </c>
      <c r="P696">
        <v>4.9546021016151798E-2</v>
      </c>
      <c r="Q696">
        <v>1.4355198843425201</v>
      </c>
      <c r="R696">
        <v>0.109044804913768</v>
      </c>
      <c r="S696" t="s">
        <v>2698</v>
      </c>
      <c r="T696" t="s">
        <v>4002</v>
      </c>
      <c r="U696" t="s">
        <v>4002</v>
      </c>
      <c r="V696" t="s">
        <v>4002</v>
      </c>
      <c r="W696" t="s">
        <v>4688</v>
      </c>
      <c r="X696">
        <v>1</v>
      </c>
      <c r="Y696" t="s">
        <v>6662</v>
      </c>
      <c r="Z696" t="s">
        <v>8594</v>
      </c>
      <c r="AA696">
        <v>1.3420242769210109</v>
      </c>
      <c r="AB696" t="str">
        <f>HYPERLINK("Melting_Curves/meltCurve_K7EJ28_TNFSF13.pdf", "Melting_Curves/meltCurve_K7EJ28_TNFSF13.pdf")</f>
        <v>Melting_Curves/meltCurve_K7EJ28_TNFSF13.pdf</v>
      </c>
    </row>
    <row r="697" spans="1:28" x14ac:dyDescent="0.25">
      <c r="A697" t="s">
        <v>701</v>
      </c>
      <c r="B697">
        <v>1</v>
      </c>
      <c r="C697">
        <v>0.81667049632352895</v>
      </c>
      <c r="D697">
        <v>1.0891314338235301</v>
      </c>
      <c r="E697">
        <v>1.0444048713235301</v>
      </c>
      <c r="F697">
        <v>1.0404526654411801</v>
      </c>
      <c r="G697">
        <v>1.2076056985294099</v>
      </c>
      <c r="H697">
        <v>1.06130514705882</v>
      </c>
      <c r="I697">
        <v>2.1833639705882399</v>
      </c>
      <c r="J697">
        <v>1.18635110294118</v>
      </c>
      <c r="K697">
        <v>1.4162454044117601</v>
      </c>
      <c r="L697">
        <v>15000</v>
      </c>
      <c r="M697">
        <v>243.94189187885499</v>
      </c>
      <c r="O697">
        <v>61.4859221344649</v>
      </c>
      <c r="P697">
        <v>0.495930387694904</v>
      </c>
      <c r="Q697">
        <v>1.5</v>
      </c>
      <c r="R697">
        <v>0.48461855744355797</v>
      </c>
      <c r="S697" t="s">
        <v>2699</v>
      </c>
      <c r="T697" t="s">
        <v>4002</v>
      </c>
      <c r="U697" t="s">
        <v>4002</v>
      </c>
      <c r="V697" t="s">
        <v>4002</v>
      </c>
      <c r="W697" t="s">
        <v>4689</v>
      </c>
      <c r="X697">
        <v>4</v>
      </c>
      <c r="Y697" t="s">
        <v>6663</v>
      </c>
      <c r="Z697" t="s">
        <v>8595</v>
      </c>
      <c r="AA697">
        <v>1.1417757695582631</v>
      </c>
      <c r="AB697" t="str">
        <f>HYPERLINK("Melting_Curves/meltCurve_K7EK35_STAT5A.pdf", "Melting_Curves/meltCurve_K7EK35_STAT5A.pdf")</f>
        <v>Melting_Curves/meltCurve_K7EK35_STAT5A.pdf</v>
      </c>
    </row>
    <row r="698" spans="1:28" x14ac:dyDescent="0.25">
      <c r="A698" t="s">
        <v>702</v>
      </c>
      <c r="B698">
        <v>1</v>
      </c>
      <c r="C698">
        <v>1.38353051470963</v>
      </c>
      <c r="D698">
        <v>1.5399508829853401</v>
      </c>
      <c r="E698">
        <v>1.79379006042819</v>
      </c>
      <c r="F698">
        <v>1.53556907462322</v>
      </c>
      <c r="G698">
        <v>1.56175802227589</v>
      </c>
      <c r="H698">
        <v>1.5852975044072799</v>
      </c>
      <c r="I698">
        <v>1.7433483130037799</v>
      </c>
      <c r="J698">
        <v>3.2058532807516298</v>
      </c>
      <c r="K698">
        <v>1.6700804010883199</v>
      </c>
      <c r="S698" t="s">
        <v>2700</v>
      </c>
      <c r="T698" t="s">
        <v>4002</v>
      </c>
      <c r="U698" t="s">
        <v>4003</v>
      </c>
      <c r="V698" t="s">
        <v>4002</v>
      </c>
      <c r="W698" t="s">
        <v>4690</v>
      </c>
      <c r="X698">
        <v>1</v>
      </c>
      <c r="Y698" t="s">
        <v>6664</v>
      </c>
      <c r="Z698" t="s">
        <v>8596</v>
      </c>
      <c r="AB698" t="str">
        <f>HYPERLINK("Melting_Curves/meltCurve_K7EK45_PTBP1.pdf", "Melting_Curves/meltCurve_K7EK45_PTBP1.pdf")</f>
        <v>Melting_Curves/meltCurve_K7EK45_PTBP1.pdf</v>
      </c>
    </row>
    <row r="699" spans="1:28" x14ac:dyDescent="0.25">
      <c r="A699" t="s">
        <v>703</v>
      </c>
      <c r="B699">
        <v>1</v>
      </c>
      <c r="C699">
        <v>1.0524367674275099</v>
      </c>
      <c r="D699">
        <v>1.18255587718882</v>
      </c>
      <c r="E699">
        <v>1.4901058226166199</v>
      </c>
      <c r="F699">
        <v>1.4498647558487201</v>
      </c>
      <c r="G699">
        <v>1.59251174488682</v>
      </c>
      <c r="H699">
        <v>1.2521710245337601</v>
      </c>
      <c r="I699">
        <v>1.7831348170644901</v>
      </c>
      <c r="J699">
        <v>2.0845157310302298</v>
      </c>
      <c r="K699">
        <v>1.41062022493238</v>
      </c>
      <c r="L699">
        <v>1743.2755904063399</v>
      </c>
      <c r="M699">
        <v>37.435423265972602</v>
      </c>
      <c r="O699">
        <v>46.435253276275702</v>
      </c>
      <c r="P699">
        <v>0.100773446990214</v>
      </c>
      <c r="Q699">
        <v>1.5</v>
      </c>
      <c r="R699">
        <v>0.49836615649418198</v>
      </c>
      <c r="S699" t="s">
        <v>2701</v>
      </c>
      <c r="T699" t="s">
        <v>4002</v>
      </c>
      <c r="U699" t="s">
        <v>4002</v>
      </c>
      <c r="V699" t="s">
        <v>4002</v>
      </c>
      <c r="W699" t="s">
        <v>4691</v>
      </c>
      <c r="X699">
        <v>1</v>
      </c>
      <c r="Y699" t="s">
        <v>6665</v>
      </c>
      <c r="Z699" t="s">
        <v>8597</v>
      </c>
      <c r="AA699">
        <v>1.3886694992153139</v>
      </c>
      <c r="AB699" t="str">
        <f>HYPERLINK("Melting_Curves/meltCurve_K7EKG2_TXNL1.pdf", "Melting_Curves/meltCurve_K7EKG2_TXNL1.pdf")</f>
        <v>Melting_Curves/meltCurve_K7EKG2_TXNL1.pdf</v>
      </c>
    </row>
    <row r="700" spans="1:28" x14ac:dyDescent="0.25">
      <c r="A700" t="s">
        <v>704</v>
      </c>
      <c r="B700">
        <v>1</v>
      </c>
      <c r="C700">
        <v>0.94562286240463</v>
      </c>
      <c r="D700">
        <v>1.0187450670876099</v>
      </c>
      <c r="E700">
        <v>1.03234346224678</v>
      </c>
      <c r="F700">
        <v>0.99855301236516703</v>
      </c>
      <c r="G700">
        <v>1.0744869771112899</v>
      </c>
      <c r="H700">
        <v>0.95639305445935296</v>
      </c>
      <c r="I700">
        <v>1.1072908445145999</v>
      </c>
      <c r="J700">
        <v>3.85589318600368</v>
      </c>
      <c r="K700">
        <v>1.00651144435675</v>
      </c>
      <c r="L700">
        <v>15000</v>
      </c>
      <c r="M700">
        <v>233.09377661206901</v>
      </c>
      <c r="O700">
        <v>64.347046822025405</v>
      </c>
      <c r="P700">
        <v>0.45280590497307799</v>
      </c>
      <c r="Q700">
        <v>1.5</v>
      </c>
      <c r="R700">
        <v>0.20271592414116699</v>
      </c>
      <c r="S700" t="s">
        <v>2702</v>
      </c>
      <c r="T700" t="s">
        <v>4002</v>
      </c>
      <c r="U700" t="s">
        <v>4002</v>
      </c>
      <c r="V700" t="s">
        <v>4002</v>
      </c>
      <c r="W700" t="s">
        <v>4692</v>
      </c>
      <c r="X700">
        <v>17</v>
      </c>
      <c r="Y700" t="s">
        <v>6666</v>
      </c>
      <c r="Z700" t="s">
        <v>8598</v>
      </c>
      <c r="AA700">
        <v>1.0940720007722939</v>
      </c>
      <c r="AB700" t="str">
        <f>HYPERLINK("Melting_Curves/meltCurve_K7EKI0_EVPL.pdf", "Melting_Curves/meltCurve_K7EKI0_EVPL.pdf")</f>
        <v>Melting_Curves/meltCurve_K7EKI0_EVPL.pdf</v>
      </c>
    </row>
    <row r="701" spans="1:28" x14ac:dyDescent="0.25">
      <c r="A701" t="s">
        <v>705</v>
      </c>
      <c r="B701">
        <v>1</v>
      </c>
      <c r="C701">
        <v>0.90897123165679306</v>
      </c>
      <c r="D701">
        <v>0.96670151391954195</v>
      </c>
      <c r="E701">
        <v>0.97734928563131596</v>
      </c>
      <c r="F701">
        <v>0.92685948813257402</v>
      </c>
      <c r="G701">
        <v>0.95531807798040802</v>
      </c>
      <c r="H701">
        <v>0.78468269640298904</v>
      </c>
      <c r="I701">
        <v>1.03744143725559</v>
      </c>
      <c r="J701">
        <v>1.5937971889882701</v>
      </c>
      <c r="K701">
        <v>0.86033995431138</v>
      </c>
      <c r="L701">
        <v>15000</v>
      </c>
      <c r="M701">
        <v>232.76449870460101</v>
      </c>
      <c r="O701">
        <v>64.438060261272</v>
      </c>
      <c r="P701">
        <v>0.205019215998266</v>
      </c>
      <c r="Q701">
        <v>1.2270284440099799</v>
      </c>
      <c r="R701">
        <v>0.23904036604241999</v>
      </c>
      <c r="S701" t="s">
        <v>2703</v>
      </c>
      <c r="T701" t="s">
        <v>4002</v>
      </c>
      <c r="U701" t="s">
        <v>4002</v>
      </c>
      <c r="V701" t="s">
        <v>4002</v>
      </c>
      <c r="W701" t="s">
        <v>4693</v>
      </c>
      <c r="X701">
        <v>42</v>
      </c>
      <c r="Y701" t="s">
        <v>6667</v>
      </c>
      <c r="Z701" t="s">
        <v>8599</v>
      </c>
      <c r="AA701">
        <v>1.0420249998583091</v>
      </c>
      <c r="AB701" t="str">
        <f>HYPERLINK("Melting_Curves/meltCurve_K7EKI8_PPL.pdf", "Melting_Curves/meltCurve_K7EKI8_PPL.pdf")</f>
        <v>Melting_Curves/meltCurve_K7EKI8_PPL.pdf</v>
      </c>
    </row>
    <row r="702" spans="1:28" x14ac:dyDescent="0.25">
      <c r="A702" t="s">
        <v>706</v>
      </c>
      <c r="B702">
        <v>1</v>
      </c>
      <c r="C702">
        <v>1.12570949521048</v>
      </c>
      <c r="D702">
        <v>1.6337973970287101</v>
      </c>
      <c r="E702">
        <v>1.4413919162211599</v>
      </c>
      <c r="F702">
        <v>1.2016959168808301</v>
      </c>
      <c r="G702">
        <v>1.1347250663111701</v>
      </c>
      <c r="H702">
        <v>1.1551337905254</v>
      </c>
      <c r="I702">
        <v>1.7893709715102499</v>
      </c>
      <c r="J702">
        <v>1.1905226557453601</v>
      </c>
      <c r="K702">
        <v>1.38422000192405</v>
      </c>
      <c r="L702">
        <v>10752.857512671801</v>
      </c>
      <c r="M702">
        <v>250</v>
      </c>
      <c r="O702">
        <v>43.008682396448499</v>
      </c>
      <c r="P702">
        <v>0.532388508865553</v>
      </c>
      <c r="Q702">
        <v>1.3663572114512299</v>
      </c>
      <c r="R702">
        <v>0.27338748577668198</v>
      </c>
      <c r="S702" t="s">
        <v>2704</v>
      </c>
      <c r="T702" t="s">
        <v>4002</v>
      </c>
      <c r="U702" t="s">
        <v>4002</v>
      </c>
      <c r="V702" t="s">
        <v>4002</v>
      </c>
      <c r="W702" t="s">
        <v>4694</v>
      </c>
      <c r="X702">
        <v>1</v>
      </c>
      <c r="Y702" t="s">
        <v>6668</v>
      </c>
      <c r="Z702" t="s">
        <v>8600</v>
      </c>
      <c r="AA702">
        <v>1.3295542533267239</v>
      </c>
      <c r="AB702" t="str">
        <f>HYPERLINK("Melting_Curves/meltCurve_K7EKM5_TREM1.pdf", "Melting_Curves/meltCurve_K7EKM5_TREM1.pdf")</f>
        <v>Melting_Curves/meltCurve_K7EKM5_TREM1.pdf</v>
      </c>
    </row>
    <row r="703" spans="1:28" x14ac:dyDescent="0.25">
      <c r="A703" t="s">
        <v>707</v>
      </c>
      <c r="B703">
        <v>1</v>
      </c>
      <c r="C703">
        <v>1.04969937316106</v>
      </c>
      <c r="D703">
        <v>1.1253038249967999</v>
      </c>
      <c r="E703">
        <v>1.3328642701803799</v>
      </c>
      <c r="F703">
        <v>1.27932710758603</v>
      </c>
      <c r="G703">
        <v>1.2309069975694</v>
      </c>
      <c r="H703">
        <v>1.10976077779199</v>
      </c>
      <c r="I703">
        <v>1.47927593706025</v>
      </c>
      <c r="J703">
        <v>1.2694128182167099</v>
      </c>
      <c r="K703">
        <v>1.15683766150697</v>
      </c>
      <c r="L703">
        <v>3735.18236932735</v>
      </c>
      <c r="M703">
        <v>81.101826669413299</v>
      </c>
      <c r="O703">
        <v>46.027485993173997</v>
      </c>
      <c r="P703">
        <v>0.116948004255344</v>
      </c>
      <c r="Q703">
        <v>1.26548462203701</v>
      </c>
      <c r="R703">
        <v>0.51465250557569997</v>
      </c>
      <c r="S703" t="s">
        <v>2705</v>
      </c>
      <c r="T703" t="s">
        <v>4002</v>
      </c>
      <c r="U703" t="s">
        <v>4002</v>
      </c>
      <c r="V703" t="s">
        <v>4002</v>
      </c>
      <c r="W703" t="s">
        <v>4695</v>
      </c>
      <c r="X703">
        <v>1</v>
      </c>
      <c r="Y703" t="s">
        <v>6669</v>
      </c>
      <c r="Z703" t="s">
        <v>8601</v>
      </c>
      <c r="AA703">
        <v>1.211692557285944</v>
      </c>
      <c r="AB703" t="str">
        <f>HYPERLINK("Melting_Curves/meltCurve_K7EKM7_C19orf77.pdf", "Melting_Curves/meltCurve_K7EKM7_C19orf77.pdf")</f>
        <v>Melting_Curves/meltCurve_K7EKM7_C19orf77.pdf</v>
      </c>
    </row>
    <row r="704" spans="1:28" x14ac:dyDescent="0.25">
      <c r="A704" t="s">
        <v>708</v>
      </c>
      <c r="B704">
        <v>1</v>
      </c>
      <c r="C704">
        <v>0.889811146936895</v>
      </c>
      <c r="D704">
        <v>1.0526946107784401</v>
      </c>
      <c r="E704">
        <v>1.0286503915246401</v>
      </c>
      <c r="F704">
        <v>0.88507600184246904</v>
      </c>
      <c r="G704">
        <v>0.997881160755412</v>
      </c>
      <c r="H704">
        <v>0.89671119299861801</v>
      </c>
      <c r="I704">
        <v>1.0244127130354701</v>
      </c>
      <c r="J704">
        <v>0.97761400276370303</v>
      </c>
      <c r="K704">
        <v>0.96158452326117005</v>
      </c>
      <c r="L704">
        <v>144.05755780046201</v>
      </c>
      <c r="M704">
        <v>4.0169705196555201</v>
      </c>
      <c r="Q704">
        <v>0.96322514245758795</v>
      </c>
      <c r="R704">
        <v>3.0612404321881401E-3</v>
      </c>
      <c r="S704" t="s">
        <v>2706</v>
      </c>
      <c r="T704" t="s">
        <v>4002</v>
      </c>
      <c r="U704" t="s">
        <v>4002</v>
      </c>
      <c r="V704" t="s">
        <v>4002</v>
      </c>
      <c r="W704" t="s">
        <v>4696</v>
      </c>
      <c r="X704">
        <v>2</v>
      </c>
      <c r="Y704" t="s">
        <v>6670</v>
      </c>
      <c r="Z704" t="s">
        <v>8602</v>
      </c>
      <c r="AA704">
        <v>0.9712444870611614</v>
      </c>
      <c r="AB704" t="str">
        <f>HYPERLINK("Melting_Curves/meltCurve_K7EKW9_FLOT2.pdf", "Melting_Curves/meltCurve_K7EKW9_FLOT2.pdf")</f>
        <v>Melting_Curves/meltCurve_K7EKW9_FLOT2.pdf</v>
      </c>
    </row>
    <row r="705" spans="1:28" x14ac:dyDescent="0.25">
      <c r="A705" t="s">
        <v>709</v>
      </c>
      <c r="B705">
        <v>1</v>
      </c>
      <c r="C705">
        <v>0.94953870838347398</v>
      </c>
      <c r="D705">
        <v>1.0210188527878099</v>
      </c>
      <c r="E705">
        <v>1.05439229843562</v>
      </c>
      <c r="F705">
        <v>0.983233052547132</v>
      </c>
      <c r="G705">
        <v>0.98892900120336902</v>
      </c>
      <c r="H705">
        <v>0.886963497793823</v>
      </c>
      <c r="I705">
        <v>1.40024067388688</v>
      </c>
      <c r="J705">
        <v>1.3420778178900901</v>
      </c>
      <c r="K705">
        <v>1.2713196951464101</v>
      </c>
      <c r="L705">
        <v>15000</v>
      </c>
      <c r="M705">
        <v>239.84436283554601</v>
      </c>
      <c r="O705">
        <v>62.536222040202503</v>
      </c>
      <c r="P705">
        <v>0.32424964295853498</v>
      </c>
      <c r="Q705">
        <v>1.3381750239410799</v>
      </c>
      <c r="R705">
        <v>0.903851016882667</v>
      </c>
      <c r="S705" t="s">
        <v>2707</v>
      </c>
      <c r="T705" t="s">
        <v>4002</v>
      </c>
      <c r="U705" t="s">
        <v>4002</v>
      </c>
      <c r="V705" t="s">
        <v>4002</v>
      </c>
      <c r="W705" t="s">
        <v>4697</v>
      </c>
      <c r="X705">
        <v>10</v>
      </c>
      <c r="Y705" t="s">
        <v>6671</v>
      </c>
      <c r="Z705" t="s">
        <v>8603</v>
      </c>
      <c r="AA705">
        <v>1.084046251366068</v>
      </c>
      <c r="AB705" t="str">
        <f>HYPERLINK("Melting_Curves/meltCurve_K7ELL7_PRKCSH.pdf", "Melting_Curves/meltCurve_K7ELL7_PRKCSH.pdf")</f>
        <v>Melting_Curves/meltCurve_K7ELL7_PRKCSH.pdf</v>
      </c>
    </row>
    <row r="706" spans="1:28" x14ac:dyDescent="0.25">
      <c r="A706" t="s">
        <v>710</v>
      </c>
      <c r="B706">
        <v>1</v>
      </c>
      <c r="C706">
        <v>0.92321138599675201</v>
      </c>
      <c r="D706">
        <v>1.1639125035819999</v>
      </c>
      <c r="E706">
        <v>1.7206036870761301</v>
      </c>
      <c r="F706">
        <v>2.5032954436909001</v>
      </c>
      <c r="G706">
        <v>2.9723946890820501</v>
      </c>
      <c r="H706">
        <v>2.7000668640748899</v>
      </c>
      <c r="I706">
        <v>2.9508071449040001</v>
      </c>
      <c r="J706">
        <v>5.3783551437577604</v>
      </c>
      <c r="K706">
        <v>3.4645142802559898</v>
      </c>
      <c r="L706">
        <v>11533.029782563201</v>
      </c>
      <c r="M706">
        <v>250</v>
      </c>
      <c r="O706">
        <v>46.129167739686402</v>
      </c>
      <c r="P706">
        <v>0.677445574719171</v>
      </c>
      <c r="Q706">
        <v>1.5</v>
      </c>
      <c r="R706">
        <v>-0.52777558886246601</v>
      </c>
      <c r="S706" t="s">
        <v>2708</v>
      </c>
      <c r="T706" t="s">
        <v>4002</v>
      </c>
      <c r="U706" t="s">
        <v>4002</v>
      </c>
      <c r="V706" t="s">
        <v>4002</v>
      </c>
      <c r="W706" t="s">
        <v>4698</v>
      </c>
      <c r="X706">
        <v>2</v>
      </c>
      <c r="Y706" t="s">
        <v>6672</v>
      </c>
      <c r="Z706" t="s">
        <v>8604</v>
      </c>
      <c r="AA706">
        <v>1.397757533920237</v>
      </c>
      <c r="AB706" t="str">
        <f>HYPERLINK("Melting_Curves/meltCurve_K7ELR1_DNM2.pdf", "Melting_Curves/meltCurve_K7ELR1_DNM2.pdf")</f>
        <v>Melting_Curves/meltCurve_K7ELR1_DNM2.pdf</v>
      </c>
    </row>
    <row r="707" spans="1:28" x14ac:dyDescent="0.25">
      <c r="A707" t="s">
        <v>711</v>
      </c>
      <c r="B707">
        <v>1</v>
      </c>
      <c r="C707">
        <v>1.0800731013943401</v>
      </c>
      <c r="D707">
        <v>1.04269324488967</v>
      </c>
      <c r="E707">
        <v>1.07739948558278</v>
      </c>
      <c r="F707">
        <v>1.1662210640314099</v>
      </c>
      <c r="G707">
        <v>1.2661432245837301</v>
      </c>
      <c r="H707">
        <v>0.829717747394071</v>
      </c>
      <c r="I707">
        <v>1.80993637471233</v>
      </c>
      <c r="J707">
        <v>1.15571273859483</v>
      </c>
      <c r="K707">
        <v>1.39835183430351</v>
      </c>
      <c r="L707">
        <v>454.97002522795799</v>
      </c>
      <c r="M707">
        <v>7.5620454447248298</v>
      </c>
      <c r="O707">
        <v>56.389433447842997</v>
      </c>
      <c r="P707">
        <v>1.67863684206924E-2</v>
      </c>
      <c r="Q707">
        <v>1.5</v>
      </c>
      <c r="R707">
        <v>0.24800878574454199</v>
      </c>
      <c r="S707" t="s">
        <v>2709</v>
      </c>
      <c r="T707" t="s">
        <v>4002</v>
      </c>
      <c r="U707" t="s">
        <v>4002</v>
      </c>
      <c r="V707" t="s">
        <v>4002</v>
      </c>
      <c r="W707" t="s">
        <v>4699</v>
      </c>
      <c r="X707">
        <v>2</v>
      </c>
      <c r="Y707" t="s">
        <v>6673</v>
      </c>
      <c r="Z707" t="s">
        <v>8605</v>
      </c>
      <c r="AA707">
        <v>1.174029067862618</v>
      </c>
      <c r="AB707" t="str">
        <f>HYPERLINK("Melting_Curves/meltCurve_K7ELT5_TBCB.pdf", "Melting_Curves/meltCurve_K7ELT5_TBCB.pdf")</f>
        <v>Melting_Curves/meltCurve_K7ELT5_TBCB.pdf</v>
      </c>
    </row>
    <row r="708" spans="1:28" x14ac:dyDescent="0.25">
      <c r="A708" t="s">
        <v>712</v>
      </c>
      <c r="B708">
        <v>1</v>
      </c>
      <c r="C708">
        <v>0.90489541244056004</v>
      </c>
      <c r="D708">
        <v>0.95041367746900896</v>
      </c>
      <c r="E708">
        <v>1.0778153431736299</v>
      </c>
      <c r="F708">
        <v>0.84667821115417397</v>
      </c>
      <c r="G708">
        <v>0.90134960556334298</v>
      </c>
      <c r="H708">
        <v>1.0424672219015401</v>
      </c>
      <c r="I708">
        <v>0.94876446496797795</v>
      </c>
      <c r="J708">
        <v>1.0687721612929799</v>
      </c>
      <c r="K708">
        <v>0.83727769989829903</v>
      </c>
      <c r="L708">
        <v>10230.883851971301</v>
      </c>
      <c r="M708">
        <v>250</v>
      </c>
      <c r="O708">
        <v>40.920917134538797</v>
      </c>
      <c r="P708">
        <v>-7.1541404414092805E-2</v>
      </c>
      <c r="Q708">
        <v>0.95315936258999301</v>
      </c>
      <c r="R708">
        <v>2.87574231501923E-2</v>
      </c>
      <c r="S708" t="s">
        <v>2710</v>
      </c>
      <c r="T708" t="s">
        <v>4002</v>
      </c>
      <c r="U708" t="s">
        <v>4002</v>
      </c>
      <c r="V708" t="s">
        <v>4002</v>
      </c>
      <c r="W708" t="s">
        <v>4700</v>
      </c>
      <c r="X708">
        <v>1</v>
      </c>
      <c r="Y708" t="s">
        <v>6674</v>
      </c>
      <c r="Z708" t="s">
        <v>8606</v>
      </c>
      <c r="AA708">
        <v>0.95460544606391184</v>
      </c>
      <c r="AB708" t="str">
        <f>HYPERLINK("Melting_Curves/meltCurve_K7ELV6_CIRBP.pdf", "Melting_Curves/meltCurve_K7ELV6_CIRBP.pdf")</f>
        <v>Melting_Curves/meltCurve_K7ELV6_CIRBP.pdf</v>
      </c>
    </row>
    <row r="709" spans="1:28" x14ac:dyDescent="0.25">
      <c r="A709" t="s">
        <v>713</v>
      </c>
      <c r="B709">
        <v>1</v>
      </c>
      <c r="C709">
        <v>0.98559172447764898</v>
      </c>
      <c r="D709">
        <v>1.1391978982800399</v>
      </c>
      <c r="E709">
        <v>1.3322113213743301</v>
      </c>
      <c r="F709">
        <v>1.3052830343582</v>
      </c>
      <c r="G709">
        <v>1.51176060096055</v>
      </c>
      <c r="H709">
        <v>1.5446410245884801</v>
      </c>
      <c r="I709">
        <v>1.6926234555231701</v>
      </c>
      <c r="J709">
        <v>1.68597348220516</v>
      </c>
      <c r="K709">
        <v>1.4979680637083901</v>
      </c>
      <c r="L709">
        <v>991.73366081305801</v>
      </c>
      <c r="M709">
        <v>20.2645876063246</v>
      </c>
      <c r="O709">
        <v>48.470150335211898</v>
      </c>
      <c r="P709">
        <v>5.2262100378052199E-2</v>
      </c>
      <c r="Q709">
        <v>1.5</v>
      </c>
      <c r="R709">
        <v>0.84760028761571904</v>
      </c>
      <c r="S709" t="s">
        <v>2711</v>
      </c>
      <c r="T709" t="s">
        <v>4002</v>
      </c>
      <c r="U709" t="s">
        <v>4002</v>
      </c>
      <c r="V709" t="s">
        <v>4002</v>
      </c>
      <c r="W709" t="s">
        <v>4701</v>
      </c>
      <c r="X709">
        <v>10</v>
      </c>
      <c r="Y709" t="s">
        <v>6675</v>
      </c>
      <c r="Z709" t="s">
        <v>8607</v>
      </c>
      <c r="AA709">
        <v>1.3441899837484981</v>
      </c>
      <c r="AB709" t="str">
        <f>HYPERLINK("Melting_Curves/meltCurve_K7ELW0_PARK7.pdf", "Melting_Curves/meltCurve_K7ELW0_PARK7.pdf")</f>
        <v>Melting_Curves/meltCurve_K7ELW0_PARK7.pdf</v>
      </c>
    </row>
    <row r="710" spans="1:28" x14ac:dyDescent="0.25">
      <c r="A710" t="s">
        <v>714</v>
      </c>
      <c r="B710">
        <v>1</v>
      </c>
      <c r="C710">
        <v>0.89871005570214002</v>
      </c>
      <c r="D710">
        <v>0.94516515195934703</v>
      </c>
      <c r="E710">
        <v>0.89860011726766398</v>
      </c>
      <c r="F710">
        <v>0.93706635395289795</v>
      </c>
      <c r="G710">
        <v>0.81479038405159798</v>
      </c>
      <c r="H710">
        <v>0.856896804456171</v>
      </c>
      <c r="I710">
        <v>1.05849946252321</v>
      </c>
      <c r="J710">
        <v>1.13038698328936</v>
      </c>
      <c r="K710">
        <v>0.94306410632268201</v>
      </c>
      <c r="L710">
        <v>10235.0374572613</v>
      </c>
      <c r="M710">
        <v>250</v>
      </c>
      <c r="O710">
        <v>40.937530187196103</v>
      </c>
      <c r="P710">
        <v>-8.7670890951097993E-2</v>
      </c>
      <c r="Q710">
        <v>0.94257552450905902</v>
      </c>
      <c r="R710">
        <v>3.7450360786373899E-2</v>
      </c>
      <c r="S710" t="s">
        <v>2712</v>
      </c>
      <c r="T710" t="s">
        <v>4002</v>
      </c>
      <c r="U710" t="s">
        <v>4002</v>
      </c>
      <c r="V710" t="s">
        <v>4002</v>
      </c>
      <c r="W710" t="s">
        <v>4702</v>
      </c>
      <c r="X710">
        <v>2</v>
      </c>
      <c r="Y710" t="s">
        <v>6676</v>
      </c>
      <c r="Z710" t="s">
        <v>8608</v>
      </c>
      <c r="AA710">
        <v>0.94438006947818987</v>
      </c>
      <c r="AB710" t="str">
        <f>HYPERLINK("Melting_Curves/meltCurve_K7EM11_GIPC1.pdf", "Melting_Curves/meltCurve_K7EM11_GIPC1.pdf")</f>
        <v>Melting_Curves/meltCurve_K7EM11_GIPC1.pdf</v>
      </c>
    </row>
    <row r="711" spans="1:28" x14ac:dyDescent="0.25">
      <c r="A711" t="s">
        <v>715</v>
      </c>
      <c r="B711">
        <v>1</v>
      </c>
      <c r="C711">
        <v>0.96142909428756396</v>
      </c>
      <c r="D711">
        <v>1.5878825417382201</v>
      </c>
      <c r="E711">
        <v>2.1753990821813698</v>
      </c>
      <c r="F711">
        <v>2.3471944593034699</v>
      </c>
      <c r="G711">
        <v>3.63326670232833</v>
      </c>
      <c r="H711">
        <v>3.3629888228835298</v>
      </c>
      <c r="I711">
        <v>6.2121681353641698</v>
      </c>
      <c r="J711">
        <v>5.0080238745460202</v>
      </c>
      <c r="K711">
        <v>4.4959036008896698</v>
      </c>
      <c r="L711">
        <v>11083.199719507</v>
      </c>
      <c r="M711">
        <v>250</v>
      </c>
      <c r="O711">
        <v>44.329964502866098</v>
      </c>
      <c r="P711">
        <v>0.70494082815776804</v>
      </c>
      <c r="Q711">
        <v>1.5</v>
      </c>
      <c r="R711">
        <v>-0.86087174777021902</v>
      </c>
      <c r="S711" t="s">
        <v>2713</v>
      </c>
      <c r="T711" t="s">
        <v>4002</v>
      </c>
      <c r="U711" t="s">
        <v>4002</v>
      </c>
      <c r="V711" t="s">
        <v>4002</v>
      </c>
      <c r="W711" t="s">
        <v>4703</v>
      </c>
      <c r="X711">
        <v>11</v>
      </c>
      <c r="Y711" t="s">
        <v>6677</v>
      </c>
      <c r="Z711" t="s">
        <v>8609</v>
      </c>
      <c r="AA711">
        <v>1.427747783680166</v>
      </c>
      <c r="AB711" t="str">
        <f>HYPERLINK("Melting_Curves/meltCurve_K7EM38_ACTG1.pdf", "Melting_Curves/meltCurve_K7EM38_ACTG1.pdf")</f>
        <v>Melting_Curves/meltCurve_K7EM38_ACTG1.pdf</v>
      </c>
    </row>
    <row r="712" spans="1:28" x14ac:dyDescent="0.25">
      <c r="A712" t="s">
        <v>716</v>
      </c>
      <c r="B712">
        <v>1</v>
      </c>
      <c r="C712">
        <v>0.92910859320164496</v>
      </c>
      <c r="D712">
        <v>1.06383485410609</v>
      </c>
      <c r="E712">
        <v>0.97311491025769603</v>
      </c>
      <c r="F712">
        <v>0.95985410608643396</v>
      </c>
      <c r="G712">
        <v>1.0386543667903301</v>
      </c>
      <c r="H712">
        <v>0.96483004111100001</v>
      </c>
      <c r="I712">
        <v>1.2370776095457701</v>
      </c>
      <c r="J712">
        <v>1.37019953875464</v>
      </c>
      <c r="K712">
        <v>1.09434222400481</v>
      </c>
      <c r="L712">
        <v>15000</v>
      </c>
      <c r="M712">
        <v>239.10916747776599</v>
      </c>
      <c r="O712">
        <v>62.728463722143701</v>
      </c>
      <c r="P712">
        <v>0.22349396722270401</v>
      </c>
      <c r="Q712">
        <v>1.23452773953595</v>
      </c>
      <c r="R712">
        <v>0.70388665036980902</v>
      </c>
      <c r="S712" t="s">
        <v>2714</v>
      </c>
      <c r="T712" t="s">
        <v>4002</v>
      </c>
      <c r="U712" t="s">
        <v>4002</v>
      </c>
      <c r="V712" t="s">
        <v>4002</v>
      </c>
      <c r="W712" t="s">
        <v>4704</v>
      </c>
      <c r="X712">
        <v>2</v>
      </c>
      <c r="Y712" t="s">
        <v>6678</v>
      </c>
      <c r="Z712" t="s">
        <v>8610</v>
      </c>
      <c r="AA712">
        <v>1.056783366978036</v>
      </c>
      <c r="AB712" t="str">
        <f>HYPERLINK("Melting_Curves/meltCurve_K7EMD6_SGTA.pdf", "Melting_Curves/meltCurve_K7EMD6_SGTA.pdf")</f>
        <v>Melting_Curves/meltCurve_K7EMD6_SGTA.pdf</v>
      </c>
    </row>
    <row r="713" spans="1:28" x14ac:dyDescent="0.25">
      <c r="A713" t="s">
        <v>717</v>
      </c>
      <c r="B713">
        <v>1</v>
      </c>
      <c r="C713">
        <v>1.0910472582297199</v>
      </c>
      <c r="D713">
        <v>1.0007048535776799</v>
      </c>
      <c r="E713">
        <v>1.2743532417757899</v>
      </c>
      <c r="F713">
        <v>1.1569510677430399</v>
      </c>
      <c r="G713">
        <v>1.08224760184584</v>
      </c>
      <c r="H713">
        <v>1.0680954636064299</v>
      </c>
      <c r="I713">
        <v>1.5829469487549399</v>
      </c>
      <c r="J713">
        <v>2.25564158195575</v>
      </c>
      <c r="K713">
        <v>0.91929426535534497</v>
      </c>
      <c r="L713">
        <v>15000</v>
      </c>
      <c r="M713">
        <v>244.055094486922</v>
      </c>
      <c r="O713">
        <v>61.457413925519198</v>
      </c>
      <c r="P713">
        <v>0.49639074197167798</v>
      </c>
      <c r="Q713">
        <v>1.5</v>
      </c>
      <c r="R713">
        <v>0.29032959944211501</v>
      </c>
      <c r="S713" t="s">
        <v>2715</v>
      </c>
      <c r="T713" t="s">
        <v>4002</v>
      </c>
      <c r="U713" t="s">
        <v>4002</v>
      </c>
      <c r="V713" t="s">
        <v>4002</v>
      </c>
      <c r="W713" t="s">
        <v>4705</v>
      </c>
      <c r="X713">
        <v>7</v>
      </c>
      <c r="Y713" t="s">
        <v>6679</v>
      </c>
      <c r="Z713" t="s">
        <v>8611</v>
      </c>
      <c r="AA713">
        <v>1.142251207890834</v>
      </c>
      <c r="AB713" t="str">
        <f>HYPERLINK("Melting_Curves/meltCurve_K7EMS3_KRT19.pdf", "Melting_Curves/meltCurve_K7EMS3_KRT19.pdf")</f>
        <v>Melting_Curves/meltCurve_K7EMS3_KRT19.pdf</v>
      </c>
    </row>
    <row r="714" spans="1:28" x14ac:dyDescent="0.25">
      <c r="A714" t="s">
        <v>718</v>
      </c>
      <c r="B714">
        <v>1</v>
      </c>
      <c r="C714">
        <v>0.96595174262734596</v>
      </c>
      <c r="D714">
        <v>1.0446380697050901</v>
      </c>
      <c r="E714">
        <v>1.03543342269884</v>
      </c>
      <c r="F714">
        <v>0.90509383378016095</v>
      </c>
      <c r="G714">
        <v>1.01961572832887</v>
      </c>
      <c r="H714">
        <v>1.0385612153708701</v>
      </c>
      <c r="I714">
        <v>0.53637176050044699</v>
      </c>
      <c r="J714">
        <v>15.432082216264501</v>
      </c>
      <c r="K714">
        <v>0.72698838248436104</v>
      </c>
      <c r="L714">
        <v>7579.2164329665802</v>
      </c>
      <c r="M714">
        <v>117.71924675489301</v>
      </c>
      <c r="O714">
        <v>64.365258804032507</v>
      </c>
      <c r="P714">
        <v>0.228615662225952</v>
      </c>
      <c r="Q714">
        <v>1.5</v>
      </c>
      <c r="R714">
        <v>-2.8673518669182701E-2</v>
      </c>
      <c r="S714" t="s">
        <v>2716</v>
      </c>
      <c r="T714" t="s">
        <v>4002</v>
      </c>
      <c r="U714" t="s">
        <v>4002</v>
      </c>
      <c r="V714" t="s">
        <v>4002</v>
      </c>
      <c r="W714" t="s">
        <v>4706</v>
      </c>
      <c r="X714">
        <v>1</v>
      </c>
      <c r="Y714" t="s">
        <v>6680</v>
      </c>
      <c r="Z714" t="s">
        <v>8612</v>
      </c>
      <c r="AA714">
        <v>1.093348634825408</v>
      </c>
      <c r="AB714" t="str">
        <f>HYPERLINK("Melting_Curves/meltCurve_K7EMV3_H3F3B.pdf", "Melting_Curves/meltCurve_K7EMV3_H3F3B.pdf")</f>
        <v>Melting_Curves/meltCurve_K7EMV3_H3F3B.pdf</v>
      </c>
    </row>
    <row r="715" spans="1:28" x14ac:dyDescent="0.25">
      <c r="A715" t="s">
        <v>719</v>
      </c>
      <c r="B715">
        <v>1</v>
      </c>
      <c r="C715">
        <v>0.85704400475727105</v>
      </c>
      <c r="D715">
        <v>0.86346632068331697</v>
      </c>
      <c r="E715">
        <v>0.97124013406854803</v>
      </c>
      <c r="F715">
        <v>0.812282408909071</v>
      </c>
      <c r="G715">
        <v>0.90504919450751398</v>
      </c>
      <c r="H715">
        <v>0.63118174937831095</v>
      </c>
      <c r="I715">
        <v>0.92009947021299598</v>
      </c>
      <c r="J715">
        <v>0.77491620715753096</v>
      </c>
      <c r="K715">
        <v>0.85239485349767496</v>
      </c>
      <c r="L715">
        <v>343.44219466584701</v>
      </c>
      <c r="M715">
        <v>7.4794568661273901</v>
      </c>
      <c r="O715">
        <v>42.979214578443496</v>
      </c>
      <c r="P715">
        <v>-8.9311122542189095E-3</v>
      </c>
      <c r="Q715">
        <v>0.79501428075856595</v>
      </c>
      <c r="R715">
        <v>0.23516800509034699</v>
      </c>
      <c r="S715" t="s">
        <v>2717</v>
      </c>
      <c r="T715" t="s">
        <v>4002</v>
      </c>
      <c r="U715" t="s">
        <v>4002</v>
      </c>
      <c r="V715" t="s">
        <v>4002</v>
      </c>
      <c r="W715" t="s">
        <v>4707</v>
      </c>
      <c r="X715">
        <v>1</v>
      </c>
      <c r="Y715" t="s">
        <v>6681</v>
      </c>
      <c r="Z715" t="s">
        <v>8613</v>
      </c>
      <c r="AA715">
        <v>0.85511142496795611</v>
      </c>
      <c r="AB715" t="str">
        <f>HYPERLINK("Melting_Curves/meltCurve_K7EN03_PPP1R13L.pdf", "Melting_Curves/meltCurve_K7EN03_PPP1R13L.pdf")</f>
        <v>Melting_Curves/meltCurve_K7EN03_PPP1R13L.pdf</v>
      </c>
    </row>
    <row r="716" spans="1:28" x14ac:dyDescent="0.25">
      <c r="A716" t="s">
        <v>720</v>
      </c>
      <c r="B716">
        <v>1</v>
      </c>
      <c r="C716">
        <v>0.91730372087967804</v>
      </c>
      <c r="D716">
        <v>1.02556066809174</v>
      </c>
      <c r="E716">
        <v>1.03921959349299</v>
      </c>
      <c r="F716">
        <v>0.93554581355748001</v>
      </c>
      <c r="G716">
        <v>1.03059671751024</v>
      </c>
      <c r="H716">
        <v>1.06833085757762</v>
      </c>
      <c r="I716">
        <v>1.4659070323539001</v>
      </c>
      <c r="J716">
        <v>2.6259918118908701</v>
      </c>
      <c r="K716">
        <v>1.1384188978660199</v>
      </c>
      <c r="L716">
        <v>6897.4364791491098</v>
      </c>
      <c r="M716">
        <v>111.18990669143599</v>
      </c>
      <c r="O716">
        <v>62.012881011138397</v>
      </c>
      <c r="P716">
        <v>0.22412665481049801</v>
      </c>
      <c r="Q716">
        <v>1.5</v>
      </c>
      <c r="R716">
        <v>0.40963421799817701</v>
      </c>
      <c r="S716" t="s">
        <v>2718</v>
      </c>
      <c r="T716" t="s">
        <v>4002</v>
      </c>
      <c r="U716" t="s">
        <v>4002</v>
      </c>
      <c r="V716" t="s">
        <v>4002</v>
      </c>
      <c r="W716" t="s">
        <v>4708</v>
      </c>
      <c r="X716">
        <v>1</v>
      </c>
      <c r="Y716" t="s">
        <v>6682</v>
      </c>
      <c r="Z716" t="s">
        <v>8614</v>
      </c>
      <c r="AA716">
        <v>1.1325089953987379</v>
      </c>
      <c r="AB716" t="str">
        <f>HYPERLINK("Melting_Curves/meltCurve_K7ENG2_U2AF2.pdf", "Melting_Curves/meltCurve_K7ENG2_U2AF2.pdf")</f>
        <v>Melting_Curves/meltCurve_K7ENG2_U2AF2.pdf</v>
      </c>
    </row>
    <row r="717" spans="1:28" x14ac:dyDescent="0.25">
      <c r="A717" t="s">
        <v>721</v>
      </c>
      <c r="B717">
        <v>1</v>
      </c>
      <c r="C717">
        <v>0.99874803986038696</v>
      </c>
      <c r="D717">
        <v>1.0454499468865399</v>
      </c>
      <c r="E717">
        <v>1.1471369315595099</v>
      </c>
      <c r="F717">
        <v>1.09488340330821</v>
      </c>
      <c r="G717">
        <v>1.1631594921341499</v>
      </c>
      <c r="H717">
        <v>1.06911072891901</v>
      </c>
      <c r="I717">
        <v>1.2322069907430799</v>
      </c>
      <c r="J717">
        <v>1.20175527340786</v>
      </c>
      <c r="K717">
        <v>1.1756411553442301</v>
      </c>
      <c r="L717">
        <v>573.16353529265996</v>
      </c>
      <c r="M717">
        <v>11.4675742993475</v>
      </c>
      <c r="O717">
        <v>48.533790351446797</v>
      </c>
      <c r="P717">
        <v>1.10574570570306E-2</v>
      </c>
      <c r="Q717">
        <v>1.18713848682547</v>
      </c>
      <c r="R717">
        <v>0.70919494995495602</v>
      </c>
      <c r="S717" t="s">
        <v>2719</v>
      </c>
      <c r="T717" t="s">
        <v>4002</v>
      </c>
      <c r="U717" t="s">
        <v>4002</v>
      </c>
      <c r="V717" t="s">
        <v>4002</v>
      </c>
      <c r="W717" t="s">
        <v>4709</v>
      </c>
      <c r="X717">
        <v>4</v>
      </c>
      <c r="Y717" t="s">
        <v>6683</v>
      </c>
      <c r="Z717" t="s">
        <v>8615</v>
      </c>
      <c r="AA717">
        <v>1.117921451532242</v>
      </c>
      <c r="AB717" t="str">
        <f>HYPERLINK("Melting_Curves/meltCurve_K7ENJ0_RAD23A.pdf", "Melting_Curves/meltCurve_K7ENJ0_RAD23A.pdf")</f>
        <v>Melting_Curves/meltCurve_K7ENJ0_RAD23A.pdf</v>
      </c>
    </row>
    <row r="718" spans="1:28" x14ac:dyDescent="0.25">
      <c r="A718" t="s">
        <v>722</v>
      </c>
      <c r="B718">
        <v>1</v>
      </c>
      <c r="C718">
        <v>0.92973971848706505</v>
      </c>
      <c r="D718">
        <v>1.04147990878352</v>
      </c>
      <c r="E718">
        <v>1.1194464103169</v>
      </c>
      <c r="F718">
        <v>1.03919949673665</v>
      </c>
      <c r="G718">
        <v>0.97106235747424696</v>
      </c>
      <c r="H718">
        <v>1.2369662656286899</v>
      </c>
      <c r="I718">
        <v>0.92580797357867395</v>
      </c>
      <c r="J718">
        <v>1.05858299913502</v>
      </c>
      <c r="K718">
        <v>0.90744672485649103</v>
      </c>
      <c r="L718">
        <v>15000</v>
      </c>
      <c r="M718">
        <v>212.002806182553</v>
      </c>
      <c r="Q718">
        <v>0</v>
      </c>
      <c r="R718">
        <v>3.5861169382393802E-2</v>
      </c>
      <c r="S718" t="s">
        <v>2720</v>
      </c>
      <c r="T718" t="s">
        <v>4002</v>
      </c>
      <c r="U718" t="s">
        <v>4002</v>
      </c>
      <c r="V718" t="s">
        <v>4002</v>
      </c>
      <c r="W718" t="s">
        <v>4710</v>
      </c>
      <c r="X718">
        <v>1</v>
      </c>
      <c r="Y718" t="s">
        <v>6684</v>
      </c>
      <c r="Z718" t="s">
        <v>8616</v>
      </c>
      <c r="AA718">
        <v>0.99895249595612057</v>
      </c>
      <c r="AB718" t="str">
        <f>HYPERLINK("Melting_Curves/meltCurve_K7ENS1_EPG5.pdf", "Melting_Curves/meltCurve_K7ENS1_EPG5.pdf")</f>
        <v>Melting_Curves/meltCurve_K7ENS1_EPG5.pdf</v>
      </c>
    </row>
    <row r="719" spans="1:28" x14ac:dyDescent="0.25">
      <c r="A719" t="s">
        <v>723</v>
      </c>
      <c r="B719">
        <v>1</v>
      </c>
      <c r="C719">
        <v>0.81364426200609397</v>
      </c>
      <c r="D719">
        <v>0.71245813291697102</v>
      </c>
      <c r="E719">
        <v>0.75509330378503603</v>
      </c>
      <c r="F719">
        <v>0.67093102319373399</v>
      </c>
      <c r="G719">
        <v>0.74265279911355098</v>
      </c>
      <c r="H719">
        <v>0.67042735903699402</v>
      </c>
      <c r="I719">
        <v>1.0002770152862099</v>
      </c>
      <c r="J719">
        <v>0.93480067490996999</v>
      </c>
      <c r="K719">
        <v>0.83912966833715297</v>
      </c>
      <c r="L719">
        <v>10635.102352387201</v>
      </c>
      <c r="M719">
        <v>250</v>
      </c>
      <c r="O719">
        <v>42.537687079911599</v>
      </c>
      <c r="P719">
        <v>-0.307490203004955</v>
      </c>
      <c r="Q719">
        <v>0.79072124755034401</v>
      </c>
      <c r="R719">
        <v>0.26947195230569798</v>
      </c>
      <c r="S719" t="s">
        <v>2721</v>
      </c>
      <c r="T719" t="s">
        <v>4002</v>
      </c>
      <c r="U719" t="s">
        <v>4002</v>
      </c>
      <c r="V719" t="s">
        <v>4002</v>
      </c>
      <c r="W719" t="s">
        <v>4711</v>
      </c>
      <c r="X719">
        <v>1</v>
      </c>
      <c r="Y719" t="s">
        <v>6685</v>
      </c>
      <c r="Z719" t="s">
        <v>8617</v>
      </c>
      <c r="AA719">
        <v>0.80845866236302644</v>
      </c>
      <c r="AB719" t="str">
        <f>HYPERLINK("Melting_Curves/meltCurve_K7ENU8_BCAM.pdf", "Melting_Curves/meltCurve_K7ENU8_BCAM.pdf")</f>
        <v>Melting_Curves/meltCurve_K7ENU8_BCAM.pdf</v>
      </c>
    </row>
    <row r="720" spans="1:28" x14ac:dyDescent="0.25">
      <c r="A720" t="s">
        <v>724</v>
      </c>
      <c r="B720">
        <v>1</v>
      </c>
      <c r="C720">
        <v>0.81372516611021095</v>
      </c>
      <c r="D720">
        <v>1.1198968629136199</v>
      </c>
      <c r="E720">
        <v>0.87339261512016098</v>
      </c>
      <c r="F720">
        <v>0.871640606922085</v>
      </c>
      <c r="G720">
        <v>0.99428118078741201</v>
      </c>
      <c r="H720">
        <v>0.93038246669531599</v>
      </c>
      <c r="I720">
        <v>1.0987735942613499</v>
      </c>
      <c r="J720">
        <v>1.0606922085220301</v>
      </c>
      <c r="K720">
        <v>1.0028759379855201</v>
      </c>
      <c r="L720">
        <v>2779.8434801257099</v>
      </c>
      <c r="M720">
        <v>44.344367348487602</v>
      </c>
      <c r="O720">
        <v>62.5605503192455</v>
      </c>
      <c r="P720">
        <v>8.3059241594326105E-3</v>
      </c>
      <c r="Q720">
        <v>1.04687156374987</v>
      </c>
      <c r="R720">
        <v>-8.7631412218458504E-4</v>
      </c>
      <c r="S720" t="s">
        <v>2722</v>
      </c>
      <c r="T720" t="s">
        <v>4002</v>
      </c>
      <c r="U720" t="s">
        <v>4002</v>
      </c>
      <c r="V720" t="s">
        <v>4002</v>
      </c>
      <c r="W720" t="s">
        <v>4712</v>
      </c>
      <c r="X720">
        <v>2</v>
      </c>
      <c r="Y720" t="s">
        <v>6686</v>
      </c>
      <c r="Z720" t="s">
        <v>8618</v>
      </c>
      <c r="AA720">
        <v>1.0112878372785989</v>
      </c>
      <c r="AB720" t="str">
        <f>HYPERLINK("Melting_Curves/meltCurve_K7EQA1_PDCD5.pdf", "Melting_Curves/meltCurve_K7EQA1_PDCD5.pdf")</f>
        <v>Melting_Curves/meltCurve_K7EQA1_PDCD5.pdf</v>
      </c>
    </row>
    <row r="721" spans="1:28" x14ac:dyDescent="0.25">
      <c r="A721" t="s">
        <v>725</v>
      </c>
      <c r="B721">
        <v>1</v>
      </c>
      <c r="C721">
        <v>0.93682424157598199</v>
      </c>
      <c r="D721">
        <v>1.0215892788411101</v>
      </c>
      <c r="E721">
        <v>1.0470800237936899</v>
      </c>
      <c r="F721">
        <v>1.0382623604744701</v>
      </c>
      <c r="G721">
        <v>1.0442457748696601</v>
      </c>
      <c r="H721">
        <v>0.820217642324784</v>
      </c>
      <c r="I721">
        <v>1.21598026522971</v>
      </c>
      <c r="J721">
        <v>0.86929213758353996</v>
      </c>
      <c r="K721">
        <v>0.88554533048742101</v>
      </c>
      <c r="L721">
        <v>15000</v>
      </c>
      <c r="M721">
        <v>227.56175441521901</v>
      </c>
      <c r="O721">
        <v>65.911082601234995</v>
      </c>
      <c r="P721">
        <v>-0.106911172992864</v>
      </c>
      <c r="Q721">
        <v>0.87613681193511095</v>
      </c>
      <c r="R721">
        <v>0.24176201474686301</v>
      </c>
      <c r="S721" t="s">
        <v>2723</v>
      </c>
      <c r="T721" t="s">
        <v>4002</v>
      </c>
      <c r="U721" t="s">
        <v>4002</v>
      </c>
      <c r="V721" t="s">
        <v>4002</v>
      </c>
      <c r="W721" t="s">
        <v>4713</v>
      </c>
      <c r="X721">
        <v>2</v>
      </c>
      <c r="Z721" t="s">
        <v>8619</v>
      </c>
      <c r="AA721">
        <v>0.98315609831204331</v>
      </c>
      <c r="AB721" t="str">
        <f>HYPERLINK("Melting_Curves/meltCurve_K7EQZ3_.pdf", "Melting_Curves/meltCurve_K7EQZ3_.pdf")</f>
        <v>Melting_Curves/meltCurve_K7EQZ3_.pdf</v>
      </c>
    </row>
    <row r="722" spans="1:28" x14ac:dyDescent="0.25">
      <c r="A722" t="s">
        <v>726</v>
      </c>
      <c r="B722">
        <v>1</v>
      </c>
      <c r="C722">
        <v>0.85470113085622001</v>
      </c>
      <c r="D722">
        <v>1.0152180936995201</v>
      </c>
      <c r="E722">
        <v>1.0492730210016199</v>
      </c>
      <c r="F722">
        <v>1.30252019386107</v>
      </c>
      <c r="G722">
        <v>1.9348626817447501</v>
      </c>
      <c r="H722">
        <v>2.4983844911147002</v>
      </c>
      <c r="I722">
        <v>2.9997092084006498</v>
      </c>
      <c r="J722">
        <v>2.7720193861066198</v>
      </c>
      <c r="K722">
        <v>2.5933764135702702</v>
      </c>
      <c r="L722">
        <v>7783.6301190042795</v>
      </c>
      <c r="M722">
        <v>147.28823471146299</v>
      </c>
      <c r="O722">
        <v>52.836511925127802</v>
      </c>
      <c r="P722">
        <v>0.34845283473362398</v>
      </c>
      <c r="Q722">
        <v>1.5</v>
      </c>
      <c r="R722">
        <v>3.2056863401416703E-2</v>
      </c>
      <c r="S722" t="s">
        <v>2724</v>
      </c>
      <c r="T722" t="s">
        <v>4002</v>
      </c>
      <c r="U722" t="s">
        <v>4002</v>
      </c>
      <c r="V722" t="s">
        <v>4002</v>
      </c>
      <c r="W722" t="s">
        <v>4714</v>
      </c>
      <c r="X722">
        <v>2</v>
      </c>
      <c r="Y722" t="s">
        <v>6687</v>
      </c>
      <c r="Z722" t="s">
        <v>8620</v>
      </c>
      <c r="AA722">
        <v>1.2857622646543421</v>
      </c>
      <c r="AB722" t="str">
        <f>HYPERLINK("Melting_Curves/meltCurve_K7ERG9_CFD.pdf", "Melting_Curves/meltCurve_K7ERG9_CFD.pdf")</f>
        <v>Melting_Curves/meltCurve_K7ERG9_CFD.pdf</v>
      </c>
    </row>
    <row r="723" spans="1:28" x14ac:dyDescent="0.25">
      <c r="A723" t="s">
        <v>727</v>
      </c>
      <c r="B723">
        <v>1</v>
      </c>
      <c r="C723">
        <v>0.98282314557144201</v>
      </c>
      <c r="D723">
        <v>1.0564725074369099</v>
      </c>
      <c r="E723">
        <v>1.21411092985318</v>
      </c>
      <c r="F723">
        <v>1.2993954514921799</v>
      </c>
      <c r="G723">
        <v>1.26300259092218</v>
      </c>
      <c r="H723">
        <v>1.39086939833029</v>
      </c>
      <c r="I723">
        <v>1.5898906055081099</v>
      </c>
      <c r="J723">
        <v>1.3435610785913099</v>
      </c>
      <c r="K723">
        <v>1.3900297476249901</v>
      </c>
      <c r="L723">
        <v>790.62793619310696</v>
      </c>
      <c r="M723">
        <v>15.522066603808399</v>
      </c>
      <c r="O723">
        <v>50.112780561249501</v>
      </c>
      <c r="P723">
        <v>3.3226437120011901E-2</v>
      </c>
      <c r="Q723">
        <v>1.4290464930339599</v>
      </c>
      <c r="R723">
        <v>0.84919650186143503</v>
      </c>
      <c r="S723" t="s">
        <v>2725</v>
      </c>
      <c r="T723" t="s">
        <v>4002</v>
      </c>
      <c r="U723" t="s">
        <v>4002</v>
      </c>
      <c r="V723" t="s">
        <v>4002</v>
      </c>
      <c r="W723" t="s">
        <v>4715</v>
      </c>
      <c r="X723">
        <v>3</v>
      </c>
      <c r="Y723" t="s">
        <v>6688</v>
      </c>
      <c r="Z723" t="s">
        <v>8621</v>
      </c>
      <c r="AA723">
        <v>1.2632691191708381</v>
      </c>
      <c r="AB723" t="str">
        <f>HYPERLINK("Melting_Curves/meltCurve_K7ERI9_APOC1.pdf", "Melting_Curves/meltCurve_K7ERI9_APOC1.pdf")</f>
        <v>Melting_Curves/meltCurve_K7ERI9_APOC1.pdf</v>
      </c>
    </row>
    <row r="724" spans="1:28" x14ac:dyDescent="0.25">
      <c r="A724" t="s">
        <v>728</v>
      </c>
      <c r="B724">
        <v>1</v>
      </c>
      <c r="C724">
        <v>0.74219625692062097</v>
      </c>
      <c r="D724">
        <v>0.77550015284806895</v>
      </c>
      <c r="E724">
        <v>0.51684725382969299</v>
      </c>
      <c r="F724">
        <v>0.39023810332529502</v>
      </c>
      <c r="G724">
        <v>0.39431405183247897</v>
      </c>
      <c r="H724">
        <v>0.29735742671784199</v>
      </c>
      <c r="I724">
        <v>0.37243979484392498</v>
      </c>
      <c r="J724">
        <v>0.32821575354097998</v>
      </c>
      <c r="K724">
        <v>0.34275330321660302</v>
      </c>
      <c r="L724">
        <v>650.13512827857198</v>
      </c>
      <c r="M724">
        <v>13.9039040653266</v>
      </c>
      <c r="N724">
        <v>50.490500206387097</v>
      </c>
      <c r="O724">
        <v>45.823789572977603</v>
      </c>
      <c r="P724">
        <v>-5.15087059221477E-2</v>
      </c>
      <c r="Q724">
        <v>0.32105340503151703</v>
      </c>
      <c r="R724">
        <v>0.94818368906099804</v>
      </c>
      <c r="S724" t="s">
        <v>2726</v>
      </c>
      <c r="T724" t="s">
        <v>4002</v>
      </c>
      <c r="U724" t="s">
        <v>4002</v>
      </c>
      <c r="V724" t="s">
        <v>4002</v>
      </c>
      <c r="W724" t="s">
        <v>4716</v>
      </c>
      <c r="X724">
        <v>2</v>
      </c>
      <c r="Y724" t="s">
        <v>6689</v>
      </c>
      <c r="Z724" t="s">
        <v>8622</v>
      </c>
      <c r="AA724">
        <v>0.49589331778009138</v>
      </c>
      <c r="AB724" t="str">
        <f>HYPERLINK("Melting_Curves/meltCurve_K7ERN2_ICAM3.pdf", "Melting_Curves/meltCurve_K7ERN2_ICAM3.pdf")</f>
        <v>Melting_Curves/meltCurve_K7ERN2_ICAM3.pdf</v>
      </c>
    </row>
    <row r="725" spans="1:28" x14ac:dyDescent="0.25">
      <c r="A725" t="s">
        <v>729</v>
      </c>
      <c r="B725">
        <v>1</v>
      </c>
      <c r="C725">
        <v>0.81240765366430301</v>
      </c>
      <c r="D725">
        <v>0.95844414893617003</v>
      </c>
      <c r="E725">
        <v>0.83939125295508299</v>
      </c>
      <c r="F725">
        <v>0.94248670212765995</v>
      </c>
      <c r="G725">
        <v>0.98714539007092195</v>
      </c>
      <c r="H725">
        <v>0.458702718676123</v>
      </c>
      <c r="I725">
        <v>1.07121749408983</v>
      </c>
      <c r="J725">
        <v>0.50834810874704495</v>
      </c>
      <c r="K725">
        <v>0.608211436170213</v>
      </c>
      <c r="L725">
        <v>318.569858562467</v>
      </c>
      <c r="M725">
        <v>4.0537822525235097</v>
      </c>
      <c r="O725">
        <v>64.787182134421897</v>
      </c>
      <c r="P725">
        <v>-1.5835303773687099E-2</v>
      </c>
      <c r="Q725">
        <v>0</v>
      </c>
      <c r="R725">
        <v>0.29052566752578302</v>
      </c>
      <c r="S725" t="s">
        <v>2727</v>
      </c>
      <c r="T725" t="s">
        <v>4002</v>
      </c>
      <c r="U725" t="s">
        <v>4002</v>
      </c>
      <c r="V725" t="s">
        <v>4002</v>
      </c>
      <c r="W725" t="s">
        <v>4116</v>
      </c>
      <c r="X725">
        <v>1</v>
      </c>
      <c r="Z725" t="s">
        <v>8623</v>
      </c>
      <c r="AA725">
        <v>0.8331131395755208</v>
      </c>
      <c r="AB725" t="str">
        <f>HYPERLINK("Melting_Curves/meltCurve_K7ERU9_.pdf", "Melting_Curves/meltCurve_K7ERU9_.pdf")</f>
        <v>Melting_Curves/meltCurve_K7ERU9_.pdf</v>
      </c>
    </row>
    <row r="726" spans="1:28" x14ac:dyDescent="0.25">
      <c r="A726" t="s">
        <v>730</v>
      </c>
      <c r="B726">
        <v>1</v>
      </c>
      <c r="C726">
        <v>0.83198571878609695</v>
      </c>
      <c r="D726">
        <v>0.81555182190486197</v>
      </c>
      <c r="E726">
        <v>0.86154573138716795</v>
      </c>
      <c r="F726">
        <v>0.84784206657565897</v>
      </c>
      <c r="G726">
        <v>1.0180090307676199</v>
      </c>
      <c r="H726">
        <v>0.88165494066995698</v>
      </c>
      <c r="I726">
        <v>1.1880709860338099</v>
      </c>
      <c r="J726">
        <v>1.9661346214428199</v>
      </c>
      <c r="K726">
        <v>0.93961986768875305</v>
      </c>
      <c r="L726">
        <v>15000</v>
      </c>
      <c r="M726">
        <v>234.03360643717801</v>
      </c>
      <c r="O726">
        <v>64.088679001642205</v>
      </c>
      <c r="P726">
        <v>0.41342827074252297</v>
      </c>
      <c r="Q726">
        <v>1.4528592639070801</v>
      </c>
      <c r="R726">
        <v>0.40152577701952702</v>
      </c>
      <c r="S726" t="s">
        <v>2728</v>
      </c>
      <c r="T726" t="s">
        <v>4002</v>
      </c>
      <c r="U726" t="s">
        <v>4002</v>
      </c>
      <c r="V726" t="s">
        <v>4002</v>
      </c>
      <c r="W726" t="s">
        <v>4717</v>
      </c>
      <c r="X726">
        <v>1</v>
      </c>
      <c r="Y726" t="s">
        <v>6690</v>
      </c>
      <c r="Z726" t="s">
        <v>8624</v>
      </c>
      <c r="AA726">
        <v>1.089104438812005</v>
      </c>
      <c r="AB726" t="str">
        <f>HYPERLINK("Melting_Curves/meltCurve_K7ES31_EIF3K.pdf", "Melting_Curves/meltCurve_K7ES31_EIF3K.pdf")</f>
        <v>Melting_Curves/meltCurve_K7ES31_EIF3K.pdf</v>
      </c>
    </row>
    <row r="727" spans="1:28" x14ac:dyDescent="0.25">
      <c r="A727" t="s">
        <v>731</v>
      </c>
      <c r="B727">
        <v>1</v>
      </c>
      <c r="C727">
        <v>0.95525155021415298</v>
      </c>
      <c r="D727">
        <v>0.98807773444991398</v>
      </c>
      <c r="E727">
        <v>1.12334590551684</v>
      </c>
      <c r="F727">
        <v>0.98497730614332302</v>
      </c>
      <c r="G727">
        <v>1.04321421722176</v>
      </c>
      <c r="H727">
        <v>1.04382151761171</v>
      </c>
      <c r="I727">
        <v>1.33343987726139</v>
      </c>
      <c r="J727">
        <v>1.7730294700505</v>
      </c>
      <c r="K727">
        <v>1.05165249632423</v>
      </c>
      <c r="L727">
        <v>5675.0091982940303</v>
      </c>
      <c r="M727">
        <v>90.520599052635006</v>
      </c>
      <c r="O727">
        <v>62.662434743588697</v>
      </c>
      <c r="P727">
        <v>0.146478672932427</v>
      </c>
      <c r="Q727">
        <v>1.4055964998822299</v>
      </c>
      <c r="R727">
        <v>0.50221732207450098</v>
      </c>
      <c r="S727" t="s">
        <v>2729</v>
      </c>
      <c r="T727" t="s">
        <v>4002</v>
      </c>
      <c r="U727" t="s">
        <v>4002</v>
      </c>
      <c r="V727" t="s">
        <v>4002</v>
      </c>
      <c r="W727" t="s">
        <v>4718</v>
      </c>
      <c r="X727">
        <v>2</v>
      </c>
      <c r="Y727" t="s">
        <v>6691</v>
      </c>
      <c r="Z727" t="s">
        <v>8625</v>
      </c>
      <c r="AA727">
        <v>1.0984496521510949</v>
      </c>
      <c r="AB727" t="str">
        <f>HYPERLINK("Melting_Curves/meltCurve_K7ES82_CAPNS1.pdf", "Melting_Curves/meltCurve_K7ES82_CAPNS1.pdf")</f>
        <v>Melting_Curves/meltCurve_K7ES82_CAPNS1.pdf</v>
      </c>
    </row>
    <row r="728" spans="1:28" x14ac:dyDescent="0.25">
      <c r="A728" t="s">
        <v>732</v>
      </c>
      <c r="B728">
        <v>1</v>
      </c>
      <c r="C728">
        <v>0.85671227922117099</v>
      </c>
      <c r="D728">
        <v>0.99101814455362003</v>
      </c>
      <c r="E728">
        <v>1.1837362107420599</v>
      </c>
      <c r="F728">
        <v>1.0978359153656001</v>
      </c>
      <c r="G728">
        <v>1.09964434263669</v>
      </c>
      <c r="H728">
        <v>1.1354512026041399</v>
      </c>
      <c r="I728">
        <v>1.4605461450358701</v>
      </c>
      <c r="J728">
        <v>2.3418530351437701</v>
      </c>
      <c r="K728">
        <v>1.34637410332148</v>
      </c>
      <c r="L728">
        <v>5894.2014356837299</v>
      </c>
      <c r="M728">
        <v>95.6228348326553</v>
      </c>
      <c r="O728">
        <v>61.613158251153898</v>
      </c>
      <c r="P728">
        <v>0.19399841645809399</v>
      </c>
      <c r="Q728">
        <v>1.5</v>
      </c>
      <c r="R728">
        <v>0.49337821851126501</v>
      </c>
      <c r="S728" t="s">
        <v>2730</v>
      </c>
      <c r="T728" t="s">
        <v>4002</v>
      </c>
      <c r="U728" t="s">
        <v>4002</v>
      </c>
      <c r="V728" t="s">
        <v>4002</v>
      </c>
      <c r="W728" t="s">
        <v>4719</v>
      </c>
      <c r="X728">
        <v>2</v>
      </c>
      <c r="Y728" t="s">
        <v>6692</v>
      </c>
      <c r="Z728" t="s">
        <v>8626</v>
      </c>
      <c r="AA728">
        <v>1.1389615735797589</v>
      </c>
      <c r="AB728" t="str">
        <f>HYPERLINK("Melting_Curves/meltCurve_M0QXB4_COPE.pdf", "Melting_Curves/meltCurve_M0QXB4_COPE.pdf")</f>
        <v>Melting_Curves/meltCurve_M0QXB4_COPE.pdf</v>
      </c>
    </row>
    <row r="729" spans="1:28" x14ac:dyDescent="0.25">
      <c r="A729" t="s">
        <v>733</v>
      </c>
      <c r="B729">
        <v>1</v>
      </c>
      <c r="C729">
        <v>0.93639053254437898</v>
      </c>
      <c r="D729">
        <v>0.93236357659434599</v>
      </c>
      <c r="E729">
        <v>0.994575936883629</v>
      </c>
      <c r="F729">
        <v>0.96720907297830405</v>
      </c>
      <c r="G729">
        <v>1.04413214990138</v>
      </c>
      <c r="H729">
        <v>1.0429815910585101</v>
      </c>
      <c r="I729">
        <v>1.39686061801446</v>
      </c>
      <c r="J729">
        <v>1.69288297172913</v>
      </c>
      <c r="K729">
        <v>1.2071005917159801</v>
      </c>
      <c r="L729">
        <v>6016.1890587838498</v>
      </c>
      <c r="M729">
        <v>96.278963131309794</v>
      </c>
      <c r="O729">
        <v>62.4601148065031</v>
      </c>
      <c r="P729">
        <v>0.17211267902910099</v>
      </c>
      <c r="Q729">
        <v>1.4466261882799101</v>
      </c>
      <c r="R729">
        <v>0.76194570853158405</v>
      </c>
      <c r="S729" t="s">
        <v>2731</v>
      </c>
      <c r="T729" t="s">
        <v>4002</v>
      </c>
      <c r="U729" t="s">
        <v>4002</v>
      </c>
      <c r="V729" t="s">
        <v>4002</v>
      </c>
      <c r="W729" t="s">
        <v>4720</v>
      </c>
      <c r="X729">
        <v>2</v>
      </c>
      <c r="Y729" t="s">
        <v>6693</v>
      </c>
      <c r="Z729" t="s">
        <v>8627</v>
      </c>
      <c r="AA729">
        <v>1.111518983132137</v>
      </c>
      <c r="AB729" t="str">
        <f>HYPERLINK("Melting_Curves/meltCurve_M0QXB5_ETHE1.pdf", "Melting_Curves/meltCurve_M0QXB5_ETHE1.pdf")</f>
        <v>Melting_Curves/meltCurve_M0QXB5_ETHE1.pdf</v>
      </c>
    </row>
    <row r="730" spans="1:28" x14ac:dyDescent="0.25">
      <c r="A730" t="s">
        <v>734</v>
      </c>
      <c r="B730">
        <v>1</v>
      </c>
      <c r="C730">
        <v>1.04016289132095</v>
      </c>
      <c r="D730">
        <v>0.92791040977347905</v>
      </c>
      <c r="E730">
        <v>1.0540086536014299</v>
      </c>
      <c r="F730">
        <v>1.2094680580300301</v>
      </c>
      <c r="G730">
        <v>0.989697123950115</v>
      </c>
      <c r="H730">
        <v>0.88938661236955996</v>
      </c>
      <c r="I730">
        <v>1.77673708322728</v>
      </c>
      <c r="J730">
        <v>1.23715958259099</v>
      </c>
      <c r="K730">
        <v>0.96346144057011995</v>
      </c>
      <c r="L730">
        <v>840.36794750090098</v>
      </c>
      <c r="M730">
        <v>14.8891265961438</v>
      </c>
      <c r="O730">
        <v>55.4529172267166</v>
      </c>
      <c r="P730">
        <v>1.6132843486504699E-2</v>
      </c>
      <c r="Q730">
        <v>1.2403150221294801</v>
      </c>
      <c r="R730">
        <v>0.12860270049667799</v>
      </c>
      <c r="S730" t="s">
        <v>2732</v>
      </c>
      <c r="T730" t="s">
        <v>4002</v>
      </c>
      <c r="U730" t="s">
        <v>4002</v>
      </c>
      <c r="V730" t="s">
        <v>4002</v>
      </c>
      <c r="W730" t="s">
        <v>4721</v>
      </c>
      <c r="X730">
        <v>1</v>
      </c>
      <c r="Y730" t="s">
        <v>6694</v>
      </c>
      <c r="Z730" t="s">
        <v>8628</v>
      </c>
      <c r="AA730">
        <v>1.104514457848798</v>
      </c>
      <c r="AB730" t="str">
        <f>HYPERLINK("Melting_Curves/meltCurve_M0QXD2_AKAP8L.pdf", "Melting_Curves/meltCurve_M0QXD2_AKAP8L.pdf")</f>
        <v>Melting_Curves/meltCurve_M0QXD2_AKAP8L.pdf</v>
      </c>
    </row>
    <row r="731" spans="1:28" x14ac:dyDescent="0.25">
      <c r="A731" t="s">
        <v>735</v>
      </c>
      <c r="B731">
        <v>1</v>
      </c>
      <c r="C731">
        <v>0.88821942263607401</v>
      </c>
      <c r="D731">
        <v>1.1135658207047701</v>
      </c>
      <c r="E731">
        <v>1.2945042906700699</v>
      </c>
      <c r="F731">
        <v>1.1158988091615401</v>
      </c>
      <c r="G731">
        <v>1.1741829468687199</v>
      </c>
      <c r="H731">
        <v>0.90274481163654097</v>
      </c>
      <c r="I731">
        <v>1.21073986164364</v>
      </c>
      <c r="J731">
        <v>0.81187998295904096</v>
      </c>
      <c r="K731">
        <v>1.01499198669182</v>
      </c>
      <c r="L731">
        <v>1420.9190911788901</v>
      </c>
      <c r="M731">
        <v>20.457096785263602</v>
      </c>
      <c r="O731">
        <v>68.804987795538096</v>
      </c>
      <c r="P731">
        <v>-3.56787034119762E-3</v>
      </c>
      <c r="Q731">
        <v>0.95200101707350204</v>
      </c>
      <c r="R731">
        <v>-0.12132692968000899</v>
      </c>
      <c r="S731" t="s">
        <v>2733</v>
      </c>
      <c r="T731" t="s">
        <v>4002</v>
      </c>
      <c r="U731" t="s">
        <v>4002</v>
      </c>
      <c r="V731" t="s">
        <v>4002</v>
      </c>
      <c r="W731" t="s">
        <v>4722</v>
      </c>
      <c r="X731">
        <v>5</v>
      </c>
      <c r="Y731" t="s">
        <v>6695</v>
      </c>
      <c r="Z731" t="s">
        <v>8629</v>
      </c>
      <c r="AA731">
        <v>0.99616239026423969</v>
      </c>
      <c r="AB731" t="str">
        <f>HYPERLINK("Melting_Curves/meltCurve_M0QYG8_GMFG.pdf", "Melting_Curves/meltCurve_M0QYG8_GMFG.pdf")</f>
        <v>Melting_Curves/meltCurve_M0QYG8_GMFG.pdf</v>
      </c>
    </row>
    <row r="732" spans="1:28" x14ac:dyDescent="0.25">
      <c r="A732" t="s">
        <v>736</v>
      </c>
      <c r="B732">
        <v>1</v>
      </c>
      <c r="C732">
        <v>1.0743735649396</v>
      </c>
      <c r="D732">
        <v>1.3356294299690501</v>
      </c>
      <c r="E732">
        <v>1.3738644304681999</v>
      </c>
      <c r="F732">
        <v>1.07048018368773</v>
      </c>
      <c r="G732">
        <v>1.23699710492163</v>
      </c>
      <c r="H732">
        <v>1.71698113207547</v>
      </c>
      <c r="I732">
        <v>1.3028850953379301</v>
      </c>
      <c r="J732">
        <v>1.4413497055006499</v>
      </c>
      <c r="K732">
        <v>1.1338724168912799</v>
      </c>
      <c r="L732">
        <v>10777.3748731376</v>
      </c>
      <c r="M732">
        <v>250</v>
      </c>
      <c r="O732">
        <v>43.1067407862609</v>
      </c>
      <c r="P732">
        <v>0.47339963204153201</v>
      </c>
      <c r="Q732">
        <v>1.32650744312568</v>
      </c>
      <c r="R732">
        <v>0.32866834144156798</v>
      </c>
      <c r="S732" t="s">
        <v>2734</v>
      </c>
      <c r="T732" t="s">
        <v>4002</v>
      </c>
      <c r="U732" t="s">
        <v>4002</v>
      </c>
      <c r="V732" t="s">
        <v>4002</v>
      </c>
      <c r="W732" t="s">
        <v>4713</v>
      </c>
      <c r="X732">
        <v>1</v>
      </c>
      <c r="Z732" t="s">
        <v>8630</v>
      </c>
      <c r="AA732">
        <v>1.2926402497521601</v>
      </c>
      <c r="AB732" t="str">
        <f>HYPERLINK("Melting_Curves/meltCurve_M0QYM2_.pdf", "Melting_Curves/meltCurve_M0QYM2_.pdf")</f>
        <v>Melting_Curves/meltCurve_M0QYM2_.pdf</v>
      </c>
    </row>
    <row r="733" spans="1:28" x14ac:dyDescent="0.25">
      <c r="A733" t="s">
        <v>737</v>
      </c>
      <c r="B733">
        <v>1</v>
      </c>
      <c r="C733">
        <v>0.968212779759974</v>
      </c>
      <c r="D733">
        <v>1.1340144880527601</v>
      </c>
      <c r="E733">
        <v>1.20256243918261</v>
      </c>
      <c r="F733">
        <v>0.90528705806033105</v>
      </c>
      <c r="G733">
        <v>1.0407611633690099</v>
      </c>
      <c r="H733">
        <v>0.92842469456157395</v>
      </c>
      <c r="I733">
        <v>1.1446102281327699</v>
      </c>
      <c r="J733">
        <v>2.6783436047140201</v>
      </c>
      <c r="K733">
        <v>1.1030922261866101</v>
      </c>
      <c r="L733">
        <v>15000</v>
      </c>
      <c r="M733">
        <v>233.479584801562</v>
      </c>
      <c r="O733">
        <v>64.240723996159801</v>
      </c>
      <c r="P733">
        <v>0.45430597007714502</v>
      </c>
      <c r="Q733">
        <v>1.5</v>
      </c>
      <c r="R733">
        <v>0.34625923601443498</v>
      </c>
      <c r="S733" t="s">
        <v>2735</v>
      </c>
      <c r="T733" t="s">
        <v>4002</v>
      </c>
      <c r="U733" t="s">
        <v>4002</v>
      </c>
      <c r="V733" t="s">
        <v>4002</v>
      </c>
      <c r="W733" t="s">
        <v>4723</v>
      </c>
      <c r="X733">
        <v>1</v>
      </c>
      <c r="Y733" t="s">
        <v>6696</v>
      </c>
      <c r="Z733" t="s">
        <v>8631</v>
      </c>
      <c r="AA733">
        <v>1.0958446003567801</v>
      </c>
      <c r="AB733" t="str">
        <f>HYPERLINK("Melting_Curves/meltCurve_M0QYR1_SNRNP70.pdf", "Melting_Curves/meltCurve_M0QYR1_SNRNP70.pdf")</f>
        <v>Melting_Curves/meltCurve_M0QYR1_SNRNP70.pdf</v>
      </c>
    </row>
    <row r="734" spans="1:28" x14ac:dyDescent="0.25">
      <c r="A734" t="s">
        <v>738</v>
      </c>
      <c r="B734">
        <v>1</v>
      </c>
      <c r="C734">
        <v>0.85324601366742603</v>
      </c>
      <c r="D734">
        <v>1.0761958997722101</v>
      </c>
      <c r="E734">
        <v>1.2070615034168599</v>
      </c>
      <c r="F734">
        <v>0.80723234624145801</v>
      </c>
      <c r="G734">
        <v>1.2940205011389501</v>
      </c>
      <c r="H734">
        <v>0.97602505694760799</v>
      </c>
      <c r="I734">
        <v>1.7834851936218701</v>
      </c>
      <c r="J734">
        <v>1.6678246013667399</v>
      </c>
      <c r="K734">
        <v>1.1482915717539901</v>
      </c>
      <c r="L734">
        <v>15000</v>
      </c>
      <c r="M734">
        <v>241.28989572094801</v>
      </c>
      <c r="O734">
        <v>62.161614826626298</v>
      </c>
      <c r="P734">
        <v>0.48520678071190199</v>
      </c>
      <c r="Q734">
        <v>1.5</v>
      </c>
      <c r="R734">
        <v>0.54911149998407005</v>
      </c>
      <c r="S734" t="s">
        <v>2736</v>
      </c>
      <c r="T734" t="s">
        <v>4002</v>
      </c>
      <c r="U734" t="s">
        <v>4002</v>
      </c>
      <c r="V734" t="s">
        <v>4002</v>
      </c>
      <c r="W734" t="s">
        <v>4724</v>
      </c>
      <c r="X734">
        <v>1</v>
      </c>
      <c r="Y734" t="s">
        <v>6697</v>
      </c>
      <c r="Z734" t="s">
        <v>8632</v>
      </c>
      <c r="AA734">
        <v>1.1305100166280999</v>
      </c>
      <c r="AB734" t="str">
        <f>HYPERLINK("Melting_Curves/meltCurve_M0QYU8_KLK7.pdf", "Melting_Curves/meltCurve_M0QYU8_KLK7.pdf")</f>
        <v>Melting_Curves/meltCurve_M0QYU8_KLK7.pdf</v>
      </c>
    </row>
    <row r="735" spans="1:28" x14ac:dyDescent="0.25">
      <c r="A735" t="s">
        <v>739</v>
      </c>
      <c r="B735">
        <v>1</v>
      </c>
      <c r="C735">
        <v>0.886375321336761</v>
      </c>
      <c r="D735">
        <v>1.0018695956999299</v>
      </c>
      <c r="E735">
        <v>1.2472072914232299</v>
      </c>
      <c r="F735">
        <v>1.1213367609254501</v>
      </c>
      <c r="G735">
        <v>1.4071979434447299</v>
      </c>
      <c r="H735">
        <v>0.87207291423229705</v>
      </c>
      <c r="I735">
        <v>1.5119420425332999</v>
      </c>
      <c r="J735">
        <v>1.0869829399392399</v>
      </c>
      <c r="K735">
        <v>0.92797382566020103</v>
      </c>
      <c r="L735">
        <v>11706.332360935299</v>
      </c>
      <c r="M735">
        <v>250</v>
      </c>
      <c r="O735">
        <v>46.822332941491602</v>
      </c>
      <c r="P735">
        <v>0.224006680221392</v>
      </c>
      <c r="Q735">
        <v>1.16781624557284</v>
      </c>
      <c r="R735">
        <v>0.194446609522542</v>
      </c>
      <c r="S735" t="s">
        <v>2737</v>
      </c>
      <c r="T735" t="s">
        <v>4002</v>
      </c>
      <c r="U735" t="s">
        <v>4002</v>
      </c>
      <c r="V735" t="s">
        <v>4002</v>
      </c>
      <c r="W735" t="s">
        <v>4725</v>
      </c>
      <c r="X735">
        <v>3</v>
      </c>
      <c r="Y735" t="s">
        <v>6698</v>
      </c>
      <c r="Z735" t="s">
        <v>8633</v>
      </c>
      <c r="AA735">
        <v>1.12962241608078</v>
      </c>
      <c r="AB735" t="str">
        <f>HYPERLINK("Melting_Curves/meltCurve_M0QYY3_LYPD5.pdf", "Melting_Curves/meltCurve_M0QYY3_LYPD5.pdf")</f>
        <v>Melting_Curves/meltCurve_M0QYY3_LYPD5.pdf</v>
      </c>
    </row>
    <row r="736" spans="1:28" x14ac:dyDescent="0.25">
      <c r="A736" t="s">
        <v>740</v>
      </c>
      <c r="B736">
        <v>1</v>
      </c>
      <c r="C736">
        <v>1.39485261768588</v>
      </c>
      <c r="D736">
        <v>1.58586302976976</v>
      </c>
      <c r="E736">
        <v>1.6723126558146399</v>
      </c>
      <c r="F736">
        <v>1.67443906731192</v>
      </c>
      <c r="G736">
        <v>2.1583076697463</v>
      </c>
      <c r="H736">
        <v>2.36090335826368</v>
      </c>
      <c r="I736">
        <v>2.3254876081536899</v>
      </c>
      <c r="J736">
        <v>4.2043554773427196</v>
      </c>
      <c r="K736">
        <v>2.4759495527203401</v>
      </c>
      <c r="S736" t="s">
        <v>2738</v>
      </c>
      <c r="T736" t="s">
        <v>4002</v>
      </c>
      <c r="U736" t="s">
        <v>4003</v>
      </c>
      <c r="V736" t="s">
        <v>4002</v>
      </c>
      <c r="W736" t="s">
        <v>4726</v>
      </c>
      <c r="X736">
        <v>1</v>
      </c>
      <c r="Y736" t="s">
        <v>6699</v>
      </c>
      <c r="Z736" t="s">
        <v>8634</v>
      </c>
      <c r="AB736" t="str">
        <f>HYPERLINK("Melting_Curves/meltCurve_M0QZI4_PLD3.pdf", "Melting_Curves/meltCurve_M0QZI4_PLD3.pdf")</f>
        <v>Melting_Curves/meltCurve_M0QZI4_PLD3.pdf</v>
      </c>
    </row>
    <row r="737" spans="1:28" x14ac:dyDescent="0.25">
      <c r="A737" t="s">
        <v>741</v>
      </c>
      <c r="B737">
        <v>1</v>
      </c>
      <c r="C737">
        <v>1.04832828083125</v>
      </c>
      <c r="D737">
        <v>1.0460436711919501</v>
      </c>
      <c r="E737">
        <v>1.42339967488247</v>
      </c>
      <c r="F737">
        <v>1.6452484512982699</v>
      </c>
      <c r="G737">
        <v>1.82248143754668</v>
      </c>
      <c r="H737">
        <v>1.9670269320328599</v>
      </c>
      <c r="I737">
        <v>2.4458503580686299</v>
      </c>
      <c r="J737">
        <v>2.2567110408154298</v>
      </c>
      <c r="K737">
        <v>2.1743332893985299</v>
      </c>
      <c r="L737">
        <v>2619.3309528700102</v>
      </c>
      <c r="M737">
        <v>54.393129528115601</v>
      </c>
      <c r="O737">
        <v>48.090588620172603</v>
      </c>
      <c r="P737">
        <v>0.141382035787043</v>
      </c>
      <c r="Q737">
        <v>1.5</v>
      </c>
      <c r="R737">
        <v>0.126139133424466</v>
      </c>
      <c r="S737" t="s">
        <v>2739</v>
      </c>
      <c r="T737" t="s">
        <v>4002</v>
      </c>
      <c r="U737" t="s">
        <v>4002</v>
      </c>
      <c r="V737" t="s">
        <v>4002</v>
      </c>
      <c r="W737" t="s">
        <v>4727</v>
      </c>
      <c r="X737">
        <v>2</v>
      </c>
      <c r="Y737" t="s">
        <v>6700</v>
      </c>
      <c r="Z737" t="s">
        <v>8635</v>
      </c>
      <c r="AA737">
        <v>1.363177386633027</v>
      </c>
      <c r="AB737" t="str">
        <f>HYPERLINK("Melting_Curves/meltCurve_M0QZI8_KLK11.pdf", "Melting_Curves/meltCurve_M0QZI8_KLK11.pdf")</f>
        <v>Melting_Curves/meltCurve_M0QZI8_KLK11.pdf</v>
      </c>
    </row>
    <row r="738" spans="1:28" x14ac:dyDescent="0.25">
      <c r="A738" t="s">
        <v>742</v>
      </c>
      <c r="B738">
        <v>1</v>
      </c>
      <c r="C738">
        <v>0.95438640654499696</v>
      </c>
      <c r="D738">
        <v>1.13273757079924</v>
      </c>
      <c r="E738">
        <v>1.28727501573317</v>
      </c>
      <c r="F738">
        <v>1.3500818124606699</v>
      </c>
      <c r="G738">
        <v>1.6847828823159201</v>
      </c>
      <c r="H738">
        <v>2.14117054751416</v>
      </c>
      <c r="I738">
        <v>2.02580239144116</v>
      </c>
      <c r="J738">
        <v>3.05424795468848</v>
      </c>
      <c r="K738">
        <v>1.89721837633732</v>
      </c>
      <c r="L738">
        <v>1458.16428182912</v>
      </c>
      <c r="M738">
        <v>29.6161679101895</v>
      </c>
      <c r="O738">
        <v>49.012571900854297</v>
      </c>
      <c r="P738">
        <v>7.5532586176068603E-2</v>
      </c>
      <c r="Q738">
        <v>1.5</v>
      </c>
      <c r="R738">
        <v>0.12909960502967199</v>
      </c>
      <c r="S738" t="s">
        <v>2740</v>
      </c>
      <c r="T738" t="s">
        <v>4002</v>
      </c>
      <c r="U738" t="s">
        <v>4002</v>
      </c>
      <c r="V738" t="s">
        <v>4002</v>
      </c>
      <c r="W738" t="s">
        <v>4728</v>
      </c>
      <c r="X738">
        <v>5</v>
      </c>
      <c r="Y738" t="s">
        <v>6701</v>
      </c>
      <c r="Z738" t="s">
        <v>8636</v>
      </c>
      <c r="AA738">
        <v>1.342939186768471</v>
      </c>
      <c r="AB738" t="str">
        <f>HYPERLINK("Melting_Curves/meltCurve_M0QZK8_GGCT.pdf", "Melting_Curves/meltCurve_M0QZK8_GGCT.pdf")</f>
        <v>Melting_Curves/meltCurve_M0QZK8_GGCT.pdf</v>
      </c>
    </row>
    <row r="739" spans="1:28" x14ac:dyDescent="0.25">
      <c r="A739" t="s">
        <v>743</v>
      </c>
      <c r="B739">
        <v>1</v>
      </c>
      <c r="C739">
        <v>0.93809889979888805</v>
      </c>
      <c r="D739">
        <v>1.0227729800070999</v>
      </c>
      <c r="E739">
        <v>1.0344256476990401</v>
      </c>
      <c r="F739">
        <v>0.99893528924642105</v>
      </c>
      <c r="G739">
        <v>1.04187862297409</v>
      </c>
      <c r="H739">
        <v>0.83837099254702496</v>
      </c>
      <c r="I739">
        <v>1.30086951378209</v>
      </c>
      <c r="J739">
        <v>1.06545013604637</v>
      </c>
      <c r="K739">
        <v>1.0342186206080699</v>
      </c>
      <c r="L739">
        <v>4148.2855961328196</v>
      </c>
      <c r="M739">
        <v>66.432828935991694</v>
      </c>
      <c r="O739">
        <v>62.386797565540199</v>
      </c>
      <c r="P739">
        <v>3.1890193892588597E-2</v>
      </c>
      <c r="Q739">
        <v>1.1197917699968301</v>
      </c>
      <c r="R739">
        <v>0.25323828848597602</v>
      </c>
      <c r="S739" t="s">
        <v>2741</v>
      </c>
      <c r="T739" t="s">
        <v>4002</v>
      </c>
      <c r="U739" t="s">
        <v>4002</v>
      </c>
      <c r="V739" t="s">
        <v>4002</v>
      </c>
      <c r="W739" t="s">
        <v>4729</v>
      </c>
      <c r="X739">
        <v>8</v>
      </c>
      <c r="Y739" t="s">
        <v>6702</v>
      </c>
      <c r="Z739" t="s">
        <v>8637</v>
      </c>
      <c r="AA739">
        <v>1.029991613346124</v>
      </c>
      <c r="AB739" t="str">
        <f>HYPERLINK("Melting_Curves/meltCurve_M0QZR4_ARHGEF1.pdf", "Melting_Curves/meltCurve_M0QZR4_ARHGEF1.pdf")</f>
        <v>Melting_Curves/meltCurve_M0QZR4_ARHGEF1.pdf</v>
      </c>
    </row>
    <row r="740" spans="1:28" x14ac:dyDescent="0.25">
      <c r="A740" t="s">
        <v>744</v>
      </c>
      <c r="B740">
        <v>1</v>
      </c>
      <c r="C740">
        <v>0.83746894152724904</v>
      </c>
      <c r="D740">
        <v>1.0356137154215701</v>
      </c>
      <c r="E740">
        <v>0.82829219811164501</v>
      </c>
      <c r="F740">
        <v>0.94122908729501398</v>
      </c>
      <c r="G740">
        <v>0.91820440616200105</v>
      </c>
      <c r="H740">
        <v>1.2889845949975201</v>
      </c>
      <c r="I740">
        <v>1.0684445916846099</v>
      </c>
      <c r="J740">
        <v>1.8731489150240199</v>
      </c>
      <c r="K740">
        <v>0.97919496438628495</v>
      </c>
      <c r="L740">
        <v>12781.572394533699</v>
      </c>
      <c r="M740">
        <v>212.31111485994501</v>
      </c>
      <c r="O740">
        <v>60.196766025423798</v>
      </c>
      <c r="P740">
        <v>0.27063875904747098</v>
      </c>
      <c r="Q740">
        <v>1.3069377263806901</v>
      </c>
      <c r="R740">
        <v>0.35712108943943</v>
      </c>
      <c r="S740" t="s">
        <v>2742</v>
      </c>
      <c r="T740" t="s">
        <v>4002</v>
      </c>
      <c r="U740" t="s">
        <v>4002</v>
      </c>
      <c r="V740" t="s">
        <v>4002</v>
      </c>
      <c r="W740" t="s">
        <v>4730</v>
      </c>
      <c r="X740">
        <v>1</v>
      </c>
      <c r="Y740" t="s">
        <v>6703</v>
      </c>
      <c r="Z740" t="s">
        <v>8638</v>
      </c>
      <c r="AA740">
        <v>1.1001999939869469</v>
      </c>
      <c r="AB740" t="str">
        <f>HYPERLINK("Melting_Curves/meltCurve_M0QZR9_ELAVL1.pdf", "Melting_Curves/meltCurve_M0QZR9_ELAVL1.pdf")</f>
        <v>Melting_Curves/meltCurve_M0QZR9_ELAVL1.pdf</v>
      </c>
    </row>
    <row r="741" spans="1:28" x14ac:dyDescent="0.25">
      <c r="A741" t="s">
        <v>745</v>
      </c>
      <c r="B741">
        <v>1</v>
      </c>
      <c r="C741">
        <v>1.21551864849425</v>
      </c>
      <c r="D741">
        <v>1.46270301150739</v>
      </c>
      <c r="E741">
        <v>1.2301069125928299</v>
      </c>
      <c r="F741">
        <v>1.35905492532441</v>
      </c>
      <c r="G741">
        <v>1.56257651187464</v>
      </c>
      <c r="H741">
        <v>1.41669387088876</v>
      </c>
      <c r="I741">
        <v>1.6406186240104501</v>
      </c>
      <c r="J741">
        <v>10.9973067820126</v>
      </c>
      <c r="K741">
        <v>1.50707989880029</v>
      </c>
      <c r="L741">
        <v>1104.89329798107</v>
      </c>
      <c r="M741">
        <v>25.389496908384501</v>
      </c>
      <c r="O741">
        <v>43.250460434195901</v>
      </c>
      <c r="P741">
        <v>7.3380201277914295E-2</v>
      </c>
      <c r="Q741">
        <v>1.5</v>
      </c>
      <c r="R741">
        <v>-8.0213474186633202E-2</v>
      </c>
      <c r="S741" t="s">
        <v>2743</v>
      </c>
      <c r="T741" t="s">
        <v>4002</v>
      </c>
      <c r="U741" t="s">
        <v>4002</v>
      </c>
      <c r="V741" t="s">
        <v>4002</v>
      </c>
      <c r="W741" t="s">
        <v>4731</v>
      </c>
      <c r="X741">
        <v>1</v>
      </c>
      <c r="Y741" t="s">
        <v>6704</v>
      </c>
      <c r="Z741" t="s">
        <v>8639</v>
      </c>
      <c r="AA741">
        <v>1.435298459283793</v>
      </c>
      <c r="AB741" t="str">
        <f>HYPERLINK("Melting_Curves/meltCurve_M0R0P7_RPL18A.pdf", "Melting_Curves/meltCurve_M0R0P7_RPL18A.pdf")</f>
        <v>Melting_Curves/meltCurve_M0R0P7_RPL18A.pdf</v>
      </c>
    </row>
    <row r="742" spans="1:28" x14ac:dyDescent="0.25">
      <c r="A742" t="s">
        <v>746</v>
      </c>
      <c r="B742">
        <v>1</v>
      </c>
      <c r="C742">
        <v>1.033346597692</v>
      </c>
      <c r="D742">
        <v>1.1965777954635901</v>
      </c>
      <c r="E742">
        <v>1.4285714285714299</v>
      </c>
      <c r="F742">
        <v>1.4510147234381201</v>
      </c>
      <c r="G742">
        <v>1.5612415439713501</v>
      </c>
      <c r="H742">
        <v>1.0698766414643901</v>
      </c>
      <c r="I742">
        <v>1.9115797851173899</v>
      </c>
      <c r="J742">
        <v>1.3787504974134499</v>
      </c>
      <c r="K742">
        <v>1.4166335057699999</v>
      </c>
      <c r="L742">
        <v>1527.4416191063301</v>
      </c>
      <c r="M742">
        <v>32.901912138219899</v>
      </c>
      <c r="O742">
        <v>46.253608869588</v>
      </c>
      <c r="P742">
        <v>8.2987677546564095E-2</v>
      </c>
      <c r="Q742">
        <v>1.46665522547392</v>
      </c>
      <c r="R742">
        <v>0.46928390921435398</v>
      </c>
      <c r="S742" t="s">
        <v>2744</v>
      </c>
      <c r="T742" t="s">
        <v>4002</v>
      </c>
      <c r="U742" t="s">
        <v>4002</v>
      </c>
      <c r="V742" t="s">
        <v>4002</v>
      </c>
      <c r="W742" t="s">
        <v>4732</v>
      </c>
      <c r="X742">
        <v>2</v>
      </c>
      <c r="Y742" t="s">
        <v>6705</v>
      </c>
      <c r="Z742" t="s">
        <v>8640</v>
      </c>
      <c r="AA742">
        <v>1.364426227379848</v>
      </c>
      <c r="AB742" t="str">
        <f>HYPERLINK("Melting_Curves/meltCurve_M0R0Y2_NAPA.pdf", "Melting_Curves/meltCurve_M0R0Y2_NAPA.pdf")</f>
        <v>Melting_Curves/meltCurve_M0R0Y2_NAPA.pdf</v>
      </c>
    </row>
    <row r="743" spans="1:28" x14ac:dyDescent="0.25">
      <c r="A743" t="s">
        <v>747</v>
      </c>
      <c r="B743">
        <v>1</v>
      </c>
      <c r="C743">
        <v>0.84745333755140795</v>
      </c>
      <c r="D743">
        <v>0.96969313508383403</v>
      </c>
      <c r="E743">
        <v>1.03872192344195</v>
      </c>
      <c r="F743">
        <v>0.69674153748813705</v>
      </c>
      <c r="G743">
        <v>0.90376463144574504</v>
      </c>
      <c r="H743">
        <v>0.79974691553305899</v>
      </c>
      <c r="I743">
        <v>0.73179373615944299</v>
      </c>
      <c r="J743">
        <v>0.98348623853211004</v>
      </c>
      <c r="K743">
        <v>0.82220816197405899</v>
      </c>
      <c r="L743">
        <v>447.683141789258</v>
      </c>
      <c r="M743">
        <v>9.5478259873257105</v>
      </c>
      <c r="O743">
        <v>44.969904223744997</v>
      </c>
      <c r="P743">
        <v>-9.2520155527029795E-3</v>
      </c>
      <c r="Q743">
        <v>0.82579442104536704</v>
      </c>
      <c r="R743">
        <v>0.16978546087261401</v>
      </c>
      <c r="S743" t="s">
        <v>2745</v>
      </c>
      <c r="T743" t="s">
        <v>4002</v>
      </c>
      <c r="U743" t="s">
        <v>4002</v>
      </c>
      <c r="V743" t="s">
        <v>4002</v>
      </c>
      <c r="W743" t="s">
        <v>4713</v>
      </c>
      <c r="X743">
        <v>1</v>
      </c>
      <c r="Z743" t="s">
        <v>8641</v>
      </c>
      <c r="AA743">
        <v>0.87666233407525118</v>
      </c>
      <c r="AB743" t="str">
        <f>HYPERLINK("Melting_Curves/meltCurve_M0R150_.pdf", "Melting_Curves/meltCurve_M0R150_.pdf")</f>
        <v>Melting_Curves/meltCurve_M0R150_.pdf</v>
      </c>
    </row>
    <row r="744" spans="1:28" x14ac:dyDescent="0.25">
      <c r="A744" t="s">
        <v>748</v>
      </c>
      <c r="B744">
        <v>1</v>
      </c>
      <c r="C744">
        <v>1.0245394736842099</v>
      </c>
      <c r="D744">
        <v>1.04013157894737</v>
      </c>
      <c r="E744">
        <v>1.0449999999999999</v>
      </c>
      <c r="F744">
        <v>1.23072368421053</v>
      </c>
      <c r="G744">
        <v>1.0390789473684201</v>
      </c>
      <c r="H744">
        <v>0.71896929824561395</v>
      </c>
      <c r="I744">
        <v>1.0559210526315801</v>
      </c>
      <c r="J744">
        <v>0.628070175438596</v>
      </c>
      <c r="K744">
        <v>0.93087719298245597</v>
      </c>
      <c r="L744">
        <v>5447.4070578321998</v>
      </c>
      <c r="M744">
        <v>92.887722617283202</v>
      </c>
      <c r="O744">
        <v>58.617903848782099</v>
      </c>
      <c r="P744">
        <v>-6.5800522478873399E-2</v>
      </c>
      <c r="Q744">
        <v>0.83390319784478995</v>
      </c>
      <c r="R744">
        <v>0.365060074641268</v>
      </c>
      <c r="S744" t="s">
        <v>2746</v>
      </c>
      <c r="T744" t="s">
        <v>4002</v>
      </c>
      <c r="U744" t="s">
        <v>4002</v>
      </c>
      <c r="V744" t="s">
        <v>4002</v>
      </c>
      <c r="W744" t="s">
        <v>4733</v>
      </c>
      <c r="X744">
        <v>1</v>
      </c>
      <c r="Y744" t="s">
        <v>6706</v>
      </c>
      <c r="Z744" t="s">
        <v>8642</v>
      </c>
      <c r="AA744">
        <v>0.937256752844701</v>
      </c>
      <c r="AB744" t="str">
        <f>HYPERLINK("Melting_Curves/meltCurve_M0R154_ESM1.pdf", "Melting_Curves/meltCurve_M0R154_ESM1.pdf")</f>
        <v>Melting_Curves/meltCurve_M0R154_ESM1.pdf</v>
      </c>
    </row>
    <row r="745" spans="1:28" x14ac:dyDescent="0.25">
      <c r="A745" t="s">
        <v>749</v>
      </c>
      <c r="B745">
        <v>1</v>
      </c>
      <c r="C745">
        <v>1.0523795270877001</v>
      </c>
      <c r="D745">
        <v>1.284046692607</v>
      </c>
      <c r="E745">
        <v>1.3216477102663899</v>
      </c>
      <c r="F745">
        <v>1.56076025142173</v>
      </c>
      <c r="G745">
        <v>1.9012271774917699</v>
      </c>
      <c r="H745">
        <v>1.8818093385214001</v>
      </c>
      <c r="I745">
        <v>2.2521325950314299</v>
      </c>
      <c r="J745">
        <v>2.4897111643220602</v>
      </c>
      <c r="K745">
        <v>1.9777761149356501</v>
      </c>
      <c r="L745">
        <v>1278.6486865316399</v>
      </c>
      <c r="M745">
        <v>27.819171626836301</v>
      </c>
      <c r="O745">
        <v>45.727323814227397</v>
      </c>
      <c r="P745">
        <v>7.6047028120784094E-2</v>
      </c>
      <c r="Q745">
        <v>1.5</v>
      </c>
      <c r="R745">
        <v>9.0647651793099596E-2</v>
      </c>
      <c r="S745" t="s">
        <v>2747</v>
      </c>
      <c r="T745" t="s">
        <v>4002</v>
      </c>
      <c r="U745" t="s">
        <v>4002</v>
      </c>
      <c r="V745" t="s">
        <v>4002</v>
      </c>
      <c r="W745" t="s">
        <v>4734</v>
      </c>
      <c r="X745">
        <v>2</v>
      </c>
      <c r="Y745" t="s">
        <v>6707</v>
      </c>
      <c r="Z745" t="s">
        <v>8643</v>
      </c>
      <c r="AA745">
        <v>1.396998658863128</v>
      </c>
      <c r="AB745" t="str">
        <f>HYPERLINK("Melting_Curves/meltCurve_M0R1E0_RAB4B.pdf", "Melting_Curves/meltCurve_M0R1E0_RAB4B.pdf")</f>
        <v>Melting_Curves/meltCurve_M0R1E0_RAB4B.pdf</v>
      </c>
    </row>
    <row r="746" spans="1:28" x14ac:dyDescent="0.25">
      <c r="A746" t="s">
        <v>750</v>
      </c>
      <c r="B746">
        <v>1</v>
      </c>
      <c r="C746">
        <v>0.88740446530661399</v>
      </c>
      <c r="D746">
        <v>0.94469519167117999</v>
      </c>
      <c r="E746">
        <v>1.0139014262502299</v>
      </c>
      <c r="F746">
        <v>1.05024974423783</v>
      </c>
      <c r="G746">
        <v>1.2168261419028701</v>
      </c>
      <c r="H746">
        <v>1.41319131010411</v>
      </c>
      <c r="I746">
        <v>1.1796353132334401</v>
      </c>
      <c r="J746">
        <v>1.63410964674731</v>
      </c>
      <c r="K746">
        <v>1.2529939218872199</v>
      </c>
      <c r="L746">
        <v>1863.6184742619801</v>
      </c>
      <c r="M746">
        <v>33.121125726335997</v>
      </c>
      <c r="O746">
        <v>56.062835151598001</v>
      </c>
      <c r="P746">
        <v>5.5677049858222201E-2</v>
      </c>
      <c r="Q746">
        <v>1.37696780962409</v>
      </c>
      <c r="R746">
        <v>0.71172306274013997</v>
      </c>
      <c r="S746" t="s">
        <v>2748</v>
      </c>
      <c r="T746" t="s">
        <v>4002</v>
      </c>
      <c r="U746" t="s">
        <v>4002</v>
      </c>
      <c r="V746" t="s">
        <v>4002</v>
      </c>
      <c r="W746" t="s">
        <v>4735</v>
      </c>
      <c r="X746">
        <v>1</v>
      </c>
      <c r="Y746" t="s">
        <v>6708</v>
      </c>
      <c r="Z746" t="s">
        <v>8644</v>
      </c>
      <c r="AA746">
        <v>1.1704724151148269</v>
      </c>
      <c r="AB746" t="str">
        <f>HYPERLINK("Melting_Curves/meltCurve_M0R1Q0_FKBP8.pdf", "Melting_Curves/meltCurve_M0R1Q0_FKBP8.pdf")</f>
        <v>Melting_Curves/meltCurve_M0R1Q0_FKBP8.pdf</v>
      </c>
    </row>
    <row r="747" spans="1:28" x14ac:dyDescent="0.25">
      <c r="A747" t="s">
        <v>751</v>
      </c>
      <c r="B747">
        <v>1</v>
      </c>
      <c r="C747">
        <v>0.69418407060242304</v>
      </c>
      <c r="D747">
        <v>1.12963876555391</v>
      </c>
      <c r="E747">
        <v>1.2101628021707</v>
      </c>
      <c r="F747">
        <v>1.0931316121251999</v>
      </c>
      <c r="G747">
        <v>0.96288987556871097</v>
      </c>
      <c r="H747">
        <v>0.98728279340020797</v>
      </c>
      <c r="I747">
        <v>1.3154086498931099</v>
      </c>
      <c r="J747">
        <v>1.14411006961574</v>
      </c>
      <c r="K747">
        <v>1.30367812311572</v>
      </c>
      <c r="L747">
        <v>751.03965501938899</v>
      </c>
      <c r="M747">
        <v>10.9747250918291</v>
      </c>
      <c r="O747">
        <v>66.279158949388403</v>
      </c>
      <c r="P747">
        <v>2.0704963881766601E-2</v>
      </c>
      <c r="Q747">
        <v>1.5</v>
      </c>
      <c r="R747">
        <v>0.32095812789169798</v>
      </c>
      <c r="S747" t="s">
        <v>2749</v>
      </c>
      <c r="T747" t="s">
        <v>4002</v>
      </c>
      <c r="U747" t="s">
        <v>4002</v>
      </c>
      <c r="V747" t="s">
        <v>4002</v>
      </c>
      <c r="W747" t="s">
        <v>4736</v>
      </c>
      <c r="X747">
        <v>3</v>
      </c>
      <c r="Y747" t="s">
        <v>6709</v>
      </c>
      <c r="Z747" t="s">
        <v>8645</v>
      </c>
      <c r="AA747">
        <v>1.0737334026861871</v>
      </c>
      <c r="AB747" t="str">
        <f>HYPERLINK("Melting_Curves/meltCurve_M0R294_KLK3.pdf", "Melting_Curves/meltCurve_M0R294_KLK3.pdf")</f>
        <v>Melting_Curves/meltCurve_M0R294_KLK3.pdf</v>
      </c>
    </row>
    <row r="748" spans="1:28" x14ac:dyDescent="0.25">
      <c r="A748" t="s">
        <v>752</v>
      </c>
      <c r="B748">
        <v>1</v>
      </c>
      <c r="C748">
        <v>0.90752755905511795</v>
      </c>
      <c r="D748">
        <v>1.01902362204724</v>
      </c>
      <c r="E748">
        <v>0.89921259842519696</v>
      </c>
      <c r="F748">
        <v>0.75067716535433104</v>
      </c>
      <c r="G748">
        <v>0.86488188976378</v>
      </c>
      <c r="H748">
        <v>0.55353700787401605</v>
      </c>
      <c r="I748">
        <v>0.78721259842519697</v>
      </c>
      <c r="J748">
        <v>1.2040944881889799</v>
      </c>
      <c r="K748">
        <v>0.69114960629921296</v>
      </c>
      <c r="L748">
        <v>12494.683192045301</v>
      </c>
      <c r="M748">
        <v>250</v>
      </c>
      <c r="O748">
        <v>49.975545853117602</v>
      </c>
      <c r="P748">
        <v>-0.23937697480372699</v>
      </c>
      <c r="Q748">
        <v>0.80859212401442904</v>
      </c>
      <c r="R748">
        <v>0.17972661457396399</v>
      </c>
      <c r="S748" t="s">
        <v>2750</v>
      </c>
      <c r="T748" t="s">
        <v>4002</v>
      </c>
      <c r="U748" t="s">
        <v>4002</v>
      </c>
      <c r="V748" t="s">
        <v>4002</v>
      </c>
      <c r="W748" t="s">
        <v>4737</v>
      </c>
      <c r="X748">
        <v>1</v>
      </c>
      <c r="Y748" t="s">
        <v>6710</v>
      </c>
      <c r="Z748" t="s">
        <v>8646</v>
      </c>
      <c r="AA748">
        <v>0.87227584756872656</v>
      </c>
      <c r="AB748" t="str">
        <f>HYPERLINK("Melting_Curves/meltCurve_M0R2L9_RPS19.pdf", "Melting_Curves/meltCurve_M0R2L9_RPS19.pdf")</f>
        <v>Melting_Curves/meltCurve_M0R2L9_RPS19.pdf</v>
      </c>
    </row>
    <row r="749" spans="1:28" x14ac:dyDescent="0.25">
      <c r="A749" t="s">
        <v>753</v>
      </c>
      <c r="B749">
        <v>1</v>
      </c>
      <c r="C749">
        <v>0.770004322143783</v>
      </c>
      <c r="D749">
        <v>0.96174902751764901</v>
      </c>
      <c r="E749">
        <v>0.91921913268981403</v>
      </c>
      <c r="F749">
        <v>0.89710416366517798</v>
      </c>
      <c r="G749">
        <v>0.90995533784757199</v>
      </c>
      <c r="H749">
        <v>0.83927387984440305</v>
      </c>
      <c r="I749">
        <v>0.95686500504250105</v>
      </c>
      <c r="J749">
        <v>1.1971617922489599</v>
      </c>
      <c r="K749">
        <v>0.98091053162368502</v>
      </c>
      <c r="L749">
        <v>10218.023301782099</v>
      </c>
      <c r="M749">
        <v>250</v>
      </c>
      <c r="O749">
        <v>40.8694776795545</v>
      </c>
      <c r="P749">
        <v>-9.6471560608421797E-2</v>
      </c>
      <c r="Q749">
        <v>0.93691612340958497</v>
      </c>
      <c r="R749">
        <v>3.1339432472814198E-2</v>
      </c>
      <c r="S749" t="s">
        <v>2751</v>
      </c>
      <c r="T749" t="s">
        <v>4002</v>
      </c>
      <c r="U749" t="s">
        <v>4002</v>
      </c>
      <c r="V749" t="s">
        <v>4002</v>
      </c>
      <c r="W749" t="s">
        <v>4738</v>
      </c>
      <c r="X749">
        <v>2</v>
      </c>
      <c r="Y749" t="s">
        <v>6711</v>
      </c>
      <c r="Z749" t="s">
        <v>8647</v>
      </c>
      <c r="AA749">
        <v>0.93875588227540829</v>
      </c>
      <c r="AB749" t="str">
        <f>HYPERLINK("Melting_Curves/meltCurve_M0R2S2_EPS15L1.pdf", "Melting_Curves/meltCurve_M0R2S2_EPS15L1.pdf")</f>
        <v>Melting_Curves/meltCurve_M0R2S2_EPS15L1.pdf</v>
      </c>
    </row>
    <row r="750" spans="1:28" x14ac:dyDescent="0.25">
      <c r="A750" t="s">
        <v>754</v>
      </c>
      <c r="B750">
        <v>1</v>
      </c>
      <c r="C750">
        <v>0.94507919384102401</v>
      </c>
      <c r="D750">
        <v>1.0028441131760899</v>
      </c>
      <c r="E750">
        <v>0.93772372873044696</v>
      </c>
      <c r="F750">
        <v>1.0526160937576601</v>
      </c>
      <c r="G750">
        <v>0.93600745353797898</v>
      </c>
      <c r="H750">
        <v>0.79865640170646801</v>
      </c>
      <c r="I750">
        <v>1.2786250183886601</v>
      </c>
      <c r="J750">
        <v>0.65875545530329005</v>
      </c>
      <c r="K750">
        <v>0.91016525278281801</v>
      </c>
      <c r="L750">
        <v>607.53695529610695</v>
      </c>
      <c r="M750">
        <v>6.8995172262112003</v>
      </c>
      <c r="Q750">
        <v>0</v>
      </c>
      <c r="R750">
        <v>6.8218904538023498E-2</v>
      </c>
      <c r="S750" t="s">
        <v>2752</v>
      </c>
      <c r="T750" t="s">
        <v>4002</v>
      </c>
      <c r="U750" t="s">
        <v>4002</v>
      </c>
      <c r="V750" t="s">
        <v>4002</v>
      </c>
      <c r="W750" t="s">
        <v>4739</v>
      </c>
      <c r="X750">
        <v>2</v>
      </c>
      <c r="Y750" t="s">
        <v>6712</v>
      </c>
      <c r="Z750" t="s">
        <v>8648</v>
      </c>
      <c r="AA750">
        <v>0.96567756748537203</v>
      </c>
      <c r="AB750" t="str">
        <f>HYPERLINK("Melting_Curves/meltCurve_M0R300_MYO9B.pdf", "Melting_Curves/meltCurve_M0R300_MYO9B.pdf")</f>
        <v>Melting_Curves/meltCurve_M0R300_MYO9B.pdf</v>
      </c>
    </row>
    <row r="751" spans="1:28" x14ac:dyDescent="0.25">
      <c r="A751" t="s">
        <v>755</v>
      </c>
      <c r="B751">
        <v>1</v>
      </c>
      <c r="C751">
        <v>0.82152487528650397</v>
      </c>
      <c r="D751">
        <v>1.06057031144668</v>
      </c>
      <c r="E751">
        <v>0.98163003909936597</v>
      </c>
      <c r="F751">
        <v>1.03525684238911</v>
      </c>
      <c r="G751">
        <v>1.2321356343535099</v>
      </c>
      <c r="H751">
        <v>1.0942429553727899</v>
      </c>
      <c r="I751">
        <v>1.7416745314817299</v>
      </c>
      <c r="J751">
        <v>2.2443373331535699</v>
      </c>
      <c r="K751">
        <v>1.58210866927329</v>
      </c>
      <c r="L751">
        <v>15000</v>
      </c>
      <c r="M751">
        <v>244.44263625449301</v>
      </c>
      <c r="O751">
        <v>61.359982847134297</v>
      </c>
      <c r="P751">
        <v>0.49796835274830098</v>
      </c>
      <c r="Q751">
        <v>1.5</v>
      </c>
      <c r="R751">
        <v>0.59575570841118597</v>
      </c>
      <c r="S751" t="s">
        <v>2753</v>
      </c>
      <c r="T751" t="s">
        <v>4002</v>
      </c>
      <c r="U751" t="s">
        <v>4002</v>
      </c>
      <c r="V751" t="s">
        <v>4002</v>
      </c>
      <c r="W751" t="s">
        <v>4740</v>
      </c>
      <c r="X751">
        <v>2</v>
      </c>
      <c r="Y751" t="s">
        <v>6713</v>
      </c>
      <c r="Z751" t="s">
        <v>8649</v>
      </c>
      <c r="AA751">
        <v>1.143875505325862</v>
      </c>
      <c r="AB751" t="str">
        <f>HYPERLINK("Melting_Curves/meltCurve_M0R389_PAFAH1B3.pdf", "Melting_Curves/meltCurve_M0R389_PAFAH1B3.pdf")</f>
        <v>Melting_Curves/meltCurve_M0R389_PAFAH1B3.pdf</v>
      </c>
    </row>
    <row r="752" spans="1:28" x14ac:dyDescent="0.25">
      <c r="A752" t="s">
        <v>756</v>
      </c>
      <c r="B752">
        <v>1</v>
      </c>
      <c r="C752">
        <v>0.86248381938627905</v>
      </c>
      <c r="D752">
        <v>0.862255387192568</v>
      </c>
      <c r="E752">
        <v>0.797076067920506</v>
      </c>
      <c r="F752">
        <v>0.71129977918221299</v>
      </c>
      <c r="G752">
        <v>0.73737912129749505</v>
      </c>
      <c r="H752">
        <v>0.73748572298789306</v>
      </c>
      <c r="I752">
        <v>0.86606259042107703</v>
      </c>
      <c r="J752">
        <v>0.98933983096017697</v>
      </c>
      <c r="K752">
        <v>0.85045305718419295</v>
      </c>
      <c r="L752">
        <v>2560.11677761998</v>
      </c>
      <c r="M752">
        <v>60.740484036162002</v>
      </c>
      <c r="O752">
        <v>42.102817526478297</v>
      </c>
      <c r="P752">
        <v>-6.5448757563667206E-2</v>
      </c>
      <c r="Q752">
        <v>0.81853442634959594</v>
      </c>
      <c r="R752">
        <v>0.333088062420199</v>
      </c>
      <c r="S752" t="s">
        <v>2754</v>
      </c>
      <c r="T752" t="s">
        <v>4002</v>
      </c>
      <c r="U752" t="s">
        <v>4002</v>
      </c>
      <c r="V752" t="s">
        <v>4002</v>
      </c>
      <c r="W752" t="s">
        <v>4741</v>
      </c>
      <c r="X752">
        <v>1</v>
      </c>
      <c r="Y752" t="s">
        <v>6714</v>
      </c>
      <c r="Z752" t="s">
        <v>8650</v>
      </c>
      <c r="AA752">
        <v>0.83189601835640503</v>
      </c>
      <c r="AB752" t="str">
        <f>HYPERLINK("Melting_Curves/meltCurve_O00151_PDLIM1.pdf", "Melting_Curves/meltCurve_O00151_PDLIM1.pdf")</f>
        <v>Melting_Curves/meltCurve_O00151_PDLIM1.pdf</v>
      </c>
    </row>
    <row r="753" spans="1:28" x14ac:dyDescent="0.25">
      <c r="A753" t="s">
        <v>757</v>
      </c>
      <c r="B753">
        <v>1</v>
      </c>
      <c r="C753">
        <v>0.925748868433098</v>
      </c>
      <c r="D753">
        <v>1.06657173371307</v>
      </c>
      <c r="E753">
        <v>1.08055739205615</v>
      </c>
      <c r="F753">
        <v>1.0711488582617099</v>
      </c>
      <c r="G753">
        <v>1.08523623048365</v>
      </c>
      <c r="H753">
        <v>1.18354269440065</v>
      </c>
      <c r="I753">
        <v>1.90683008696537</v>
      </c>
      <c r="J753">
        <v>1.51579107969282</v>
      </c>
      <c r="K753">
        <v>1.60682500127142</v>
      </c>
      <c r="L753">
        <v>15000</v>
      </c>
      <c r="M753">
        <v>245.35715463241499</v>
      </c>
      <c r="O753">
        <v>61.131306546516001</v>
      </c>
      <c r="P753">
        <v>0.50170111033940601</v>
      </c>
      <c r="Q753">
        <v>1.5</v>
      </c>
      <c r="R753">
        <v>0.77678447576546406</v>
      </c>
      <c r="S753" t="s">
        <v>2755</v>
      </c>
      <c r="T753" t="s">
        <v>4002</v>
      </c>
      <c r="U753" t="s">
        <v>4002</v>
      </c>
      <c r="V753" t="s">
        <v>4002</v>
      </c>
      <c r="W753" t="s">
        <v>4742</v>
      </c>
      <c r="X753">
        <v>8</v>
      </c>
      <c r="Y753" t="s">
        <v>6715</v>
      </c>
      <c r="Z753" t="s">
        <v>8651</v>
      </c>
      <c r="AA753">
        <v>1.147688166835136</v>
      </c>
      <c r="AB753" t="str">
        <f>HYPERLINK("Melting_Curves/meltCurve_O00160_MYO1F.pdf", "Melting_Curves/meltCurve_O00160_MYO1F.pdf")</f>
        <v>Melting_Curves/meltCurve_O00160_MYO1F.pdf</v>
      </c>
    </row>
    <row r="754" spans="1:28" x14ac:dyDescent="0.25">
      <c r="A754" t="s">
        <v>758</v>
      </c>
      <c r="B754">
        <v>1</v>
      </c>
      <c r="C754">
        <v>1.0305244391314701</v>
      </c>
      <c r="D754">
        <v>1.1006111071034801</v>
      </c>
      <c r="E754">
        <v>1.1247256201242799</v>
      </c>
      <c r="F754">
        <v>1.1387408926492</v>
      </c>
      <c r="G754">
        <v>1.2117027525583</v>
      </c>
      <c r="H754">
        <v>0.84035986273277197</v>
      </c>
      <c r="I754">
        <v>1.55785937322877</v>
      </c>
      <c r="J754">
        <v>1.1780042664138399</v>
      </c>
      <c r="K754">
        <v>0.94653585745643398</v>
      </c>
      <c r="L754">
        <v>1238.1347570011701</v>
      </c>
      <c r="M754">
        <v>27.602857353407099</v>
      </c>
      <c r="O754">
        <v>44.6218647786893</v>
      </c>
      <c r="P754">
        <v>2.23495322769472E-2</v>
      </c>
      <c r="Q754">
        <v>1.14451674274167</v>
      </c>
      <c r="R754">
        <v>7.7790814245707801E-2</v>
      </c>
      <c r="S754" t="s">
        <v>2756</v>
      </c>
      <c r="T754" t="s">
        <v>4002</v>
      </c>
      <c r="U754" t="s">
        <v>4002</v>
      </c>
      <c r="V754" t="s">
        <v>4002</v>
      </c>
      <c r="W754" t="s">
        <v>4743</v>
      </c>
      <c r="X754">
        <v>1</v>
      </c>
      <c r="Y754" t="s">
        <v>6716</v>
      </c>
      <c r="Z754" t="s">
        <v>8652</v>
      </c>
      <c r="AA754">
        <v>1.1199762395988979</v>
      </c>
      <c r="AB754" t="str">
        <f>HYPERLINK("Melting_Curves/meltCurve_O00244_ATOX1.pdf", "Melting_Curves/meltCurve_O00244_ATOX1.pdf")</f>
        <v>Melting_Curves/meltCurve_O00244_ATOX1.pdf</v>
      </c>
    </row>
    <row r="755" spans="1:28" x14ac:dyDescent="0.25">
      <c r="A755" t="s">
        <v>759</v>
      </c>
      <c r="B755">
        <v>1</v>
      </c>
      <c r="C755">
        <v>1.02899159663866</v>
      </c>
      <c r="D755">
        <v>1.04278711484594</v>
      </c>
      <c r="E755">
        <v>0.93265639589169003</v>
      </c>
      <c r="F755">
        <v>1.05093370681606</v>
      </c>
      <c r="G755">
        <v>1.0029645191409899</v>
      </c>
      <c r="H755">
        <v>0.85441176470588198</v>
      </c>
      <c r="I755">
        <v>1.1612511671335199</v>
      </c>
      <c r="J755">
        <v>0.93214285714285705</v>
      </c>
      <c r="K755">
        <v>0.94631185807656404</v>
      </c>
      <c r="L755">
        <v>15000</v>
      </c>
      <c r="M755">
        <v>227.60267380070599</v>
      </c>
      <c r="O755">
        <v>65.899217063190903</v>
      </c>
      <c r="P755">
        <v>-5.29380105771559E-2</v>
      </c>
      <c r="Q755">
        <v>0.93869009889723198</v>
      </c>
      <c r="R755">
        <v>0.110727954468821</v>
      </c>
      <c r="S755" t="s">
        <v>2757</v>
      </c>
      <c r="T755" t="s">
        <v>4002</v>
      </c>
      <c r="U755" t="s">
        <v>4002</v>
      </c>
      <c r="V755" t="s">
        <v>4002</v>
      </c>
      <c r="W755" t="s">
        <v>4744</v>
      </c>
      <c r="X755">
        <v>1</v>
      </c>
      <c r="Y755" t="s">
        <v>6717</v>
      </c>
      <c r="Z755" t="s">
        <v>8653</v>
      </c>
      <c r="AA755">
        <v>0.9916383685094512</v>
      </c>
      <c r="AB755" t="str">
        <f>HYPERLINK("Melting_Curves/meltCurve_O00291_3_HIP1.pdf", "Melting_Curves/meltCurve_O00291_3_HIP1.pdf")</f>
        <v>Melting_Curves/meltCurve_O00291_3_HIP1.pdf</v>
      </c>
    </row>
    <row r="756" spans="1:28" x14ac:dyDescent="0.25">
      <c r="A756" t="s">
        <v>760</v>
      </c>
      <c r="B756">
        <v>1</v>
      </c>
      <c r="C756">
        <v>0.95510303621509596</v>
      </c>
      <c r="D756">
        <v>1.0080721863187401</v>
      </c>
      <c r="E756">
        <v>1.14483599561029</v>
      </c>
      <c r="F756">
        <v>1.07816119985368</v>
      </c>
      <c r="G756">
        <v>1.37366174856725</v>
      </c>
      <c r="H756">
        <v>1.4677234483599599</v>
      </c>
      <c r="I756">
        <v>2.2935007925862698</v>
      </c>
      <c r="J756">
        <v>2.5709059870747502</v>
      </c>
      <c r="K756">
        <v>2.6248018534325102</v>
      </c>
      <c r="L756">
        <v>2417.97635606211</v>
      </c>
      <c r="M756">
        <v>43.825835680472203</v>
      </c>
      <c r="O756">
        <v>55.057902948911902</v>
      </c>
      <c r="P756">
        <v>9.9499582491379995E-2</v>
      </c>
      <c r="Q756">
        <v>1.5</v>
      </c>
      <c r="R756">
        <v>0.25645337052061801</v>
      </c>
      <c r="S756" t="s">
        <v>2758</v>
      </c>
      <c r="T756" t="s">
        <v>4002</v>
      </c>
      <c r="U756" t="s">
        <v>4002</v>
      </c>
      <c r="V756" t="s">
        <v>4002</v>
      </c>
      <c r="W756" t="s">
        <v>4745</v>
      </c>
      <c r="X756">
        <v>8</v>
      </c>
      <c r="Y756" t="s">
        <v>6718</v>
      </c>
      <c r="Z756" t="s">
        <v>8654</v>
      </c>
      <c r="AA756">
        <v>1.245543524021246</v>
      </c>
      <c r="AB756" t="str">
        <f>HYPERLINK("Melting_Curves/meltCurve_O00299_CLIC1.pdf", "Melting_Curves/meltCurve_O00299_CLIC1.pdf")</f>
        <v>Melting_Curves/meltCurve_O00299_CLIC1.pdf</v>
      </c>
    </row>
    <row r="757" spans="1:28" x14ac:dyDescent="0.25">
      <c r="A757" t="s">
        <v>761</v>
      </c>
      <c r="B757">
        <v>1</v>
      </c>
      <c r="C757">
        <v>1.00919252513918</v>
      </c>
      <c r="D757">
        <v>1.27143124307683</v>
      </c>
      <c r="E757">
        <v>1.4844705306921</v>
      </c>
      <c r="F757">
        <v>1.4700847323522199</v>
      </c>
      <c r="G757">
        <v>1.59063772244041</v>
      </c>
      <c r="H757">
        <v>1.5917885863076</v>
      </c>
      <c r="I757">
        <v>1.9232373800584099</v>
      </c>
      <c r="J757">
        <v>1.6365284191446201</v>
      </c>
      <c r="K757">
        <v>1.65623696287025</v>
      </c>
      <c r="L757">
        <v>2307.8203653629098</v>
      </c>
      <c r="M757">
        <v>50.331414933432903</v>
      </c>
      <c r="O757">
        <v>45.780266916245999</v>
      </c>
      <c r="P757">
        <v>0.137426707138254</v>
      </c>
      <c r="Q757">
        <v>1.5</v>
      </c>
      <c r="R757">
        <v>0.68845233834436403</v>
      </c>
      <c r="S757" t="s">
        <v>2759</v>
      </c>
      <c r="T757" t="s">
        <v>4002</v>
      </c>
      <c r="U757" t="s">
        <v>4002</v>
      </c>
      <c r="V757" t="s">
        <v>4002</v>
      </c>
      <c r="W757" t="s">
        <v>4746</v>
      </c>
      <c r="X757">
        <v>15</v>
      </c>
      <c r="Y757" t="s">
        <v>6719</v>
      </c>
      <c r="Z757" t="s">
        <v>8655</v>
      </c>
      <c r="AA757">
        <v>1.4014535955686891</v>
      </c>
      <c r="AB757" t="str">
        <f>HYPERLINK("Melting_Curves/meltCurve_O00391_QSOX1.pdf", "Melting_Curves/meltCurve_O00391_QSOX1.pdf")</f>
        <v>Melting_Curves/meltCurve_O00391_QSOX1.pdf</v>
      </c>
    </row>
    <row r="758" spans="1:28" x14ac:dyDescent="0.25">
      <c r="A758" t="s">
        <v>762</v>
      </c>
      <c r="B758">
        <v>1</v>
      </c>
      <c r="C758">
        <v>0.90398012157785002</v>
      </c>
      <c r="D758">
        <v>0.98078715001996697</v>
      </c>
      <c r="E758">
        <v>1.2818476283444999</v>
      </c>
      <c r="F758">
        <v>1.7070595021520201</v>
      </c>
      <c r="G758">
        <v>2.09863779562497</v>
      </c>
      <c r="H758">
        <v>1.94901717176199</v>
      </c>
      <c r="I758">
        <v>2.5744331543683701</v>
      </c>
      <c r="J758">
        <v>2.2584638594311599</v>
      </c>
      <c r="K758">
        <v>2.1044060877667801</v>
      </c>
      <c r="L758">
        <v>12487.1911772641</v>
      </c>
      <c r="M758">
        <v>250</v>
      </c>
      <c r="O758">
        <v>49.945579376711002</v>
      </c>
      <c r="P758">
        <v>0.62568113777147105</v>
      </c>
      <c r="Q758">
        <v>1.5</v>
      </c>
      <c r="R758">
        <v>0.17325388747204101</v>
      </c>
      <c r="S758" t="s">
        <v>2760</v>
      </c>
      <c r="T758" t="s">
        <v>4002</v>
      </c>
      <c r="U758" t="s">
        <v>4002</v>
      </c>
      <c r="V758" t="s">
        <v>4002</v>
      </c>
      <c r="W758" t="s">
        <v>4747</v>
      </c>
      <c r="X758">
        <v>10</v>
      </c>
      <c r="Y758" t="s">
        <v>6720</v>
      </c>
      <c r="Z758" t="s">
        <v>8656</v>
      </c>
      <c r="AA758">
        <v>1.334143425196715</v>
      </c>
      <c r="AB758" t="str">
        <f>HYPERLINK("Melting_Curves/meltCurve_O00462_MANBA.pdf", "Melting_Curves/meltCurve_O00462_MANBA.pdf")</f>
        <v>Melting_Curves/meltCurve_O00462_MANBA.pdf</v>
      </c>
    </row>
    <row r="759" spans="1:28" x14ac:dyDescent="0.25">
      <c r="A759" t="s">
        <v>763</v>
      </c>
      <c r="B759">
        <v>1</v>
      </c>
      <c r="C759">
        <v>0.94068171757414798</v>
      </c>
      <c r="D759">
        <v>0.95765087796960302</v>
      </c>
      <c r="E759">
        <v>1.04758742806552</v>
      </c>
      <c r="F759">
        <v>1.1174561015198501</v>
      </c>
      <c r="G759">
        <v>1.09938025675077</v>
      </c>
      <c r="H759">
        <v>0.99608971521322098</v>
      </c>
      <c r="I759">
        <v>1.22310756972112</v>
      </c>
      <c r="J759">
        <v>1.2060646303674201</v>
      </c>
      <c r="K759">
        <v>1.0857311494761701</v>
      </c>
      <c r="L759">
        <v>3989.8940213762498</v>
      </c>
      <c r="M759">
        <v>79.345965092293795</v>
      </c>
      <c r="O759">
        <v>50.252861291680198</v>
      </c>
      <c r="P759">
        <v>4.80266111837203E-2</v>
      </c>
      <c r="Q759">
        <v>1.12166840643696</v>
      </c>
      <c r="R759">
        <v>0.52850895281634103</v>
      </c>
      <c r="S759" t="s">
        <v>2761</v>
      </c>
      <c r="T759" t="s">
        <v>4002</v>
      </c>
      <c r="U759" t="s">
        <v>4002</v>
      </c>
      <c r="V759" t="s">
        <v>4002</v>
      </c>
      <c r="W759" t="s">
        <v>4748</v>
      </c>
      <c r="X759">
        <v>6</v>
      </c>
      <c r="Y759" t="s">
        <v>6721</v>
      </c>
      <c r="Z759" t="s">
        <v>8657</v>
      </c>
      <c r="AA759">
        <v>1.079850530767362</v>
      </c>
      <c r="AB759" t="str">
        <f>HYPERLINK("Melting_Curves/meltCurve_O00468_2_AGRN.pdf", "Melting_Curves/meltCurve_O00468_2_AGRN.pdf")</f>
        <v>Melting_Curves/meltCurve_O00468_2_AGRN.pdf</v>
      </c>
    </row>
    <row r="760" spans="1:28" x14ac:dyDescent="0.25">
      <c r="A760" t="s">
        <v>764</v>
      </c>
      <c r="B760">
        <v>1</v>
      </c>
      <c r="C760">
        <v>0.89245865710300898</v>
      </c>
      <c r="D760">
        <v>0.92114963140067696</v>
      </c>
      <c r="E760">
        <v>0.88722853157999604</v>
      </c>
      <c r="F760">
        <v>0.93883243674038697</v>
      </c>
      <c r="G760">
        <v>1.0423889220960301</v>
      </c>
      <c r="H760">
        <v>0.25984259812711702</v>
      </c>
      <c r="I760">
        <v>1.2329647340107599</v>
      </c>
      <c r="J760">
        <v>0.27975194261805097</v>
      </c>
      <c r="K760">
        <v>0.37031779238892198</v>
      </c>
      <c r="L760">
        <v>711.031115032343</v>
      </c>
      <c r="M760">
        <v>10.571926450912001</v>
      </c>
      <c r="N760">
        <v>67.256531306534796</v>
      </c>
      <c r="O760">
        <v>64.983856729172999</v>
      </c>
      <c r="P760">
        <v>-4.0687338646523102E-2</v>
      </c>
      <c r="Q760">
        <v>0</v>
      </c>
      <c r="R760">
        <v>0.34565942785800202</v>
      </c>
      <c r="S760" t="s">
        <v>2762</v>
      </c>
      <c r="T760" t="s">
        <v>4002</v>
      </c>
      <c r="U760" t="s">
        <v>4002</v>
      </c>
      <c r="V760" t="s">
        <v>4002</v>
      </c>
      <c r="W760" t="s">
        <v>4749</v>
      </c>
      <c r="X760">
        <v>1</v>
      </c>
      <c r="Y760" t="s">
        <v>6722</v>
      </c>
      <c r="Z760" t="s">
        <v>8658</v>
      </c>
      <c r="AA760">
        <v>0.82810081328177398</v>
      </c>
      <c r="AB760" t="str">
        <f>HYPERLINK("Melting_Curves/meltCurve_O00479_HMGN4.pdf", "Melting_Curves/meltCurve_O00479_HMGN4.pdf")</f>
        <v>Melting_Curves/meltCurve_O00479_HMGN4.pdf</v>
      </c>
    </row>
    <row r="761" spans="1:28" x14ac:dyDescent="0.25">
      <c r="A761" t="s">
        <v>765</v>
      </c>
      <c r="B761">
        <v>1</v>
      </c>
      <c r="C761">
        <v>0.99125323630256801</v>
      </c>
      <c r="D761">
        <v>0.99622139808270904</v>
      </c>
      <c r="E761">
        <v>1.0027289902736001</v>
      </c>
      <c r="F761">
        <v>1.0680148345112299</v>
      </c>
      <c r="G761">
        <v>1.1303617661465299</v>
      </c>
      <c r="H761">
        <v>1.35658806241691</v>
      </c>
      <c r="I761">
        <v>1.5884822615632199</v>
      </c>
      <c r="J761">
        <v>1.7320691344202599</v>
      </c>
      <c r="K761">
        <v>1.38632705898817</v>
      </c>
      <c r="L761">
        <v>2356.0248346767698</v>
      </c>
      <c r="M761">
        <v>40.155977684670198</v>
      </c>
      <c r="O761">
        <v>58.526890109798401</v>
      </c>
      <c r="P761">
        <v>8.5764123871917897E-2</v>
      </c>
      <c r="Q761">
        <v>1.5</v>
      </c>
      <c r="R761">
        <v>0.871773842473621</v>
      </c>
      <c r="S761" t="s">
        <v>2763</v>
      </c>
      <c r="T761" t="s">
        <v>4002</v>
      </c>
      <c r="U761" t="s">
        <v>4002</v>
      </c>
      <c r="V761" t="s">
        <v>4002</v>
      </c>
      <c r="W761" t="s">
        <v>4750</v>
      </c>
      <c r="X761">
        <v>3</v>
      </c>
      <c r="Y761" t="s">
        <v>6723</v>
      </c>
      <c r="Z761" t="s">
        <v>8659</v>
      </c>
      <c r="AA761">
        <v>1.1868458434956199</v>
      </c>
      <c r="AB761" t="str">
        <f>HYPERLINK("Melting_Curves/meltCurve_O00602_FCN1.pdf", "Melting_Curves/meltCurve_O00602_FCN1.pdf")</f>
        <v>Melting_Curves/meltCurve_O00602_FCN1.pdf</v>
      </c>
    </row>
    <row r="762" spans="1:28" x14ac:dyDescent="0.25">
      <c r="A762" t="s">
        <v>766</v>
      </c>
      <c r="B762">
        <v>1</v>
      </c>
      <c r="C762">
        <v>1.0788025533788199</v>
      </c>
      <c r="D762">
        <v>1.1217532467532501</v>
      </c>
      <c r="E762">
        <v>1.17515958617654</v>
      </c>
      <c r="F762">
        <v>0.96755998239049101</v>
      </c>
      <c r="G762">
        <v>0.92194034778780498</v>
      </c>
      <c r="H762">
        <v>1.07938036539731</v>
      </c>
      <c r="I762">
        <v>1.26064825005503</v>
      </c>
      <c r="J762">
        <v>1.3058826766453899</v>
      </c>
      <c r="K762">
        <v>1.11036209553159</v>
      </c>
      <c r="L762">
        <v>277.85278484043101</v>
      </c>
      <c r="M762">
        <v>3.51414822761362</v>
      </c>
      <c r="O762">
        <v>62.080506657340401</v>
      </c>
      <c r="P762">
        <v>7.2123443803299801E-3</v>
      </c>
      <c r="Q762">
        <v>1.5</v>
      </c>
      <c r="R762">
        <v>0.20251279523374</v>
      </c>
      <c r="S762" t="s">
        <v>2764</v>
      </c>
      <c r="T762" t="s">
        <v>4002</v>
      </c>
      <c r="U762" t="s">
        <v>4002</v>
      </c>
      <c r="V762" t="s">
        <v>4002</v>
      </c>
      <c r="W762" t="s">
        <v>4751</v>
      </c>
      <c r="X762">
        <v>1</v>
      </c>
      <c r="Y762" t="s">
        <v>6724</v>
      </c>
      <c r="Z762" t="s">
        <v>8660</v>
      </c>
      <c r="AA762">
        <v>1.0940366119991169</v>
      </c>
      <c r="AB762" t="str">
        <f>HYPERLINK("Melting_Curves/meltCurve_O00622_CYR61.pdf", "Melting_Curves/meltCurve_O00622_CYR61.pdf")</f>
        <v>Melting_Curves/meltCurve_O00622_CYR61.pdf</v>
      </c>
    </row>
    <row r="763" spans="1:28" x14ac:dyDescent="0.25">
      <c r="A763" t="s">
        <v>767</v>
      </c>
      <c r="B763">
        <v>1</v>
      </c>
      <c r="C763">
        <v>1.0009172271944</v>
      </c>
      <c r="D763">
        <v>1.11333314803491</v>
      </c>
      <c r="E763">
        <v>1.4012730001667699</v>
      </c>
      <c r="F763">
        <v>1.6114014119739799</v>
      </c>
      <c r="G763">
        <v>1.9076935905275401</v>
      </c>
      <c r="H763">
        <v>1.70173439324031</v>
      </c>
      <c r="I763">
        <v>2.3382344766246002</v>
      </c>
      <c r="J763">
        <v>1.9018566901995699</v>
      </c>
      <c r="K763">
        <v>1.9552226360553699</v>
      </c>
      <c r="L763">
        <v>1946.9334880683</v>
      </c>
      <c r="M763">
        <v>40.948679321689802</v>
      </c>
      <c r="O763">
        <v>47.432724901199101</v>
      </c>
      <c r="P763">
        <v>0.10791272383541201</v>
      </c>
      <c r="Q763">
        <v>1.5</v>
      </c>
      <c r="R763">
        <v>0.30480065880941898</v>
      </c>
      <c r="S763" t="s">
        <v>2765</v>
      </c>
      <c r="T763" t="s">
        <v>4002</v>
      </c>
      <c r="U763" t="s">
        <v>4002</v>
      </c>
      <c r="V763" t="s">
        <v>4002</v>
      </c>
      <c r="W763" t="s">
        <v>4752</v>
      </c>
      <c r="X763">
        <v>8</v>
      </c>
      <c r="Y763" t="s">
        <v>6725</v>
      </c>
      <c r="Z763" t="s">
        <v>8661</v>
      </c>
      <c r="AA763">
        <v>1.372664860185842</v>
      </c>
      <c r="AB763" t="str">
        <f>HYPERLINK("Melting_Curves/meltCurve_O00748_CES2.pdf", "Melting_Curves/meltCurve_O00748_CES2.pdf")</f>
        <v>Melting_Curves/meltCurve_O00748_CES2.pdf</v>
      </c>
    </row>
    <row r="764" spans="1:28" x14ac:dyDescent="0.25">
      <c r="A764" t="s">
        <v>768</v>
      </c>
      <c r="B764">
        <v>1</v>
      </c>
      <c r="C764">
        <v>0.777782188699219</v>
      </c>
      <c r="D764">
        <v>0.84480614000264698</v>
      </c>
      <c r="E764">
        <v>0.92355432049755204</v>
      </c>
      <c r="F764">
        <v>0.89567288606589901</v>
      </c>
      <c r="G764">
        <v>0.995844912002117</v>
      </c>
      <c r="H764">
        <v>0.98410745004631495</v>
      </c>
      <c r="I764">
        <v>1.2647743813682699</v>
      </c>
      <c r="J764">
        <v>1.11377530766177</v>
      </c>
      <c r="K764">
        <v>1.0247717348154</v>
      </c>
      <c r="L764">
        <v>15000</v>
      </c>
      <c r="M764">
        <v>241.162983098892</v>
      </c>
      <c r="O764">
        <v>62.194323036236803</v>
      </c>
      <c r="P764">
        <v>0.13027925532544701</v>
      </c>
      <c r="Q764">
        <v>1.1343925999434099</v>
      </c>
      <c r="R764">
        <v>0.29862589540885398</v>
      </c>
      <c r="S764" t="s">
        <v>2766</v>
      </c>
      <c r="T764" t="s">
        <v>4002</v>
      </c>
      <c r="U764" t="s">
        <v>4002</v>
      </c>
      <c r="V764" t="s">
        <v>4002</v>
      </c>
      <c r="W764" t="s">
        <v>4753</v>
      </c>
      <c r="X764">
        <v>3</v>
      </c>
      <c r="Y764" t="s">
        <v>6726</v>
      </c>
      <c r="Z764" t="s">
        <v>8662</v>
      </c>
      <c r="AA764">
        <v>1.034932581123819</v>
      </c>
      <c r="AB764" t="str">
        <f>HYPERLINK("Melting_Curves/meltCurve_O00754_2_MAN2B1.pdf", "Melting_Curves/meltCurve_O00754_2_MAN2B1.pdf")</f>
        <v>Melting_Curves/meltCurve_O00754_2_MAN2B1.pdf</v>
      </c>
    </row>
    <row r="765" spans="1:28" x14ac:dyDescent="0.25">
      <c r="A765" t="s">
        <v>769</v>
      </c>
      <c r="B765">
        <v>1</v>
      </c>
      <c r="C765">
        <v>0.96902224874264797</v>
      </c>
      <c r="D765">
        <v>1.20564316767539</v>
      </c>
      <c r="E765">
        <v>1.32904270735658</v>
      </c>
      <c r="F765">
        <v>1.6455033671468799</v>
      </c>
      <c r="G765">
        <v>2.1817406870684501</v>
      </c>
      <c r="H765">
        <v>2.8439178245673902</v>
      </c>
      <c r="I765">
        <v>4.92455886113716</v>
      </c>
      <c r="J765">
        <v>4.4802659619810798</v>
      </c>
      <c r="K765">
        <v>4.53755008098201</v>
      </c>
      <c r="L765">
        <v>1669.6325530745801</v>
      </c>
      <c r="M765">
        <v>35.626993551439902</v>
      </c>
      <c r="O765">
        <v>46.717342565761903</v>
      </c>
      <c r="P765">
        <v>9.5326250163153298E-2</v>
      </c>
      <c r="Q765">
        <v>1.5</v>
      </c>
      <c r="R765">
        <v>-0.42639490629849902</v>
      </c>
      <c r="S765" t="s">
        <v>2767</v>
      </c>
      <c r="T765" t="s">
        <v>4002</v>
      </c>
      <c r="U765" t="s">
        <v>4002</v>
      </c>
      <c r="V765" t="s">
        <v>4002</v>
      </c>
      <c r="W765" t="s">
        <v>4754</v>
      </c>
      <c r="X765">
        <v>5</v>
      </c>
      <c r="Y765" t="s">
        <v>6727</v>
      </c>
      <c r="Z765" t="s">
        <v>8663</v>
      </c>
      <c r="AA765">
        <v>1.3835153589452169</v>
      </c>
      <c r="AB765" t="str">
        <f>HYPERLINK("Melting_Curves/meltCurve_O00764_2_PDXK.pdf", "Melting_Curves/meltCurve_O00764_2_PDXK.pdf")</f>
        <v>Melting_Curves/meltCurve_O00764_2_PDXK.pdf</v>
      </c>
    </row>
    <row r="766" spans="1:28" x14ac:dyDescent="0.25">
      <c r="A766" t="s">
        <v>770</v>
      </c>
      <c r="B766">
        <v>1</v>
      </c>
      <c r="C766">
        <v>1.0938691147259401</v>
      </c>
      <c r="D766">
        <v>1.0194878402319201</v>
      </c>
      <c r="E766">
        <v>0.94720030063885796</v>
      </c>
      <c r="F766">
        <v>0.96561443066516395</v>
      </c>
      <c r="G766">
        <v>1.05663821334622</v>
      </c>
      <c r="H766">
        <v>1.5856552316529799</v>
      </c>
      <c r="I766">
        <v>2.1855102807752198</v>
      </c>
      <c r="J766">
        <v>1.8879851827991601</v>
      </c>
      <c r="K766">
        <v>2.0742470607183101</v>
      </c>
      <c r="L766">
        <v>14367.288556432401</v>
      </c>
      <c r="M766">
        <v>250</v>
      </c>
      <c r="O766">
        <v>57.4654949431525</v>
      </c>
      <c r="P766">
        <v>0.54380476498367003</v>
      </c>
      <c r="Q766">
        <v>1.5</v>
      </c>
      <c r="R766">
        <v>0.56875833305524104</v>
      </c>
      <c r="S766" t="s">
        <v>2768</v>
      </c>
      <c r="T766" t="s">
        <v>4002</v>
      </c>
      <c r="U766" t="s">
        <v>4002</v>
      </c>
      <c r="V766" t="s">
        <v>4002</v>
      </c>
      <c r="W766" t="s">
        <v>4755</v>
      </c>
      <c r="X766">
        <v>2</v>
      </c>
      <c r="Y766" t="s">
        <v>6728</v>
      </c>
      <c r="Z766" t="s">
        <v>8664</v>
      </c>
      <c r="AA766">
        <v>1.2087970008355491</v>
      </c>
      <c r="AB766" t="str">
        <f>HYPERLINK("Melting_Curves/meltCurve_O14498_ISLR.pdf", "Melting_Curves/meltCurve_O14498_ISLR.pdf")</f>
        <v>Melting_Curves/meltCurve_O14498_ISLR.pdf</v>
      </c>
    </row>
    <row r="767" spans="1:28" x14ac:dyDescent="0.25">
      <c r="A767" t="s">
        <v>771</v>
      </c>
      <c r="B767">
        <v>1</v>
      </c>
      <c r="C767">
        <v>0.86872146118721505</v>
      </c>
      <c r="D767">
        <v>1.06318493150685</v>
      </c>
      <c r="E767">
        <v>1.0912671232876701</v>
      </c>
      <c r="F767">
        <v>0.92226027397260302</v>
      </c>
      <c r="G767">
        <v>1.0638698630137</v>
      </c>
      <c r="H767">
        <v>0.79474885844748899</v>
      </c>
      <c r="I767">
        <v>1.1174657534246599</v>
      </c>
      <c r="J767">
        <v>0.778025114155251</v>
      </c>
      <c r="K767">
        <v>0.79229452054794502</v>
      </c>
      <c r="L767">
        <v>15000</v>
      </c>
      <c r="M767">
        <v>227.84244899396001</v>
      </c>
      <c r="O767">
        <v>65.829894687279904</v>
      </c>
      <c r="P767">
        <v>-0.18749591692328299</v>
      </c>
      <c r="Q767">
        <v>0.78330927470298195</v>
      </c>
      <c r="R767">
        <v>0.40906930895506399</v>
      </c>
      <c r="S767" t="s">
        <v>2769</v>
      </c>
      <c r="T767" t="s">
        <v>4002</v>
      </c>
      <c r="U767" t="s">
        <v>4002</v>
      </c>
      <c r="V767" t="s">
        <v>4002</v>
      </c>
      <c r="W767" t="s">
        <v>4756</v>
      </c>
      <c r="X767">
        <v>2</v>
      </c>
      <c r="Y767" t="s">
        <v>6729</v>
      </c>
      <c r="Z767" t="s">
        <v>8665</v>
      </c>
      <c r="AA767">
        <v>0.96994600332645831</v>
      </c>
      <c r="AB767" t="str">
        <f>HYPERLINK("Melting_Curves/meltCurve_O14672_ADAM10.pdf", "Melting_Curves/meltCurve_O14672_ADAM10.pdf")</f>
        <v>Melting_Curves/meltCurve_O14672_ADAM10.pdf</v>
      </c>
    </row>
    <row r="768" spans="1:28" x14ac:dyDescent="0.25">
      <c r="A768" t="s">
        <v>772</v>
      </c>
      <c r="B768">
        <v>1</v>
      </c>
      <c r="C768">
        <v>0.86423078806876596</v>
      </c>
      <c r="D768">
        <v>1.0204731351324901</v>
      </c>
      <c r="E768">
        <v>1.0839496498016401</v>
      </c>
      <c r="F768">
        <v>1.0753783611696099</v>
      </c>
      <c r="G768">
        <v>1.19415193221335</v>
      </c>
      <c r="H768">
        <v>1.1158348435127601</v>
      </c>
      <c r="I768">
        <v>1.34152911789195</v>
      </c>
      <c r="J768">
        <v>1.48165744232747</v>
      </c>
      <c r="K768">
        <v>1.20737620610276</v>
      </c>
      <c r="L768">
        <v>777.44426180454695</v>
      </c>
      <c r="M768">
        <v>13.4130915300554</v>
      </c>
      <c r="O768">
        <v>56.7187311832758</v>
      </c>
      <c r="P768">
        <v>2.1775924718463301E-2</v>
      </c>
      <c r="Q768">
        <v>1.36826996281796</v>
      </c>
      <c r="R768">
        <v>0.69841479300576303</v>
      </c>
      <c r="S768" t="s">
        <v>2770</v>
      </c>
      <c r="T768" t="s">
        <v>4002</v>
      </c>
      <c r="U768" t="s">
        <v>4002</v>
      </c>
      <c r="V768" t="s">
        <v>4002</v>
      </c>
      <c r="W768" t="s">
        <v>4757</v>
      </c>
      <c r="X768">
        <v>3</v>
      </c>
      <c r="Y768" t="s">
        <v>6730</v>
      </c>
      <c r="Z768" t="s">
        <v>8666</v>
      </c>
      <c r="AA768">
        <v>1.1427954021216471</v>
      </c>
      <c r="AB768" t="str">
        <f>HYPERLINK("Melting_Curves/meltCurve_O14732_2_IMPA2.pdf", "Melting_Curves/meltCurve_O14732_2_IMPA2.pdf")</f>
        <v>Melting_Curves/meltCurve_O14732_2_IMPA2.pdf</v>
      </c>
    </row>
    <row r="769" spans="1:28" x14ac:dyDescent="0.25">
      <c r="A769" t="s">
        <v>773</v>
      </c>
      <c r="B769">
        <v>1</v>
      </c>
      <c r="C769">
        <v>0.93018538289818498</v>
      </c>
      <c r="D769">
        <v>0.97534698631466599</v>
      </c>
      <c r="E769">
        <v>1.0162088712025601</v>
      </c>
      <c r="F769">
        <v>0.95156750461030803</v>
      </c>
      <c r="G769">
        <v>1.0202853537804499</v>
      </c>
      <c r="H769">
        <v>0.85071338445113098</v>
      </c>
      <c r="I769">
        <v>1.1312239153644601</v>
      </c>
      <c r="J769">
        <v>1.00582354653984</v>
      </c>
      <c r="K769">
        <v>0.94458895467339599</v>
      </c>
      <c r="L769">
        <v>25.321438703971399</v>
      </c>
      <c r="M769">
        <v>15.4163682605953</v>
      </c>
      <c r="Q769">
        <v>0.98259443106057498</v>
      </c>
      <c r="R769">
        <v>-1.3847107904752E-9</v>
      </c>
      <c r="S769" t="s">
        <v>2771</v>
      </c>
      <c r="T769" t="s">
        <v>4002</v>
      </c>
      <c r="U769" t="s">
        <v>4002</v>
      </c>
      <c r="V769" t="s">
        <v>4002</v>
      </c>
      <c r="W769" t="s">
        <v>4758</v>
      </c>
      <c r="X769">
        <v>11</v>
      </c>
      <c r="Y769" t="s">
        <v>6731</v>
      </c>
      <c r="Z769" t="s">
        <v>8667</v>
      </c>
      <c r="AA769">
        <v>0.98259443670825286</v>
      </c>
      <c r="AB769" t="str">
        <f>HYPERLINK("Melting_Curves/meltCurve_O14745_SLC9A3R1.pdf", "Melting_Curves/meltCurve_O14745_SLC9A3R1.pdf")</f>
        <v>Melting_Curves/meltCurve_O14745_SLC9A3R1.pdf</v>
      </c>
    </row>
    <row r="770" spans="1:28" x14ac:dyDescent="0.25">
      <c r="A770" t="s">
        <v>774</v>
      </c>
      <c r="B770">
        <v>1</v>
      </c>
      <c r="C770">
        <v>0.93408001565098298</v>
      </c>
      <c r="D770">
        <v>0.93847207277707101</v>
      </c>
      <c r="E770">
        <v>0.98112100166291705</v>
      </c>
      <c r="F770">
        <v>0.984349016922625</v>
      </c>
      <c r="G770">
        <v>1.2318301868336099</v>
      </c>
      <c r="H770">
        <v>1.0333561576836501</v>
      </c>
      <c r="I770">
        <v>1.6252567739411099</v>
      </c>
      <c r="J770">
        <v>1.2677296292673399</v>
      </c>
      <c r="K770">
        <v>1.18340995793798</v>
      </c>
      <c r="L770">
        <v>1607.30556367022</v>
      </c>
      <c r="M770">
        <v>28.220043114538001</v>
      </c>
      <c r="O770">
        <v>56.672463331898797</v>
      </c>
      <c r="P770">
        <v>3.7985554481853298E-2</v>
      </c>
      <c r="Q770">
        <v>1.30513306246323</v>
      </c>
      <c r="R770">
        <v>0.53143142197742199</v>
      </c>
      <c r="S770" t="s">
        <v>2772</v>
      </c>
      <c r="T770" t="s">
        <v>4002</v>
      </c>
      <c r="U770" t="s">
        <v>4002</v>
      </c>
      <c r="V770" t="s">
        <v>4002</v>
      </c>
      <c r="W770" t="s">
        <v>4759</v>
      </c>
      <c r="X770">
        <v>5</v>
      </c>
      <c r="Y770" t="s">
        <v>6732</v>
      </c>
      <c r="Z770" t="s">
        <v>8668</v>
      </c>
      <c r="AA770">
        <v>1.1304108211222259</v>
      </c>
      <c r="AB770" t="str">
        <f>HYPERLINK("Melting_Curves/meltCurve_O14773_TPP1.pdf", "Melting_Curves/meltCurve_O14773_TPP1.pdf")</f>
        <v>Melting_Curves/meltCurve_O14773_TPP1.pdf</v>
      </c>
    </row>
    <row r="771" spans="1:28" x14ac:dyDescent="0.25">
      <c r="A771" t="s">
        <v>775</v>
      </c>
      <c r="B771">
        <v>1</v>
      </c>
      <c r="C771">
        <v>0.98431628988395503</v>
      </c>
      <c r="D771">
        <v>0.96508272612152501</v>
      </c>
      <c r="E771">
        <v>1.0204168483112199</v>
      </c>
      <c r="F771">
        <v>1.04035623092732</v>
      </c>
      <c r="G771">
        <v>1.1074090220257</v>
      </c>
      <c r="H771">
        <v>0.60037159286707797</v>
      </c>
      <c r="I771">
        <v>1.22905897739304</v>
      </c>
      <c r="J771">
        <v>0.63933694546511399</v>
      </c>
      <c r="K771">
        <v>0.81843847958315197</v>
      </c>
      <c r="L771">
        <v>982.49914623169502</v>
      </c>
      <c r="M771">
        <v>14.773602451770399</v>
      </c>
      <c r="O771">
        <v>65.320858699695293</v>
      </c>
      <c r="P771">
        <v>-1.8822764450558398E-2</v>
      </c>
      <c r="Q771">
        <v>0.66713946349714004</v>
      </c>
      <c r="R771">
        <v>0.18593530381294299</v>
      </c>
      <c r="S771" t="s">
        <v>2773</v>
      </c>
      <c r="T771" t="s">
        <v>4002</v>
      </c>
      <c r="U771" t="s">
        <v>4002</v>
      </c>
      <c r="V771" t="s">
        <v>4002</v>
      </c>
      <c r="W771" t="s">
        <v>4760</v>
      </c>
      <c r="X771">
        <v>3</v>
      </c>
      <c r="Y771" t="s">
        <v>6733</v>
      </c>
      <c r="Z771" t="s">
        <v>8669</v>
      </c>
      <c r="AA771">
        <v>0.94701376883564492</v>
      </c>
      <c r="AB771" t="str">
        <f>HYPERLINK("Melting_Curves/meltCurve_O14798_TNFRSF10C.pdf", "Melting_Curves/meltCurve_O14798_TNFRSF10C.pdf")</f>
        <v>Melting_Curves/meltCurve_O14798_TNFRSF10C.pdf</v>
      </c>
    </row>
    <row r="772" spans="1:28" x14ac:dyDescent="0.25">
      <c r="A772" t="s">
        <v>776</v>
      </c>
      <c r="B772">
        <v>1</v>
      </c>
      <c r="C772">
        <v>0.98887874512407703</v>
      </c>
      <c r="D772">
        <v>0.87459540210805897</v>
      </c>
      <c r="E772">
        <v>0.60118682048302796</v>
      </c>
      <c r="F772">
        <v>0.37280272221761102</v>
      </c>
      <c r="G772">
        <v>0.34746451987716798</v>
      </c>
      <c r="H772">
        <v>0.29527761639970102</v>
      </c>
      <c r="I772">
        <v>0.29028965059341</v>
      </c>
      <c r="J772">
        <v>0.79584197858743499</v>
      </c>
      <c r="K772">
        <v>0.30441530417461998</v>
      </c>
      <c r="L772">
        <v>1499.2448145781</v>
      </c>
      <c r="M772">
        <v>30.981240726630201</v>
      </c>
      <c r="N772">
        <v>51.018020145151901</v>
      </c>
      <c r="O772">
        <v>48.191752803516799</v>
      </c>
      <c r="P772">
        <v>-9.6670932222537503E-2</v>
      </c>
      <c r="Q772">
        <v>0.398511642116192</v>
      </c>
      <c r="R772">
        <v>0.75597767190839105</v>
      </c>
      <c r="S772" t="s">
        <v>2774</v>
      </c>
      <c r="T772" t="s">
        <v>4002</v>
      </c>
      <c r="U772" t="s">
        <v>4002</v>
      </c>
      <c r="V772" t="s">
        <v>4002</v>
      </c>
      <c r="W772" t="s">
        <v>4761</v>
      </c>
      <c r="X772">
        <v>1</v>
      </c>
      <c r="Y772" t="s">
        <v>6734</v>
      </c>
      <c r="Z772" t="s">
        <v>8670</v>
      </c>
      <c r="AA772">
        <v>0.57016889128014081</v>
      </c>
      <c r="AB772" t="str">
        <f>HYPERLINK("Melting_Curves/meltCurve_O14818_2_PSMA7.pdf", "Melting_Curves/meltCurve_O14818_2_PSMA7.pdf")</f>
        <v>Melting_Curves/meltCurve_O14818_2_PSMA7.pdf</v>
      </c>
    </row>
    <row r="773" spans="1:28" x14ac:dyDescent="0.25">
      <c r="A773" t="s">
        <v>777</v>
      </c>
      <c r="B773">
        <v>1</v>
      </c>
      <c r="C773">
        <v>0.86587676460384799</v>
      </c>
      <c r="D773">
        <v>0.99343527339684601</v>
      </c>
      <c r="E773">
        <v>0.93223120646865698</v>
      </c>
      <c r="F773">
        <v>1.1923918554692701</v>
      </c>
      <c r="G773">
        <v>0.81630774157393304</v>
      </c>
      <c r="H773">
        <v>1.5644597443492601</v>
      </c>
      <c r="I773">
        <v>1.58607530755477</v>
      </c>
      <c r="J773">
        <v>1.9221839724601699</v>
      </c>
      <c r="K773">
        <v>1.2029594641475201</v>
      </c>
      <c r="L773">
        <v>6245.9624503846298</v>
      </c>
      <c r="M773">
        <v>105.557278021515</v>
      </c>
      <c r="O773">
        <v>59.1500598454098</v>
      </c>
      <c r="P773">
        <v>0.223070874773622</v>
      </c>
      <c r="Q773">
        <v>1.5</v>
      </c>
      <c r="R773">
        <v>0.68935924734498999</v>
      </c>
      <c r="S773" t="s">
        <v>2775</v>
      </c>
      <c r="T773" t="s">
        <v>4002</v>
      </c>
      <c r="U773" t="s">
        <v>4002</v>
      </c>
      <c r="V773" t="s">
        <v>4002</v>
      </c>
      <c r="W773" t="s">
        <v>4762</v>
      </c>
      <c r="X773">
        <v>1</v>
      </c>
      <c r="Y773" t="s">
        <v>6735</v>
      </c>
      <c r="Z773" t="s">
        <v>8671</v>
      </c>
      <c r="AA773">
        <v>1.180186620588257</v>
      </c>
      <c r="AB773" t="str">
        <f>HYPERLINK("Melting_Curves/meltCurve_O14828_SCAMP3.pdf", "Melting_Curves/meltCurve_O14828_SCAMP3.pdf")</f>
        <v>Melting_Curves/meltCurve_O14828_SCAMP3.pdf</v>
      </c>
    </row>
    <row r="774" spans="1:28" x14ac:dyDescent="0.25">
      <c r="A774" t="s">
        <v>778</v>
      </c>
      <c r="B774">
        <v>1</v>
      </c>
      <c r="C774">
        <v>0.724503358838955</v>
      </c>
      <c r="D774">
        <v>0.84161367963501799</v>
      </c>
      <c r="E774">
        <v>0.96721988720048901</v>
      </c>
      <c r="F774">
        <v>0.81328806983511104</v>
      </c>
      <c r="G774">
        <v>0.89208607249344396</v>
      </c>
      <c r="H774">
        <v>1.0059273628623799</v>
      </c>
      <c r="I774">
        <v>0.89239142148938499</v>
      </c>
      <c r="J774">
        <v>1.4489169091496901</v>
      </c>
      <c r="K774">
        <v>1.13329381758092</v>
      </c>
      <c r="L774">
        <v>15000</v>
      </c>
      <c r="M774">
        <v>229.316862972591</v>
      </c>
      <c r="O774">
        <v>65.406712218620797</v>
      </c>
      <c r="P774">
        <v>0.25510270071864599</v>
      </c>
      <c r="Q774">
        <v>1.2910457689607699</v>
      </c>
      <c r="R774">
        <v>0.43274079756969103</v>
      </c>
      <c r="S774" t="s">
        <v>2776</v>
      </c>
      <c r="T774" t="s">
        <v>4002</v>
      </c>
      <c r="U774" t="s">
        <v>4002</v>
      </c>
      <c r="V774" t="s">
        <v>4002</v>
      </c>
      <c r="W774" t="s">
        <v>4763</v>
      </c>
      <c r="X774">
        <v>2</v>
      </c>
      <c r="Y774" t="s">
        <v>6736</v>
      </c>
      <c r="Z774" t="s">
        <v>8672</v>
      </c>
      <c r="AA774">
        <v>1.0444740468444449</v>
      </c>
      <c r="AB774" t="str">
        <f>HYPERLINK("Melting_Curves/meltCurve_O14907_TAX1BP3.pdf", "Melting_Curves/meltCurve_O14907_TAX1BP3.pdf")</f>
        <v>Melting_Curves/meltCurve_O14907_TAX1BP3.pdf</v>
      </c>
    </row>
    <row r="775" spans="1:28" x14ac:dyDescent="0.25">
      <c r="A775" t="s">
        <v>779</v>
      </c>
      <c r="B775">
        <v>1</v>
      </c>
      <c r="C775">
        <v>0.97835535465924905</v>
      </c>
      <c r="D775">
        <v>1.0056502086230901</v>
      </c>
      <c r="E775">
        <v>1.02007997218359</v>
      </c>
      <c r="F775">
        <v>0.93437065368567496</v>
      </c>
      <c r="G775">
        <v>0.95010431154381103</v>
      </c>
      <c r="H775">
        <v>0.70525034770514605</v>
      </c>
      <c r="I775">
        <v>1.0673678720445099</v>
      </c>
      <c r="J775">
        <v>0.68577885952712103</v>
      </c>
      <c r="K775">
        <v>0.84787030598052804</v>
      </c>
      <c r="L775">
        <v>1472.42320619884</v>
      </c>
      <c r="M775">
        <v>26.111283051207501</v>
      </c>
      <c r="O775">
        <v>56.062655543862299</v>
      </c>
      <c r="P775">
        <v>-2.02011713716885E-2</v>
      </c>
      <c r="Q775">
        <v>0.82650889846977904</v>
      </c>
      <c r="R775">
        <v>0.35459611911216499</v>
      </c>
      <c r="S775" t="s">
        <v>2777</v>
      </c>
      <c r="T775" t="s">
        <v>4002</v>
      </c>
      <c r="U775" t="s">
        <v>4002</v>
      </c>
      <c r="V775" t="s">
        <v>4002</v>
      </c>
      <c r="W775" t="s">
        <v>4764</v>
      </c>
      <c r="X775">
        <v>13</v>
      </c>
      <c r="Y775" t="s">
        <v>6737</v>
      </c>
      <c r="Z775" t="s">
        <v>8673</v>
      </c>
      <c r="AA775">
        <v>0.92276864114452095</v>
      </c>
      <c r="AB775" t="str">
        <f>HYPERLINK("Melting_Curves/meltCurve_O14974_5_PPP1R12A.pdf", "Melting_Curves/meltCurve_O14974_5_PPP1R12A.pdf")</f>
        <v>Melting_Curves/meltCurve_O14974_5_PPP1R12A.pdf</v>
      </c>
    </row>
    <row r="776" spans="1:28" x14ac:dyDescent="0.25">
      <c r="A776" t="s">
        <v>780</v>
      </c>
      <c r="B776">
        <v>1</v>
      </c>
      <c r="C776">
        <v>0.87338174928954804</v>
      </c>
      <c r="D776">
        <v>0.81647545872364302</v>
      </c>
      <c r="E776">
        <v>0.88134582324667599</v>
      </c>
      <c r="F776">
        <v>0.89958951689295896</v>
      </c>
      <c r="G776">
        <v>0.97828298775567502</v>
      </c>
      <c r="H776">
        <v>0.78910991825421894</v>
      </c>
      <c r="I776">
        <v>1.00406974704417</v>
      </c>
      <c r="J776">
        <v>2.1513524892116598</v>
      </c>
      <c r="K776">
        <v>0.87745149633371899</v>
      </c>
      <c r="L776">
        <v>15000</v>
      </c>
      <c r="M776">
        <v>231.086785867392</v>
      </c>
      <c r="O776">
        <v>64.905816716523503</v>
      </c>
      <c r="P776">
        <v>0.44504252085548102</v>
      </c>
      <c r="Q776">
        <v>1.5</v>
      </c>
      <c r="R776">
        <v>0.35864537737590202</v>
      </c>
      <c r="S776" t="s">
        <v>2778</v>
      </c>
      <c r="T776" t="s">
        <v>4002</v>
      </c>
      <c r="U776" t="s">
        <v>4002</v>
      </c>
      <c r="V776" t="s">
        <v>4002</v>
      </c>
      <c r="W776" t="s">
        <v>4765</v>
      </c>
      <c r="X776">
        <v>2</v>
      </c>
      <c r="Y776" t="s">
        <v>6738</v>
      </c>
      <c r="Z776" t="s">
        <v>8674</v>
      </c>
      <c r="AA776">
        <v>1.084755363641452</v>
      </c>
      <c r="AB776" t="str">
        <f>HYPERLINK("Melting_Curves/meltCurve_O14979_3_HNRPDL.pdf", "Melting_Curves/meltCurve_O14979_3_HNRPDL.pdf")</f>
        <v>Melting_Curves/meltCurve_O14979_3_HNRPDL.pdf</v>
      </c>
    </row>
    <row r="777" spans="1:28" x14ac:dyDescent="0.25">
      <c r="A777" t="s">
        <v>781</v>
      </c>
      <c r="B777">
        <v>1</v>
      </c>
      <c r="C777">
        <v>0.64172476363289099</v>
      </c>
      <c r="D777">
        <v>1.6098748925604101</v>
      </c>
      <c r="E777">
        <v>3.2184127590488001</v>
      </c>
      <c r="F777">
        <v>0.74419826186610605</v>
      </c>
      <c r="G777">
        <v>0.59664788463374996</v>
      </c>
      <c r="H777">
        <v>0.90287460605481795</v>
      </c>
      <c r="I777">
        <v>1.3320599751695199</v>
      </c>
      <c r="J777">
        <v>2.5474166746251599</v>
      </c>
      <c r="K777">
        <v>0.62911851781109696</v>
      </c>
      <c r="L777">
        <v>11118.178613012</v>
      </c>
      <c r="M777">
        <v>250</v>
      </c>
      <c r="O777">
        <v>44.469884645817999</v>
      </c>
      <c r="P777">
        <v>0.62905043852438103</v>
      </c>
      <c r="Q777">
        <v>1.44758064482652</v>
      </c>
      <c r="R777">
        <v>7.7676591692555599E-2</v>
      </c>
      <c r="S777" t="s">
        <v>2779</v>
      </c>
      <c r="T777" t="s">
        <v>4002</v>
      </c>
      <c r="U777" t="s">
        <v>4002</v>
      </c>
      <c r="V777" t="s">
        <v>4002</v>
      </c>
      <c r="W777" t="s">
        <v>4766</v>
      </c>
      <c r="X777">
        <v>2</v>
      </c>
      <c r="Y777" t="s">
        <v>6739</v>
      </c>
      <c r="Z777" t="s">
        <v>8675</v>
      </c>
      <c r="AA777">
        <v>1.380815697687392</v>
      </c>
      <c r="AB777" t="str">
        <f>HYPERLINK("Melting_Curves/meltCurve_O15020_2_SPTBN2.pdf", "Melting_Curves/meltCurve_O15020_2_SPTBN2.pdf")</f>
        <v>Melting_Curves/meltCurve_O15020_2_SPTBN2.pdf</v>
      </c>
    </row>
    <row r="778" spans="1:28" x14ac:dyDescent="0.25">
      <c r="A778" t="s">
        <v>782</v>
      </c>
      <c r="B778">
        <v>1</v>
      </c>
      <c r="C778">
        <v>0.97741478947989102</v>
      </c>
      <c r="D778">
        <v>0.93371859889137898</v>
      </c>
      <c r="E778">
        <v>1.0038919683925001</v>
      </c>
      <c r="F778">
        <v>1.06103314070055</v>
      </c>
      <c r="G778">
        <v>1.2363486260172201</v>
      </c>
      <c r="H778">
        <v>1.1232456657624701</v>
      </c>
      <c r="I778">
        <v>1.48838306404057</v>
      </c>
      <c r="J778">
        <v>1.2303337657742699</v>
      </c>
      <c r="K778">
        <v>1.35511263120651</v>
      </c>
      <c r="L778">
        <v>1110.1875241287</v>
      </c>
      <c r="M778">
        <v>19.5307659793257</v>
      </c>
      <c r="O778">
        <v>56.257129544517198</v>
      </c>
      <c r="P778">
        <v>2.9810728627891199E-2</v>
      </c>
      <c r="Q778">
        <v>1.3434594815060801</v>
      </c>
      <c r="R778">
        <v>0.754455007604246</v>
      </c>
      <c r="S778" t="s">
        <v>2780</v>
      </c>
      <c r="T778" t="s">
        <v>4002</v>
      </c>
      <c r="U778" t="s">
        <v>4002</v>
      </c>
      <c r="V778" t="s">
        <v>4002</v>
      </c>
      <c r="W778" t="s">
        <v>4767</v>
      </c>
      <c r="X778">
        <v>6</v>
      </c>
      <c r="Y778" t="s">
        <v>6740</v>
      </c>
      <c r="Z778" t="s">
        <v>8676</v>
      </c>
      <c r="AA778">
        <v>1.146263361482861</v>
      </c>
      <c r="AB778" t="str">
        <f>HYPERLINK("Melting_Curves/meltCurve_O15031_PLXNB2.pdf", "Melting_Curves/meltCurve_O15031_PLXNB2.pdf")</f>
        <v>Melting_Curves/meltCurve_O15031_PLXNB2.pdf</v>
      </c>
    </row>
    <row r="779" spans="1:28" x14ac:dyDescent="0.25">
      <c r="A779" t="s">
        <v>783</v>
      </c>
      <c r="B779">
        <v>1</v>
      </c>
      <c r="C779">
        <v>1.0550569148240201</v>
      </c>
      <c r="D779">
        <v>1.36592960879236</v>
      </c>
      <c r="E779">
        <v>1.24066466047364</v>
      </c>
      <c r="F779">
        <v>1.12743687033887</v>
      </c>
      <c r="G779">
        <v>1.1641240350647699</v>
      </c>
      <c r="H779">
        <v>0.71793798246761698</v>
      </c>
      <c r="I779">
        <v>1.1093287975925701</v>
      </c>
      <c r="J779">
        <v>0.58552924244406601</v>
      </c>
      <c r="K779">
        <v>0.78908805442888896</v>
      </c>
      <c r="L779">
        <v>15000</v>
      </c>
      <c r="M779">
        <v>229.09118818040901</v>
      </c>
      <c r="O779">
        <v>65.471121053863698</v>
      </c>
      <c r="P779">
        <v>-0.27378937040967899</v>
      </c>
      <c r="Q779">
        <v>0.68701900548781503</v>
      </c>
      <c r="R779">
        <v>0.35415447290853402</v>
      </c>
      <c r="S779" t="s">
        <v>2781</v>
      </c>
      <c r="T779" t="s">
        <v>4002</v>
      </c>
      <c r="U779" t="s">
        <v>4002</v>
      </c>
      <c r="V779" t="s">
        <v>4002</v>
      </c>
      <c r="W779" t="s">
        <v>4768</v>
      </c>
      <c r="X779">
        <v>1</v>
      </c>
      <c r="Y779" t="s">
        <v>6741</v>
      </c>
      <c r="Z779" t="s">
        <v>8677</v>
      </c>
      <c r="AA779">
        <v>0.95284645050600791</v>
      </c>
      <c r="AB779" t="str">
        <f>HYPERLINK("Melting_Curves/meltCurve_O15067_PFAS.pdf", "Melting_Curves/meltCurve_O15067_PFAS.pdf")</f>
        <v>Melting_Curves/meltCurve_O15067_PFAS.pdf</v>
      </c>
    </row>
    <row r="780" spans="1:28" x14ac:dyDescent="0.25">
      <c r="A780" t="s">
        <v>784</v>
      </c>
      <c r="B780">
        <v>1</v>
      </c>
      <c r="C780">
        <v>0.93505991495941199</v>
      </c>
      <c r="D780">
        <v>0.98001546192500999</v>
      </c>
      <c r="E780">
        <v>0.84816389640510204</v>
      </c>
      <c r="F780">
        <v>0.83301120989563204</v>
      </c>
      <c r="G780">
        <v>0.81379976807112497</v>
      </c>
      <c r="H780">
        <v>0.55183610359489799</v>
      </c>
      <c r="I780">
        <v>0.85284112872052598</v>
      </c>
      <c r="J780">
        <v>0.52756088132972601</v>
      </c>
      <c r="K780">
        <v>0.70568225744105095</v>
      </c>
      <c r="L780">
        <v>570.61297299730995</v>
      </c>
      <c r="M780">
        <v>10.642677685993</v>
      </c>
      <c r="O780">
        <v>51.8265141769335</v>
      </c>
      <c r="P780">
        <v>-1.9471188332561899E-2</v>
      </c>
      <c r="Q780">
        <v>0.62087083231002604</v>
      </c>
      <c r="R780">
        <v>0.65970966039164403</v>
      </c>
      <c r="S780" t="s">
        <v>2782</v>
      </c>
      <c r="T780" t="s">
        <v>4002</v>
      </c>
      <c r="U780" t="s">
        <v>4002</v>
      </c>
      <c r="V780" t="s">
        <v>4002</v>
      </c>
      <c r="W780" t="s">
        <v>4221</v>
      </c>
      <c r="X780">
        <v>4</v>
      </c>
      <c r="Y780" t="s">
        <v>6194</v>
      </c>
      <c r="Z780" t="s">
        <v>8678</v>
      </c>
      <c r="AA780">
        <v>0.80439821477508278</v>
      </c>
      <c r="AB780" t="str">
        <f>HYPERLINK("Melting_Curves/meltCurve_O15117_FYB.pdf", "Melting_Curves/meltCurve_O15117_FYB.pdf")</f>
        <v>Melting_Curves/meltCurve_O15117_FYB.pdf</v>
      </c>
    </row>
    <row r="781" spans="1:28" x14ac:dyDescent="0.25">
      <c r="A781" t="s">
        <v>785</v>
      </c>
      <c r="B781">
        <v>1</v>
      </c>
      <c r="C781">
        <v>0.87821881673156599</v>
      </c>
      <c r="D781">
        <v>1.0720386886069599</v>
      </c>
      <c r="E781">
        <v>1.11845245572164</v>
      </c>
      <c r="F781">
        <v>0.87523552317548003</v>
      </c>
      <c r="G781">
        <v>0.94623790981032496</v>
      </c>
      <c r="H781">
        <v>0.84835447808064302</v>
      </c>
      <c r="I781">
        <v>1.0132835070971</v>
      </c>
      <c r="J781">
        <v>1.18917221454591</v>
      </c>
      <c r="K781">
        <v>0.83485114935309601</v>
      </c>
      <c r="L781">
        <v>15000</v>
      </c>
      <c r="M781">
        <v>212.66517401297301</v>
      </c>
      <c r="Q781">
        <v>0</v>
      </c>
      <c r="R781">
        <v>0.16635588742657301</v>
      </c>
      <c r="S781" t="s">
        <v>2783</v>
      </c>
      <c r="T781" t="s">
        <v>4002</v>
      </c>
      <c r="U781" t="s">
        <v>4002</v>
      </c>
      <c r="V781" t="s">
        <v>4002</v>
      </c>
      <c r="W781" t="s">
        <v>4769</v>
      </c>
      <c r="X781">
        <v>1</v>
      </c>
      <c r="Y781" t="s">
        <v>6742</v>
      </c>
      <c r="Z781" t="s">
        <v>8679</v>
      </c>
      <c r="AA781">
        <v>0.99805369307751723</v>
      </c>
      <c r="AB781" t="str">
        <f>HYPERLINK("Melting_Curves/meltCurve_O15126_2_SCAMP1.pdf", "Melting_Curves/meltCurve_O15126_2_SCAMP1.pdf")</f>
        <v>Melting_Curves/meltCurve_O15126_2_SCAMP1.pdf</v>
      </c>
    </row>
    <row r="782" spans="1:28" x14ac:dyDescent="0.25">
      <c r="A782" t="s">
        <v>786</v>
      </c>
      <c r="B782">
        <v>1</v>
      </c>
      <c r="C782">
        <v>0.81636615811373103</v>
      </c>
      <c r="D782">
        <v>1.0014464038042401</v>
      </c>
      <c r="E782">
        <v>0.94931642559936602</v>
      </c>
      <c r="F782">
        <v>0.95803447592629298</v>
      </c>
      <c r="G782">
        <v>1.1822270655835101</v>
      </c>
      <c r="H782">
        <v>1.1831583118684399</v>
      </c>
      <c r="I782">
        <v>1.4578561521696101</v>
      </c>
      <c r="J782">
        <v>1.4757677828412901</v>
      </c>
      <c r="K782">
        <v>1.3023182088369301</v>
      </c>
      <c r="L782">
        <v>1587.8096529269999</v>
      </c>
      <c r="M782">
        <v>26.860635755485301</v>
      </c>
      <c r="O782">
        <v>58.788141008008097</v>
      </c>
      <c r="P782">
        <v>4.7112283613475602E-2</v>
      </c>
      <c r="Q782">
        <v>1.4124423982262599</v>
      </c>
      <c r="R782">
        <v>0.82067297073399803</v>
      </c>
      <c r="S782" t="s">
        <v>2784</v>
      </c>
      <c r="T782" t="s">
        <v>4002</v>
      </c>
      <c r="U782" t="s">
        <v>4002</v>
      </c>
      <c r="V782" t="s">
        <v>4002</v>
      </c>
      <c r="W782" t="s">
        <v>4770</v>
      </c>
      <c r="X782">
        <v>5</v>
      </c>
      <c r="Y782" t="s">
        <v>6743</v>
      </c>
      <c r="Z782" t="s">
        <v>8680</v>
      </c>
      <c r="AA782">
        <v>1.1466090131677129</v>
      </c>
      <c r="AB782" t="str">
        <f>HYPERLINK("Melting_Curves/meltCurve_O15143_ARPC1B.pdf", "Melting_Curves/meltCurve_O15143_ARPC1B.pdf")</f>
        <v>Melting_Curves/meltCurve_O15143_ARPC1B.pdf</v>
      </c>
    </row>
    <row r="783" spans="1:28" x14ac:dyDescent="0.25">
      <c r="A783" t="s">
        <v>787</v>
      </c>
      <c r="B783">
        <v>1</v>
      </c>
      <c r="C783">
        <v>0.98769371011850504</v>
      </c>
      <c r="D783">
        <v>1.08788791565931</v>
      </c>
      <c r="E783">
        <v>1.2188379374578899</v>
      </c>
      <c r="F783">
        <v>1.30559629027783</v>
      </c>
      <c r="G783">
        <v>1.53454084261424</v>
      </c>
      <c r="H783">
        <v>1.35543577345329</v>
      </c>
      <c r="I783">
        <v>1.86948594982363</v>
      </c>
      <c r="J783">
        <v>1.9090404660933</v>
      </c>
      <c r="K783">
        <v>1.5524751298006401</v>
      </c>
      <c r="L783">
        <v>1226.2711917412701</v>
      </c>
      <c r="M783">
        <v>24.1642826066923</v>
      </c>
      <c r="O783">
        <v>50.403543909397698</v>
      </c>
      <c r="P783">
        <v>5.9927964791203402E-2</v>
      </c>
      <c r="Q783">
        <v>1.5</v>
      </c>
      <c r="R783">
        <v>0.65586966291632598</v>
      </c>
      <c r="S783" t="s">
        <v>2785</v>
      </c>
      <c r="T783" t="s">
        <v>4002</v>
      </c>
      <c r="U783" t="s">
        <v>4002</v>
      </c>
      <c r="V783" t="s">
        <v>4002</v>
      </c>
      <c r="W783" t="s">
        <v>4771</v>
      </c>
      <c r="X783">
        <v>8</v>
      </c>
      <c r="Y783" t="s">
        <v>6744</v>
      </c>
      <c r="Z783" t="s">
        <v>8681</v>
      </c>
      <c r="AA783">
        <v>1.3160617727264381</v>
      </c>
      <c r="AB783" t="str">
        <f>HYPERLINK("Melting_Curves/meltCurve_O15144_ARPC2.pdf", "Melting_Curves/meltCurve_O15144_ARPC2.pdf")</f>
        <v>Melting_Curves/meltCurve_O15144_ARPC2.pdf</v>
      </c>
    </row>
    <row r="784" spans="1:28" x14ac:dyDescent="0.25">
      <c r="A784" t="s">
        <v>788</v>
      </c>
      <c r="B784">
        <v>1</v>
      </c>
      <c r="C784">
        <v>1.02114680764538</v>
      </c>
      <c r="D784">
        <v>1.09885762874783</v>
      </c>
      <c r="E784">
        <v>1.02632259972642</v>
      </c>
      <c r="F784">
        <v>0.96395430514991298</v>
      </c>
      <c r="G784">
        <v>1.1954970608894999</v>
      </c>
      <c r="H784">
        <v>1.0540500573034099</v>
      </c>
      <c r="I784">
        <v>1.5598358534511401</v>
      </c>
      <c r="J784">
        <v>1.0804096269732699</v>
      </c>
      <c r="K784">
        <v>1.1562719509039201</v>
      </c>
      <c r="L784">
        <v>14111.270831793199</v>
      </c>
      <c r="M784">
        <v>250</v>
      </c>
      <c r="O784">
        <v>56.4414693487414</v>
      </c>
      <c r="P784">
        <v>0.23546724776946701</v>
      </c>
      <c r="Q784">
        <v>1.2126418859519701</v>
      </c>
      <c r="R784">
        <v>0.323449104951752</v>
      </c>
      <c r="S784" t="s">
        <v>2786</v>
      </c>
      <c r="T784" t="s">
        <v>4002</v>
      </c>
      <c r="U784" t="s">
        <v>4002</v>
      </c>
      <c r="V784" t="s">
        <v>4002</v>
      </c>
      <c r="W784" t="s">
        <v>4772</v>
      </c>
      <c r="X784">
        <v>4</v>
      </c>
      <c r="Y784" t="s">
        <v>6745</v>
      </c>
      <c r="Z784" t="s">
        <v>8682</v>
      </c>
      <c r="AA784">
        <v>1.096057037150882</v>
      </c>
      <c r="AB784" t="str">
        <f>HYPERLINK("Melting_Curves/meltCurve_O15145_ARPC3.pdf", "Melting_Curves/meltCurve_O15145_ARPC3.pdf")</f>
        <v>Melting_Curves/meltCurve_O15145_ARPC3.pdf</v>
      </c>
    </row>
    <row r="785" spans="1:28" x14ac:dyDescent="0.25">
      <c r="A785" t="s">
        <v>789</v>
      </c>
      <c r="B785">
        <v>1</v>
      </c>
      <c r="C785">
        <v>0.84735110849624296</v>
      </c>
      <c r="D785">
        <v>0.87318482068836401</v>
      </c>
      <c r="E785">
        <v>0.95299922445377505</v>
      </c>
      <c r="F785">
        <v>1.0307945337362601</v>
      </c>
      <c r="G785">
        <v>1.0830369320461</v>
      </c>
      <c r="H785">
        <v>1.0106971893135099</v>
      </c>
      <c r="I785">
        <v>1.2079801032278801</v>
      </c>
      <c r="J785">
        <v>1.3232423180809201</v>
      </c>
      <c r="K785">
        <v>0.95235739309496403</v>
      </c>
      <c r="L785">
        <v>1504.97048956907</v>
      </c>
      <c r="M785">
        <v>25.797249378820698</v>
      </c>
      <c r="O785">
        <v>57.991236646702902</v>
      </c>
      <c r="P785">
        <v>1.59775584008458E-2</v>
      </c>
      <c r="Q785">
        <v>1.1436660719268801</v>
      </c>
      <c r="R785">
        <v>0.32790922355461799</v>
      </c>
      <c r="S785" t="s">
        <v>2787</v>
      </c>
      <c r="T785" t="s">
        <v>4002</v>
      </c>
      <c r="U785" t="s">
        <v>4002</v>
      </c>
      <c r="V785" t="s">
        <v>4002</v>
      </c>
      <c r="W785" t="s">
        <v>4773</v>
      </c>
      <c r="X785">
        <v>3</v>
      </c>
      <c r="Y785" t="s">
        <v>6746</v>
      </c>
      <c r="Z785" t="s">
        <v>8683</v>
      </c>
      <c r="AA785">
        <v>1.054668275284554</v>
      </c>
      <c r="AB785" t="str">
        <f>HYPERLINK("Melting_Curves/meltCurve_O15212_PFDN6.pdf", "Melting_Curves/meltCurve_O15212_PFDN6.pdf")</f>
        <v>Melting_Curves/meltCurve_O15212_PFDN6.pdf</v>
      </c>
    </row>
    <row r="786" spans="1:28" x14ac:dyDescent="0.25">
      <c r="A786" t="s">
        <v>790</v>
      </c>
      <c r="B786">
        <v>1</v>
      </c>
      <c r="C786">
        <v>0.73366916627012102</v>
      </c>
      <c r="D786">
        <v>1.07383948935891</v>
      </c>
      <c r="E786">
        <v>0.98360763336232204</v>
      </c>
      <c r="F786">
        <v>0.86987841097418905</v>
      </c>
      <c r="G786">
        <v>0.88052770621728504</v>
      </c>
      <c r="H786">
        <v>0.73992090970250901</v>
      </c>
      <c r="I786">
        <v>0.95956877738214397</v>
      </c>
      <c r="J786">
        <v>0.97263016261096402</v>
      </c>
      <c r="K786">
        <v>0.95707464351935401</v>
      </c>
      <c r="L786">
        <v>10222.595225868299</v>
      </c>
      <c r="M786">
        <v>250</v>
      </c>
      <c r="O786">
        <v>40.8877642019918</v>
      </c>
      <c r="P786">
        <v>-0.140846450337137</v>
      </c>
      <c r="Q786">
        <v>0.90785765693315801</v>
      </c>
      <c r="R786">
        <v>6.8864433267037894E-2</v>
      </c>
      <c r="S786" t="s">
        <v>2788</v>
      </c>
      <c r="T786" t="s">
        <v>4002</v>
      </c>
      <c r="U786" t="s">
        <v>4002</v>
      </c>
      <c r="V786" t="s">
        <v>4002</v>
      </c>
      <c r="W786" t="s">
        <v>4774</v>
      </c>
      <c r="X786">
        <v>12</v>
      </c>
      <c r="Y786" t="s">
        <v>6747</v>
      </c>
      <c r="Z786" t="s">
        <v>8684</v>
      </c>
      <c r="AA786">
        <v>0.91060081878902521</v>
      </c>
      <c r="AB786" t="str">
        <f>HYPERLINK("Melting_Curves/meltCurve_O15231_3_ZNF185.pdf", "Melting_Curves/meltCurve_O15231_3_ZNF185.pdf")</f>
        <v>Melting_Curves/meltCurve_O15231_3_ZNF185.pdf</v>
      </c>
    </row>
    <row r="787" spans="1:28" x14ac:dyDescent="0.25">
      <c r="A787" t="s">
        <v>791</v>
      </c>
      <c r="B787">
        <v>1</v>
      </c>
      <c r="C787">
        <v>0.92669354380784696</v>
      </c>
      <c r="D787">
        <v>0.99936403384248496</v>
      </c>
      <c r="E787">
        <v>1.00958491851684</v>
      </c>
      <c r="F787">
        <v>0.94523877122253097</v>
      </c>
      <c r="G787">
        <v>0.949724603940719</v>
      </c>
      <c r="H787">
        <v>0.80257793424564206</v>
      </c>
      <c r="I787">
        <v>1.02872068593493</v>
      </c>
      <c r="J787">
        <v>1.2450173187212501</v>
      </c>
      <c r="K787">
        <v>0.87346544773153101</v>
      </c>
      <c r="L787">
        <v>10221.7392471354</v>
      </c>
      <c r="M787">
        <v>250</v>
      </c>
      <c r="O787">
        <v>40.884340506747897</v>
      </c>
      <c r="P787">
        <v>-3.7302412754653701E-2</v>
      </c>
      <c r="Q787">
        <v>0.97559864731936397</v>
      </c>
      <c r="R787">
        <v>4.3917608622648903E-3</v>
      </c>
      <c r="S787" t="s">
        <v>2789</v>
      </c>
      <c r="T787" t="s">
        <v>4002</v>
      </c>
      <c r="U787" t="s">
        <v>4002</v>
      </c>
      <c r="V787" t="s">
        <v>4002</v>
      </c>
      <c r="W787" t="s">
        <v>4775</v>
      </c>
      <c r="X787">
        <v>12</v>
      </c>
      <c r="Y787" t="s">
        <v>6747</v>
      </c>
      <c r="Z787" t="s">
        <v>8685</v>
      </c>
      <c r="AA787">
        <v>0.97632232329427093</v>
      </c>
      <c r="AB787" t="str">
        <f>HYPERLINK("Melting_Curves/meltCurve_O15231_4_ZNF185.pdf", "Melting_Curves/meltCurve_O15231_4_ZNF185.pdf")</f>
        <v>Melting_Curves/meltCurve_O15231_4_ZNF185.pdf</v>
      </c>
    </row>
    <row r="788" spans="1:28" x14ac:dyDescent="0.25">
      <c r="A788" t="s">
        <v>792</v>
      </c>
      <c r="B788">
        <v>1</v>
      </c>
      <c r="C788">
        <v>0.84073160706946204</v>
      </c>
      <c r="D788">
        <v>1.0836004932182499</v>
      </c>
      <c r="E788">
        <v>1.32240032881217</v>
      </c>
      <c r="F788">
        <v>1.1390053431977001</v>
      </c>
      <c r="G788">
        <v>1.4808877928483399</v>
      </c>
      <c r="H788">
        <v>1.5090423345663799</v>
      </c>
      <c r="I788">
        <v>1.8101520756267999</v>
      </c>
      <c r="J788">
        <v>1.8094944512947</v>
      </c>
      <c r="K788">
        <v>1.7153308672420899</v>
      </c>
      <c r="L788">
        <v>1079.8013909446099</v>
      </c>
      <c r="M788">
        <v>21.088021549685301</v>
      </c>
      <c r="O788">
        <v>50.750700436896103</v>
      </c>
      <c r="P788">
        <v>5.1941587520453199E-2</v>
      </c>
      <c r="Q788">
        <v>1.5</v>
      </c>
      <c r="R788">
        <v>0.69412243225539505</v>
      </c>
      <c r="S788" t="s">
        <v>2790</v>
      </c>
      <c r="T788" t="s">
        <v>4002</v>
      </c>
      <c r="U788" t="s">
        <v>4002</v>
      </c>
      <c r="V788" t="s">
        <v>4002</v>
      </c>
      <c r="W788" t="s">
        <v>4776</v>
      </c>
      <c r="X788">
        <v>2</v>
      </c>
      <c r="Y788" t="s">
        <v>6748</v>
      </c>
      <c r="Z788" t="s">
        <v>8686</v>
      </c>
      <c r="AA788">
        <v>1.3069759797870759</v>
      </c>
      <c r="AB788" t="str">
        <f>HYPERLINK("Melting_Curves/meltCurve_O15335_CHAD.pdf", "Melting_Curves/meltCurve_O15335_CHAD.pdf")</f>
        <v>Melting_Curves/meltCurve_O15335_CHAD.pdf</v>
      </c>
    </row>
    <row r="789" spans="1:28" x14ac:dyDescent="0.25">
      <c r="A789" t="s">
        <v>793</v>
      </c>
      <c r="B789">
        <v>1</v>
      </c>
      <c r="C789">
        <v>0.95963957199173999</v>
      </c>
      <c r="D789">
        <v>1.04067329954321</v>
      </c>
      <c r="E789">
        <v>1.22339027595269</v>
      </c>
      <c r="F789">
        <v>1.11807771728928</v>
      </c>
      <c r="G789">
        <v>1.2477316813716299</v>
      </c>
      <c r="H789">
        <v>1.04743132469808</v>
      </c>
      <c r="I789">
        <v>1.3340216507102201</v>
      </c>
      <c r="J789">
        <v>1.0794693698767299</v>
      </c>
      <c r="K789">
        <v>1.0810337275514701</v>
      </c>
      <c r="L789">
        <v>11550.119779971699</v>
      </c>
      <c r="M789">
        <v>250</v>
      </c>
      <c r="O789">
        <v>46.197523192095801</v>
      </c>
      <c r="P789">
        <v>0.21861788985453101</v>
      </c>
      <c r="Q789">
        <v>1.1615936783129399</v>
      </c>
      <c r="R789">
        <v>0.44362261433176298</v>
      </c>
      <c r="S789" t="s">
        <v>2791</v>
      </c>
      <c r="T789" t="s">
        <v>4002</v>
      </c>
      <c r="U789" t="s">
        <v>4002</v>
      </c>
      <c r="V789" t="s">
        <v>4002</v>
      </c>
      <c r="W789" t="s">
        <v>4777</v>
      </c>
      <c r="X789">
        <v>2</v>
      </c>
      <c r="Y789" t="s">
        <v>6749</v>
      </c>
      <c r="Z789" t="s">
        <v>8687</v>
      </c>
      <c r="AA789">
        <v>1.1281819685067209</v>
      </c>
      <c r="AB789" t="str">
        <f>HYPERLINK("Melting_Curves/meltCurve_O15389_SIGLEC5.pdf", "Melting_Curves/meltCurve_O15389_SIGLEC5.pdf")</f>
        <v>Melting_Curves/meltCurve_O15389_SIGLEC5.pdf</v>
      </c>
    </row>
    <row r="790" spans="1:28" x14ac:dyDescent="0.25">
      <c r="A790" t="s">
        <v>794</v>
      </c>
      <c r="B790">
        <v>1</v>
      </c>
      <c r="C790">
        <v>1.0101922601304301</v>
      </c>
      <c r="D790">
        <v>1.0420186662848401</v>
      </c>
      <c r="E790">
        <v>1.0653189799929701</v>
      </c>
      <c r="F790">
        <v>0.95479218463220605</v>
      </c>
      <c r="G790">
        <v>1.05974773179907</v>
      </c>
      <c r="H790">
        <v>0.61706780521458404</v>
      </c>
      <c r="I790">
        <v>1.13857829035575</v>
      </c>
      <c r="J790">
        <v>0.66006274162685696</v>
      </c>
      <c r="K790">
        <v>0.80123140205407195</v>
      </c>
      <c r="L790">
        <v>14701.6609787794</v>
      </c>
      <c r="M790">
        <v>250</v>
      </c>
      <c r="O790">
        <v>58.802878860702798</v>
      </c>
      <c r="P790">
        <v>-0.20806782118801501</v>
      </c>
      <c r="Q790">
        <v>0.80424020402395302</v>
      </c>
      <c r="R790">
        <v>0.38204486251217701</v>
      </c>
      <c r="S790" t="s">
        <v>2792</v>
      </c>
      <c r="T790" t="s">
        <v>4002</v>
      </c>
      <c r="U790" t="s">
        <v>4002</v>
      </c>
      <c r="V790" t="s">
        <v>4002</v>
      </c>
      <c r="W790" t="s">
        <v>4778</v>
      </c>
      <c r="X790">
        <v>10</v>
      </c>
      <c r="Y790" t="s">
        <v>6750</v>
      </c>
      <c r="Z790" t="s">
        <v>8688</v>
      </c>
      <c r="AA790">
        <v>0.92697989989099905</v>
      </c>
      <c r="AB790" t="str">
        <f>HYPERLINK("Melting_Curves/meltCurve_O15400_2_STX7.pdf", "Melting_Curves/meltCurve_O15400_2_STX7.pdf")</f>
        <v>Melting_Curves/meltCurve_O15400_2_STX7.pdf</v>
      </c>
    </row>
    <row r="791" spans="1:28" x14ac:dyDescent="0.25">
      <c r="A791" t="s">
        <v>795</v>
      </c>
      <c r="B791">
        <v>1</v>
      </c>
      <c r="C791">
        <v>1.1151119254361499</v>
      </c>
      <c r="D791">
        <v>1.4712817653150601</v>
      </c>
      <c r="E791">
        <v>1.6106906715526199</v>
      </c>
      <c r="F791">
        <v>1.42826415996176</v>
      </c>
      <c r="G791">
        <v>1.55580339361109</v>
      </c>
      <c r="H791">
        <v>1.43121166255078</v>
      </c>
      <c r="I791">
        <v>2.2792161236357802</v>
      </c>
      <c r="J791">
        <v>1.8417908069784099</v>
      </c>
      <c r="K791">
        <v>1.71425157332908</v>
      </c>
      <c r="L791">
        <v>2620.3771528108</v>
      </c>
      <c r="M791">
        <v>59.868905058497901</v>
      </c>
      <c r="O791">
        <v>43.719828939198301</v>
      </c>
      <c r="P791">
        <v>0.17117212989107</v>
      </c>
      <c r="Q791">
        <v>1.5</v>
      </c>
      <c r="R791">
        <v>0.32268375537205801</v>
      </c>
      <c r="S791" t="s">
        <v>2793</v>
      </c>
      <c r="T791" t="s">
        <v>4002</v>
      </c>
      <c r="U791" t="s">
        <v>4002</v>
      </c>
      <c r="V791" t="s">
        <v>4002</v>
      </c>
      <c r="W791" t="s">
        <v>4779</v>
      </c>
      <c r="X791">
        <v>3</v>
      </c>
      <c r="Y791" t="s">
        <v>6751</v>
      </c>
      <c r="Z791" t="s">
        <v>8689</v>
      </c>
      <c r="AA791">
        <v>1.4364831008320369</v>
      </c>
      <c r="AB791" t="str">
        <f>HYPERLINK("Melting_Curves/meltCurve_O15511_ARPC5.pdf", "Melting_Curves/meltCurve_O15511_ARPC5.pdf")</f>
        <v>Melting_Curves/meltCurve_O15511_ARPC5.pdf</v>
      </c>
    </row>
    <row r="792" spans="1:28" x14ac:dyDescent="0.25">
      <c r="A792" t="s">
        <v>796</v>
      </c>
      <c r="B792">
        <v>1</v>
      </c>
      <c r="C792">
        <v>0.92848051105934304</v>
      </c>
      <c r="D792">
        <v>0.99284324791661704</v>
      </c>
      <c r="E792">
        <v>1.0483921323759</v>
      </c>
      <c r="F792">
        <v>1.1441196954777999</v>
      </c>
      <c r="G792">
        <v>1.15869737505704</v>
      </c>
      <c r="H792">
        <v>0.79528807127932999</v>
      </c>
      <c r="I792">
        <v>1.28389250462307</v>
      </c>
      <c r="J792">
        <v>0.98491798554239995</v>
      </c>
      <c r="K792">
        <v>0.935277023943899</v>
      </c>
      <c r="L792">
        <v>5147.2639727128098</v>
      </c>
      <c r="M792">
        <v>71.901647834539304</v>
      </c>
      <c r="Q792">
        <v>0.60823924266609797</v>
      </c>
      <c r="R792">
        <v>-1.8330148586698E-2</v>
      </c>
      <c r="S792" t="s">
        <v>2794</v>
      </c>
      <c r="T792" t="s">
        <v>4002</v>
      </c>
      <c r="U792" t="s">
        <v>4002</v>
      </c>
      <c r="V792" t="s">
        <v>4002</v>
      </c>
      <c r="W792" t="s">
        <v>4780</v>
      </c>
      <c r="X792">
        <v>1</v>
      </c>
      <c r="Y792" t="s">
        <v>6752</v>
      </c>
      <c r="Z792" t="s">
        <v>8690</v>
      </c>
      <c r="AA792">
        <v>0.99783785831818894</v>
      </c>
      <c r="AB792" t="str">
        <f>HYPERLINK("Melting_Curves/meltCurve_O43143_DHX15.pdf", "Melting_Curves/meltCurve_O43143_DHX15.pdf")</f>
        <v>Melting_Curves/meltCurve_O43143_DHX15.pdf</v>
      </c>
    </row>
    <row r="793" spans="1:28" x14ac:dyDescent="0.25">
      <c r="A793" t="s">
        <v>797</v>
      </c>
      <c r="B793">
        <v>1</v>
      </c>
      <c r="C793">
        <v>0.966809408998764</v>
      </c>
      <c r="D793">
        <v>0.99792483836529999</v>
      </c>
      <c r="E793">
        <v>0.97963222857965404</v>
      </c>
      <c r="F793">
        <v>0.95573788189571396</v>
      </c>
      <c r="G793">
        <v>1.01992395072391</v>
      </c>
      <c r="H793">
        <v>0.98151546775102805</v>
      </c>
      <c r="I793">
        <v>1.1537538834310901</v>
      </c>
      <c r="J793">
        <v>5.7309247064186097</v>
      </c>
      <c r="K793">
        <v>0.99552580757373998</v>
      </c>
      <c r="L793">
        <v>15000</v>
      </c>
      <c r="M793">
        <v>233.57463171879201</v>
      </c>
      <c r="O793">
        <v>64.214589903485304</v>
      </c>
      <c r="P793">
        <v>0.45467590400167701</v>
      </c>
      <c r="Q793">
        <v>1.5</v>
      </c>
      <c r="R793">
        <v>9.7565734569242293E-2</v>
      </c>
      <c r="S793" t="s">
        <v>2795</v>
      </c>
      <c r="T793" t="s">
        <v>4002</v>
      </c>
      <c r="U793" t="s">
        <v>4002</v>
      </c>
      <c r="V793" t="s">
        <v>4002</v>
      </c>
      <c r="W793" t="s">
        <v>4781</v>
      </c>
      <c r="X793">
        <v>4</v>
      </c>
      <c r="Y793" t="s">
        <v>6753</v>
      </c>
      <c r="Z793" t="s">
        <v>8691</v>
      </c>
      <c r="AA793">
        <v>1.09628039519353</v>
      </c>
      <c r="AB793" t="str">
        <f>HYPERLINK("Melting_Curves/meltCurve_O43175_PHGDH.pdf", "Melting_Curves/meltCurve_O43175_PHGDH.pdf")</f>
        <v>Melting_Curves/meltCurve_O43175_PHGDH.pdf</v>
      </c>
    </row>
    <row r="794" spans="1:28" x14ac:dyDescent="0.25">
      <c r="A794" t="s">
        <v>798</v>
      </c>
      <c r="B794">
        <v>1</v>
      </c>
      <c r="C794">
        <v>1.00617352000882</v>
      </c>
      <c r="D794">
        <v>1.0971778194245401</v>
      </c>
      <c r="E794">
        <v>0.98236137140337298</v>
      </c>
      <c r="F794">
        <v>0.89857788556939699</v>
      </c>
      <c r="G794">
        <v>1.00159850071657</v>
      </c>
      <c r="H794">
        <v>0.97910924925586995</v>
      </c>
      <c r="I794">
        <v>1.1658031088082901</v>
      </c>
      <c r="J794">
        <v>1.40216073200309</v>
      </c>
      <c r="K794">
        <v>1.0596957336567101</v>
      </c>
      <c r="L794">
        <v>15000</v>
      </c>
      <c r="M794">
        <v>235.309667299387</v>
      </c>
      <c r="O794">
        <v>63.7412021244077</v>
      </c>
      <c r="P794">
        <v>0.213123995361399</v>
      </c>
      <c r="Q794">
        <v>1.23092592330984</v>
      </c>
      <c r="R794">
        <v>0.55573113760814496</v>
      </c>
      <c r="S794" t="s">
        <v>2796</v>
      </c>
      <c r="T794" t="s">
        <v>4002</v>
      </c>
      <c r="U794" t="s">
        <v>4002</v>
      </c>
      <c r="V794" t="s">
        <v>4002</v>
      </c>
      <c r="W794" t="s">
        <v>4782</v>
      </c>
      <c r="X794">
        <v>4</v>
      </c>
      <c r="Y794" t="s">
        <v>6754</v>
      </c>
      <c r="Z794" t="s">
        <v>8692</v>
      </c>
      <c r="AA794">
        <v>1.048112833259097</v>
      </c>
      <c r="AB794" t="str">
        <f>HYPERLINK("Melting_Curves/meltCurve_O43240_KLK10.pdf", "Melting_Curves/meltCurve_O43240_KLK10.pdf")</f>
        <v>Melting_Curves/meltCurve_O43240_KLK10.pdf</v>
      </c>
    </row>
    <row r="795" spans="1:28" x14ac:dyDescent="0.25">
      <c r="A795" t="s">
        <v>799</v>
      </c>
      <c r="B795">
        <v>1</v>
      </c>
      <c r="C795">
        <v>0.73572087561855204</v>
      </c>
      <c r="D795">
        <v>1.1406105845844201</v>
      </c>
      <c r="E795">
        <v>1.1609074897257401</v>
      </c>
      <c r="F795">
        <v>1.0622745953199699</v>
      </c>
      <c r="G795">
        <v>1.1008974251446799</v>
      </c>
      <c r="H795">
        <v>0.67801727753082297</v>
      </c>
      <c r="I795">
        <v>1.0352260337163499</v>
      </c>
      <c r="J795">
        <v>1.9093768346892599</v>
      </c>
      <c r="K795">
        <v>0.71173362408789698</v>
      </c>
      <c r="L795">
        <v>612.53703133806698</v>
      </c>
      <c r="M795">
        <v>12.1409680823856</v>
      </c>
      <c r="O795">
        <v>49.141847888240498</v>
      </c>
      <c r="P795">
        <v>6.8253954922358404E-3</v>
      </c>
      <c r="Q795">
        <v>1.1104805756031899</v>
      </c>
      <c r="R795">
        <v>2.73784723956918E-2</v>
      </c>
      <c r="S795" t="s">
        <v>2797</v>
      </c>
      <c r="T795" t="s">
        <v>4002</v>
      </c>
      <c r="U795" t="s">
        <v>4002</v>
      </c>
      <c r="V795" t="s">
        <v>4002</v>
      </c>
      <c r="W795" t="s">
        <v>4783</v>
      </c>
      <c r="X795">
        <v>1</v>
      </c>
      <c r="Y795" t="s">
        <v>6755</v>
      </c>
      <c r="Z795" t="s">
        <v>8693</v>
      </c>
      <c r="AA795">
        <v>1.068330257598032</v>
      </c>
      <c r="AB795" t="str">
        <f>HYPERLINK("Melting_Curves/meltCurve_O43242_PSMD3.pdf", "Melting_Curves/meltCurve_O43242_PSMD3.pdf")</f>
        <v>Melting_Curves/meltCurve_O43242_PSMD3.pdf</v>
      </c>
    </row>
    <row r="796" spans="1:28" x14ac:dyDescent="0.25">
      <c r="A796" t="s">
        <v>800</v>
      </c>
      <c r="B796">
        <v>1</v>
      </c>
      <c r="C796">
        <v>0.87182675613532901</v>
      </c>
      <c r="D796">
        <v>0.89810426540284405</v>
      </c>
      <c r="E796">
        <v>0.91539580498334205</v>
      </c>
      <c r="F796">
        <v>0.84604195016658101</v>
      </c>
      <c r="G796">
        <v>0.855614471399747</v>
      </c>
      <c r="H796">
        <v>0.67969593167847597</v>
      </c>
      <c r="I796">
        <v>1.0181596358688001</v>
      </c>
      <c r="J796">
        <v>0.75500915020411996</v>
      </c>
      <c r="K796">
        <v>0.78506405142883995</v>
      </c>
      <c r="L796">
        <v>324.58812697643299</v>
      </c>
      <c r="M796">
        <v>6.8505797239903004</v>
      </c>
      <c r="O796">
        <v>43.836402064040797</v>
      </c>
      <c r="P796">
        <v>-8.3404362079097603E-3</v>
      </c>
      <c r="Q796">
        <v>0.78694784982797605</v>
      </c>
      <c r="R796">
        <v>0.26179546039241902</v>
      </c>
      <c r="S796" t="s">
        <v>2798</v>
      </c>
      <c r="T796" t="s">
        <v>4002</v>
      </c>
      <c r="U796" t="s">
        <v>4002</v>
      </c>
      <c r="V796" t="s">
        <v>4002</v>
      </c>
      <c r="W796" t="s">
        <v>4784</v>
      </c>
      <c r="X796">
        <v>5</v>
      </c>
      <c r="Y796" t="s">
        <v>6756</v>
      </c>
      <c r="Z796" t="s">
        <v>8694</v>
      </c>
      <c r="AA796">
        <v>0.85915253464123564</v>
      </c>
      <c r="AB796" t="str">
        <f>HYPERLINK("Melting_Curves/meltCurve_O43291_SPINT2.pdf", "Melting_Curves/meltCurve_O43291_SPINT2.pdf")</f>
        <v>Melting_Curves/meltCurve_O43291_SPINT2.pdf</v>
      </c>
    </row>
    <row r="797" spans="1:28" x14ac:dyDescent="0.25">
      <c r="A797" t="s">
        <v>801</v>
      </c>
      <c r="B797">
        <v>1</v>
      </c>
      <c r="C797">
        <v>0.89564122738001595</v>
      </c>
      <c r="D797">
        <v>1.0488749016522401</v>
      </c>
      <c r="E797">
        <v>0.993139260424862</v>
      </c>
      <c r="F797">
        <v>0.94719118804091296</v>
      </c>
      <c r="G797">
        <v>0.97922895357985795</v>
      </c>
      <c r="H797">
        <v>1.0313139260424899</v>
      </c>
      <c r="I797">
        <v>1.0270653029110901</v>
      </c>
      <c r="J797">
        <v>1.0713453973249401</v>
      </c>
      <c r="K797">
        <v>0.94184107002360395</v>
      </c>
      <c r="L797">
        <v>3061.3153126357001</v>
      </c>
      <c r="M797">
        <v>51.770517765659001</v>
      </c>
      <c r="O797">
        <v>59.0443743552689</v>
      </c>
      <c r="P797">
        <v>3.7583225125630902E-3</v>
      </c>
      <c r="Q797">
        <v>1.0171454833411999</v>
      </c>
      <c r="R797">
        <v>2.52242272575233E-2</v>
      </c>
      <c r="S797" t="s">
        <v>2799</v>
      </c>
      <c r="T797" t="s">
        <v>4002</v>
      </c>
      <c r="U797" t="s">
        <v>4002</v>
      </c>
      <c r="V797" t="s">
        <v>4002</v>
      </c>
      <c r="W797" t="s">
        <v>4785</v>
      </c>
      <c r="X797">
        <v>5</v>
      </c>
      <c r="Y797" t="s">
        <v>6757</v>
      </c>
      <c r="Z797" t="s">
        <v>8695</v>
      </c>
      <c r="AA797">
        <v>1.00616961558798</v>
      </c>
      <c r="AB797" t="str">
        <f>HYPERLINK("Melting_Curves/meltCurve_O43399_2_TPD52L2.pdf", "Melting_Curves/meltCurve_O43399_2_TPD52L2.pdf")</f>
        <v>Melting_Curves/meltCurve_O43399_2_TPD52L2.pdf</v>
      </c>
    </row>
    <row r="798" spans="1:28" x14ac:dyDescent="0.25">
      <c r="A798" t="s">
        <v>802</v>
      </c>
      <c r="B798">
        <v>1</v>
      </c>
      <c r="C798">
        <v>0.91590949581329095</v>
      </c>
      <c r="D798">
        <v>0.66907179761268498</v>
      </c>
      <c r="E798">
        <v>0.32552556565116703</v>
      </c>
      <c r="F798">
        <v>0.27207375734901101</v>
      </c>
      <c r="G798">
        <v>0.18222430073044699</v>
      </c>
      <c r="H798">
        <v>0.37047479066452899</v>
      </c>
      <c r="I798">
        <v>0.33748886513450899</v>
      </c>
      <c r="J798">
        <v>0.27777926242651002</v>
      </c>
      <c r="K798">
        <v>0.320737573490112</v>
      </c>
      <c r="L798">
        <v>1532.5491639698901</v>
      </c>
      <c r="M798">
        <v>33.258560293242702</v>
      </c>
      <c r="N798">
        <v>47.316748247986098</v>
      </c>
      <c r="O798">
        <v>45.9142041356736</v>
      </c>
      <c r="P798">
        <v>-0.12850190475253701</v>
      </c>
      <c r="Q798">
        <v>0.290403778942323</v>
      </c>
      <c r="R798">
        <v>0.968496328850321</v>
      </c>
      <c r="S798" t="s">
        <v>2800</v>
      </c>
      <c r="T798" t="s">
        <v>4002</v>
      </c>
      <c r="U798" t="s">
        <v>4002</v>
      </c>
      <c r="V798" t="s">
        <v>4002</v>
      </c>
      <c r="W798" t="s">
        <v>4786</v>
      </c>
      <c r="X798">
        <v>1</v>
      </c>
      <c r="Y798" t="s">
        <v>6758</v>
      </c>
      <c r="Z798" t="s">
        <v>8696</v>
      </c>
      <c r="AA798">
        <v>0.43764327841303119</v>
      </c>
      <c r="AB798" t="str">
        <f>HYPERLINK("Melting_Curves/meltCurve_O43490_5_PROM1.pdf", "Melting_Curves/meltCurve_O43490_5_PROM1.pdf")</f>
        <v>Melting_Curves/meltCurve_O43490_5_PROM1.pdf</v>
      </c>
    </row>
    <row r="799" spans="1:28" x14ac:dyDescent="0.25">
      <c r="A799" t="s">
        <v>803</v>
      </c>
      <c r="B799">
        <v>1</v>
      </c>
      <c r="C799">
        <v>1.0543736061453499</v>
      </c>
      <c r="D799">
        <v>0.92675846932634798</v>
      </c>
      <c r="E799">
        <v>1.03629627007446</v>
      </c>
      <c r="F799">
        <v>1.30163899607066</v>
      </c>
      <c r="G799">
        <v>2.7053465019410701</v>
      </c>
      <c r="H799">
        <v>2.4474022679268899</v>
      </c>
      <c r="I799">
        <v>3.9843298287844999</v>
      </c>
      <c r="J799">
        <v>2.69814860703034</v>
      </c>
      <c r="K799">
        <v>3.3012378019280901</v>
      </c>
      <c r="L799">
        <v>13227.785390192999</v>
      </c>
      <c r="M799">
        <v>250</v>
      </c>
      <c r="O799">
        <v>52.9077702799026</v>
      </c>
      <c r="P799">
        <v>0.59065064555239799</v>
      </c>
      <c r="Q799">
        <v>1.5</v>
      </c>
      <c r="R799">
        <v>-0.173603750176822</v>
      </c>
      <c r="S799" t="s">
        <v>2801</v>
      </c>
      <c r="T799" t="s">
        <v>4002</v>
      </c>
      <c r="U799" t="s">
        <v>4002</v>
      </c>
      <c r="V799" t="s">
        <v>4002</v>
      </c>
      <c r="W799" t="s">
        <v>4787</v>
      </c>
      <c r="X799">
        <v>2</v>
      </c>
      <c r="Y799" t="s">
        <v>6759</v>
      </c>
      <c r="Z799" t="s">
        <v>8697</v>
      </c>
      <c r="AA799">
        <v>1.2847678782054861</v>
      </c>
      <c r="AB799" t="str">
        <f>HYPERLINK("Melting_Curves/meltCurve_O43505_B3GNT1.pdf", "Melting_Curves/meltCurve_O43505_B3GNT1.pdf")</f>
        <v>Melting_Curves/meltCurve_O43505_B3GNT1.pdf</v>
      </c>
    </row>
    <row r="800" spans="1:28" x14ac:dyDescent="0.25">
      <c r="A800" t="s">
        <v>804</v>
      </c>
      <c r="B800">
        <v>1</v>
      </c>
      <c r="C800">
        <v>0.916790214974055</v>
      </c>
      <c r="D800">
        <v>0.99725722757598201</v>
      </c>
      <c r="E800">
        <v>0.98791697553743496</v>
      </c>
      <c r="F800">
        <v>1.07047813194959</v>
      </c>
      <c r="G800">
        <v>1.0163083765752401</v>
      </c>
      <c r="H800">
        <v>0.92803928836174898</v>
      </c>
      <c r="I800">
        <v>1.0173461823573</v>
      </c>
      <c r="J800">
        <v>1.0587472201630801</v>
      </c>
      <c r="K800">
        <v>0.97155300222386998</v>
      </c>
      <c r="L800">
        <v>708.75555409503204</v>
      </c>
      <c r="M800">
        <v>4.1990757427026901</v>
      </c>
      <c r="Q800">
        <v>1.43814369983882</v>
      </c>
      <c r="R800">
        <v>-5.50064911977777E-3</v>
      </c>
      <c r="S800" t="s">
        <v>2802</v>
      </c>
      <c r="T800" t="s">
        <v>4002</v>
      </c>
      <c r="U800" t="s">
        <v>4002</v>
      </c>
      <c r="V800" t="s">
        <v>4002</v>
      </c>
      <c r="W800" t="s">
        <v>4788</v>
      </c>
      <c r="X800">
        <v>10</v>
      </c>
      <c r="Y800" t="s">
        <v>6760</v>
      </c>
      <c r="Z800" t="s">
        <v>8698</v>
      </c>
      <c r="AA800">
        <v>1.000227416878829</v>
      </c>
      <c r="AB800" t="str">
        <f>HYPERLINK("Melting_Curves/meltCurve_O43516_WIPF1.pdf", "Melting_Curves/meltCurve_O43516_WIPF1.pdf")</f>
        <v>Melting_Curves/meltCurve_O43516_WIPF1.pdf</v>
      </c>
    </row>
    <row r="801" spans="1:28" x14ac:dyDescent="0.25">
      <c r="A801" t="s">
        <v>805</v>
      </c>
      <c r="B801">
        <v>1</v>
      </c>
      <c r="C801">
        <v>0.93973987922964197</v>
      </c>
      <c r="D801">
        <v>1.1956444063315099</v>
      </c>
      <c r="E801">
        <v>1.2466859613391901</v>
      </c>
      <c r="F801">
        <v>1.14885482545468</v>
      </c>
      <c r="G801">
        <v>1.22020938292779</v>
      </c>
      <c r="H801">
        <v>0.98738700110765698</v>
      </c>
      <c r="I801">
        <v>1.3689927466323699</v>
      </c>
      <c r="J801">
        <v>1.4658234180155101</v>
      </c>
      <c r="K801">
        <v>1.0714081537856901</v>
      </c>
      <c r="L801">
        <v>11395.045197608</v>
      </c>
      <c r="M801">
        <v>250</v>
      </c>
      <c r="O801">
        <v>45.5772639728483</v>
      </c>
      <c r="P801">
        <v>0.29568345381379402</v>
      </c>
      <c r="Q801">
        <v>1.2156230849220899</v>
      </c>
      <c r="R801">
        <v>0.356722563464487</v>
      </c>
      <c r="S801" t="s">
        <v>2803</v>
      </c>
      <c r="T801" t="s">
        <v>4002</v>
      </c>
      <c r="U801" t="s">
        <v>4002</v>
      </c>
      <c r="V801" t="s">
        <v>4002</v>
      </c>
      <c r="W801" t="s">
        <v>4789</v>
      </c>
      <c r="X801">
        <v>2</v>
      </c>
      <c r="Y801" t="s">
        <v>6761</v>
      </c>
      <c r="Z801" t="s">
        <v>8699</v>
      </c>
      <c r="AA801">
        <v>1.175498643475567</v>
      </c>
      <c r="AB801" t="str">
        <f>HYPERLINK("Melting_Curves/meltCurve_O43617_2_TRAPPC3.pdf", "Melting_Curves/meltCurve_O43617_2_TRAPPC3.pdf")</f>
        <v>Melting_Curves/meltCurve_O43617_2_TRAPPC3.pdf</v>
      </c>
    </row>
    <row r="802" spans="1:28" x14ac:dyDescent="0.25">
      <c r="A802" t="s">
        <v>806</v>
      </c>
      <c r="B802">
        <v>1</v>
      </c>
      <c r="C802">
        <v>1.04682236146147</v>
      </c>
      <c r="D802">
        <v>1.1352917243062901</v>
      </c>
      <c r="E802">
        <v>1.14046708438441</v>
      </c>
      <c r="F802">
        <v>1.0040849540239201</v>
      </c>
      <c r="G802">
        <v>1.05043534868582</v>
      </c>
      <c r="H802">
        <v>1.0562128733013301</v>
      </c>
      <c r="I802">
        <v>1.4343884775002</v>
      </c>
      <c r="J802">
        <v>1.7879404345349501</v>
      </c>
      <c r="K802">
        <v>1.2587680039059299</v>
      </c>
      <c r="L802">
        <v>5635.8428771693198</v>
      </c>
      <c r="M802">
        <v>90.195376695985502</v>
      </c>
      <c r="O802">
        <v>62.454135160651397</v>
      </c>
      <c r="P802">
        <v>0.18052324868485001</v>
      </c>
      <c r="Q802">
        <v>1.5</v>
      </c>
      <c r="R802">
        <v>0.66773072454345495</v>
      </c>
      <c r="S802" t="s">
        <v>2804</v>
      </c>
      <c r="T802" t="s">
        <v>4002</v>
      </c>
      <c r="U802" t="s">
        <v>4002</v>
      </c>
      <c r="V802" t="s">
        <v>4002</v>
      </c>
      <c r="W802" t="s">
        <v>4790</v>
      </c>
      <c r="X802">
        <v>2</v>
      </c>
      <c r="Y802" t="s">
        <v>6762</v>
      </c>
      <c r="Z802" t="s">
        <v>8700</v>
      </c>
      <c r="AA802">
        <v>1.1248318768888199</v>
      </c>
      <c r="AB802" t="str">
        <f>HYPERLINK("Melting_Curves/meltCurve_O43681_ASNA1.pdf", "Melting_Curves/meltCurve_O43681_ASNA1.pdf")</f>
        <v>Melting_Curves/meltCurve_O43681_ASNA1.pdf</v>
      </c>
    </row>
    <row r="803" spans="1:28" x14ac:dyDescent="0.25">
      <c r="A803" t="s">
        <v>807</v>
      </c>
      <c r="B803">
        <v>1</v>
      </c>
      <c r="C803">
        <v>0.95396307909545897</v>
      </c>
      <c r="D803">
        <v>1.03154266254127</v>
      </c>
      <c r="E803">
        <v>1.00598043898083</v>
      </c>
      <c r="F803">
        <v>0.89885167265402699</v>
      </c>
      <c r="G803">
        <v>0.88313225491621195</v>
      </c>
      <c r="H803">
        <v>0.801877193346762</v>
      </c>
      <c r="I803">
        <v>0.92659426459289396</v>
      </c>
      <c r="J803">
        <v>1.07085158959237</v>
      </c>
      <c r="K803">
        <v>0.77463297132296405</v>
      </c>
      <c r="L803">
        <v>13111.6466596337</v>
      </c>
      <c r="M803">
        <v>250</v>
      </c>
      <c r="O803">
        <v>52.443220480153499</v>
      </c>
      <c r="P803">
        <v>-0.129404725818625</v>
      </c>
      <c r="Q803">
        <v>0.89141757044103598</v>
      </c>
      <c r="R803">
        <v>0.31324753930895699</v>
      </c>
      <c r="S803" t="s">
        <v>2805</v>
      </c>
      <c r="T803" t="s">
        <v>4002</v>
      </c>
      <c r="U803" t="s">
        <v>4002</v>
      </c>
      <c r="V803" t="s">
        <v>4002</v>
      </c>
      <c r="W803" t="s">
        <v>4791</v>
      </c>
      <c r="X803">
        <v>32</v>
      </c>
      <c r="Y803" t="s">
        <v>6763</v>
      </c>
      <c r="Z803" t="s">
        <v>8701</v>
      </c>
      <c r="AA803">
        <v>0.93647691858505178</v>
      </c>
      <c r="AB803" t="str">
        <f>HYPERLINK("Melting_Curves/meltCurve_O43707_ACTN4.pdf", "Melting_Curves/meltCurve_O43707_ACTN4.pdf")</f>
        <v>Melting_Curves/meltCurve_O43707_ACTN4.pdf</v>
      </c>
    </row>
    <row r="804" spans="1:28" x14ac:dyDescent="0.25">
      <c r="A804" t="s">
        <v>808</v>
      </c>
      <c r="B804">
        <v>1</v>
      </c>
      <c r="C804">
        <v>0.92874496737470502</v>
      </c>
      <c r="D804">
        <v>0.99344023323615205</v>
      </c>
      <c r="E804">
        <v>0.97525336665278395</v>
      </c>
      <c r="F804">
        <v>0.87992850201304995</v>
      </c>
      <c r="G804">
        <v>0.88175065944745201</v>
      </c>
      <c r="H804">
        <v>0.86356379286408402</v>
      </c>
      <c r="I804">
        <v>0.85486949881993601</v>
      </c>
      <c r="J804">
        <v>1.08845272802999</v>
      </c>
      <c r="K804">
        <v>0.82850895460224905</v>
      </c>
      <c r="L804">
        <v>12555.9309810425</v>
      </c>
      <c r="M804">
        <v>250</v>
      </c>
      <c r="O804">
        <v>50.220510911575197</v>
      </c>
      <c r="P804">
        <v>-0.125058048499332</v>
      </c>
      <c r="Q804">
        <v>0.89951233663547403</v>
      </c>
      <c r="R804">
        <v>0.18650765579016201</v>
      </c>
      <c r="S804" t="s">
        <v>2806</v>
      </c>
      <c r="T804" t="s">
        <v>4002</v>
      </c>
      <c r="U804" t="s">
        <v>4002</v>
      </c>
      <c r="V804" t="s">
        <v>4002</v>
      </c>
      <c r="W804" t="s">
        <v>4792</v>
      </c>
      <c r="X804">
        <v>2</v>
      </c>
      <c r="Y804" t="s">
        <v>6764</v>
      </c>
      <c r="Z804" t="s">
        <v>8702</v>
      </c>
      <c r="AA804">
        <v>0.93376646473853842</v>
      </c>
      <c r="AB804" t="str">
        <f>HYPERLINK("Melting_Curves/meltCurve_O43815_2_STRN.pdf", "Melting_Curves/meltCurve_O43815_2_STRN.pdf")</f>
        <v>Melting_Curves/meltCurve_O43815_2_STRN.pdf</v>
      </c>
    </row>
    <row r="805" spans="1:28" x14ac:dyDescent="0.25">
      <c r="A805" t="s">
        <v>809</v>
      </c>
      <c r="B805">
        <v>1</v>
      </c>
      <c r="C805">
        <v>0.87710643671810296</v>
      </c>
      <c r="D805">
        <v>0.94238130944394005</v>
      </c>
      <c r="E805">
        <v>0.94025020719049701</v>
      </c>
      <c r="F805">
        <v>0.91771577410316096</v>
      </c>
      <c r="G805">
        <v>0.98393780338608505</v>
      </c>
      <c r="H805">
        <v>0.87509372903429505</v>
      </c>
      <c r="I805">
        <v>1.07644342712814</v>
      </c>
      <c r="J805">
        <v>0.88085559808990099</v>
      </c>
      <c r="K805">
        <v>0.88870910454240504</v>
      </c>
      <c r="L805">
        <v>10234.5569542758</v>
      </c>
      <c r="M805">
        <v>250</v>
      </c>
      <c r="O805">
        <v>40.935608097798898</v>
      </c>
      <c r="P805">
        <v>-0.104755683736725</v>
      </c>
      <c r="Q805">
        <v>0.93138819832642805</v>
      </c>
      <c r="R805">
        <v>0.10886732734473301</v>
      </c>
      <c r="S805" t="s">
        <v>2807</v>
      </c>
      <c r="T805" t="s">
        <v>4002</v>
      </c>
      <c r="U805" t="s">
        <v>4002</v>
      </c>
      <c r="V805" t="s">
        <v>4002</v>
      </c>
      <c r="W805" t="s">
        <v>4793</v>
      </c>
      <c r="X805">
        <v>12</v>
      </c>
      <c r="Y805" t="s">
        <v>6765</v>
      </c>
      <c r="Z805" t="s">
        <v>8703</v>
      </c>
      <c r="AA805">
        <v>0.9335399173414004</v>
      </c>
      <c r="AB805" t="str">
        <f>HYPERLINK("Melting_Curves/meltCurve_O43852_CALU.pdf", "Melting_Curves/meltCurve_O43852_CALU.pdf")</f>
        <v>Melting_Curves/meltCurve_O43852_CALU.pdf</v>
      </c>
    </row>
    <row r="806" spans="1:28" x14ac:dyDescent="0.25">
      <c r="A806" t="s">
        <v>810</v>
      </c>
      <c r="B806">
        <v>1</v>
      </c>
      <c r="C806">
        <v>0.93196145052033297</v>
      </c>
      <c r="D806">
        <v>1.09346752996987</v>
      </c>
      <c r="E806">
        <v>1.20071799474325</v>
      </c>
      <c r="F806">
        <v>1.4245571297305399</v>
      </c>
      <c r="G806">
        <v>2.0337628480458099</v>
      </c>
      <c r="H806">
        <v>1.9624762271085801</v>
      </c>
      <c r="I806">
        <v>2.99399534158173</v>
      </c>
      <c r="J806">
        <v>3.6675427912045602</v>
      </c>
      <c r="K806">
        <v>2.56319849563006</v>
      </c>
      <c r="L806">
        <v>2555.4937919746299</v>
      </c>
      <c r="M806">
        <v>50.698925530448101</v>
      </c>
      <c r="O806">
        <v>50.3270482697883</v>
      </c>
      <c r="P806">
        <v>0.12592375429421601</v>
      </c>
      <c r="Q806">
        <v>1.5</v>
      </c>
      <c r="R806">
        <v>-8.6327938527678297E-2</v>
      </c>
      <c r="S806" t="s">
        <v>2808</v>
      </c>
      <c r="T806" t="s">
        <v>4002</v>
      </c>
      <c r="U806" t="s">
        <v>4002</v>
      </c>
      <c r="V806" t="s">
        <v>4002</v>
      </c>
      <c r="W806" t="s">
        <v>4794</v>
      </c>
      <c r="X806">
        <v>5</v>
      </c>
      <c r="Y806" t="s">
        <v>6766</v>
      </c>
      <c r="Z806" t="s">
        <v>8704</v>
      </c>
      <c r="AA806">
        <v>1.325497494272357</v>
      </c>
      <c r="AB806" t="str">
        <f>HYPERLINK("Melting_Curves/meltCurve_O60218_AKR1B10.pdf", "Melting_Curves/meltCurve_O60218_AKR1B10.pdf")</f>
        <v>Melting_Curves/meltCurve_O60218_AKR1B10.pdf</v>
      </c>
    </row>
    <row r="807" spans="1:28" x14ac:dyDescent="0.25">
      <c r="A807" t="s">
        <v>811</v>
      </c>
      <c r="B807">
        <v>1</v>
      </c>
      <c r="C807">
        <v>0.988270917443965</v>
      </c>
      <c r="D807">
        <v>1.0975219267715399</v>
      </c>
      <c r="E807">
        <v>1.13514548238897</v>
      </c>
      <c r="F807">
        <v>1.0642489210636199</v>
      </c>
      <c r="G807">
        <v>1.0553737992482299</v>
      </c>
      <c r="H807">
        <v>0.99091605178894604</v>
      </c>
      <c r="I807">
        <v>1.21164555199777</v>
      </c>
      <c r="J807">
        <v>1.5597939579562901</v>
      </c>
      <c r="K807">
        <v>1.00549909508562</v>
      </c>
      <c r="L807">
        <v>337.71852896398599</v>
      </c>
      <c r="M807">
        <v>5.01338123123438</v>
      </c>
      <c r="O807">
        <v>58.829697222887098</v>
      </c>
      <c r="P807">
        <v>8.8597362197251096E-3</v>
      </c>
      <c r="Q807">
        <v>1.41334967148776</v>
      </c>
      <c r="R807">
        <v>0.19504792877357599</v>
      </c>
      <c r="S807" t="s">
        <v>2809</v>
      </c>
      <c r="T807" t="s">
        <v>4002</v>
      </c>
      <c r="U807" t="s">
        <v>4002</v>
      </c>
      <c r="V807" t="s">
        <v>4002</v>
      </c>
      <c r="W807" t="s">
        <v>4795</v>
      </c>
      <c r="X807">
        <v>1</v>
      </c>
      <c r="Y807" t="s">
        <v>6767</v>
      </c>
      <c r="Z807" t="s">
        <v>8705</v>
      </c>
      <c r="AA807">
        <v>1.1075089718699891</v>
      </c>
      <c r="AB807" t="str">
        <f>HYPERLINK("Melting_Curves/meltCurve_O60220_TIMM8A.pdf", "Melting_Curves/meltCurve_O60220_TIMM8A.pdf")</f>
        <v>Melting_Curves/meltCurve_O60220_TIMM8A.pdf</v>
      </c>
    </row>
    <row r="808" spans="1:28" x14ac:dyDescent="0.25">
      <c r="A808" t="s">
        <v>812</v>
      </c>
      <c r="B808">
        <v>1</v>
      </c>
      <c r="C808">
        <v>0.95571287454725096</v>
      </c>
      <c r="D808">
        <v>1.01300625617386</v>
      </c>
      <c r="E808">
        <v>1.0304165294698699</v>
      </c>
      <c r="F808">
        <v>0.93879650971353301</v>
      </c>
      <c r="G808">
        <v>1.03333882120514</v>
      </c>
      <c r="H808">
        <v>0.84306058610470902</v>
      </c>
      <c r="I808">
        <v>1.1509713533091901</v>
      </c>
      <c r="J808">
        <v>0.82672044781033904</v>
      </c>
      <c r="K808">
        <v>1.00572110635496</v>
      </c>
      <c r="L808">
        <v>5294.2004930282601</v>
      </c>
      <c r="M808">
        <v>102.7971667058</v>
      </c>
      <c r="O808">
        <v>51.481941892684603</v>
      </c>
      <c r="P808">
        <v>-1.6659692589008498E-2</v>
      </c>
      <c r="Q808">
        <v>0.96662657888280801</v>
      </c>
      <c r="R808">
        <v>3.0490628818988699E-2</v>
      </c>
      <c r="S808" t="s">
        <v>2810</v>
      </c>
      <c r="T808" t="s">
        <v>4002</v>
      </c>
      <c r="U808" t="s">
        <v>4002</v>
      </c>
      <c r="V808" t="s">
        <v>4002</v>
      </c>
      <c r="W808" t="s">
        <v>4722</v>
      </c>
      <c r="X808">
        <v>7</v>
      </c>
      <c r="Y808" t="s">
        <v>6695</v>
      </c>
      <c r="Z808" t="s">
        <v>8706</v>
      </c>
      <c r="AA808">
        <v>0.97943916814349163</v>
      </c>
      <c r="AB808" t="str">
        <f>HYPERLINK("Melting_Curves/meltCurve_O60234_GMFG.pdf", "Melting_Curves/meltCurve_O60234_GMFG.pdf")</f>
        <v>Melting_Curves/meltCurve_O60234_GMFG.pdf</v>
      </c>
    </row>
    <row r="809" spans="1:28" x14ac:dyDescent="0.25">
      <c r="A809" t="s">
        <v>813</v>
      </c>
      <c r="B809">
        <v>1</v>
      </c>
      <c r="C809">
        <v>0.98854937416039401</v>
      </c>
      <c r="D809">
        <v>1.19515107576178</v>
      </c>
      <c r="E809">
        <v>1.3420474657227499</v>
      </c>
      <c r="F809">
        <v>1.2522975883318801</v>
      </c>
      <c r="G809">
        <v>1.2633004243341801</v>
      </c>
      <c r="H809">
        <v>1.3545216111904801</v>
      </c>
      <c r="I809">
        <v>1.53792353455445</v>
      </c>
      <c r="J809">
        <v>1.2257287246519</v>
      </c>
      <c r="K809">
        <v>1.31673667825234</v>
      </c>
      <c r="L809">
        <v>11482.139501006101</v>
      </c>
      <c r="M809">
        <v>250</v>
      </c>
      <c r="O809">
        <v>45.925619581518902</v>
      </c>
      <c r="P809">
        <v>0.44570439706228498</v>
      </c>
      <c r="Q809">
        <v>1.3275080039860101</v>
      </c>
      <c r="R809">
        <v>0.72816914878825501</v>
      </c>
      <c r="S809" t="s">
        <v>2811</v>
      </c>
      <c r="T809" t="s">
        <v>4002</v>
      </c>
      <c r="U809" t="s">
        <v>4002</v>
      </c>
      <c r="V809" t="s">
        <v>4002</v>
      </c>
      <c r="W809" t="s">
        <v>4796</v>
      </c>
      <c r="X809">
        <v>4</v>
      </c>
      <c r="Y809" t="s">
        <v>6768</v>
      </c>
      <c r="Z809" t="s">
        <v>8707</v>
      </c>
      <c r="AA809">
        <v>1.2627599322816929</v>
      </c>
      <c r="AB809" t="str">
        <f>HYPERLINK("Melting_Curves/meltCurve_O60235_TMPRSS11D.pdf", "Melting_Curves/meltCurve_O60235_TMPRSS11D.pdf")</f>
        <v>Melting_Curves/meltCurve_O60235_TMPRSS11D.pdf</v>
      </c>
    </row>
    <row r="810" spans="1:28" x14ac:dyDescent="0.25">
      <c r="A810" t="s">
        <v>814</v>
      </c>
      <c r="B810">
        <v>1</v>
      </c>
      <c r="C810">
        <v>0.92834862385321104</v>
      </c>
      <c r="D810">
        <v>0.98477064220183497</v>
      </c>
      <c r="E810">
        <v>1.14534403669725</v>
      </c>
      <c r="F810">
        <v>1.04577981651376</v>
      </c>
      <c r="G810">
        <v>1.1791972477064201</v>
      </c>
      <c r="H810">
        <v>0.96903669724770602</v>
      </c>
      <c r="I810">
        <v>1.22428899082569</v>
      </c>
      <c r="J810">
        <v>0.99672018348623903</v>
      </c>
      <c r="K810">
        <v>1.06449541284404</v>
      </c>
      <c r="L810">
        <v>11953.978707017901</v>
      </c>
      <c r="M810">
        <v>250</v>
      </c>
      <c r="O810">
        <v>47.8128553946623</v>
      </c>
      <c r="P810">
        <v>0.116686752798635</v>
      </c>
      <c r="Q810">
        <v>1.0892660284303199</v>
      </c>
      <c r="R810">
        <v>0.30778888281170802</v>
      </c>
      <c r="S810" t="s">
        <v>2812</v>
      </c>
      <c r="T810" t="s">
        <v>4002</v>
      </c>
      <c r="U810" t="s">
        <v>4002</v>
      </c>
      <c r="V810" t="s">
        <v>4002</v>
      </c>
      <c r="W810" t="s">
        <v>4797</v>
      </c>
      <c r="X810">
        <v>5</v>
      </c>
      <c r="Y810" t="s">
        <v>6769</v>
      </c>
      <c r="Z810" t="s">
        <v>8708</v>
      </c>
      <c r="AA810">
        <v>1.066002015057254</v>
      </c>
      <c r="AB810" t="str">
        <f>HYPERLINK("Melting_Curves/meltCurve_O60259_KLK8.pdf", "Melting_Curves/meltCurve_O60259_KLK8.pdf")</f>
        <v>Melting_Curves/meltCurve_O60259_KLK8.pdf</v>
      </c>
    </row>
    <row r="811" spans="1:28" x14ac:dyDescent="0.25">
      <c r="A811" t="s">
        <v>815</v>
      </c>
      <c r="B811">
        <v>1</v>
      </c>
      <c r="C811">
        <v>0.80574626789313797</v>
      </c>
      <c r="D811">
        <v>0.895316832594927</v>
      </c>
      <c r="E811">
        <v>0.919044744354517</v>
      </c>
      <c r="F811">
        <v>0.86554183336232404</v>
      </c>
      <c r="G811">
        <v>0.87162984866933402</v>
      </c>
      <c r="H811">
        <v>0.72601884726755594</v>
      </c>
      <c r="I811">
        <v>0.94889136729661405</v>
      </c>
      <c r="J811">
        <v>0.81376812335649196</v>
      </c>
      <c r="K811">
        <v>0.83317814862942896</v>
      </c>
      <c r="L811">
        <v>10246.779825878601</v>
      </c>
      <c r="M811">
        <v>250</v>
      </c>
      <c r="O811">
        <v>40.984496413947198</v>
      </c>
      <c r="P811">
        <v>-0.223808339321446</v>
      </c>
      <c r="Q811">
        <v>0.85323724693759795</v>
      </c>
      <c r="R811">
        <v>0.34911572015074799</v>
      </c>
      <c r="S811" t="s">
        <v>2813</v>
      </c>
      <c r="T811" t="s">
        <v>4002</v>
      </c>
      <c r="U811" t="s">
        <v>4002</v>
      </c>
      <c r="V811" t="s">
        <v>4002</v>
      </c>
      <c r="W811" t="s">
        <v>4798</v>
      </c>
      <c r="X811">
        <v>2</v>
      </c>
      <c r="Y811" t="s">
        <v>6770</v>
      </c>
      <c r="Z811" t="s">
        <v>8709</v>
      </c>
      <c r="AA811">
        <v>0.85807846632891838</v>
      </c>
      <c r="AB811" t="str">
        <f>HYPERLINK("Melting_Curves/meltCurve_O60271_5_SPAG9.pdf", "Melting_Curves/meltCurve_O60271_5_SPAG9.pdf")</f>
        <v>Melting_Curves/meltCurve_O60271_5_SPAG9.pdf</v>
      </c>
    </row>
    <row r="812" spans="1:28" x14ac:dyDescent="0.25">
      <c r="A812" t="s">
        <v>816</v>
      </c>
      <c r="B812">
        <v>1</v>
      </c>
      <c r="C812">
        <v>0.97531676814217505</v>
      </c>
      <c r="D812">
        <v>0.94508803686029297</v>
      </c>
      <c r="E812">
        <v>0.8927431298338</v>
      </c>
      <c r="F812">
        <v>0.80987329274313002</v>
      </c>
      <c r="G812">
        <v>0.874000329109758</v>
      </c>
      <c r="H812">
        <v>0.68859634688168503</v>
      </c>
      <c r="I812">
        <v>0.92822116175744596</v>
      </c>
      <c r="J812">
        <v>0.72262629586967297</v>
      </c>
      <c r="K812">
        <v>0.81494158301793596</v>
      </c>
      <c r="L812">
        <v>786.99522214828198</v>
      </c>
      <c r="M812">
        <v>16.080459870227202</v>
      </c>
      <c r="O812">
        <v>48.2029745059126</v>
      </c>
      <c r="P812">
        <v>-1.7148521420525701E-2</v>
      </c>
      <c r="Q812">
        <v>0.79439737676639399</v>
      </c>
      <c r="R812">
        <v>0.58982530745351403</v>
      </c>
      <c r="S812" t="s">
        <v>2814</v>
      </c>
      <c r="T812" t="s">
        <v>4002</v>
      </c>
      <c r="U812" t="s">
        <v>4002</v>
      </c>
      <c r="V812" t="s">
        <v>4002</v>
      </c>
      <c r="W812" t="s">
        <v>4799</v>
      </c>
      <c r="X812">
        <v>1</v>
      </c>
      <c r="Y812" t="s">
        <v>6771</v>
      </c>
      <c r="Z812" t="s">
        <v>8710</v>
      </c>
      <c r="AA812">
        <v>0.86012654280201628</v>
      </c>
      <c r="AB812" t="str">
        <f>HYPERLINK("Melting_Curves/meltCurve_O60449_3_LY75.pdf", "Melting_Curves/meltCurve_O60449_3_LY75.pdf")</f>
        <v>Melting_Curves/meltCurve_O60449_3_LY75.pdf</v>
      </c>
    </row>
    <row r="813" spans="1:28" x14ac:dyDescent="0.25">
      <c r="A813" t="s">
        <v>817</v>
      </c>
      <c r="B813">
        <v>1</v>
      </c>
      <c r="C813">
        <v>1.0294662713120799</v>
      </c>
      <c r="D813">
        <v>1.0831634544106701</v>
      </c>
      <c r="E813">
        <v>1.0427631578947401</v>
      </c>
      <c r="F813">
        <v>1.13069866567828</v>
      </c>
      <c r="G813">
        <v>1.6691067457375801</v>
      </c>
      <c r="H813">
        <v>1.32051519644181</v>
      </c>
      <c r="I813">
        <v>1.70084321719792</v>
      </c>
      <c r="J813">
        <v>4.3528076352853997</v>
      </c>
      <c r="K813">
        <v>1.8146312083024501</v>
      </c>
      <c r="L813">
        <v>13305.0520404199</v>
      </c>
      <c r="M813">
        <v>250</v>
      </c>
      <c r="O813">
        <v>53.216822376417298</v>
      </c>
      <c r="P813">
        <v>0.58722054964153103</v>
      </c>
      <c r="Q813">
        <v>1.5</v>
      </c>
      <c r="R813">
        <v>9.2420352528976304E-2</v>
      </c>
      <c r="S813" t="s">
        <v>2815</v>
      </c>
      <c r="T813" t="s">
        <v>4002</v>
      </c>
      <c r="U813" t="s">
        <v>4002</v>
      </c>
      <c r="V813" t="s">
        <v>4002</v>
      </c>
      <c r="W813" t="s">
        <v>4800</v>
      </c>
      <c r="X813">
        <v>2</v>
      </c>
      <c r="Y813" t="s">
        <v>6772</v>
      </c>
      <c r="Z813" t="s">
        <v>8711</v>
      </c>
      <c r="AA813">
        <v>1.2796164969868229</v>
      </c>
      <c r="AB813" t="str">
        <f>HYPERLINK("Melting_Curves/meltCurve_O60506_4_SYNCRIP.pdf", "Melting_Curves/meltCurve_O60506_4_SYNCRIP.pdf")</f>
        <v>Melting_Curves/meltCurve_O60506_4_SYNCRIP.pdf</v>
      </c>
    </row>
    <row r="814" spans="1:28" x14ac:dyDescent="0.25">
      <c r="A814" t="s">
        <v>818</v>
      </c>
      <c r="B814">
        <v>1</v>
      </c>
      <c r="C814">
        <v>1.01203360230474</v>
      </c>
      <c r="D814">
        <v>0.98438436141598795</v>
      </c>
      <c r="E814">
        <v>1.1230384845819501</v>
      </c>
      <c r="F814">
        <v>1.0607288997667199</v>
      </c>
      <c r="G814">
        <v>1.23493568906395</v>
      </c>
      <c r="H814">
        <v>1.08862034239678</v>
      </c>
      <c r="I814">
        <v>1.4636633650745099</v>
      </c>
      <c r="J814">
        <v>1.2748734814588201</v>
      </c>
      <c r="K814">
        <v>1.24468749601642</v>
      </c>
      <c r="L814">
        <v>733.95948610326298</v>
      </c>
      <c r="M814">
        <v>13.2162744522255</v>
      </c>
      <c r="O814">
        <v>54.309263814777303</v>
      </c>
      <c r="P814">
        <v>1.9428741373461698E-2</v>
      </c>
      <c r="Q814">
        <v>1.3192990157458799</v>
      </c>
      <c r="R814">
        <v>0.64849289280228795</v>
      </c>
      <c r="S814" t="s">
        <v>2816</v>
      </c>
      <c r="T814" t="s">
        <v>4002</v>
      </c>
      <c r="U814" t="s">
        <v>4002</v>
      </c>
      <c r="V814" t="s">
        <v>4002</v>
      </c>
      <c r="W814" t="s">
        <v>4801</v>
      </c>
      <c r="X814">
        <v>3</v>
      </c>
      <c r="Y814" t="s">
        <v>6773</v>
      </c>
      <c r="Z814" t="s">
        <v>8712</v>
      </c>
      <c r="AA814">
        <v>1.1473909765596619</v>
      </c>
      <c r="AB814" t="str">
        <f>HYPERLINK("Melting_Curves/meltCurve_O60603_TLR2.pdf", "Melting_Curves/meltCurve_O60603_TLR2.pdf")</f>
        <v>Melting_Curves/meltCurve_O60603_TLR2.pdf</v>
      </c>
    </row>
    <row r="815" spans="1:28" x14ac:dyDescent="0.25">
      <c r="A815" t="s">
        <v>819</v>
      </c>
      <c r="B815">
        <v>1</v>
      </c>
      <c r="C815">
        <v>0.92513661202185804</v>
      </c>
      <c r="D815">
        <v>0.92971311475409801</v>
      </c>
      <c r="E815">
        <v>0.95109289617486303</v>
      </c>
      <c r="F815">
        <v>0.94528688524590199</v>
      </c>
      <c r="G815">
        <v>1.1542349726776</v>
      </c>
      <c r="H815">
        <v>0.98859289617486301</v>
      </c>
      <c r="I815">
        <v>1.36898907103825</v>
      </c>
      <c r="J815">
        <v>1.0581284153005499</v>
      </c>
      <c r="K815">
        <v>1.1107240437158501</v>
      </c>
      <c r="L815">
        <v>11172.863405967501</v>
      </c>
      <c r="M815">
        <v>202.85004018133</v>
      </c>
      <c r="O815">
        <v>55.074074125028702</v>
      </c>
      <c r="P815">
        <v>0.12537255936335501</v>
      </c>
      <c r="Q815">
        <v>1.13615530330924</v>
      </c>
      <c r="R815">
        <v>0.42776674321608998</v>
      </c>
      <c r="S815" t="s">
        <v>2817</v>
      </c>
      <c r="T815" t="s">
        <v>4002</v>
      </c>
      <c r="U815" t="s">
        <v>4002</v>
      </c>
      <c r="V815" t="s">
        <v>4002</v>
      </c>
      <c r="W815" t="s">
        <v>4802</v>
      </c>
      <c r="X815">
        <v>11</v>
      </c>
      <c r="Y815" t="s">
        <v>6774</v>
      </c>
      <c r="Z815" t="s">
        <v>8713</v>
      </c>
      <c r="AA815">
        <v>1.0676971913063009</v>
      </c>
      <c r="AB815" t="str">
        <f>HYPERLINK("Melting_Curves/meltCurve_O60664_PLIN3.pdf", "Melting_Curves/meltCurve_O60664_PLIN3.pdf")</f>
        <v>Melting_Curves/meltCurve_O60664_PLIN3.pdf</v>
      </c>
    </row>
    <row r="816" spans="1:28" x14ac:dyDescent="0.25">
      <c r="A816" t="s">
        <v>820</v>
      </c>
      <c r="B816">
        <v>1</v>
      </c>
      <c r="C816">
        <v>0.95218559909463896</v>
      </c>
      <c r="D816">
        <v>0.92750035365681105</v>
      </c>
      <c r="E816">
        <v>0.65606875088414196</v>
      </c>
      <c r="F816">
        <v>0.32577804498514601</v>
      </c>
      <c r="G816">
        <v>0.21756259725562299</v>
      </c>
      <c r="H816">
        <v>0.18808530202291701</v>
      </c>
      <c r="I816">
        <v>0.194886122506719</v>
      </c>
      <c r="J816">
        <v>0.172524402319989</v>
      </c>
      <c r="K816">
        <v>0.121880746923186</v>
      </c>
      <c r="L816">
        <v>1333.8094706450499</v>
      </c>
      <c r="M816">
        <v>26.418904738625201</v>
      </c>
      <c r="N816">
        <v>51.2689474423657</v>
      </c>
      <c r="O816">
        <v>50.200325966396001</v>
      </c>
      <c r="P816">
        <v>-0.109750148896954</v>
      </c>
      <c r="Q816">
        <v>0.16583464738382001</v>
      </c>
      <c r="R816">
        <v>0.99514276382097899</v>
      </c>
      <c r="S816" t="s">
        <v>2818</v>
      </c>
      <c r="T816" t="s">
        <v>4002</v>
      </c>
      <c r="U816" t="s">
        <v>4002</v>
      </c>
      <c r="V816" t="s">
        <v>4002</v>
      </c>
      <c r="W816" t="s">
        <v>4803</v>
      </c>
      <c r="X816">
        <v>1</v>
      </c>
      <c r="Y816" t="s">
        <v>6775</v>
      </c>
      <c r="Z816" t="s">
        <v>8714</v>
      </c>
      <c r="AA816">
        <v>0.4641416259380467</v>
      </c>
      <c r="AB816" t="str">
        <f>HYPERLINK("Melting_Curves/meltCurve_O60701_3_UGDH.pdf", "Melting_Curves/meltCurve_O60701_3_UGDH.pdf")</f>
        <v>Melting_Curves/meltCurve_O60701_3_UGDH.pdf</v>
      </c>
    </row>
    <row r="817" spans="1:28" x14ac:dyDescent="0.25">
      <c r="A817" t="s">
        <v>821</v>
      </c>
      <c r="B817">
        <v>1</v>
      </c>
      <c r="C817">
        <v>0.97475210399133405</v>
      </c>
      <c r="D817">
        <v>1.0489125906174499</v>
      </c>
      <c r="E817">
        <v>1.09240896591951</v>
      </c>
      <c r="F817">
        <v>0.90142488125989495</v>
      </c>
      <c r="G817">
        <v>1.05182901424881</v>
      </c>
      <c r="H817">
        <v>0.85292892258978403</v>
      </c>
      <c r="I817">
        <v>0.98991750687442703</v>
      </c>
      <c r="J817">
        <v>1.14665444546288</v>
      </c>
      <c r="K817">
        <v>0.90650779101741497</v>
      </c>
      <c r="L817">
        <v>15000</v>
      </c>
      <c r="M817">
        <v>212.01384940770501</v>
      </c>
      <c r="Q817">
        <v>0</v>
      </c>
      <c r="R817">
        <v>0.11365304916554</v>
      </c>
      <c r="S817" t="s">
        <v>2819</v>
      </c>
      <c r="T817" t="s">
        <v>4002</v>
      </c>
      <c r="U817" t="s">
        <v>4002</v>
      </c>
      <c r="V817" t="s">
        <v>4002</v>
      </c>
      <c r="W817" t="s">
        <v>4804</v>
      </c>
      <c r="X817">
        <v>3</v>
      </c>
      <c r="Y817" t="s">
        <v>6776</v>
      </c>
      <c r="Z817" t="s">
        <v>8715</v>
      </c>
      <c r="AA817">
        <v>0.99894141924774782</v>
      </c>
      <c r="AB817" t="str">
        <f>HYPERLINK("Melting_Curves/meltCurve_O60763_USO1.pdf", "Melting_Curves/meltCurve_O60763_USO1.pdf")</f>
        <v>Melting_Curves/meltCurve_O60763_USO1.pdf</v>
      </c>
    </row>
    <row r="818" spans="1:28" x14ac:dyDescent="0.25">
      <c r="A818" t="s">
        <v>822</v>
      </c>
      <c r="B818">
        <v>1</v>
      </c>
      <c r="C818">
        <v>0.93087591782244306</v>
      </c>
      <c r="D818">
        <v>0.95777398699597005</v>
      </c>
      <c r="E818">
        <v>0.98291675937600398</v>
      </c>
      <c r="F818">
        <v>0.88261761724640897</v>
      </c>
      <c r="G818">
        <v>0.92756310415585097</v>
      </c>
      <c r="H818">
        <v>0.80587900813369895</v>
      </c>
      <c r="I818">
        <v>0.95315088135676995</v>
      </c>
      <c r="J818">
        <v>0.90785927958664003</v>
      </c>
      <c r="K818">
        <v>0.90820539444732895</v>
      </c>
      <c r="L818">
        <v>461.25550210631599</v>
      </c>
      <c r="M818">
        <v>9.8602469786462397</v>
      </c>
      <c r="O818">
        <v>44.977047948541603</v>
      </c>
      <c r="P818">
        <v>-5.8695263561174098E-3</v>
      </c>
      <c r="Q818">
        <v>0.89296062581031599</v>
      </c>
      <c r="R818">
        <v>0.32031022470712101</v>
      </c>
      <c r="S818" t="s">
        <v>2820</v>
      </c>
      <c r="T818" t="s">
        <v>4002</v>
      </c>
      <c r="U818" t="s">
        <v>4002</v>
      </c>
      <c r="V818" t="s">
        <v>4002</v>
      </c>
      <c r="W818" t="s">
        <v>4805</v>
      </c>
      <c r="X818">
        <v>3</v>
      </c>
      <c r="Y818" t="s">
        <v>6777</v>
      </c>
      <c r="Z818" t="s">
        <v>8716</v>
      </c>
      <c r="AA818">
        <v>0.92355553042034777</v>
      </c>
      <c r="AB818" t="str">
        <f>HYPERLINK("Melting_Curves/meltCurve_O60869_2_EDF1.pdf", "Melting_Curves/meltCurve_O60869_2_EDF1.pdf")</f>
        <v>Melting_Curves/meltCurve_O60869_2_EDF1.pdf</v>
      </c>
    </row>
    <row r="819" spans="1:28" x14ac:dyDescent="0.25">
      <c r="A819" t="s">
        <v>823</v>
      </c>
      <c r="B819">
        <v>1</v>
      </c>
      <c r="C819">
        <v>1.19943746729461</v>
      </c>
      <c r="D819">
        <v>0.90266875981161698</v>
      </c>
      <c r="E819">
        <v>1.2991889063317601</v>
      </c>
      <c r="F819">
        <v>1.08542647828362</v>
      </c>
      <c r="G819">
        <v>1.28715332286761</v>
      </c>
      <c r="H819">
        <v>1.10590005232862</v>
      </c>
      <c r="I819">
        <v>1.73495552066981</v>
      </c>
      <c r="J819">
        <v>1.0866038723181599</v>
      </c>
      <c r="K819">
        <v>1.13566195709053</v>
      </c>
      <c r="L819">
        <v>712.31165523424795</v>
      </c>
      <c r="M819">
        <v>14.547072508772199</v>
      </c>
      <c r="O819">
        <v>48.068579936022303</v>
      </c>
      <c r="P819">
        <v>2.0712053408585299E-2</v>
      </c>
      <c r="Q819">
        <v>1.27372798767624</v>
      </c>
      <c r="R819">
        <v>0.165335542004965</v>
      </c>
      <c r="S819" t="s">
        <v>2821</v>
      </c>
      <c r="T819" t="s">
        <v>4002</v>
      </c>
      <c r="U819" t="s">
        <v>4002</v>
      </c>
      <c r="V819" t="s">
        <v>4002</v>
      </c>
      <c r="W819" t="s">
        <v>4806</v>
      </c>
      <c r="X819">
        <v>2</v>
      </c>
      <c r="Y819" t="s">
        <v>6778</v>
      </c>
      <c r="Z819" t="s">
        <v>8717</v>
      </c>
      <c r="AA819">
        <v>1.1847559737056339</v>
      </c>
      <c r="AB819" t="str">
        <f>HYPERLINK("Melting_Curves/meltCurve_O60885_BRD4.pdf", "Melting_Curves/meltCurve_O60885_BRD4.pdf")</f>
        <v>Melting_Curves/meltCurve_O60885_BRD4.pdf</v>
      </c>
    </row>
    <row r="820" spans="1:28" x14ac:dyDescent="0.25">
      <c r="A820" t="s">
        <v>824</v>
      </c>
      <c r="B820">
        <v>1</v>
      </c>
      <c r="C820">
        <v>0.99738397143912305</v>
      </c>
      <c r="D820">
        <v>1.39295826665025</v>
      </c>
      <c r="E820">
        <v>1.5575115925971501</v>
      </c>
      <c r="F820">
        <v>1.7737699536296101</v>
      </c>
      <c r="G820">
        <v>2.0387582584430999</v>
      </c>
      <c r="H820">
        <v>2.1075957158685199</v>
      </c>
      <c r="I820">
        <v>2.0065452008699598</v>
      </c>
      <c r="J820">
        <v>2.3165702326726598</v>
      </c>
      <c r="K820">
        <v>1.9862325085149199</v>
      </c>
      <c r="L820">
        <v>11440.177707681099</v>
      </c>
      <c r="M820">
        <v>250</v>
      </c>
      <c r="O820">
        <v>45.757782460933697</v>
      </c>
      <c r="P820">
        <v>0.68294393574746604</v>
      </c>
      <c r="Q820">
        <v>1.5</v>
      </c>
      <c r="R820">
        <v>2.0644836268613201E-2</v>
      </c>
      <c r="S820" t="s">
        <v>2822</v>
      </c>
      <c r="T820" t="s">
        <v>4002</v>
      </c>
      <c r="U820" t="s">
        <v>4002</v>
      </c>
      <c r="V820" t="s">
        <v>4002</v>
      </c>
      <c r="W820" t="s">
        <v>4807</v>
      </c>
      <c r="X820">
        <v>1</v>
      </c>
      <c r="Y820" t="s">
        <v>6779</v>
      </c>
      <c r="Z820" t="s">
        <v>8718</v>
      </c>
      <c r="AA820">
        <v>1.4039479981535989</v>
      </c>
      <c r="AB820" t="str">
        <f>HYPERLINK("Melting_Curves/meltCurve_O60911_CTSL2.pdf", "Melting_Curves/meltCurve_O60911_CTSL2.pdf")</f>
        <v>Melting_Curves/meltCurve_O60911_CTSL2.pdf</v>
      </c>
    </row>
    <row r="821" spans="1:28" x14ac:dyDescent="0.25">
      <c r="A821" t="s">
        <v>825</v>
      </c>
      <c r="B821">
        <v>1</v>
      </c>
      <c r="C821">
        <v>1.00546126701395</v>
      </c>
      <c r="D821">
        <v>1.1761048563266701</v>
      </c>
      <c r="E821">
        <v>1.4205175600739399</v>
      </c>
      <c r="F821">
        <v>1.70996471181314</v>
      </c>
      <c r="G821">
        <v>2.6434212737355098</v>
      </c>
      <c r="H821">
        <v>3.2004705091581198</v>
      </c>
      <c r="I821">
        <v>5.3495210888926197</v>
      </c>
      <c r="J821">
        <v>4.1025878003696903</v>
      </c>
      <c r="K821">
        <v>4.7828096118299399</v>
      </c>
      <c r="L821">
        <v>2124.2026580811998</v>
      </c>
      <c r="M821">
        <v>45.518784415604301</v>
      </c>
      <c r="O821">
        <v>46.5767163185035</v>
      </c>
      <c r="P821">
        <v>0.122160964644433</v>
      </c>
      <c r="Q821">
        <v>1.5</v>
      </c>
      <c r="R821">
        <v>-0.51041393729933104</v>
      </c>
      <c r="S821" t="s">
        <v>2823</v>
      </c>
      <c r="T821" t="s">
        <v>4002</v>
      </c>
      <c r="U821" t="s">
        <v>4002</v>
      </c>
      <c r="V821" t="s">
        <v>4002</v>
      </c>
      <c r="W821" t="s">
        <v>4808</v>
      </c>
      <c r="X821">
        <v>14</v>
      </c>
      <c r="Y821" t="s">
        <v>6780</v>
      </c>
      <c r="Z821" t="s">
        <v>8719</v>
      </c>
      <c r="AA821">
        <v>1.3876421065492841</v>
      </c>
      <c r="AB821" t="str">
        <f>HYPERLINK("Melting_Curves/meltCurve_O75083_WDR1.pdf", "Melting_Curves/meltCurve_O75083_WDR1.pdf")</f>
        <v>Melting_Curves/meltCurve_O75083_WDR1.pdf</v>
      </c>
    </row>
    <row r="822" spans="1:28" x14ac:dyDescent="0.25">
      <c r="A822" t="s">
        <v>826</v>
      </c>
      <c r="B822">
        <v>1</v>
      </c>
      <c r="C822">
        <v>1.05840029900953</v>
      </c>
      <c r="D822">
        <v>1.17389273033078</v>
      </c>
      <c r="E822">
        <v>1.31153055503644</v>
      </c>
      <c r="F822">
        <v>1.12109886002616</v>
      </c>
      <c r="G822">
        <v>1.21837039805644</v>
      </c>
      <c r="H822">
        <v>0.67997570547561204</v>
      </c>
      <c r="I822">
        <v>1.5825079424406701</v>
      </c>
      <c r="J822">
        <v>0.84266492244440305</v>
      </c>
      <c r="K822">
        <v>0.77735937207998496</v>
      </c>
      <c r="L822">
        <v>15000</v>
      </c>
      <c r="M822">
        <v>224.75436126178701</v>
      </c>
      <c r="O822">
        <v>66.734257247779098</v>
      </c>
      <c r="P822">
        <v>-0.18754121599947099</v>
      </c>
      <c r="Q822">
        <v>0.77726045137944699</v>
      </c>
      <c r="R822">
        <v>2.4076540688036101E-2</v>
      </c>
      <c r="S822" t="s">
        <v>2824</v>
      </c>
      <c r="T822" t="s">
        <v>4002</v>
      </c>
      <c r="U822" t="s">
        <v>4002</v>
      </c>
      <c r="V822" t="s">
        <v>4002</v>
      </c>
      <c r="W822" t="s">
        <v>4809</v>
      </c>
      <c r="X822">
        <v>2</v>
      </c>
      <c r="Y822" t="s">
        <v>6781</v>
      </c>
      <c r="Z822" t="s">
        <v>8720</v>
      </c>
      <c r="AA822">
        <v>0.97582434266355078</v>
      </c>
      <c r="AB822" t="str">
        <f>HYPERLINK("Melting_Curves/meltCurve_O75348_ATP6V1G1.pdf", "Melting_Curves/meltCurve_O75348_ATP6V1G1.pdf")</f>
        <v>Melting_Curves/meltCurve_O75348_ATP6V1G1.pdf</v>
      </c>
    </row>
    <row r="823" spans="1:28" x14ac:dyDescent="0.25">
      <c r="A823" t="s">
        <v>827</v>
      </c>
      <c r="B823">
        <v>1</v>
      </c>
      <c r="C823">
        <v>0.98665759350620896</v>
      </c>
      <c r="D823">
        <v>0.70503317374292196</v>
      </c>
      <c r="E823">
        <v>1.0040586190973799</v>
      </c>
      <c r="F823">
        <v>0.93766252703720798</v>
      </c>
      <c r="G823">
        <v>1.2828881813984001</v>
      </c>
      <c r="H823">
        <v>1.1923834058376099</v>
      </c>
      <c r="I823">
        <v>1.08107516951418</v>
      </c>
      <c r="J823">
        <v>2.0274625124553398</v>
      </c>
      <c r="K823">
        <v>1.2199188276180499</v>
      </c>
      <c r="L823">
        <v>1240.2391803698199</v>
      </c>
      <c r="M823">
        <v>20.482694992612799</v>
      </c>
      <c r="O823">
        <v>59.982292628269803</v>
      </c>
      <c r="P823">
        <v>4.2686143924592003E-2</v>
      </c>
      <c r="Q823">
        <v>1.5</v>
      </c>
      <c r="R823">
        <v>0.43602971866573298</v>
      </c>
      <c r="S823" t="s">
        <v>2825</v>
      </c>
      <c r="T823" t="s">
        <v>4002</v>
      </c>
      <c r="U823" t="s">
        <v>4002</v>
      </c>
      <c r="V823" t="s">
        <v>4002</v>
      </c>
      <c r="W823" t="s">
        <v>4810</v>
      </c>
      <c r="X823">
        <v>1</v>
      </c>
      <c r="Y823" t="s">
        <v>6782</v>
      </c>
      <c r="Z823" t="s">
        <v>8721</v>
      </c>
      <c r="AA823">
        <v>1.153879661147003</v>
      </c>
      <c r="AB823" t="str">
        <f>HYPERLINK("Melting_Curves/meltCurve_O75351_VPS4B.pdf", "Melting_Curves/meltCurve_O75351_VPS4B.pdf")</f>
        <v>Melting_Curves/meltCurve_O75351_VPS4B.pdf</v>
      </c>
    </row>
    <row r="824" spans="1:28" x14ac:dyDescent="0.25">
      <c r="A824" t="s">
        <v>828</v>
      </c>
      <c r="B824">
        <v>1</v>
      </c>
      <c r="C824">
        <v>0.93789198294090204</v>
      </c>
      <c r="D824">
        <v>0.78801562555997595</v>
      </c>
      <c r="E824">
        <v>0.946349854854317</v>
      </c>
      <c r="F824">
        <v>0.96240547611367999</v>
      </c>
      <c r="G824">
        <v>0.87030068451421005</v>
      </c>
      <c r="H824">
        <v>0.94939612228075798</v>
      </c>
      <c r="I824">
        <v>1.2803641185535599</v>
      </c>
      <c r="J824">
        <v>2.5314482313729698</v>
      </c>
      <c r="K824">
        <v>1.0347991255420601</v>
      </c>
      <c r="L824">
        <v>15000</v>
      </c>
      <c r="M824">
        <v>234.619834214478</v>
      </c>
      <c r="O824">
        <v>63.928569524490101</v>
      </c>
      <c r="P824">
        <v>0.45875388758130298</v>
      </c>
      <c r="Q824">
        <v>1.5</v>
      </c>
      <c r="R824">
        <v>0.418996027993223</v>
      </c>
      <c r="S824" t="s">
        <v>2826</v>
      </c>
      <c r="T824" t="s">
        <v>4002</v>
      </c>
      <c r="U824" t="s">
        <v>4002</v>
      </c>
      <c r="V824" t="s">
        <v>4002</v>
      </c>
      <c r="W824" t="s">
        <v>4811</v>
      </c>
      <c r="X824">
        <v>1</v>
      </c>
      <c r="Y824" t="s">
        <v>6783</v>
      </c>
      <c r="Z824" t="s">
        <v>8722</v>
      </c>
      <c r="AA824">
        <v>1.1010494058297839</v>
      </c>
      <c r="AB824" t="str">
        <f>HYPERLINK("Melting_Curves/meltCurve_O75367_2_H2AFY.pdf", "Melting_Curves/meltCurve_O75367_2_H2AFY.pdf")</f>
        <v>Melting_Curves/meltCurve_O75367_2_H2AFY.pdf</v>
      </c>
    </row>
    <row r="825" spans="1:28" x14ac:dyDescent="0.25">
      <c r="A825" t="s">
        <v>829</v>
      </c>
      <c r="B825">
        <v>1</v>
      </c>
      <c r="C825">
        <v>0.90263618266272505</v>
      </c>
      <c r="D825">
        <v>1.0239488447849401</v>
      </c>
      <c r="E825">
        <v>1.1724678771792201</v>
      </c>
      <c r="F825">
        <v>1.13379984315618</v>
      </c>
      <c r="G825">
        <v>1.23798033419799</v>
      </c>
      <c r="H825">
        <v>1.4175061832659701</v>
      </c>
      <c r="I825">
        <v>1.33003559148217</v>
      </c>
      <c r="J825">
        <v>1.4518308499728501</v>
      </c>
      <c r="K825">
        <v>1.2305604150328799</v>
      </c>
      <c r="L825">
        <v>909.83612022722002</v>
      </c>
      <c r="M825">
        <v>17.213440830715701</v>
      </c>
      <c r="O825">
        <v>52.158249011446799</v>
      </c>
      <c r="P825">
        <v>2.98087406155765E-2</v>
      </c>
      <c r="Q825">
        <v>1.3612712474938899</v>
      </c>
      <c r="R825">
        <v>0.81399617649124401</v>
      </c>
      <c r="S825" t="s">
        <v>2827</v>
      </c>
      <c r="T825" t="s">
        <v>4002</v>
      </c>
      <c r="U825" t="s">
        <v>4002</v>
      </c>
      <c r="V825" t="s">
        <v>4002</v>
      </c>
      <c r="W825" t="s">
        <v>4812</v>
      </c>
      <c r="X825">
        <v>8</v>
      </c>
      <c r="Y825" t="s">
        <v>6784</v>
      </c>
      <c r="Z825" t="s">
        <v>8723</v>
      </c>
      <c r="AA825">
        <v>1.20008385170987</v>
      </c>
      <c r="AB825" t="str">
        <f>HYPERLINK("Melting_Curves/meltCurve_O75368_SH3BGRL.pdf", "Melting_Curves/meltCurve_O75368_SH3BGRL.pdf")</f>
        <v>Melting_Curves/meltCurve_O75368_SH3BGRL.pdf</v>
      </c>
    </row>
    <row r="826" spans="1:28" x14ac:dyDescent="0.25">
      <c r="A826" t="s">
        <v>830</v>
      </c>
      <c r="B826">
        <v>1</v>
      </c>
      <c r="C826">
        <v>1.0551679094323201</v>
      </c>
      <c r="D826">
        <v>1.2867795134164299</v>
      </c>
      <c r="E826">
        <v>1.4457083764219201</v>
      </c>
      <c r="F826">
        <v>1.27524084254068</v>
      </c>
      <c r="G826">
        <v>1.63293963968867</v>
      </c>
      <c r="H826">
        <v>1.19588526642356</v>
      </c>
      <c r="I826">
        <v>1.71817340662929</v>
      </c>
      <c r="J826">
        <v>1.3848582158602301</v>
      </c>
      <c r="K826">
        <v>1.5463996081206099</v>
      </c>
      <c r="L826">
        <v>1093.1391368171501</v>
      </c>
      <c r="M826">
        <v>23.965725124653002</v>
      </c>
      <c r="O826">
        <v>45.298577002042599</v>
      </c>
      <c r="P826">
        <v>6.2054931496587799E-2</v>
      </c>
      <c r="Q826">
        <v>1.4691626377867999</v>
      </c>
      <c r="R826">
        <v>0.58235608764795299</v>
      </c>
      <c r="S826" t="s">
        <v>2828</v>
      </c>
      <c r="T826" t="s">
        <v>4002</v>
      </c>
      <c r="U826" t="s">
        <v>4002</v>
      </c>
      <c r="V826" t="s">
        <v>4002</v>
      </c>
      <c r="W826" t="s">
        <v>4813</v>
      </c>
      <c r="X826">
        <v>2</v>
      </c>
      <c r="Y826" t="s">
        <v>6785</v>
      </c>
      <c r="Z826" t="s">
        <v>8724</v>
      </c>
      <c r="AA826">
        <v>1.3764901233707569</v>
      </c>
      <c r="AB826" t="str">
        <f>HYPERLINK("Melting_Curves/meltCurve_O75396_SEC22B.pdf", "Melting_Curves/meltCurve_O75396_SEC22B.pdf")</f>
        <v>Melting_Curves/meltCurve_O75396_SEC22B.pdf</v>
      </c>
    </row>
    <row r="827" spans="1:28" x14ac:dyDescent="0.25">
      <c r="A827" t="s">
        <v>831</v>
      </c>
      <c r="B827">
        <v>1</v>
      </c>
      <c r="C827">
        <v>0.88240412704332105</v>
      </c>
      <c r="D827">
        <v>0.92572565106594595</v>
      </c>
      <c r="E827">
        <v>0.81347504506184398</v>
      </c>
      <c r="F827">
        <v>0.84815712598669901</v>
      </c>
      <c r="G827">
        <v>1.5472061657032801</v>
      </c>
      <c r="H827">
        <v>2.1660140468643201</v>
      </c>
      <c r="I827">
        <v>2.3185406178134098</v>
      </c>
      <c r="J827">
        <v>2.49170240537013</v>
      </c>
      <c r="K827">
        <v>2.18354155012742</v>
      </c>
      <c r="L827">
        <v>6000.7323474575596</v>
      </c>
      <c r="M827">
        <v>108.768852717787</v>
      </c>
      <c r="O827">
        <v>55.1509456702763</v>
      </c>
      <c r="P827">
        <v>0.24652538609972099</v>
      </c>
      <c r="Q827">
        <v>1.5</v>
      </c>
      <c r="R827">
        <v>0.40121449274441301</v>
      </c>
      <c r="S827" t="s">
        <v>2829</v>
      </c>
      <c r="T827" t="s">
        <v>4002</v>
      </c>
      <c r="U827" t="s">
        <v>4002</v>
      </c>
      <c r="V827" t="s">
        <v>4002</v>
      </c>
      <c r="W827" t="s">
        <v>4814</v>
      </c>
      <c r="X827">
        <v>3</v>
      </c>
      <c r="Y827" t="s">
        <v>6786</v>
      </c>
      <c r="Z827" t="s">
        <v>8725</v>
      </c>
      <c r="AA827">
        <v>1.2469176095579211</v>
      </c>
      <c r="AB827" t="str">
        <f>HYPERLINK("Melting_Curves/meltCurve_O75503_CLN5.pdf", "Melting_Curves/meltCurve_O75503_CLN5.pdf")</f>
        <v>Melting_Curves/meltCurve_O75503_CLN5.pdf</v>
      </c>
    </row>
    <row r="828" spans="1:28" x14ac:dyDescent="0.25">
      <c r="A828" t="s">
        <v>832</v>
      </c>
      <c r="B828">
        <v>1</v>
      </c>
      <c r="C828">
        <v>0.903892052395181</v>
      </c>
      <c r="D828">
        <v>1.01088120877262</v>
      </c>
      <c r="E828">
        <v>1.1440303696604099</v>
      </c>
      <c r="F828">
        <v>1.18300727293229</v>
      </c>
      <c r="G828">
        <v>1.2248219353141301</v>
      </c>
      <c r="H828">
        <v>0.83351186784687403</v>
      </c>
      <c r="I828">
        <v>1.2220969348443</v>
      </c>
      <c r="J828">
        <v>1.2205746932025301</v>
      </c>
      <c r="K828">
        <v>1.0311213846761</v>
      </c>
      <c r="L828">
        <v>11607.188272572401</v>
      </c>
      <c r="M828">
        <v>250</v>
      </c>
      <c r="O828">
        <v>46.425782459540798</v>
      </c>
      <c r="P828">
        <v>0.16523386217769101</v>
      </c>
      <c r="Q828">
        <v>1.1227377799771101</v>
      </c>
      <c r="R828">
        <v>0.25246529700333897</v>
      </c>
      <c r="S828" t="s">
        <v>2830</v>
      </c>
      <c r="T828" t="s">
        <v>4002</v>
      </c>
      <c r="U828" t="s">
        <v>4002</v>
      </c>
      <c r="V828" t="s">
        <v>4002</v>
      </c>
      <c r="W828" t="s">
        <v>4815</v>
      </c>
      <c r="X828">
        <v>3</v>
      </c>
      <c r="Y828" t="s">
        <v>6787</v>
      </c>
      <c r="Z828" t="s">
        <v>8726</v>
      </c>
      <c r="AA828">
        <v>1.096426083011909</v>
      </c>
      <c r="AB828" t="str">
        <f>HYPERLINK("Melting_Curves/meltCurve_O75533_SF3B1.pdf", "Melting_Curves/meltCurve_O75533_SF3B1.pdf")</f>
        <v>Melting_Curves/meltCurve_O75533_SF3B1.pdf</v>
      </c>
    </row>
    <row r="829" spans="1:28" x14ac:dyDescent="0.25">
      <c r="A829" t="s">
        <v>833</v>
      </c>
      <c r="B829">
        <v>1</v>
      </c>
      <c r="C829">
        <v>0.96846171440189099</v>
      </c>
      <c r="D829">
        <v>1.0700398993621201</v>
      </c>
      <c r="E829">
        <v>1.1533202876820201</v>
      </c>
      <c r="F829">
        <v>1.07423314442553</v>
      </c>
      <c r="G829">
        <v>1.07049734427813</v>
      </c>
      <c r="H829">
        <v>1.06561793184071</v>
      </c>
      <c r="I829">
        <v>1.2577956237769701</v>
      </c>
      <c r="J829">
        <v>1.2451396477674099</v>
      </c>
      <c r="K829">
        <v>1.1669928079493801</v>
      </c>
      <c r="L829">
        <v>311.95224324051998</v>
      </c>
      <c r="M829">
        <v>4.6516801032786503</v>
      </c>
      <c r="O829">
        <v>57.498774112142101</v>
      </c>
      <c r="P829">
        <v>7.9377386526889599E-3</v>
      </c>
      <c r="Q829">
        <v>1.3894205010651599</v>
      </c>
      <c r="R829">
        <v>0.59716421008586396</v>
      </c>
      <c r="S829" t="s">
        <v>2831</v>
      </c>
      <c r="T829" t="s">
        <v>4002</v>
      </c>
      <c r="U829" t="s">
        <v>4002</v>
      </c>
      <c r="V829" t="s">
        <v>4002</v>
      </c>
      <c r="W829" t="s">
        <v>4816</v>
      </c>
      <c r="X829">
        <v>5</v>
      </c>
      <c r="Y829" t="s">
        <v>6788</v>
      </c>
      <c r="Z829" t="s">
        <v>8727</v>
      </c>
      <c r="AA829">
        <v>1.1070036536908019</v>
      </c>
      <c r="AB829" t="str">
        <f>HYPERLINK("Melting_Curves/meltCurve_O75563_SKAP2.pdf", "Melting_Curves/meltCurve_O75563_SKAP2.pdf")</f>
        <v>Melting_Curves/meltCurve_O75563_SKAP2.pdf</v>
      </c>
    </row>
    <row r="830" spans="1:28" x14ac:dyDescent="0.25">
      <c r="A830" t="s">
        <v>834</v>
      </c>
      <c r="B830">
        <v>1</v>
      </c>
      <c r="C830">
        <v>0.93905088037617201</v>
      </c>
      <c r="D830">
        <v>1.06664792619662</v>
      </c>
      <c r="E830">
        <v>1.27586823745879</v>
      </c>
      <c r="F830">
        <v>1.27198384912218</v>
      </c>
      <c r="G830">
        <v>1.31504433824845</v>
      </c>
      <c r="H830">
        <v>1.2433109299532299</v>
      </c>
      <c r="I830">
        <v>1.67360915897881</v>
      </c>
      <c r="J830">
        <v>1.2699649893945999</v>
      </c>
      <c r="K830">
        <v>1.2951879583961601</v>
      </c>
      <c r="L830">
        <v>1299.4672232486</v>
      </c>
      <c r="M830">
        <v>26.765597728051301</v>
      </c>
      <c r="O830">
        <v>48.281322585662203</v>
      </c>
      <c r="P830">
        <v>4.9375523064438397E-2</v>
      </c>
      <c r="Q830">
        <v>1.35626196533457</v>
      </c>
      <c r="R830">
        <v>0.64431881679931402</v>
      </c>
      <c r="S830" t="s">
        <v>2832</v>
      </c>
      <c r="T830" t="s">
        <v>4002</v>
      </c>
      <c r="U830" t="s">
        <v>4002</v>
      </c>
      <c r="V830" t="s">
        <v>4002</v>
      </c>
      <c r="W830" t="s">
        <v>4817</v>
      </c>
      <c r="X830">
        <v>5</v>
      </c>
      <c r="Y830" t="s">
        <v>6789</v>
      </c>
      <c r="Z830" t="s">
        <v>8728</v>
      </c>
      <c r="AA830">
        <v>1.2519960410646189</v>
      </c>
      <c r="AB830" t="str">
        <f>HYPERLINK("Melting_Curves/meltCurve_O75594_PGLYRP1.pdf", "Melting_Curves/meltCurve_O75594_PGLYRP1.pdf")</f>
        <v>Melting_Curves/meltCurve_O75594_PGLYRP1.pdf</v>
      </c>
    </row>
    <row r="831" spans="1:28" x14ac:dyDescent="0.25">
      <c r="A831" t="s">
        <v>835</v>
      </c>
      <c r="B831">
        <v>1</v>
      </c>
      <c r="C831">
        <v>1.01019541206457</v>
      </c>
      <c r="D831">
        <v>1.02728216746908</v>
      </c>
      <c r="E831">
        <v>1.1312187293495699</v>
      </c>
      <c r="F831">
        <v>1.12744265080714</v>
      </c>
      <c r="G831">
        <v>1.2578117624846601</v>
      </c>
      <c r="H831">
        <v>1.0631549136222</v>
      </c>
      <c r="I831">
        <v>1.40422920796753</v>
      </c>
      <c r="J831">
        <v>1.19465684886246</v>
      </c>
      <c r="K831">
        <v>1.03360709902766</v>
      </c>
      <c r="L831">
        <v>1248.96018670325</v>
      </c>
      <c r="M831">
        <v>25.552321549663102</v>
      </c>
      <c r="O831">
        <v>48.5821171629144</v>
      </c>
      <c r="P831">
        <v>2.4542211897938399E-2</v>
      </c>
      <c r="Q831">
        <v>1.1866441630079201</v>
      </c>
      <c r="R831">
        <v>0.382525039751763</v>
      </c>
      <c r="S831" t="s">
        <v>2833</v>
      </c>
      <c r="T831" t="s">
        <v>4002</v>
      </c>
      <c r="U831" t="s">
        <v>4002</v>
      </c>
      <c r="V831" t="s">
        <v>4002</v>
      </c>
      <c r="W831" t="s">
        <v>4818</v>
      </c>
      <c r="X831">
        <v>1</v>
      </c>
      <c r="Y831" t="s">
        <v>6790</v>
      </c>
      <c r="Z831" t="s">
        <v>8729</v>
      </c>
      <c r="AA831">
        <v>1.1298268454958571</v>
      </c>
      <c r="AB831" t="str">
        <f>HYPERLINK("Melting_Curves/meltCurve_O75629_CREG1.pdf", "Melting_Curves/meltCurve_O75629_CREG1.pdf")</f>
        <v>Melting_Curves/meltCurve_O75629_CREG1.pdf</v>
      </c>
    </row>
    <row r="832" spans="1:28" x14ac:dyDescent="0.25">
      <c r="A832" t="s">
        <v>836</v>
      </c>
      <c r="B832">
        <v>1</v>
      </c>
      <c r="C832">
        <v>1.0024110910186901</v>
      </c>
      <c r="D832">
        <v>1.1374321880650999</v>
      </c>
      <c r="E832">
        <v>1.14667470363673</v>
      </c>
      <c r="F832">
        <v>1.0147679324894501</v>
      </c>
      <c r="G832">
        <v>1.0591721920835799</v>
      </c>
      <c r="H832">
        <v>0.72627084589109903</v>
      </c>
      <c r="I832">
        <v>1.13723126381354</v>
      </c>
      <c r="J832">
        <v>0.82006228651798296</v>
      </c>
      <c r="K832">
        <v>0.79540888085191896</v>
      </c>
      <c r="L832">
        <v>1022.4375261085301</v>
      </c>
      <c r="M832">
        <v>13.2746044866165</v>
      </c>
      <c r="Q832">
        <v>0</v>
      </c>
      <c r="R832">
        <v>0.28990133041344801</v>
      </c>
      <c r="S832" t="s">
        <v>2834</v>
      </c>
      <c r="T832" t="s">
        <v>4002</v>
      </c>
      <c r="U832" t="s">
        <v>4002</v>
      </c>
      <c r="V832" t="s">
        <v>4002</v>
      </c>
      <c r="W832" t="s">
        <v>4819</v>
      </c>
      <c r="X832">
        <v>2</v>
      </c>
      <c r="Y832" t="s">
        <v>6791</v>
      </c>
      <c r="Z832" t="s">
        <v>8730</v>
      </c>
      <c r="AA832">
        <v>0.967092884149513</v>
      </c>
      <c r="AB832" t="str">
        <f>HYPERLINK("Melting_Curves/meltCurve_O75663_TIPRL.pdf", "Melting_Curves/meltCurve_O75663_TIPRL.pdf")</f>
        <v>Melting_Curves/meltCurve_O75663_TIPRL.pdf</v>
      </c>
    </row>
    <row r="833" spans="1:28" x14ac:dyDescent="0.25">
      <c r="A833" t="s">
        <v>837</v>
      </c>
      <c r="B833">
        <v>1</v>
      </c>
      <c r="C833">
        <v>0.88628614977337405</v>
      </c>
      <c r="D833">
        <v>1.0373831775700899</v>
      </c>
      <c r="E833">
        <v>1.0768922225341899</v>
      </c>
      <c r="F833">
        <v>0.98588103164734697</v>
      </c>
      <c r="G833">
        <v>1.9379487385183101</v>
      </c>
      <c r="H833">
        <v>1.65645180698728</v>
      </c>
      <c r="I833">
        <v>2.2672977417672802</v>
      </c>
      <c r="J833">
        <v>2.1972243391761301</v>
      </c>
      <c r="K833">
        <v>2.52472824996992</v>
      </c>
      <c r="L833">
        <v>13640.0272839719</v>
      </c>
      <c r="M833">
        <v>250</v>
      </c>
      <c r="O833">
        <v>54.556615197856502</v>
      </c>
      <c r="P833">
        <v>0.57279943994438298</v>
      </c>
      <c r="Q833">
        <v>1.5</v>
      </c>
      <c r="R833">
        <v>0.34264893473762498</v>
      </c>
      <c r="S833" t="s">
        <v>2835</v>
      </c>
      <c r="T833" t="s">
        <v>4002</v>
      </c>
      <c r="U833" t="s">
        <v>4002</v>
      </c>
      <c r="V833" t="s">
        <v>4002</v>
      </c>
      <c r="W833" t="s">
        <v>4820</v>
      </c>
      <c r="X833">
        <v>1</v>
      </c>
      <c r="Y833" t="s">
        <v>6792</v>
      </c>
      <c r="Z833" t="s">
        <v>8731</v>
      </c>
      <c r="AA833">
        <v>1.257283638330676</v>
      </c>
      <c r="AB833" t="str">
        <f>HYPERLINK("Melting_Curves/meltCurve_O75695_RP2.pdf", "Melting_Curves/meltCurve_O75695_RP2.pdf")</f>
        <v>Melting_Curves/meltCurve_O75695_RP2.pdf</v>
      </c>
    </row>
    <row r="834" spans="1:28" x14ac:dyDescent="0.25">
      <c r="A834" t="s">
        <v>838</v>
      </c>
      <c r="B834">
        <v>1</v>
      </c>
      <c r="C834">
        <v>0.89790478221463998</v>
      </c>
      <c r="D834">
        <v>0.94434077944234196</v>
      </c>
      <c r="E834">
        <v>1.15157008050328</v>
      </c>
      <c r="F834">
        <v>0.92493469104867498</v>
      </c>
      <c r="G834">
        <v>0.89193367809351198</v>
      </c>
      <c r="H834">
        <v>0.76200885002932195</v>
      </c>
      <c r="I834">
        <v>1.41936343764994</v>
      </c>
      <c r="J834">
        <v>1.88281708162286</v>
      </c>
      <c r="K834">
        <v>1.01983259583089</v>
      </c>
      <c r="L834">
        <v>15000</v>
      </c>
      <c r="M834">
        <v>236.92881772505999</v>
      </c>
      <c r="O834">
        <v>63.305622480008999</v>
      </c>
      <c r="P834">
        <v>0.42245959609279998</v>
      </c>
      <c r="Q834">
        <v>1.4515124306932401</v>
      </c>
      <c r="R834">
        <v>0.51030829359879104</v>
      </c>
      <c r="S834" t="s">
        <v>2836</v>
      </c>
      <c r="T834" t="s">
        <v>4002</v>
      </c>
      <c r="U834" t="s">
        <v>4002</v>
      </c>
      <c r="V834" t="s">
        <v>4002</v>
      </c>
      <c r="W834" t="s">
        <v>4821</v>
      </c>
      <c r="X834">
        <v>2</v>
      </c>
      <c r="Y834" t="s">
        <v>6793</v>
      </c>
      <c r="Z834" t="s">
        <v>8732</v>
      </c>
      <c r="AA834">
        <v>1.100629094079616</v>
      </c>
      <c r="AB834" t="str">
        <f>HYPERLINK("Melting_Curves/meltCurve_O75828_CBR3.pdf", "Melting_Curves/meltCurve_O75828_CBR3.pdf")</f>
        <v>Melting_Curves/meltCurve_O75828_CBR3.pdf</v>
      </c>
    </row>
    <row r="835" spans="1:28" x14ac:dyDescent="0.25">
      <c r="A835" t="s">
        <v>839</v>
      </c>
      <c r="B835">
        <v>1</v>
      </c>
      <c r="C835">
        <v>0.96781179667926498</v>
      </c>
      <c r="D835">
        <v>1.13023907596926</v>
      </c>
      <c r="E835">
        <v>1.1943606947216401</v>
      </c>
      <c r="F835">
        <v>1.1728311180941899</v>
      </c>
      <c r="G835">
        <v>1.53904624400187</v>
      </c>
      <c r="H835">
        <v>1.66809630982207</v>
      </c>
      <c r="I835">
        <v>3.6007898424561602</v>
      </c>
      <c r="J835">
        <v>2.6220646311945299</v>
      </c>
      <c r="K835">
        <v>3.1746146333177601</v>
      </c>
      <c r="L835">
        <v>2324.95985450531</v>
      </c>
      <c r="M835">
        <v>43.713288982420003</v>
      </c>
      <c r="O835">
        <v>53.075620028017497</v>
      </c>
      <c r="P835">
        <v>0.102950640516565</v>
      </c>
      <c r="Q835">
        <v>1.5</v>
      </c>
      <c r="R835">
        <v>-1.48549539783513E-2</v>
      </c>
      <c r="S835" t="s">
        <v>2837</v>
      </c>
      <c r="T835" t="s">
        <v>4002</v>
      </c>
      <c r="U835" t="s">
        <v>4002</v>
      </c>
      <c r="V835" t="s">
        <v>4002</v>
      </c>
      <c r="W835" t="s">
        <v>4822</v>
      </c>
      <c r="X835">
        <v>6</v>
      </c>
      <c r="Y835" t="s">
        <v>6794</v>
      </c>
      <c r="Z835" t="s">
        <v>8733</v>
      </c>
      <c r="AA835">
        <v>1.2786874888012689</v>
      </c>
      <c r="AB835" t="str">
        <f>HYPERLINK("Melting_Curves/meltCurve_O75874_IDH1.pdf", "Melting_Curves/meltCurve_O75874_IDH1.pdf")</f>
        <v>Melting_Curves/meltCurve_O75874_IDH1.pdf</v>
      </c>
    </row>
    <row r="836" spans="1:28" x14ac:dyDescent="0.25">
      <c r="A836" t="s">
        <v>840</v>
      </c>
      <c r="B836">
        <v>1</v>
      </c>
      <c r="C836">
        <v>0.88108951283897297</v>
      </c>
      <c r="D836">
        <v>1.01541876649868</v>
      </c>
      <c r="E836">
        <v>1.2264218862491001</v>
      </c>
      <c r="F836">
        <v>1.1482281417486599</v>
      </c>
      <c r="G836">
        <v>1.2925165986721101</v>
      </c>
      <c r="H836">
        <v>1.02787776977842</v>
      </c>
      <c r="I836">
        <v>1.5411967042636601</v>
      </c>
      <c r="J836">
        <v>1.1146108311335099</v>
      </c>
      <c r="K836">
        <v>1.14272858171346</v>
      </c>
      <c r="L836">
        <v>11617.4117044005</v>
      </c>
      <c r="M836">
        <v>250</v>
      </c>
      <c r="O836">
        <v>46.4666719078689</v>
      </c>
      <c r="P836">
        <v>0.28699150318972799</v>
      </c>
      <c r="Q836">
        <v>1.2133686453861701</v>
      </c>
      <c r="R836">
        <v>0.40923460744247497</v>
      </c>
      <c r="S836" t="s">
        <v>2838</v>
      </c>
      <c r="T836" t="s">
        <v>4002</v>
      </c>
      <c r="U836" t="s">
        <v>4002</v>
      </c>
      <c r="V836" t="s">
        <v>4002</v>
      </c>
      <c r="W836" t="s">
        <v>4823</v>
      </c>
      <c r="X836">
        <v>9</v>
      </c>
      <c r="Y836" t="s">
        <v>6795</v>
      </c>
      <c r="Z836" t="s">
        <v>8734</v>
      </c>
      <c r="AA836">
        <v>1.167337251838245</v>
      </c>
      <c r="AB836" t="str">
        <f>HYPERLINK("Melting_Curves/meltCurve_O75882_3_ATRN.pdf", "Melting_Curves/meltCurve_O75882_3_ATRN.pdf")</f>
        <v>Melting_Curves/meltCurve_O75882_3_ATRN.pdf</v>
      </c>
    </row>
    <row r="837" spans="1:28" x14ac:dyDescent="0.25">
      <c r="A837" t="s">
        <v>841</v>
      </c>
      <c r="B837">
        <v>1</v>
      </c>
      <c r="C837">
        <v>0.80061408558817904</v>
      </c>
      <c r="D837">
        <v>1.03719941543776</v>
      </c>
      <c r="E837">
        <v>0.91798414596342004</v>
      </c>
      <c r="F837">
        <v>0.98331930974418003</v>
      </c>
      <c r="G837">
        <v>1.0164592651639299</v>
      </c>
      <c r="H837">
        <v>0.67488891841223397</v>
      </c>
      <c r="I837">
        <v>0.98935683391641904</v>
      </c>
      <c r="J837">
        <v>0.79221469376909803</v>
      </c>
      <c r="K837">
        <v>0.747737773644509</v>
      </c>
      <c r="L837">
        <v>313.84923297686402</v>
      </c>
      <c r="M837">
        <v>3.2426520390529401</v>
      </c>
      <c r="Q837">
        <v>0</v>
      </c>
      <c r="R837">
        <v>0.24897460275414501</v>
      </c>
      <c r="S837" t="s">
        <v>2839</v>
      </c>
      <c r="T837" t="s">
        <v>4002</v>
      </c>
      <c r="U837" t="s">
        <v>4002</v>
      </c>
      <c r="V837" t="s">
        <v>4002</v>
      </c>
      <c r="W837" t="s">
        <v>4824</v>
      </c>
      <c r="X837">
        <v>2</v>
      </c>
      <c r="Y837" t="s">
        <v>6796</v>
      </c>
      <c r="Z837" t="s">
        <v>8735</v>
      </c>
      <c r="AA837">
        <v>0.90809880642264429</v>
      </c>
      <c r="AB837" t="str">
        <f>HYPERLINK("Melting_Curves/meltCurve_O75886_STAM2.pdf", "Melting_Curves/meltCurve_O75886_STAM2.pdf")</f>
        <v>Melting_Curves/meltCurve_O75886_STAM2.pdf</v>
      </c>
    </row>
    <row r="838" spans="1:28" x14ac:dyDescent="0.25">
      <c r="A838" t="s">
        <v>842</v>
      </c>
      <c r="B838">
        <v>1</v>
      </c>
      <c r="C838">
        <v>0.97791275538376599</v>
      </c>
      <c r="D838">
        <v>1.0660776734769</v>
      </c>
      <c r="E838">
        <v>1.0778882140008601</v>
      </c>
      <c r="F838">
        <v>1.10114117430517</v>
      </c>
      <c r="G838">
        <v>1.2724093502668901</v>
      </c>
      <c r="H838">
        <v>1.33195288054482</v>
      </c>
      <c r="I838">
        <v>1.55227314559175</v>
      </c>
      <c r="J838">
        <v>1.43192833916191</v>
      </c>
      <c r="K838">
        <v>1.4020185287440901</v>
      </c>
      <c r="L838">
        <v>1023.13221037812</v>
      </c>
      <c r="M838">
        <v>18.2734331282699</v>
      </c>
      <c r="O838">
        <v>55.332533051646699</v>
      </c>
      <c r="P838">
        <v>3.8791759117274997E-2</v>
      </c>
      <c r="Q838">
        <v>1.4698288424864501</v>
      </c>
      <c r="R838">
        <v>0.92618018672069402</v>
      </c>
      <c r="S838" t="s">
        <v>2840</v>
      </c>
      <c r="T838" t="s">
        <v>4002</v>
      </c>
      <c r="U838" t="s">
        <v>4002</v>
      </c>
      <c r="V838" t="s">
        <v>4002</v>
      </c>
      <c r="W838" t="s">
        <v>4825</v>
      </c>
      <c r="X838">
        <v>3</v>
      </c>
      <c r="Y838" t="s">
        <v>6797</v>
      </c>
      <c r="Z838" t="s">
        <v>8736</v>
      </c>
      <c r="AA838">
        <v>1.2126067561929119</v>
      </c>
      <c r="AB838" t="str">
        <f>HYPERLINK("Melting_Curves/meltCurve_O75937_DNAJC8.pdf", "Melting_Curves/meltCurve_O75937_DNAJC8.pdf")</f>
        <v>Melting_Curves/meltCurve_O75937_DNAJC8.pdf</v>
      </c>
    </row>
    <row r="839" spans="1:28" x14ac:dyDescent="0.25">
      <c r="A839" t="s">
        <v>843</v>
      </c>
      <c r="B839">
        <v>1</v>
      </c>
      <c r="C839">
        <v>0.92627827836397503</v>
      </c>
      <c r="D839">
        <v>0.985927701560259</v>
      </c>
      <c r="E839">
        <v>0.95698050210816898</v>
      </c>
      <c r="F839">
        <v>0.91969693726858304</v>
      </c>
      <c r="G839">
        <v>0.96534897159857003</v>
      </c>
      <c r="H839">
        <v>0.916176187316739</v>
      </c>
      <c r="I839">
        <v>1.1645228260171601</v>
      </c>
      <c r="J839">
        <v>0.97898251396528502</v>
      </c>
      <c r="K839">
        <v>0.98621663848639896</v>
      </c>
      <c r="L839">
        <v>10219.8221647793</v>
      </c>
      <c r="M839">
        <v>250</v>
      </c>
      <c r="O839">
        <v>40.876672669336799</v>
      </c>
      <c r="P839">
        <v>-3.3955261351483801E-2</v>
      </c>
      <c r="Q839">
        <v>0.977792350374728</v>
      </c>
      <c r="R839">
        <v>9.6772745241084906E-3</v>
      </c>
      <c r="S839" t="s">
        <v>2841</v>
      </c>
      <c r="T839" t="s">
        <v>4002</v>
      </c>
      <c r="U839" t="s">
        <v>4002</v>
      </c>
      <c r="V839" t="s">
        <v>4002</v>
      </c>
      <c r="W839" t="s">
        <v>4826</v>
      </c>
      <c r="X839">
        <v>19</v>
      </c>
      <c r="Y839" t="s">
        <v>6798</v>
      </c>
      <c r="Z839" t="s">
        <v>8737</v>
      </c>
      <c r="AA839">
        <v>0.97844531251119349</v>
      </c>
      <c r="AB839" t="str">
        <f>HYPERLINK("Melting_Curves/meltCurve_O75976_CPD.pdf", "Melting_Curves/meltCurve_O75976_CPD.pdf")</f>
        <v>Melting_Curves/meltCurve_O75976_CPD.pdf</v>
      </c>
    </row>
    <row r="840" spans="1:28" x14ac:dyDescent="0.25">
      <c r="A840" t="s">
        <v>844</v>
      </c>
      <c r="B840">
        <v>1</v>
      </c>
      <c r="C840">
        <v>1.03047977422389</v>
      </c>
      <c r="D840">
        <v>1.1862652869238</v>
      </c>
      <c r="E840">
        <v>1.3034807149576699</v>
      </c>
      <c r="F840">
        <v>1.29633113828786</v>
      </c>
      <c r="G840">
        <v>1.41119473189087</v>
      </c>
      <c r="H840">
        <v>1.0807149576669799</v>
      </c>
      <c r="I840">
        <v>1.7622765757290699</v>
      </c>
      <c r="J840">
        <v>1.4972718720602101</v>
      </c>
      <c r="K840">
        <v>1.4290686735653799</v>
      </c>
      <c r="L840">
        <v>496.19018372570099</v>
      </c>
      <c r="M840">
        <v>9.9012330873644796</v>
      </c>
      <c r="O840">
        <v>48.198225201075701</v>
      </c>
      <c r="P840">
        <v>2.5691390035656202E-2</v>
      </c>
      <c r="Q840">
        <v>1.5</v>
      </c>
      <c r="R840">
        <v>0.54151902888158399</v>
      </c>
      <c r="S840" t="s">
        <v>2842</v>
      </c>
      <c r="T840" t="s">
        <v>4002</v>
      </c>
      <c r="U840" t="s">
        <v>4002</v>
      </c>
      <c r="V840" t="s">
        <v>4002</v>
      </c>
      <c r="W840" t="s">
        <v>4827</v>
      </c>
      <c r="X840">
        <v>3</v>
      </c>
      <c r="Y840" t="s">
        <v>6799</v>
      </c>
      <c r="Z840" t="s">
        <v>8738</v>
      </c>
      <c r="AA840">
        <v>1.3087374635539859</v>
      </c>
      <c r="AB840" t="str">
        <f>HYPERLINK("Melting_Curves/meltCurve_O75995_SASH3.pdf", "Melting_Curves/meltCurve_O75995_SASH3.pdf")</f>
        <v>Melting_Curves/meltCurve_O75995_SASH3.pdf</v>
      </c>
    </row>
    <row r="841" spans="1:28" x14ac:dyDescent="0.25">
      <c r="A841" t="s">
        <v>845</v>
      </c>
      <c r="B841">
        <v>1</v>
      </c>
      <c r="C841">
        <v>0.988817988453358</v>
      </c>
      <c r="D841">
        <v>1.0857490124582201</v>
      </c>
      <c r="E841">
        <v>1.0563354603463999</v>
      </c>
      <c r="F841">
        <v>0.77447584320875096</v>
      </c>
      <c r="G841">
        <v>0.87979337587359496</v>
      </c>
      <c r="H841">
        <v>0.52218170768763295</v>
      </c>
      <c r="I841">
        <v>1.0359161349134001</v>
      </c>
      <c r="J841">
        <v>0.55972044971133394</v>
      </c>
      <c r="K841">
        <v>0.59854147675478597</v>
      </c>
      <c r="L841">
        <v>907.713843279662</v>
      </c>
      <c r="M841">
        <v>16.208750484574601</v>
      </c>
      <c r="O841">
        <v>55.169842664537597</v>
      </c>
      <c r="P841">
        <v>-2.56556373320776E-2</v>
      </c>
      <c r="Q841">
        <v>0.65072878822120706</v>
      </c>
      <c r="R841">
        <v>0.50023717529862399</v>
      </c>
      <c r="S841" t="s">
        <v>2843</v>
      </c>
      <c r="T841" t="s">
        <v>4002</v>
      </c>
      <c r="U841" t="s">
        <v>4002</v>
      </c>
      <c r="V841" t="s">
        <v>4002</v>
      </c>
      <c r="W841" t="s">
        <v>4828</v>
      </c>
      <c r="X841">
        <v>2</v>
      </c>
      <c r="Y841" t="s">
        <v>6800</v>
      </c>
      <c r="Z841" t="s">
        <v>8739</v>
      </c>
      <c r="AA841">
        <v>0.84279235016878995</v>
      </c>
      <c r="AB841" t="str">
        <f>HYPERLINK("Melting_Curves/meltCurve_O76070_SNCG.pdf", "Melting_Curves/meltCurve_O76070_SNCG.pdf")</f>
        <v>Melting_Curves/meltCurve_O76070_SNCG.pdf</v>
      </c>
    </row>
    <row r="842" spans="1:28" x14ac:dyDescent="0.25">
      <c r="A842" t="s">
        <v>846</v>
      </c>
      <c r="B842">
        <v>1</v>
      </c>
      <c r="C842">
        <v>1.0006595282433299</v>
      </c>
      <c r="D842">
        <v>1.04240378646803</v>
      </c>
      <c r="E842">
        <v>1.2796787709497199</v>
      </c>
      <c r="F842">
        <v>1.4291977032898799</v>
      </c>
      <c r="G842">
        <v>1.62977188081937</v>
      </c>
      <c r="H842">
        <v>1.3493171942892599</v>
      </c>
      <c r="I842">
        <v>2.0277001862197399</v>
      </c>
      <c r="J842">
        <v>1.70127250155183</v>
      </c>
      <c r="K842">
        <v>1.6123525760397299</v>
      </c>
      <c r="L842">
        <v>1763.73876761409</v>
      </c>
      <c r="M842">
        <v>35.518249719863299</v>
      </c>
      <c r="O842">
        <v>49.500635832121297</v>
      </c>
      <c r="P842">
        <v>8.9691701712797098E-2</v>
      </c>
      <c r="Q842">
        <v>1.5</v>
      </c>
      <c r="R842">
        <v>0.64365941028287899</v>
      </c>
      <c r="S842" t="s">
        <v>2844</v>
      </c>
      <c r="T842" t="s">
        <v>4002</v>
      </c>
      <c r="U842" t="s">
        <v>4002</v>
      </c>
      <c r="V842" t="s">
        <v>4002</v>
      </c>
      <c r="W842" t="s">
        <v>4829</v>
      </c>
      <c r="X842">
        <v>7</v>
      </c>
      <c r="Y842" t="s">
        <v>6801</v>
      </c>
      <c r="Z842" t="s">
        <v>8740</v>
      </c>
      <c r="AA842">
        <v>1.3368621595356791</v>
      </c>
      <c r="AB842" t="str">
        <f>HYPERLINK("Melting_Curves/meltCurve_O94760_DDAH1.pdf", "Melting_Curves/meltCurve_O94760_DDAH1.pdf")</f>
        <v>Melting_Curves/meltCurve_O94760_DDAH1.pdf</v>
      </c>
    </row>
    <row r="843" spans="1:28" x14ac:dyDescent="0.25">
      <c r="A843" t="s">
        <v>847</v>
      </c>
      <c r="B843">
        <v>1</v>
      </c>
      <c r="C843">
        <v>0.82649663112786198</v>
      </c>
      <c r="D843">
        <v>0.97847019645300404</v>
      </c>
      <c r="E843">
        <v>1.18914732684514</v>
      </c>
      <c r="F843">
        <v>1.1556909414771399</v>
      </c>
      <c r="G843">
        <v>1.3737770090610999</v>
      </c>
      <c r="H843">
        <v>1.40075380127527</v>
      </c>
      <c r="I843">
        <v>1.9672664377726701</v>
      </c>
      <c r="J843">
        <v>1.49905774840592</v>
      </c>
      <c r="K843">
        <v>1.57707101737357</v>
      </c>
      <c r="L843">
        <v>1328.15104130596</v>
      </c>
      <c r="M843">
        <v>24.757142140210799</v>
      </c>
      <c r="O843">
        <v>53.300837051890802</v>
      </c>
      <c r="P843">
        <v>5.8060739486237897E-2</v>
      </c>
      <c r="Q843">
        <v>1.5</v>
      </c>
      <c r="R843">
        <v>0.71956262320215003</v>
      </c>
      <c r="S843" t="s">
        <v>2845</v>
      </c>
      <c r="T843" t="s">
        <v>4002</v>
      </c>
      <c r="U843" t="s">
        <v>4002</v>
      </c>
      <c r="V843" t="s">
        <v>4002</v>
      </c>
      <c r="W843" t="s">
        <v>4830</v>
      </c>
      <c r="X843">
        <v>2</v>
      </c>
      <c r="Y843" t="s">
        <v>6802</v>
      </c>
      <c r="Z843" t="s">
        <v>8741</v>
      </c>
      <c r="AA843">
        <v>1.267842225383951</v>
      </c>
      <c r="AB843" t="str">
        <f>HYPERLINK("Melting_Curves/meltCurve_O94779_4_CNTN5.pdf", "Melting_Curves/meltCurve_O94779_4_CNTN5.pdf")</f>
        <v>Melting_Curves/meltCurve_O94779_4_CNTN5.pdf</v>
      </c>
    </row>
    <row r="844" spans="1:28" x14ac:dyDescent="0.25">
      <c r="A844" t="s">
        <v>848</v>
      </c>
      <c r="B844">
        <v>1</v>
      </c>
      <c r="C844">
        <v>0.97943808243312203</v>
      </c>
      <c r="D844">
        <v>1.0549399601279601</v>
      </c>
      <c r="E844">
        <v>1.0885530159024499</v>
      </c>
      <c r="F844">
        <v>0.978487644304326</v>
      </c>
      <c r="G844">
        <v>1.0219528026334099</v>
      </c>
      <c r="H844">
        <v>0.75812508693031699</v>
      </c>
      <c r="I844">
        <v>1.1751587927117599</v>
      </c>
      <c r="J844">
        <v>0.84628401873058601</v>
      </c>
      <c r="K844">
        <v>0.93662200380175298</v>
      </c>
      <c r="L844">
        <v>2791.6730463355002</v>
      </c>
      <c r="M844">
        <v>48.3893710412041</v>
      </c>
      <c r="O844">
        <v>57.593590371596001</v>
      </c>
      <c r="P844">
        <v>-1.3789649814287999E-2</v>
      </c>
      <c r="Q844">
        <v>0.93434965943209303</v>
      </c>
      <c r="R844">
        <v>0.115191060668689</v>
      </c>
      <c r="S844" t="s">
        <v>2846</v>
      </c>
      <c r="T844" t="s">
        <v>4002</v>
      </c>
      <c r="U844" t="s">
        <v>4002</v>
      </c>
      <c r="V844" t="s">
        <v>4002</v>
      </c>
      <c r="W844" t="s">
        <v>4831</v>
      </c>
      <c r="X844">
        <v>7</v>
      </c>
      <c r="Y844" t="s">
        <v>6803</v>
      </c>
      <c r="Z844" t="s">
        <v>8742</v>
      </c>
      <c r="AA844">
        <v>0.97324318315550362</v>
      </c>
      <c r="AB844" t="str">
        <f>HYPERLINK("Melting_Curves/meltCurve_O94804_STK10.pdf", "Melting_Curves/meltCurve_O94804_STK10.pdf")</f>
        <v>Melting_Curves/meltCurve_O94804_STK10.pdf</v>
      </c>
    </row>
    <row r="845" spans="1:28" x14ac:dyDescent="0.25">
      <c r="A845" t="s">
        <v>849</v>
      </c>
      <c r="B845">
        <v>1</v>
      </c>
      <c r="C845">
        <v>0.95176803889335804</v>
      </c>
      <c r="D845">
        <v>1.00620824735056</v>
      </c>
      <c r="E845">
        <v>1.0399426392920801</v>
      </c>
      <c r="F845">
        <v>1.0293623867650701</v>
      </c>
      <c r="G845">
        <v>1.10896785701794</v>
      </c>
      <c r="H845">
        <v>1.08039243118464</v>
      </c>
      <c r="I845">
        <v>1.6764191528802801</v>
      </c>
      <c r="J845">
        <v>1.41960756881536</v>
      </c>
      <c r="K845">
        <v>1.3570004546885399</v>
      </c>
      <c r="L845">
        <v>15000</v>
      </c>
      <c r="M845">
        <v>244.28828948704401</v>
      </c>
      <c r="O845">
        <v>61.398746316040899</v>
      </c>
      <c r="P845">
        <v>0.48176645122141099</v>
      </c>
      <c r="Q845">
        <v>1.4843434141509799</v>
      </c>
      <c r="R845">
        <v>0.85358243625808405</v>
      </c>
      <c r="S845" t="s">
        <v>2847</v>
      </c>
      <c r="T845" t="s">
        <v>4002</v>
      </c>
      <c r="U845" t="s">
        <v>4002</v>
      </c>
      <c r="V845" t="s">
        <v>4002</v>
      </c>
      <c r="W845" t="s">
        <v>4832</v>
      </c>
      <c r="X845">
        <v>2</v>
      </c>
      <c r="Y845" t="s">
        <v>6804</v>
      </c>
      <c r="Z845" t="s">
        <v>8743</v>
      </c>
      <c r="AA845">
        <v>1.138744250990958</v>
      </c>
      <c r="AB845" t="str">
        <f>HYPERLINK("Melting_Curves/meltCurve_O94903_PROSC.pdf", "Melting_Curves/meltCurve_O94903_PROSC.pdf")</f>
        <v>Melting_Curves/meltCurve_O94903_PROSC.pdf</v>
      </c>
    </row>
    <row r="846" spans="1:28" x14ac:dyDescent="0.25">
      <c r="A846" t="s">
        <v>850</v>
      </c>
      <c r="B846">
        <v>1</v>
      </c>
      <c r="C846">
        <v>0.97822083941837601</v>
      </c>
      <c r="D846">
        <v>1.2989396152136601</v>
      </c>
      <c r="E846">
        <v>1.6881071814083399</v>
      </c>
      <c r="F846">
        <v>1.76233411645184</v>
      </c>
      <c r="G846">
        <v>1.8287510318115401</v>
      </c>
      <c r="H846">
        <v>1.5400977839862799</v>
      </c>
      <c r="I846">
        <v>1.95688615150168</v>
      </c>
      <c r="J846">
        <v>1.7219506000381</v>
      </c>
      <c r="K846">
        <v>1.7413169090100999</v>
      </c>
      <c r="L846">
        <v>11481.7547300469</v>
      </c>
      <c r="M846">
        <v>250</v>
      </c>
      <c r="O846">
        <v>45.924080589540701</v>
      </c>
      <c r="P846">
        <v>0.68047090126920495</v>
      </c>
      <c r="Q846">
        <v>1.5</v>
      </c>
      <c r="R846">
        <v>0.502303991672582</v>
      </c>
      <c r="S846" t="s">
        <v>2848</v>
      </c>
      <c r="T846" t="s">
        <v>4002</v>
      </c>
      <c r="U846" t="s">
        <v>4002</v>
      </c>
      <c r="V846" t="s">
        <v>4002</v>
      </c>
      <c r="W846" t="s">
        <v>4833</v>
      </c>
      <c r="X846">
        <v>3</v>
      </c>
      <c r="Y846" t="s">
        <v>6805</v>
      </c>
      <c r="Z846" t="s">
        <v>8744</v>
      </c>
      <c r="AA846">
        <v>1.401176050728496</v>
      </c>
      <c r="AB846" t="str">
        <f>HYPERLINK("Melting_Curves/meltCurve_O94919_ENDOD1.pdf", "Melting_Curves/meltCurve_O94919_ENDOD1.pdf")</f>
        <v>Melting_Curves/meltCurve_O94919_ENDOD1.pdf</v>
      </c>
    </row>
    <row r="847" spans="1:28" x14ac:dyDescent="0.25">
      <c r="A847" t="s">
        <v>851</v>
      </c>
      <c r="B847">
        <v>1</v>
      </c>
      <c r="C847">
        <v>0.90009956853634199</v>
      </c>
      <c r="D847">
        <v>0.95220710255559204</v>
      </c>
      <c r="E847">
        <v>0.98249253235977396</v>
      </c>
      <c r="F847">
        <v>1.0900265516096901</v>
      </c>
      <c r="G847">
        <v>1.2454364420843</v>
      </c>
      <c r="H847">
        <v>0.93030202456023903</v>
      </c>
      <c r="I847">
        <v>1.1720046465317</v>
      </c>
      <c r="J847">
        <v>1.19150348489877</v>
      </c>
      <c r="K847">
        <v>1.2787919017590399</v>
      </c>
      <c r="L847">
        <v>553.53827638632504</v>
      </c>
      <c r="M847">
        <v>7.8506478185923001</v>
      </c>
      <c r="O847">
        <v>66.373079438635699</v>
      </c>
      <c r="P847">
        <v>1.48030146443906E-2</v>
      </c>
      <c r="Q847">
        <v>1.5</v>
      </c>
      <c r="R847">
        <v>0.51276373931022001</v>
      </c>
      <c r="S847" t="s">
        <v>2849</v>
      </c>
      <c r="T847" t="s">
        <v>4002</v>
      </c>
      <c r="U847" t="s">
        <v>4002</v>
      </c>
      <c r="V847" t="s">
        <v>4002</v>
      </c>
      <c r="W847" t="s">
        <v>4834</v>
      </c>
      <c r="X847">
        <v>1</v>
      </c>
      <c r="Y847" t="s">
        <v>6806</v>
      </c>
      <c r="Z847" t="s">
        <v>8745</v>
      </c>
      <c r="AA847">
        <v>1.0768777233647879</v>
      </c>
      <c r="AB847" t="str">
        <f>HYPERLINK("Melting_Curves/meltCurve_O94927_2_HAUS5.pdf", "Melting_Curves/meltCurve_O94927_2_HAUS5.pdf")</f>
        <v>Melting_Curves/meltCurve_O94927_2_HAUS5.pdf</v>
      </c>
    </row>
    <row r="848" spans="1:28" x14ac:dyDescent="0.25">
      <c r="A848" t="s">
        <v>852</v>
      </c>
      <c r="B848">
        <v>1</v>
      </c>
      <c r="C848">
        <v>0.99746956640678397</v>
      </c>
      <c r="D848">
        <v>1.0769388592531799</v>
      </c>
      <c r="E848">
        <v>1.38501345005243</v>
      </c>
      <c r="F848">
        <v>1.85250535722427</v>
      </c>
      <c r="G848">
        <v>2.26849952126932</v>
      </c>
      <c r="H848">
        <v>1.93929239046186</v>
      </c>
      <c r="I848">
        <v>3.1049104089727799</v>
      </c>
      <c r="J848">
        <v>2.4768613504764501</v>
      </c>
      <c r="K848">
        <v>2.3685770300460498</v>
      </c>
      <c r="L848">
        <v>2418.0529870811201</v>
      </c>
      <c r="M848">
        <v>50.357906927821404</v>
      </c>
      <c r="O848">
        <v>47.941804384827897</v>
      </c>
      <c r="P848">
        <v>0.131299681219533</v>
      </c>
      <c r="Q848">
        <v>1.5</v>
      </c>
      <c r="R848">
        <v>-0.110316287744264</v>
      </c>
      <c r="S848" t="s">
        <v>2850</v>
      </c>
      <c r="T848" t="s">
        <v>4002</v>
      </c>
      <c r="U848" t="s">
        <v>4002</v>
      </c>
      <c r="V848" t="s">
        <v>4002</v>
      </c>
      <c r="W848" t="s">
        <v>4835</v>
      </c>
      <c r="X848">
        <v>3</v>
      </c>
      <c r="Y848" t="s">
        <v>6807</v>
      </c>
      <c r="Z848" t="s">
        <v>8746</v>
      </c>
      <c r="AA848">
        <v>1.365333197916043</v>
      </c>
      <c r="AB848" t="str">
        <f>HYPERLINK("Melting_Curves/meltCurve_O94991_SLITRK5.pdf", "Melting_Curves/meltCurve_O94991_SLITRK5.pdf")</f>
        <v>Melting_Curves/meltCurve_O94991_SLITRK5.pdf</v>
      </c>
    </row>
    <row r="849" spans="1:28" x14ac:dyDescent="0.25">
      <c r="A849" t="s">
        <v>853</v>
      </c>
      <c r="B849">
        <v>1</v>
      </c>
      <c r="C849">
        <v>0.93089118660758297</v>
      </c>
      <c r="D849">
        <v>1.0028557360906001</v>
      </c>
      <c r="E849">
        <v>0.99458394879369805</v>
      </c>
      <c r="F849">
        <v>0.93753815854259004</v>
      </c>
      <c r="G849">
        <v>0.98562284588872495</v>
      </c>
      <c r="H849">
        <v>0.84537666174298398</v>
      </c>
      <c r="I849">
        <v>1.0259970457902501</v>
      </c>
      <c r="J849">
        <v>1.05573609059577</v>
      </c>
      <c r="K849">
        <v>0.91657311669128505</v>
      </c>
      <c r="L849">
        <v>10230.7884474231</v>
      </c>
      <c r="M849">
        <v>250</v>
      </c>
      <c r="O849">
        <v>40.920535619910801</v>
      </c>
      <c r="P849">
        <v>-5.1730490930175801E-2</v>
      </c>
      <c r="Q849">
        <v>0.96613057022190996</v>
      </c>
      <c r="R849">
        <v>3.0115889108774802E-2</v>
      </c>
      <c r="S849" t="s">
        <v>2851</v>
      </c>
      <c r="T849" t="s">
        <v>4002</v>
      </c>
      <c r="U849" t="s">
        <v>4002</v>
      </c>
      <c r="V849" t="s">
        <v>4002</v>
      </c>
      <c r="W849" t="s">
        <v>4836</v>
      </c>
      <c r="X849">
        <v>17</v>
      </c>
      <c r="Y849" t="s">
        <v>6808</v>
      </c>
      <c r="Z849" t="s">
        <v>8747</v>
      </c>
      <c r="AA849">
        <v>0.9671757716659144</v>
      </c>
      <c r="AB849" t="str">
        <f>HYPERLINK("Melting_Curves/meltCurve_O95171_SCEL.pdf", "Melting_Curves/meltCurve_O95171_SCEL.pdf")</f>
        <v>Melting_Curves/meltCurve_O95171_SCEL.pdf</v>
      </c>
    </row>
    <row r="850" spans="1:28" x14ac:dyDescent="0.25">
      <c r="A850" t="s">
        <v>854</v>
      </c>
      <c r="B850">
        <v>1</v>
      </c>
      <c r="C850">
        <v>0.79570523351325995</v>
      </c>
      <c r="D850">
        <v>1.2438981459751199</v>
      </c>
      <c r="E850">
        <v>0.94971837596808295</v>
      </c>
      <c r="F850">
        <v>1.02082844402722</v>
      </c>
      <c r="G850">
        <v>0.87227176719080002</v>
      </c>
      <c r="H850">
        <v>0.86611124149260699</v>
      </c>
      <c r="I850">
        <v>0.877082844402722</v>
      </c>
      <c r="J850">
        <v>1.0450598451067801</v>
      </c>
      <c r="K850">
        <v>0.97031213330204202</v>
      </c>
      <c r="L850">
        <v>4231.5167940782103</v>
      </c>
      <c r="M850">
        <v>77.477346247369098</v>
      </c>
      <c r="O850">
        <v>54.579827695034901</v>
      </c>
      <c r="P850">
        <v>-2.6094620403004601E-2</v>
      </c>
      <c r="Q850">
        <v>0.92646936219272502</v>
      </c>
      <c r="R850">
        <v>9.58369329113236E-2</v>
      </c>
      <c r="S850" t="s">
        <v>2852</v>
      </c>
      <c r="T850" t="s">
        <v>4002</v>
      </c>
      <c r="U850" t="s">
        <v>4002</v>
      </c>
      <c r="V850" t="s">
        <v>4002</v>
      </c>
      <c r="W850" t="s">
        <v>4837</v>
      </c>
      <c r="X850">
        <v>17</v>
      </c>
      <c r="Y850" t="s">
        <v>6808</v>
      </c>
      <c r="Z850" t="s">
        <v>8748</v>
      </c>
      <c r="AA850">
        <v>0.9623674695383504</v>
      </c>
      <c r="AB850" t="str">
        <f>HYPERLINK("Melting_Curves/meltCurve_O95171_2_SCEL.pdf", "Melting_Curves/meltCurve_O95171_2_SCEL.pdf")</f>
        <v>Melting_Curves/meltCurve_O95171_2_SCEL.pdf</v>
      </c>
    </row>
    <row r="851" spans="1:28" x14ac:dyDescent="0.25">
      <c r="A851" t="s">
        <v>855</v>
      </c>
      <c r="B851">
        <v>1</v>
      </c>
      <c r="C851">
        <v>1.15525157834322</v>
      </c>
      <c r="D851">
        <v>1.1079012818060101</v>
      </c>
      <c r="E851">
        <v>1.5663860723168199</v>
      </c>
      <c r="F851">
        <v>1.3293476181366</v>
      </c>
      <c r="G851">
        <v>1.6902621006313401</v>
      </c>
      <c r="H851">
        <v>0.93876028314520799</v>
      </c>
      <c r="I851">
        <v>2.2175243925769998</v>
      </c>
      <c r="J851">
        <v>0.91161277979720701</v>
      </c>
      <c r="K851">
        <v>1.56600344365793</v>
      </c>
      <c r="L851">
        <v>11554.4020303205</v>
      </c>
      <c r="M851">
        <v>250</v>
      </c>
      <c r="O851">
        <v>46.214655350858301</v>
      </c>
      <c r="P851">
        <v>0.62207714045920903</v>
      </c>
      <c r="Q851">
        <v>1.45998524163462</v>
      </c>
      <c r="R851">
        <v>0.18124276062908601</v>
      </c>
      <c r="S851" t="s">
        <v>2853</v>
      </c>
      <c r="T851" t="s">
        <v>4002</v>
      </c>
      <c r="U851" t="s">
        <v>4002</v>
      </c>
      <c r="V851" t="s">
        <v>4002</v>
      </c>
      <c r="W851" t="s">
        <v>4838</v>
      </c>
      <c r="X851">
        <v>1</v>
      </c>
      <c r="Y851" t="s">
        <v>6809</v>
      </c>
      <c r="Z851" t="s">
        <v>8749</v>
      </c>
      <c r="AA851">
        <v>1.3646143325522899</v>
      </c>
      <c r="AB851" t="str">
        <f>HYPERLINK("Melting_Curves/meltCurve_O95210_STBD1.pdf", "Melting_Curves/meltCurve_O95210_STBD1.pdf")</f>
        <v>Melting_Curves/meltCurve_O95210_STBD1.pdf</v>
      </c>
    </row>
    <row r="852" spans="1:28" x14ac:dyDescent="0.25">
      <c r="A852" t="s">
        <v>856</v>
      </c>
      <c r="B852">
        <v>1</v>
      </c>
      <c r="C852">
        <v>0.87306876704029102</v>
      </c>
      <c r="D852">
        <v>0.97300283336600302</v>
      </c>
      <c r="E852">
        <v>1.00343924301014</v>
      </c>
      <c r="F852">
        <v>0.92542366840707802</v>
      </c>
      <c r="G852">
        <v>0.98633212751929</v>
      </c>
      <c r="H852">
        <v>0.90380811518791104</v>
      </c>
      <c r="I852">
        <v>1.0564534811198001</v>
      </c>
      <c r="J852">
        <v>0.86856032931197302</v>
      </c>
      <c r="K852">
        <v>0.893828964484915</v>
      </c>
      <c r="L852">
        <v>99.851363085451595</v>
      </c>
      <c r="M852">
        <v>1.0000000000000001E-5</v>
      </c>
      <c r="O852">
        <v>41.615826486223597</v>
      </c>
      <c r="P852">
        <v>-1.6270623492433401E-3</v>
      </c>
      <c r="Q852">
        <v>0.63011755054310603</v>
      </c>
      <c r="R852">
        <v>4.0861414219805499E-2</v>
      </c>
      <c r="S852" t="s">
        <v>2854</v>
      </c>
      <c r="T852" t="s">
        <v>4002</v>
      </c>
      <c r="U852" t="s">
        <v>4002</v>
      </c>
      <c r="V852" t="s">
        <v>4002</v>
      </c>
      <c r="W852" t="s">
        <v>4839</v>
      </c>
      <c r="X852">
        <v>5</v>
      </c>
      <c r="Y852" t="s">
        <v>6810</v>
      </c>
      <c r="Z852" t="s">
        <v>8750</v>
      </c>
      <c r="AA852">
        <v>0.94887936171002996</v>
      </c>
      <c r="AB852" t="str">
        <f>HYPERLINK("Melting_Curves/meltCurve_O95274_LYPD3.pdf", "Melting_Curves/meltCurve_O95274_LYPD3.pdf")</f>
        <v>Melting_Curves/meltCurve_O95274_LYPD3.pdf</v>
      </c>
    </row>
    <row r="853" spans="1:28" x14ac:dyDescent="0.25">
      <c r="A853" t="s">
        <v>857</v>
      </c>
      <c r="B853">
        <v>1</v>
      </c>
      <c r="C853">
        <v>0.93644316772213898</v>
      </c>
      <c r="D853">
        <v>0.95356466671019102</v>
      </c>
      <c r="E853">
        <v>1.0045047985897999</v>
      </c>
      <c r="F853">
        <v>1.0248090357119499</v>
      </c>
      <c r="G853">
        <v>1.0069367369589299</v>
      </c>
      <c r="H853">
        <v>0.78421035450806298</v>
      </c>
      <c r="I853">
        <v>1.19648103414507</v>
      </c>
      <c r="J853">
        <v>1.2474538094927199</v>
      </c>
      <c r="K853">
        <v>1.04620682901351</v>
      </c>
      <c r="L853">
        <v>15000</v>
      </c>
      <c r="M853">
        <v>239.20936899926099</v>
      </c>
      <c r="O853">
        <v>62.702196575545699</v>
      </c>
      <c r="P853">
        <v>0.156064241234423</v>
      </c>
      <c r="Q853">
        <v>1.1636318827741401</v>
      </c>
      <c r="R853">
        <v>0.50121648714813805</v>
      </c>
      <c r="S853" t="s">
        <v>2855</v>
      </c>
      <c r="T853" t="s">
        <v>4002</v>
      </c>
      <c r="U853" t="s">
        <v>4002</v>
      </c>
      <c r="V853" t="s">
        <v>4002</v>
      </c>
      <c r="W853" t="s">
        <v>4840</v>
      </c>
      <c r="X853">
        <v>3</v>
      </c>
      <c r="Y853" t="s">
        <v>6811</v>
      </c>
      <c r="Z853" t="s">
        <v>8751</v>
      </c>
      <c r="AA853">
        <v>1.039761565040398</v>
      </c>
      <c r="AB853" t="str">
        <f>HYPERLINK("Melting_Curves/meltCurve_O95292_VAPB.pdf", "Melting_Curves/meltCurve_O95292_VAPB.pdf")</f>
        <v>Melting_Curves/meltCurve_O95292_VAPB.pdf</v>
      </c>
    </row>
    <row r="854" spans="1:28" x14ac:dyDescent="0.25">
      <c r="A854" t="s">
        <v>858</v>
      </c>
      <c r="B854">
        <v>1</v>
      </c>
      <c r="C854">
        <v>0.98060829228635604</v>
      </c>
      <c r="D854">
        <v>1.1520491607287999</v>
      </c>
      <c r="E854">
        <v>1.51551814834298</v>
      </c>
      <c r="F854">
        <v>1.6741667065181001</v>
      </c>
      <c r="G854">
        <v>1.86884893118454</v>
      </c>
      <c r="H854">
        <v>2.30964564105017</v>
      </c>
      <c r="I854">
        <v>2.4059107646693101</v>
      </c>
      <c r="J854">
        <v>2.4982066854765401</v>
      </c>
      <c r="K854">
        <v>2.1399024436899201</v>
      </c>
      <c r="L854">
        <v>11356.382200353501</v>
      </c>
      <c r="M854">
        <v>246.05000439582901</v>
      </c>
      <c r="O854">
        <v>46.151707160162999</v>
      </c>
      <c r="P854">
        <v>0.66641606655045205</v>
      </c>
      <c r="Q854">
        <v>1.5</v>
      </c>
      <c r="R854">
        <v>-2.3564378915916801E-3</v>
      </c>
      <c r="S854" t="s">
        <v>2856</v>
      </c>
      <c r="T854" t="s">
        <v>4002</v>
      </c>
      <c r="U854" t="s">
        <v>4002</v>
      </c>
      <c r="V854" t="s">
        <v>4002</v>
      </c>
      <c r="W854" t="s">
        <v>4841</v>
      </c>
      <c r="X854">
        <v>8</v>
      </c>
      <c r="Y854" t="s">
        <v>6812</v>
      </c>
      <c r="Z854" t="s">
        <v>8752</v>
      </c>
      <c r="AA854">
        <v>1.3973786316208749</v>
      </c>
      <c r="AB854" t="str">
        <f>HYPERLINK("Melting_Curves/meltCurve_O95336_PGLS.pdf", "Melting_Curves/meltCurve_O95336_PGLS.pdf")</f>
        <v>Melting_Curves/meltCurve_O95336_PGLS.pdf</v>
      </c>
    </row>
    <row r="855" spans="1:28" x14ac:dyDescent="0.25">
      <c r="A855" t="s">
        <v>859</v>
      </c>
      <c r="B855">
        <v>1</v>
      </c>
      <c r="C855">
        <v>0.87928911604135196</v>
      </c>
      <c r="D855">
        <v>1.0012545011034999</v>
      </c>
      <c r="E855">
        <v>0.95343245440817703</v>
      </c>
      <c r="F855">
        <v>0.92735509350679501</v>
      </c>
      <c r="G855">
        <v>1.00075502381229</v>
      </c>
      <c r="H855">
        <v>0.86217911487977705</v>
      </c>
      <c r="I855">
        <v>1.1227784876292299</v>
      </c>
      <c r="J855">
        <v>0.842571727262167</v>
      </c>
      <c r="K855">
        <v>0.86493204785689404</v>
      </c>
      <c r="L855">
        <v>136.952079710048</v>
      </c>
      <c r="M855">
        <v>1.0000000000000001E-5</v>
      </c>
      <c r="O855">
        <v>57.078590068092502</v>
      </c>
      <c r="P855">
        <v>-2.20881912174631E-3</v>
      </c>
      <c r="Q855">
        <v>0.31129328623878399</v>
      </c>
      <c r="R855">
        <v>4.3846488677244097E-2</v>
      </c>
      <c r="S855" t="s">
        <v>2857</v>
      </c>
      <c r="T855" t="s">
        <v>4002</v>
      </c>
      <c r="U855" t="s">
        <v>4002</v>
      </c>
      <c r="V855" t="s">
        <v>4002</v>
      </c>
      <c r="W855" t="s">
        <v>4842</v>
      </c>
      <c r="X855">
        <v>3</v>
      </c>
      <c r="Y855" t="s">
        <v>6813</v>
      </c>
      <c r="Z855" t="s">
        <v>8753</v>
      </c>
      <c r="AA855">
        <v>0.94704861499270454</v>
      </c>
      <c r="AB855" t="str">
        <f>HYPERLINK("Melting_Curves/meltCurve_O95425_2_SVIL.pdf", "Melting_Curves/meltCurve_O95425_2_SVIL.pdf")</f>
        <v>Melting_Curves/meltCurve_O95425_2_SVIL.pdf</v>
      </c>
    </row>
    <row r="856" spans="1:28" x14ac:dyDescent="0.25">
      <c r="A856" t="s">
        <v>860</v>
      </c>
      <c r="B856">
        <v>1</v>
      </c>
      <c r="C856">
        <v>0.94542049710589005</v>
      </c>
      <c r="D856">
        <v>1.1081375553285699</v>
      </c>
      <c r="E856">
        <v>1.1664623765747399</v>
      </c>
      <c r="F856">
        <v>1.01998638066054</v>
      </c>
      <c r="G856">
        <v>0.99077289751447095</v>
      </c>
      <c r="H856">
        <v>0.70769492679604995</v>
      </c>
      <c r="I856">
        <v>1.0956077630234899</v>
      </c>
      <c r="J856">
        <v>0.88488253319714005</v>
      </c>
      <c r="K856">
        <v>0.84082397003745302</v>
      </c>
      <c r="L856">
        <v>14390.481793142601</v>
      </c>
      <c r="M856">
        <v>250</v>
      </c>
      <c r="O856">
        <v>57.558243659898302</v>
      </c>
      <c r="P856">
        <v>-0.12785707367313001</v>
      </c>
      <c r="Q856">
        <v>0.88225234267698305</v>
      </c>
      <c r="R856">
        <v>0.292320174658804</v>
      </c>
      <c r="S856" t="s">
        <v>2858</v>
      </c>
      <c r="T856" t="s">
        <v>4002</v>
      </c>
      <c r="U856" t="s">
        <v>4002</v>
      </c>
      <c r="V856" t="s">
        <v>4002</v>
      </c>
      <c r="W856" t="s">
        <v>4843</v>
      </c>
      <c r="X856">
        <v>7</v>
      </c>
      <c r="Y856" t="s">
        <v>6814</v>
      </c>
      <c r="Z856" t="s">
        <v>8754</v>
      </c>
      <c r="AA856">
        <v>0.95119343033395909</v>
      </c>
      <c r="AB856" t="str">
        <f>HYPERLINK("Melting_Curves/meltCurve_O95466_FMNL1.pdf", "Melting_Curves/meltCurve_O95466_FMNL1.pdf")</f>
        <v>Melting_Curves/meltCurve_O95466_FMNL1.pdf</v>
      </c>
    </row>
    <row r="857" spans="1:28" x14ac:dyDescent="0.25">
      <c r="A857" t="s">
        <v>861</v>
      </c>
      <c r="B857">
        <v>1</v>
      </c>
      <c r="C857">
        <v>0.79162508228399098</v>
      </c>
      <c r="D857">
        <v>1.0158197608986499</v>
      </c>
      <c r="E857">
        <v>1.0876351050049899</v>
      </c>
      <c r="F857">
        <v>1.1112691907502199</v>
      </c>
      <c r="G857">
        <v>1.26566581020534</v>
      </c>
      <c r="H857">
        <v>0.91952094791157901</v>
      </c>
      <c r="I857">
        <v>1.0135264264328001</v>
      </c>
      <c r="J857">
        <v>0.78705964793069005</v>
      </c>
      <c r="K857">
        <v>0.98303357186842999</v>
      </c>
      <c r="L857">
        <v>15000</v>
      </c>
      <c r="M857">
        <v>230.076489423959</v>
      </c>
      <c r="O857">
        <v>65.190783824177601</v>
      </c>
      <c r="P857">
        <v>-0.101350962869362</v>
      </c>
      <c r="Q857">
        <v>0.88513126720463298</v>
      </c>
      <c r="R857">
        <v>0.140865567913594</v>
      </c>
      <c r="S857" t="s">
        <v>2859</v>
      </c>
      <c r="T857" t="s">
        <v>4002</v>
      </c>
      <c r="U857" t="s">
        <v>4002</v>
      </c>
      <c r="V857" t="s">
        <v>4002</v>
      </c>
      <c r="W857" t="s">
        <v>4844</v>
      </c>
      <c r="X857">
        <v>1</v>
      </c>
      <c r="Y857" t="s">
        <v>6815</v>
      </c>
      <c r="Z857" t="s">
        <v>8755</v>
      </c>
      <c r="AA857">
        <v>0.98162009338163425</v>
      </c>
      <c r="AB857" t="str">
        <f>HYPERLINK("Melting_Curves/meltCurve_O95544_NADK.pdf", "Melting_Curves/meltCurve_O95544_NADK.pdf")</f>
        <v>Melting_Curves/meltCurve_O95544_NADK.pdf</v>
      </c>
    </row>
    <row r="858" spans="1:28" x14ac:dyDescent="0.25">
      <c r="A858" t="s">
        <v>862</v>
      </c>
      <c r="B858">
        <v>1</v>
      </c>
      <c r="C858">
        <v>1.05580368602084</v>
      </c>
      <c r="D858">
        <v>1.02187997330458</v>
      </c>
      <c r="E858">
        <v>1.0238615945377101</v>
      </c>
      <c r="F858">
        <v>0.99169361876893103</v>
      </c>
      <c r="G858">
        <v>1.14626007495251</v>
      </c>
      <c r="H858">
        <v>0.87357667231377401</v>
      </c>
      <c r="I858">
        <v>1.22932388726321</v>
      </c>
      <c r="J858">
        <v>1.2291185379126199</v>
      </c>
      <c r="K858">
        <v>1.0735664048462401</v>
      </c>
      <c r="L858">
        <v>15000</v>
      </c>
      <c r="M858">
        <v>239.69664180577101</v>
      </c>
      <c r="O858">
        <v>62.574747803685099</v>
      </c>
      <c r="P858">
        <v>0.16993652350778801</v>
      </c>
      <c r="Q858">
        <v>1.17745320466572</v>
      </c>
      <c r="R858">
        <v>0.47561349450555102</v>
      </c>
      <c r="S858" t="s">
        <v>2860</v>
      </c>
      <c r="T858" t="s">
        <v>4002</v>
      </c>
      <c r="U858" t="s">
        <v>4002</v>
      </c>
      <c r="V858" t="s">
        <v>4002</v>
      </c>
      <c r="W858" t="s">
        <v>4845</v>
      </c>
      <c r="X858">
        <v>3</v>
      </c>
      <c r="Y858" t="s">
        <v>6816</v>
      </c>
      <c r="Z858" t="s">
        <v>8756</v>
      </c>
      <c r="AA858">
        <v>1.0438742183714991</v>
      </c>
      <c r="AB858" t="str">
        <f>HYPERLINK("Melting_Curves/meltCurve_O95630_STAMBP.pdf", "Melting_Curves/meltCurve_O95630_STAMBP.pdf")</f>
        <v>Melting_Curves/meltCurve_O95630_STAMBP.pdf</v>
      </c>
    </row>
    <row r="859" spans="1:28" x14ac:dyDescent="0.25">
      <c r="A859" t="s">
        <v>863</v>
      </c>
      <c r="B859">
        <v>1</v>
      </c>
      <c r="C859">
        <v>0.99581717240854795</v>
      </c>
      <c r="D859">
        <v>1.1851091337744299</v>
      </c>
      <c r="E859">
        <v>0.89170279108677497</v>
      </c>
      <c r="F859">
        <v>1.1479199939158899</v>
      </c>
      <c r="G859">
        <v>1.0662407787664501</v>
      </c>
      <c r="H859">
        <v>1.44817096357137</v>
      </c>
      <c r="I859">
        <v>1.0716404289299599</v>
      </c>
      <c r="J859">
        <v>1.40596243060309</v>
      </c>
      <c r="K859">
        <v>1.10228914746369</v>
      </c>
      <c r="L859">
        <v>1569.85293717485</v>
      </c>
      <c r="M859">
        <v>28.389518509772898</v>
      </c>
      <c r="O859">
        <v>55.024730318696903</v>
      </c>
      <c r="P859">
        <v>3.1660180189786502E-2</v>
      </c>
      <c r="Q859">
        <v>1.2454537920856601</v>
      </c>
      <c r="R859">
        <v>0.31923432088402898</v>
      </c>
      <c r="S859" t="s">
        <v>2861</v>
      </c>
      <c r="T859" t="s">
        <v>4002</v>
      </c>
      <c r="U859" t="s">
        <v>4002</v>
      </c>
      <c r="V859" t="s">
        <v>4002</v>
      </c>
      <c r="W859" t="s">
        <v>4846</v>
      </c>
      <c r="X859">
        <v>1</v>
      </c>
      <c r="Y859" t="s">
        <v>6817</v>
      </c>
      <c r="Z859" t="s">
        <v>8757</v>
      </c>
      <c r="AA859">
        <v>1.118490074400182</v>
      </c>
      <c r="AB859" t="str">
        <f>HYPERLINK("Melting_Curves/meltCurve_O95685_PPP1R3D.pdf", "Melting_Curves/meltCurve_O95685_PPP1R3D.pdf")</f>
        <v>Melting_Curves/meltCurve_O95685_PPP1R3D.pdf</v>
      </c>
    </row>
    <row r="860" spans="1:28" x14ac:dyDescent="0.25">
      <c r="A860" t="s">
        <v>864</v>
      </c>
      <c r="B860">
        <v>1</v>
      </c>
      <c r="C860">
        <v>0.96521219366407696</v>
      </c>
      <c r="D860">
        <v>1.1695955369595501</v>
      </c>
      <c r="E860">
        <v>1.60888623231719</v>
      </c>
      <c r="F860">
        <v>1.78637178720861</v>
      </c>
      <c r="G860">
        <v>2.17118947997609</v>
      </c>
      <c r="H860">
        <v>2.2579398286511299</v>
      </c>
      <c r="I860">
        <v>2.7713090257023301</v>
      </c>
      <c r="J860">
        <v>2.6082486551105801</v>
      </c>
      <c r="K860">
        <v>2.6312811316995401</v>
      </c>
      <c r="L860">
        <v>11530.6774522788</v>
      </c>
      <c r="M860">
        <v>250</v>
      </c>
      <c r="O860">
        <v>46.119759887583903</v>
      </c>
      <c r="P860">
        <v>0.67758377784125301</v>
      </c>
      <c r="Q860">
        <v>1.5</v>
      </c>
      <c r="R860">
        <v>-0.216172548308838</v>
      </c>
      <c r="S860" t="s">
        <v>2862</v>
      </c>
      <c r="T860" t="s">
        <v>4002</v>
      </c>
      <c r="U860" t="s">
        <v>4002</v>
      </c>
      <c r="V860" t="s">
        <v>4002</v>
      </c>
      <c r="W860" t="s">
        <v>4847</v>
      </c>
      <c r="X860">
        <v>3</v>
      </c>
      <c r="Y860" t="s">
        <v>6818</v>
      </c>
      <c r="Z860" t="s">
        <v>8758</v>
      </c>
      <c r="AA860">
        <v>1.3979143641958029</v>
      </c>
      <c r="AB860" t="str">
        <f>HYPERLINK("Melting_Curves/meltCurve_O95716_RAB3D.pdf", "Melting_Curves/meltCurve_O95716_RAB3D.pdf")</f>
        <v>Melting_Curves/meltCurve_O95716_RAB3D.pdf</v>
      </c>
    </row>
    <row r="861" spans="1:28" x14ac:dyDescent="0.25">
      <c r="A861" t="s">
        <v>865</v>
      </c>
      <c r="B861">
        <v>1</v>
      </c>
      <c r="C861">
        <v>0.99165392456676904</v>
      </c>
      <c r="D861">
        <v>1.3658256880733901</v>
      </c>
      <c r="E861">
        <v>1.3694571865443399</v>
      </c>
      <c r="F861">
        <v>1.10505861365953</v>
      </c>
      <c r="G861">
        <v>1.4455912334352701</v>
      </c>
      <c r="H861">
        <v>1.62990570846075</v>
      </c>
      <c r="I861">
        <v>1.32721712538226</v>
      </c>
      <c r="J861">
        <v>1.96559633027523</v>
      </c>
      <c r="K861">
        <v>1.3994011213047901</v>
      </c>
      <c r="L861">
        <v>604.36346749288998</v>
      </c>
      <c r="M861">
        <v>12.6394106331109</v>
      </c>
      <c r="O861">
        <v>46.666241337995103</v>
      </c>
      <c r="P861">
        <v>3.3862545508822797E-2</v>
      </c>
      <c r="Q861">
        <v>1.5</v>
      </c>
      <c r="R861">
        <v>0.470836820113336</v>
      </c>
      <c r="S861" t="s">
        <v>2863</v>
      </c>
      <c r="T861" t="s">
        <v>4002</v>
      </c>
      <c r="U861" t="s">
        <v>4002</v>
      </c>
      <c r="V861" t="s">
        <v>4002</v>
      </c>
      <c r="W861" t="s">
        <v>4848</v>
      </c>
      <c r="X861">
        <v>1</v>
      </c>
      <c r="Y861" t="s">
        <v>6819</v>
      </c>
      <c r="Z861" t="s">
        <v>8759</v>
      </c>
      <c r="AA861">
        <v>1.3517029971362009</v>
      </c>
      <c r="AB861" t="str">
        <f>HYPERLINK("Melting_Curves/meltCurve_O95747_OXSR1.pdf", "Melting_Curves/meltCurve_O95747_OXSR1.pdf")</f>
        <v>Melting_Curves/meltCurve_O95747_OXSR1.pdf</v>
      </c>
    </row>
    <row r="862" spans="1:28" x14ac:dyDescent="0.25">
      <c r="A862" t="s">
        <v>866</v>
      </c>
      <c r="B862">
        <v>1</v>
      </c>
      <c r="C862">
        <v>0.97008628954937703</v>
      </c>
      <c r="D862">
        <v>1.0111217641418999</v>
      </c>
      <c r="E862">
        <v>1.08657718120805</v>
      </c>
      <c r="F862">
        <v>0.96442953020134203</v>
      </c>
      <c r="G862">
        <v>1.0699904122722901</v>
      </c>
      <c r="H862">
        <v>0.67129434324065196</v>
      </c>
      <c r="I862">
        <v>1.2742090124640499</v>
      </c>
      <c r="J862">
        <v>1.4821668264621299</v>
      </c>
      <c r="K862">
        <v>0.97037392138063305</v>
      </c>
      <c r="L862">
        <v>3371.02822625111</v>
      </c>
      <c r="M862">
        <v>53.2104839443952</v>
      </c>
      <c r="O862">
        <v>63.2634354731969</v>
      </c>
      <c r="P862">
        <v>5.1480491018981202E-2</v>
      </c>
      <c r="Q862">
        <v>1.2448261563210199</v>
      </c>
      <c r="R862">
        <v>0.278550841579981</v>
      </c>
      <c r="S862" t="s">
        <v>2864</v>
      </c>
      <c r="T862" t="s">
        <v>4002</v>
      </c>
      <c r="U862" t="s">
        <v>4002</v>
      </c>
      <c r="V862" t="s">
        <v>4002</v>
      </c>
      <c r="W862" t="s">
        <v>4849</v>
      </c>
      <c r="X862">
        <v>1</v>
      </c>
      <c r="Y862" t="s">
        <v>6820</v>
      </c>
      <c r="Z862" t="s">
        <v>8760</v>
      </c>
      <c r="AA862">
        <v>1.053722921490879</v>
      </c>
      <c r="AB862" t="str">
        <f>HYPERLINK("Melting_Curves/meltCurve_O95758_7_PTBP3.pdf", "Melting_Curves/meltCurve_O95758_7_PTBP3.pdf")</f>
        <v>Melting_Curves/meltCurve_O95758_7_PTBP3.pdf</v>
      </c>
    </row>
    <row r="863" spans="1:28" x14ac:dyDescent="0.25">
      <c r="A863" t="s">
        <v>867</v>
      </c>
      <c r="B863">
        <v>1</v>
      </c>
      <c r="C863">
        <v>0.94823989075184001</v>
      </c>
      <c r="D863">
        <v>1.54790987026781</v>
      </c>
      <c r="E863">
        <v>1.9004627873454201</v>
      </c>
      <c r="F863">
        <v>2.0465063348759598</v>
      </c>
      <c r="G863">
        <v>2.2691753281238101</v>
      </c>
      <c r="H863">
        <v>2.2014642288142001</v>
      </c>
      <c r="I863">
        <v>2.5673317654199201</v>
      </c>
      <c r="J863">
        <v>2.8334344890372498</v>
      </c>
      <c r="K863">
        <v>2.3230407404597502</v>
      </c>
      <c r="L863">
        <v>11102.2450664672</v>
      </c>
      <c r="M863">
        <v>250</v>
      </c>
      <c r="O863">
        <v>44.406150703205299</v>
      </c>
      <c r="P863">
        <v>0.70373153656562903</v>
      </c>
      <c r="Q863">
        <v>1.5</v>
      </c>
      <c r="R863">
        <v>-0.45124997113424697</v>
      </c>
      <c r="S863" t="s">
        <v>2865</v>
      </c>
      <c r="T863" t="s">
        <v>4002</v>
      </c>
      <c r="U863" t="s">
        <v>4002</v>
      </c>
      <c r="V863" t="s">
        <v>4002</v>
      </c>
      <c r="W863" t="s">
        <v>4850</v>
      </c>
      <c r="X863">
        <v>2</v>
      </c>
      <c r="Y863" t="s">
        <v>6821</v>
      </c>
      <c r="Z863" t="s">
        <v>8761</v>
      </c>
      <c r="AA863">
        <v>1.4264780270342461</v>
      </c>
      <c r="AB863" t="str">
        <f>HYPERLINK("Melting_Curves/meltCurve_O95782_2_AP2A1.pdf", "Melting_Curves/meltCurve_O95782_2_AP2A1.pdf")</f>
        <v>Melting_Curves/meltCurve_O95782_2_AP2A1.pdf</v>
      </c>
    </row>
    <row r="864" spans="1:28" x14ac:dyDescent="0.25">
      <c r="A864" t="s">
        <v>868</v>
      </c>
      <c r="B864">
        <v>1</v>
      </c>
      <c r="C864">
        <v>0.77710605342184302</v>
      </c>
      <c r="D864">
        <v>1.1019835625098799</v>
      </c>
      <c r="E864">
        <v>0.96858700806069198</v>
      </c>
      <c r="F864">
        <v>0.87786470681207496</v>
      </c>
      <c r="G864">
        <v>1.0089694958116</v>
      </c>
      <c r="H864">
        <v>0.98561719614351195</v>
      </c>
      <c r="I864">
        <v>1.0291212264896501</v>
      </c>
      <c r="J864">
        <v>1.3594515568199801</v>
      </c>
      <c r="K864">
        <v>1.06559190769717</v>
      </c>
      <c r="L864">
        <v>15000</v>
      </c>
      <c r="M864">
        <v>232.543308666494</v>
      </c>
      <c r="O864">
        <v>64.499338742986694</v>
      </c>
      <c r="P864">
        <v>0.191546128236813</v>
      </c>
      <c r="Q864">
        <v>1.21251266179131</v>
      </c>
      <c r="R864">
        <v>0.424537572176023</v>
      </c>
      <c r="S864" t="s">
        <v>2866</v>
      </c>
      <c r="T864" t="s">
        <v>4002</v>
      </c>
      <c r="U864" t="s">
        <v>4002</v>
      </c>
      <c r="V864" t="s">
        <v>4002</v>
      </c>
      <c r="W864" t="s">
        <v>4851</v>
      </c>
      <c r="X864">
        <v>1</v>
      </c>
      <c r="Y864" t="s">
        <v>6822</v>
      </c>
      <c r="Z864" t="s">
        <v>8762</v>
      </c>
      <c r="AA864">
        <v>1.03890370929414</v>
      </c>
      <c r="AB864" t="str">
        <f>HYPERLINK("Melting_Curves/meltCurve_O95817_BAG3.pdf", "Melting_Curves/meltCurve_O95817_BAG3.pdf")</f>
        <v>Melting_Curves/meltCurve_O95817_BAG3.pdf</v>
      </c>
    </row>
    <row r="865" spans="1:28" x14ac:dyDescent="0.25">
      <c r="A865" t="s">
        <v>869</v>
      </c>
      <c r="B865">
        <v>1</v>
      </c>
      <c r="C865">
        <v>0.95538000781283905</v>
      </c>
      <c r="D865">
        <v>0.98914883458483405</v>
      </c>
      <c r="E865">
        <v>0.90659316810625501</v>
      </c>
      <c r="F865">
        <v>0.91336429532531804</v>
      </c>
      <c r="G865">
        <v>0.91731411953643804</v>
      </c>
      <c r="H865">
        <v>0.892964104344807</v>
      </c>
      <c r="I865">
        <v>0.93819176179521702</v>
      </c>
      <c r="J865">
        <v>0.86935196840140605</v>
      </c>
      <c r="K865">
        <v>0.90741785667780706</v>
      </c>
      <c r="L865">
        <v>769.34234060270501</v>
      </c>
      <c r="M865">
        <v>16.395095727220301</v>
      </c>
      <c r="O865">
        <v>46.243710131922498</v>
      </c>
      <c r="P865">
        <v>-8.7441779419173901E-3</v>
      </c>
      <c r="Q865">
        <v>0.90135237943476298</v>
      </c>
      <c r="R865">
        <v>0.69699686159193797</v>
      </c>
      <c r="S865" t="s">
        <v>2867</v>
      </c>
      <c r="T865" t="s">
        <v>4002</v>
      </c>
      <c r="U865" t="s">
        <v>4002</v>
      </c>
      <c r="V865" t="s">
        <v>4002</v>
      </c>
      <c r="W865" t="s">
        <v>4852</v>
      </c>
      <c r="X865">
        <v>5</v>
      </c>
      <c r="Y865" t="s">
        <v>6823</v>
      </c>
      <c r="Z865" t="s">
        <v>8763</v>
      </c>
      <c r="AA865">
        <v>0.92635867739801825</v>
      </c>
      <c r="AB865" t="str">
        <f>HYPERLINK("Melting_Curves/meltCurve_O95841_ANGPTL1.pdf", "Melting_Curves/meltCurve_O95841_ANGPTL1.pdf")</f>
        <v>Melting_Curves/meltCurve_O95841_ANGPTL1.pdf</v>
      </c>
    </row>
    <row r="866" spans="1:28" x14ac:dyDescent="0.25">
      <c r="A866" t="s">
        <v>870</v>
      </c>
      <c r="B866">
        <v>1</v>
      </c>
      <c r="C866">
        <v>1.00107282855374</v>
      </c>
      <c r="D866">
        <v>1.0195172271508099</v>
      </c>
      <c r="E866">
        <v>1.03247369506911</v>
      </c>
      <c r="F866">
        <v>0.98898287600577695</v>
      </c>
      <c r="G866">
        <v>1.31388487724366</v>
      </c>
      <c r="H866">
        <v>1.7447493294821499</v>
      </c>
      <c r="I866">
        <v>2.3230451825871699</v>
      </c>
      <c r="J866">
        <v>2.10026820713844</v>
      </c>
      <c r="K866">
        <v>2.1711574169589398</v>
      </c>
      <c r="L866">
        <v>14220.2083088163</v>
      </c>
      <c r="M866">
        <v>250</v>
      </c>
      <c r="O866">
        <v>56.877193475112499</v>
      </c>
      <c r="P866">
        <v>0.549429362753309</v>
      </c>
      <c r="Q866">
        <v>1.5</v>
      </c>
      <c r="R866">
        <v>0.44316456183831598</v>
      </c>
      <c r="S866" t="s">
        <v>2868</v>
      </c>
      <c r="T866" t="s">
        <v>4002</v>
      </c>
      <c r="U866" t="s">
        <v>4002</v>
      </c>
      <c r="V866" t="s">
        <v>4002</v>
      </c>
      <c r="W866" t="s">
        <v>4853</v>
      </c>
      <c r="X866">
        <v>8</v>
      </c>
      <c r="Y866" t="s">
        <v>6824</v>
      </c>
      <c r="Z866" t="s">
        <v>8764</v>
      </c>
      <c r="AA866">
        <v>1.218602866923713</v>
      </c>
      <c r="AB866" t="str">
        <f>HYPERLINK("Melting_Curves/meltCurve_O95865_DDAH2.pdf", "Melting_Curves/meltCurve_O95865_DDAH2.pdf")</f>
        <v>Melting_Curves/meltCurve_O95865_DDAH2.pdf</v>
      </c>
    </row>
    <row r="867" spans="1:28" x14ac:dyDescent="0.25">
      <c r="A867" t="s">
        <v>871</v>
      </c>
      <c r="B867">
        <v>1</v>
      </c>
      <c r="C867">
        <v>0.95284186831738904</v>
      </c>
      <c r="D867">
        <v>1.2655599324704601</v>
      </c>
      <c r="E867">
        <v>1.2142374788970201</v>
      </c>
      <c r="F867">
        <v>0.79583567810917299</v>
      </c>
      <c r="G867">
        <v>0.910748452447946</v>
      </c>
      <c r="H867">
        <v>0.54611705120990395</v>
      </c>
      <c r="I867">
        <v>1.0239729881823301</v>
      </c>
      <c r="J867">
        <v>0.51189082723691604</v>
      </c>
      <c r="K867">
        <v>0.52024198086662898</v>
      </c>
      <c r="L867">
        <v>673.870615217931</v>
      </c>
      <c r="M867">
        <v>9.86177291781976</v>
      </c>
      <c r="O867">
        <v>65.699782754260596</v>
      </c>
      <c r="P867">
        <v>-3.20303727999659E-2</v>
      </c>
      <c r="Q867">
        <v>0.146883729351304</v>
      </c>
      <c r="R867">
        <v>0.51704443021965196</v>
      </c>
      <c r="S867" t="s">
        <v>2869</v>
      </c>
      <c r="T867" t="s">
        <v>4002</v>
      </c>
      <c r="U867" t="s">
        <v>4002</v>
      </c>
      <c r="V867" t="s">
        <v>4002</v>
      </c>
      <c r="W867" t="s">
        <v>4854</v>
      </c>
      <c r="X867">
        <v>3</v>
      </c>
      <c r="Y867" t="s">
        <v>6825</v>
      </c>
      <c r="Z867" t="s">
        <v>8765</v>
      </c>
      <c r="AA867">
        <v>0.86339452240935788</v>
      </c>
      <c r="AB867" t="str">
        <f>HYPERLINK("Melting_Curves/meltCurve_O95881_TXNDC12.pdf", "Melting_Curves/meltCurve_O95881_TXNDC12.pdf")</f>
        <v>Melting_Curves/meltCurve_O95881_TXNDC12.pdf</v>
      </c>
    </row>
    <row r="868" spans="1:28" x14ac:dyDescent="0.25">
      <c r="A868" t="s">
        <v>872</v>
      </c>
      <c r="B868">
        <v>1</v>
      </c>
      <c r="C868">
        <v>1.09122753579044</v>
      </c>
      <c r="D868">
        <v>1.41983957762209</v>
      </c>
      <c r="E868">
        <v>2.0241141232612399</v>
      </c>
      <c r="F868">
        <v>3.2007818052594201</v>
      </c>
      <c r="G868">
        <v>4.6867702304802501</v>
      </c>
      <c r="H868">
        <v>6.6184384201441802</v>
      </c>
      <c r="I868">
        <v>8.1307746979388806</v>
      </c>
      <c r="J868">
        <v>7.8835414762920104</v>
      </c>
      <c r="K868">
        <v>7.2256066605746803</v>
      </c>
      <c r="S868" t="s">
        <v>2870</v>
      </c>
      <c r="T868" t="s">
        <v>4002</v>
      </c>
      <c r="U868" t="s">
        <v>4003</v>
      </c>
      <c r="V868" t="s">
        <v>4002</v>
      </c>
      <c r="W868" t="s">
        <v>4855</v>
      </c>
      <c r="X868">
        <v>1</v>
      </c>
      <c r="Y868" t="s">
        <v>6826</v>
      </c>
      <c r="Z868" t="s">
        <v>8766</v>
      </c>
      <c r="AB868" t="str">
        <f>HYPERLINK("Melting_Curves/meltCurve_O95989_NUDT3.pdf", "Melting_Curves/meltCurve_O95989_NUDT3.pdf")</f>
        <v>Melting_Curves/meltCurve_O95989_NUDT3.pdf</v>
      </c>
    </row>
    <row r="869" spans="1:28" x14ac:dyDescent="0.25">
      <c r="A869" t="s">
        <v>873</v>
      </c>
      <c r="B869">
        <v>1</v>
      </c>
      <c r="C869">
        <v>1.0125689546819401</v>
      </c>
      <c r="D869">
        <v>1.06151805041547</v>
      </c>
      <c r="E869">
        <v>1.2517980587947799</v>
      </c>
      <c r="F869">
        <v>1.3670134767125199</v>
      </c>
      <c r="G869">
        <v>1.7074226660149401</v>
      </c>
      <c r="H869">
        <v>1.28559458138398</v>
      </c>
      <c r="I869">
        <v>2.16346623839117</v>
      </c>
      <c r="J869">
        <v>1.77278123036101</v>
      </c>
      <c r="K869">
        <v>1.6942252635989099</v>
      </c>
      <c r="L869">
        <v>1581.6047524231201</v>
      </c>
      <c r="M869">
        <v>31.608360727682101</v>
      </c>
      <c r="O869">
        <v>49.8385385847157</v>
      </c>
      <c r="P869">
        <v>7.9277325264745901E-2</v>
      </c>
      <c r="Q869">
        <v>1.5</v>
      </c>
      <c r="R869">
        <v>0.51946415195150997</v>
      </c>
      <c r="S869" t="s">
        <v>2871</v>
      </c>
      <c r="T869" t="s">
        <v>4002</v>
      </c>
      <c r="U869" t="s">
        <v>4002</v>
      </c>
      <c r="V869" t="s">
        <v>4002</v>
      </c>
      <c r="W869" t="s">
        <v>4856</v>
      </c>
      <c r="X869">
        <v>15</v>
      </c>
      <c r="Y869" t="s">
        <v>6827</v>
      </c>
      <c r="Z869" t="s">
        <v>8767</v>
      </c>
      <c r="AA869">
        <v>1.3299233963226771</v>
      </c>
      <c r="AB869" t="str">
        <f>HYPERLINK("Melting_Curves/meltCurve_P00338_LDHA.pdf", "Melting_Curves/meltCurve_P00338_LDHA.pdf")</f>
        <v>Melting_Curves/meltCurve_P00338_LDHA.pdf</v>
      </c>
    </row>
    <row r="870" spans="1:28" x14ac:dyDescent="0.25">
      <c r="A870" t="s">
        <v>874</v>
      </c>
      <c r="B870">
        <v>1</v>
      </c>
      <c r="C870">
        <v>1.3276211101172299</v>
      </c>
      <c r="D870">
        <v>1.06849959983052</v>
      </c>
      <c r="E870">
        <v>1.3601054564286099</v>
      </c>
      <c r="F870">
        <v>1.00879195894732</v>
      </c>
      <c r="G870">
        <v>1.2786591968363099</v>
      </c>
      <c r="H870">
        <v>1.4067134315710199</v>
      </c>
      <c r="I870">
        <v>1.1543124146697401</v>
      </c>
      <c r="J870">
        <v>1.09135633915541</v>
      </c>
      <c r="K870">
        <v>0.75215385339673302</v>
      </c>
      <c r="L870">
        <v>15000</v>
      </c>
      <c r="M870">
        <v>213.17552258360001</v>
      </c>
      <c r="Q870">
        <v>0</v>
      </c>
      <c r="R870">
        <v>-0.40224554740386897</v>
      </c>
      <c r="S870" t="s">
        <v>2872</v>
      </c>
      <c r="T870" t="s">
        <v>4002</v>
      </c>
      <c r="U870" t="s">
        <v>4002</v>
      </c>
      <c r="V870" t="s">
        <v>4002</v>
      </c>
      <c r="W870" t="s">
        <v>4857</v>
      </c>
      <c r="X870">
        <v>2</v>
      </c>
      <c r="Y870" t="s">
        <v>6828</v>
      </c>
      <c r="Z870" t="s">
        <v>8768</v>
      </c>
      <c r="AA870">
        <v>0.99692947429760914</v>
      </c>
      <c r="AB870" t="str">
        <f>HYPERLINK("Melting_Curves/meltCurve_P00352_ALDH1A1.pdf", "Melting_Curves/meltCurve_P00352_ALDH1A1.pdf")</f>
        <v>Melting_Curves/meltCurve_P00352_ALDH1A1.pdf</v>
      </c>
    </row>
    <row r="871" spans="1:28" x14ac:dyDescent="0.25">
      <c r="A871" t="s">
        <v>875</v>
      </c>
      <c r="B871">
        <v>1</v>
      </c>
      <c r="C871">
        <v>0.986312742612247</v>
      </c>
      <c r="D871">
        <v>1.1078151995871399</v>
      </c>
      <c r="E871">
        <v>1.25016267641977</v>
      </c>
      <c r="F871">
        <v>1.19393273049566</v>
      </c>
      <c r="G871">
        <v>1.4078802701550499</v>
      </c>
      <c r="H871">
        <v>1.5503848138757399</v>
      </c>
      <c r="I871">
        <v>1.5802723988601399</v>
      </c>
      <c r="J871">
        <v>1.6995086050216499</v>
      </c>
      <c r="K871">
        <v>1.25604146565845</v>
      </c>
      <c r="L871">
        <v>864.24354330153301</v>
      </c>
      <c r="M871">
        <v>16.7878282205108</v>
      </c>
      <c r="O871">
        <v>50.766514644623904</v>
      </c>
      <c r="P871">
        <v>4.1338545465449399E-2</v>
      </c>
      <c r="Q871">
        <v>1.5</v>
      </c>
      <c r="R871">
        <v>0.751096062389082</v>
      </c>
      <c r="S871" t="s">
        <v>2873</v>
      </c>
      <c r="T871" t="s">
        <v>4002</v>
      </c>
      <c r="U871" t="s">
        <v>4002</v>
      </c>
      <c r="V871" t="s">
        <v>4002</v>
      </c>
      <c r="W871" t="s">
        <v>4858</v>
      </c>
      <c r="X871">
        <v>9</v>
      </c>
      <c r="Y871" t="s">
        <v>6829</v>
      </c>
      <c r="Z871" t="s">
        <v>8769</v>
      </c>
      <c r="AA871">
        <v>1.299211121387648</v>
      </c>
      <c r="AB871" t="str">
        <f>HYPERLINK("Melting_Curves/meltCurve_P00441_SOD1.pdf", "Melting_Curves/meltCurve_P00441_SOD1.pdf")</f>
        <v>Melting_Curves/meltCurve_P00441_SOD1.pdf</v>
      </c>
    </row>
    <row r="872" spans="1:28" x14ac:dyDescent="0.25">
      <c r="A872" t="s">
        <v>876</v>
      </c>
      <c r="B872">
        <v>1</v>
      </c>
      <c r="C872">
        <v>1.2967873176206499</v>
      </c>
      <c r="D872">
        <v>1.70868406285073</v>
      </c>
      <c r="E872">
        <v>1.27069304152637</v>
      </c>
      <c r="F872">
        <v>1.62275533108866</v>
      </c>
      <c r="G872">
        <v>1.6456228956229</v>
      </c>
      <c r="H872">
        <v>1.2329545454545501</v>
      </c>
      <c r="I872">
        <v>2.04489337822671</v>
      </c>
      <c r="J872">
        <v>1.80274971941639</v>
      </c>
      <c r="K872">
        <v>1.3091329966330001</v>
      </c>
      <c r="L872">
        <v>10708.751072454699</v>
      </c>
      <c r="M872">
        <v>250</v>
      </c>
      <c r="O872">
        <v>42.832262719169997</v>
      </c>
      <c r="P872">
        <v>0.72959021425187898</v>
      </c>
      <c r="Q872">
        <v>1.5</v>
      </c>
      <c r="R872">
        <v>0.31630070531598198</v>
      </c>
      <c r="S872" t="s">
        <v>2874</v>
      </c>
      <c r="T872" t="s">
        <v>4002</v>
      </c>
      <c r="U872" t="s">
        <v>4002</v>
      </c>
      <c r="V872" t="s">
        <v>4002</v>
      </c>
      <c r="W872" t="s">
        <v>4859</v>
      </c>
      <c r="X872">
        <v>1</v>
      </c>
      <c r="Y872" t="s">
        <v>6830</v>
      </c>
      <c r="Z872" t="s">
        <v>8770</v>
      </c>
      <c r="AA872">
        <v>1.452712341070215</v>
      </c>
      <c r="AB872" t="str">
        <f>HYPERLINK("Melting_Curves/meltCurve_P00488_F13A1.pdf", "Melting_Curves/meltCurve_P00488_F13A1.pdf")</f>
        <v>Melting_Curves/meltCurve_P00488_F13A1.pdf</v>
      </c>
    </row>
    <row r="873" spans="1:28" x14ac:dyDescent="0.25">
      <c r="A873" t="s">
        <v>877</v>
      </c>
      <c r="B873">
        <v>1</v>
      </c>
      <c r="C873">
        <v>1.0120125669931599</v>
      </c>
      <c r="D873">
        <v>1.19438797511243</v>
      </c>
      <c r="E873">
        <v>1.3704490851968201</v>
      </c>
      <c r="F873">
        <v>1.35985338507978</v>
      </c>
      <c r="G873">
        <v>1.4263845253495999</v>
      </c>
      <c r="H873">
        <v>1.3353046263783701</v>
      </c>
      <c r="I873">
        <v>1.65428448222756</v>
      </c>
      <c r="J873">
        <v>1.41609683977084</v>
      </c>
      <c r="K873">
        <v>1.3684777921517901</v>
      </c>
      <c r="L873">
        <v>1127.37337441825</v>
      </c>
      <c r="M873">
        <v>24.122696973908099</v>
      </c>
      <c r="O873">
        <v>46.417341384760597</v>
      </c>
      <c r="P873">
        <v>5.6467342389072903E-2</v>
      </c>
      <c r="Q873">
        <v>1.43461530019968</v>
      </c>
      <c r="R873">
        <v>0.80949281342457502</v>
      </c>
      <c r="S873" t="s">
        <v>2875</v>
      </c>
      <c r="T873" t="s">
        <v>4002</v>
      </c>
      <c r="U873" t="s">
        <v>4002</v>
      </c>
      <c r="V873" t="s">
        <v>4002</v>
      </c>
      <c r="W873" t="s">
        <v>4682</v>
      </c>
      <c r="X873">
        <v>5</v>
      </c>
      <c r="Y873" t="s">
        <v>6831</v>
      </c>
      <c r="Z873" t="s">
        <v>8771</v>
      </c>
      <c r="AA873">
        <v>1.3328161297815611</v>
      </c>
      <c r="AB873" t="str">
        <f>HYPERLINK("Melting_Curves/meltCurve_P00491_PNP.pdf", "Melting_Curves/meltCurve_P00491_PNP.pdf")</f>
        <v>Melting_Curves/meltCurve_P00491_PNP.pdf</v>
      </c>
    </row>
    <row r="874" spans="1:28" x14ac:dyDescent="0.25">
      <c r="A874" t="s">
        <v>878</v>
      </c>
      <c r="B874">
        <v>1</v>
      </c>
      <c r="C874">
        <v>0.88855095774236004</v>
      </c>
      <c r="D874">
        <v>0.96196812399473597</v>
      </c>
      <c r="E874">
        <v>1.0247550811522199</v>
      </c>
      <c r="F874">
        <v>0.99665155724521104</v>
      </c>
      <c r="G874">
        <v>1.0925427694107299</v>
      </c>
      <c r="H874">
        <v>0.94256470244187796</v>
      </c>
      <c r="I874">
        <v>1.2147828629916699</v>
      </c>
      <c r="J874">
        <v>0.95334113174440704</v>
      </c>
      <c r="K874">
        <v>0.946117853487352</v>
      </c>
      <c r="L874">
        <v>15000</v>
      </c>
      <c r="M874">
        <v>225.672145021246</v>
      </c>
      <c r="O874">
        <v>66.462886903701104</v>
      </c>
      <c r="P874">
        <v>-4.5920998031848702E-2</v>
      </c>
      <c r="Q874">
        <v>0.94590307909474702</v>
      </c>
      <c r="R874">
        <v>6.4899552578256095E-2</v>
      </c>
      <c r="S874" t="s">
        <v>2876</v>
      </c>
      <c r="T874" t="s">
        <v>4002</v>
      </c>
      <c r="U874" t="s">
        <v>4002</v>
      </c>
      <c r="V874" t="s">
        <v>4002</v>
      </c>
      <c r="W874" t="s">
        <v>4860</v>
      </c>
      <c r="X874">
        <v>8</v>
      </c>
      <c r="Y874" t="s">
        <v>6832</v>
      </c>
      <c r="Z874" t="s">
        <v>8772</v>
      </c>
      <c r="AA874">
        <v>0.99363891782965252</v>
      </c>
      <c r="AB874" t="str">
        <f>HYPERLINK("Melting_Curves/meltCurve_P00492_HPRT1.pdf", "Melting_Curves/meltCurve_P00492_HPRT1.pdf")</f>
        <v>Melting_Curves/meltCurve_P00492_HPRT1.pdf</v>
      </c>
    </row>
    <row r="875" spans="1:28" x14ac:dyDescent="0.25">
      <c r="A875" t="s">
        <v>879</v>
      </c>
      <c r="B875">
        <v>1</v>
      </c>
      <c r="C875">
        <v>1.03089765828274</v>
      </c>
      <c r="D875">
        <v>1.1684735472679999</v>
      </c>
      <c r="E875">
        <v>1.25028910089621</v>
      </c>
      <c r="F875">
        <v>1.1223980919340899</v>
      </c>
      <c r="G875">
        <v>1.34406620410523</v>
      </c>
      <c r="H875">
        <v>1.16041485978607</v>
      </c>
      <c r="I875">
        <v>2.5692758022549902</v>
      </c>
      <c r="J875">
        <v>2.42696588609425</v>
      </c>
      <c r="K875">
        <v>2.9514310494362501</v>
      </c>
      <c r="L875">
        <v>1508.7044620199899</v>
      </c>
      <c r="M875">
        <v>28.0126942267174</v>
      </c>
      <c r="O875">
        <v>53.585661332032103</v>
      </c>
      <c r="P875">
        <v>6.5346154796542696E-2</v>
      </c>
      <c r="Q875">
        <v>1.5</v>
      </c>
      <c r="R875">
        <v>0.12589947073719501</v>
      </c>
      <c r="S875" t="s">
        <v>2877</v>
      </c>
      <c r="T875" t="s">
        <v>4002</v>
      </c>
      <c r="U875" t="s">
        <v>4002</v>
      </c>
      <c r="V875" t="s">
        <v>4002</v>
      </c>
      <c r="W875" t="s">
        <v>4861</v>
      </c>
      <c r="X875">
        <v>25</v>
      </c>
      <c r="Y875" t="s">
        <v>6833</v>
      </c>
      <c r="Z875" t="s">
        <v>8773</v>
      </c>
      <c r="AA875">
        <v>1.265295705023378</v>
      </c>
      <c r="AB875" t="str">
        <f>HYPERLINK("Melting_Curves/meltCurve_P00558_PGK1.pdf", "Melting_Curves/meltCurve_P00558_PGK1.pdf")</f>
        <v>Melting_Curves/meltCurve_P00558_PGK1.pdf</v>
      </c>
    </row>
    <row r="876" spans="1:28" x14ac:dyDescent="0.25">
      <c r="A876" t="s">
        <v>880</v>
      </c>
      <c r="B876">
        <v>1</v>
      </c>
      <c r="C876">
        <v>0.89525255313276297</v>
      </c>
      <c r="D876">
        <v>0.96798233508142395</v>
      </c>
      <c r="E876">
        <v>1.01536479896955</v>
      </c>
      <c r="F876">
        <v>1.08680651393872</v>
      </c>
      <c r="G876">
        <v>1.32726101757291</v>
      </c>
      <c r="H876">
        <v>1.2581194222099501</v>
      </c>
      <c r="I876">
        <v>1.60217131290827</v>
      </c>
      <c r="J876">
        <v>1.42506210322937</v>
      </c>
      <c r="K876">
        <v>1.4088692612015801</v>
      </c>
      <c r="L876">
        <v>1351.6864398764301</v>
      </c>
      <c r="M876">
        <v>24.213175412531999</v>
      </c>
      <c r="O876">
        <v>55.447826480015401</v>
      </c>
      <c r="P876">
        <v>4.9433002816262298E-2</v>
      </c>
      <c r="Q876">
        <v>1.4527965226867801</v>
      </c>
      <c r="R876">
        <v>0.87106885962626501</v>
      </c>
      <c r="S876" t="s">
        <v>2878</v>
      </c>
      <c r="T876" t="s">
        <v>4002</v>
      </c>
      <c r="U876" t="s">
        <v>4002</v>
      </c>
      <c r="V876" t="s">
        <v>4002</v>
      </c>
      <c r="W876" t="s">
        <v>4862</v>
      </c>
      <c r="X876">
        <v>18</v>
      </c>
      <c r="Y876" t="s">
        <v>6834</v>
      </c>
      <c r="Z876" t="s">
        <v>8774</v>
      </c>
      <c r="AA876">
        <v>1.2095628283457061</v>
      </c>
      <c r="AB876" t="str">
        <f>HYPERLINK("Melting_Curves/meltCurve_P00734_F2.pdf", "Melting_Curves/meltCurve_P00734_F2.pdf")</f>
        <v>Melting_Curves/meltCurve_P00734_F2.pdf</v>
      </c>
    </row>
    <row r="877" spans="1:28" x14ac:dyDescent="0.25">
      <c r="A877" t="s">
        <v>881</v>
      </c>
      <c r="B877">
        <v>1</v>
      </c>
      <c r="C877">
        <v>0.91178822776711499</v>
      </c>
      <c r="D877">
        <v>0.97792706333973101</v>
      </c>
      <c r="E877">
        <v>1.06078055022393</v>
      </c>
      <c r="F877">
        <v>1.1242802303263</v>
      </c>
      <c r="G877">
        <v>1.2465611004478601</v>
      </c>
      <c r="H877">
        <v>1.0119961612284101</v>
      </c>
      <c r="I877">
        <v>1.4580934101087699</v>
      </c>
      <c r="J877">
        <v>1.0956493921945001</v>
      </c>
      <c r="K877">
        <v>1.1339571337172101</v>
      </c>
      <c r="L877">
        <v>1889.90836943927</v>
      </c>
      <c r="M877">
        <v>36.756774778557698</v>
      </c>
      <c r="O877">
        <v>51.265120893133897</v>
      </c>
      <c r="P877">
        <v>3.3726349648357898E-2</v>
      </c>
      <c r="Q877">
        <v>1.1881536532717001</v>
      </c>
      <c r="R877">
        <v>0.42045920984599999</v>
      </c>
      <c r="S877" t="s">
        <v>2879</v>
      </c>
      <c r="T877" t="s">
        <v>4002</v>
      </c>
      <c r="U877" t="s">
        <v>4002</v>
      </c>
      <c r="V877" t="s">
        <v>4002</v>
      </c>
      <c r="W877" t="s">
        <v>4863</v>
      </c>
      <c r="X877">
        <v>26</v>
      </c>
      <c r="Y877" t="s">
        <v>6835</v>
      </c>
      <c r="Z877" t="s">
        <v>8775</v>
      </c>
      <c r="AA877">
        <v>1.115758576188836</v>
      </c>
      <c r="AB877" t="str">
        <f>HYPERLINK("Melting_Curves/meltCurve_P00738_HP.pdf", "Melting_Curves/meltCurve_P00738_HP.pdf")</f>
        <v>Melting_Curves/meltCurve_P00738_HP.pdf</v>
      </c>
    </row>
    <row r="878" spans="1:28" x14ac:dyDescent="0.25">
      <c r="A878" t="s">
        <v>882</v>
      </c>
      <c r="B878">
        <v>1</v>
      </c>
      <c r="C878">
        <v>1.23816491650887</v>
      </c>
      <c r="D878">
        <v>1.1183077982441001</v>
      </c>
      <c r="E878">
        <v>1.39684110862455</v>
      </c>
      <c r="F878">
        <v>1.5134704768462699</v>
      </c>
      <c r="G878">
        <v>1.94443966259253</v>
      </c>
      <c r="H878">
        <v>1.7148390428645199</v>
      </c>
      <c r="I878">
        <v>2.4501635393355099</v>
      </c>
      <c r="J878">
        <v>1.80065415734206</v>
      </c>
      <c r="K878">
        <v>2.0891289378550502</v>
      </c>
      <c r="L878">
        <v>1221.3009137721201</v>
      </c>
      <c r="M878">
        <v>26.128689047484801</v>
      </c>
      <c r="O878">
        <v>46.470529404633801</v>
      </c>
      <c r="P878">
        <v>7.0283726353493794E-2</v>
      </c>
      <c r="Q878">
        <v>1.5</v>
      </c>
      <c r="R878">
        <v>0.13861805079193901</v>
      </c>
      <c r="S878" t="s">
        <v>2880</v>
      </c>
      <c r="T878" t="s">
        <v>4002</v>
      </c>
      <c r="U878" t="s">
        <v>4002</v>
      </c>
      <c r="V878" t="s">
        <v>4002</v>
      </c>
      <c r="W878" t="s">
        <v>4864</v>
      </c>
      <c r="X878">
        <v>14</v>
      </c>
      <c r="Y878" t="s">
        <v>6836</v>
      </c>
      <c r="Z878" t="s">
        <v>8776</v>
      </c>
      <c r="AA878">
        <v>1.38356695595324</v>
      </c>
      <c r="AB878" t="str">
        <f>HYPERLINK("Melting_Curves/meltCurve_P00739_HPR.pdf", "Melting_Curves/meltCurve_P00739_HPR.pdf")</f>
        <v>Melting_Curves/meltCurve_P00739_HPR.pdf</v>
      </c>
    </row>
    <row r="879" spans="1:28" x14ac:dyDescent="0.25">
      <c r="A879" t="s">
        <v>883</v>
      </c>
      <c r="B879">
        <v>1</v>
      </c>
      <c r="C879">
        <v>0.93637480634649295</v>
      </c>
      <c r="D879">
        <v>1.0223035418558699</v>
      </c>
      <c r="E879">
        <v>1.08085367808109</v>
      </c>
      <c r="F879">
        <v>1.0331481382552501</v>
      </c>
      <c r="G879">
        <v>1.09696030770875</v>
      </c>
      <c r="H879">
        <v>0.90830172551952604</v>
      </c>
      <c r="I879">
        <v>1.2085314386452299</v>
      </c>
      <c r="J879">
        <v>0.97569314600138901</v>
      </c>
      <c r="K879">
        <v>0.99922538597147303</v>
      </c>
      <c r="L879">
        <v>11497.1009730478</v>
      </c>
      <c r="M879">
        <v>250</v>
      </c>
      <c r="O879">
        <v>45.985460961394899</v>
      </c>
      <c r="P879">
        <v>5.8775141640999298E-2</v>
      </c>
      <c r="Q879">
        <v>1.0432448316315299</v>
      </c>
      <c r="R879">
        <v>0.100477264513759</v>
      </c>
      <c r="S879" t="s">
        <v>2881</v>
      </c>
      <c r="T879" t="s">
        <v>4002</v>
      </c>
      <c r="U879" t="s">
        <v>4002</v>
      </c>
      <c r="V879" t="s">
        <v>4002</v>
      </c>
      <c r="W879" t="s">
        <v>4865</v>
      </c>
      <c r="X879">
        <v>32</v>
      </c>
      <c r="Y879" t="s">
        <v>6837</v>
      </c>
      <c r="Z879" t="s">
        <v>8777</v>
      </c>
      <c r="AA879">
        <v>1.0346090907853269</v>
      </c>
      <c r="AB879" t="str">
        <f>HYPERLINK("Melting_Curves/meltCurve_P00747_PLG.pdf", "Melting_Curves/meltCurve_P00747_PLG.pdf")</f>
        <v>Melting_Curves/meltCurve_P00747_PLG.pdf</v>
      </c>
    </row>
    <row r="880" spans="1:28" x14ac:dyDescent="0.25">
      <c r="A880" t="s">
        <v>884</v>
      </c>
      <c r="B880">
        <v>1</v>
      </c>
      <c r="C880">
        <v>0.90658022690437601</v>
      </c>
      <c r="D880">
        <v>1.21970826580227</v>
      </c>
      <c r="E880">
        <v>1.8258022690437601</v>
      </c>
      <c r="F880">
        <v>1.97277147487844</v>
      </c>
      <c r="G880">
        <v>2.2570502431118298</v>
      </c>
      <c r="H880">
        <v>1.75779578606159</v>
      </c>
      <c r="I880">
        <v>2.5673257698541301</v>
      </c>
      <c r="J880">
        <v>1.67474878444084</v>
      </c>
      <c r="K880">
        <v>1.9706320907617501</v>
      </c>
      <c r="L880">
        <v>11511.2023973658</v>
      </c>
      <c r="M880">
        <v>250</v>
      </c>
      <c r="O880">
        <v>46.041862827898797</v>
      </c>
      <c r="P880">
        <v>0.67873013779338798</v>
      </c>
      <c r="Q880">
        <v>1.5</v>
      </c>
      <c r="R880">
        <v>8.0955721122454999E-2</v>
      </c>
      <c r="S880" t="s">
        <v>2882</v>
      </c>
      <c r="T880" t="s">
        <v>4002</v>
      </c>
      <c r="U880" t="s">
        <v>4002</v>
      </c>
      <c r="V880" t="s">
        <v>4002</v>
      </c>
      <c r="W880" t="s">
        <v>4866</v>
      </c>
      <c r="X880">
        <v>5</v>
      </c>
      <c r="Y880" t="s">
        <v>6838</v>
      </c>
      <c r="Z880" t="s">
        <v>8778</v>
      </c>
      <c r="AA880">
        <v>1.3992127695468399</v>
      </c>
      <c r="AB880" t="str">
        <f>HYPERLINK("Melting_Curves/meltCurve_P00748_F12.pdf", "Melting_Curves/meltCurve_P00748_F12.pdf")</f>
        <v>Melting_Curves/meltCurve_P00748_F12.pdf</v>
      </c>
    </row>
    <row r="881" spans="1:28" x14ac:dyDescent="0.25">
      <c r="A881" t="s">
        <v>885</v>
      </c>
      <c r="B881">
        <v>1</v>
      </c>
      <c r="C881">
        <v>0.95081511670989305</v>
      </c>
      <c r="D881">
        <v>1.1775657650981799</v>
      </c>
      <c r="E881">
        <v>1.2906632085957801</v>
      </c>
      <c r="F881">
        <v>1.2331419044090399</v>
      </c>
      <c r="G881">
        <v>1.3287328640237099</v>
      </c>
      <c r="H881">
        <v>1.13449425713227</v>
      </c>
      <c r="I881">
        <v>1.4286772878844001</v>
      </c>
      <c r="J881">
        <v>1.2067432382363801</v>
      </c>
      <c r="K881">
        <v>1.18349388662468</v>
      </c>
      <c r="L881">
        <v>11463.568194765099</v>
      </c>
      <c r="M881">
        <v>250</v>
      </c>
      <c r="O881">
        <v>45.851341122036601</v>
      </c>
      <c r="P881">
        <v>0.35166964029271303</v>
      </c>
      <c r="Q881">
        <v>1.2579923786795399</v>
      </c>
      <c r="R881">
        <v>0.66657281702544402</v>
      </c>
      <c r="S881" t="s">
        <v>2883</v>
      </c>
      <c r="T881" t="s">
        <v>4002</v>
      </c>
      <c r="U881" t="s">
        <v>4002</v>
      </c>
      <c r="V881" t="s">
        <v>4002</v>
      </c>
      <c r="W881" t="s">
        <v>4867</v>
      </c>
      <c r="X881">
        <v>2</v>
      </c>
      <c r="Y881" t="s">
        <v>6839</v>
      </c>
      <c r="Z881" t="s">
        <v>8779</v>
      </c>
      <c r="AA881">
        <v>1.2076263584638489</v>
      </c>
      <c r="AB881" t="str">
        <f>HYPERLINK("Melting_Curves/meltCurve_P00813_ADA.pdf", "Melting_Curves/meltCurve_P00813_ADA.pdf")</f>
        <v>Melting_Curves/meltCurve_P00813_ADA.pdf</v>
      </c>
    </row>
    <row r="882" spans="1:28" x14ac:dyDescent="0.25">
      <c r="A882" t="s">
        <v>886</v>
      </c>
      <c r="B882">
        <v>1</v>
      </c>
      <c r="C882">
        <v>0.76183457603606697</v>
      </c>
      <c r="D882">
        <v>0.92843766256285798</v>
      </c>
      <c r="E882">
        <v>0.90364140801109805</v>
      </c>
      <c r="F882">
        <v>1.0995318189700001</v>
      </c>
      <c r="G882">
        <v>1.0792266342986001</v>
      </c>
      <c r="H882">
        <v>1.14761574475464</v>
      </c>
      <c r="I882">
        <v>1.2718397780475099</v>
      </c>
      <c r="J882">
        <v>1.26903069186752</v>
      </c>
      <c r="K882">
        <v>1.0599791919542201</v>
      </c>
      <c r="L882">
        <v>1546.4360163543499</v>
      </c>
      <c r="M882">
        <v>27.368771693829601</v>
      </c>
      <c r="O882">
        <v>56.204590369157899</v>
      </c>
      <c r="P882">
        <v>2.3503941296066599E-2</v>
      </c>
      <c r="Q882">
        <v>1.1930692466525401</v>
      </c>
      <c r="R882">
        <v>0.52586915297729697</v>
      </c>
      <c r="S882" t="s">
        <v>2884</v>
      </c>
      <c r="T882" t="s">
        <v>4002</v>
      </c>
      <c r="U882" t="s">
        <v>4002</v>
      </c>
      <c r="V882" t="s">
        <v>4002</v>
      </c>
      <c r="W882" t="s">
        <v>4868</v>
      </c>
      <c r="X882">
        <v>3</v>
      </c>
      <c r="Y882" t="s">
        <v>6840</v>
      </c>
      <c r="Z882" t="s">
        <v>8780</v>
      </c>
      <c r="AA882">
        <v>1.085344471324748</v>
      </c>
      <c r="AB882" t="str">
        <f>HYPERLINK("Melting_Curves/meltCurve_P00915_CA1.pdf", "Melting_Curves/meltCurve_P00915_CA1.pdf")</f>
        <v>Melting_Curves/meltCurve_P00915_CA1.pdf</v>
      </c>
    </row>
    <row r="883" spans="1:28" x14ac:dyDescent="0.25">
      <c r="A883" t="s">
        <v>887</v>
      </c>
      <c r="B883">
        <v>1</v>
      </c>
      <c r="C883">
        <v>1.05188901081674</v>
      </c>
      <c r="D883">
        <v>1.08381669018132</v>
      </c>
      <c r="E883">
        <v>1.21220671996656</v>
      </c>
      <c r="F883">
        <v>1.81287558133459</v>
      </c>
      <c r="G883">
        <v>2.3113863196948299</v>
      </c>
      <c r="H883">
        <v>2.0979254846632198</v>
      </c>
      <c r="I883">
        <v>2.6534462036891902</v>
      </c>
      <c r="J883">
        <v>2.4024664262946098</v>
      </c>
      <c r="K883">
        <v>2.1059204682029602</v>
      </c>
      <c r="L883">
        <v>12515.233606071601</v>
      </c>
      <c r="M883">
        <v>250</v>
      </c>
      <c r="O883">
        <v>50.057735122037201</v>
      </c>
      <c r="P883">
        <v>0.62427919720661496</v>
      </c>
      <c r="Q883">
        <v>1.5</v>
      </c>
      <c r="R883">
        <v>-1.3726459099174399E-2</v>
      </c>
      <c r="S883" t="s">
        <v>2885</v>
      </c>
      <c r="T883" t="s">
        <v>4002</v>
      </c>
      <c r="U883" t="s">
        <v>4002</v>
      </c>
      <c r="V883" t="s">
        <v>4002</v>
      </c>
      <c r="W883" t="s">
        <v>4869</v>
      </c>
      <c r="X883">
        <v>5</v>
      </c>
      <c r="Y883" t="s">
        <v>6841</v>
      </c>
      <c r="Z883" t="s">
        <v>8781</v>
      </c>
      <c r="AA883">
        <v>1.332273831514829</v>
      </c>
      <c r="AB883" t="str">
        <f>HYPERLINK("Melting_Curves/meltCurve_P00918_CA2.pdf", "Melting_Curves/meltCurve_P00918_CA2.pdf")</f>
        <v>Melting_Curves/meltCurve_P00918_CA2.pdf</v>
      </c>
    </row>
    <row r="884" spans="1:28" x14ac:dyDescent="0.25">
      <c r="A884" t="s">
        <v>888</v>
      </c>
      <c r="B884">
        <v>1</v>
      </c>
      <c r="C884">
        <v>0.95347058448594602</v>
      </c>
      <c r="D884">
        <v>1.04429855312639</v>
      </c>
      <c r="E884">
        <v>1.2082988080821</v>
      </c>
      <c r="F884">
        <v>1.33552170310409</v>
      </c>
      <c r="G884">
        <v>1.81356364331697</v>
      </c>
      <c r="H884">
        <v>2.0481228886481002</v>
      </c>
      <c r="I884">
        <v>2.52227675441392</v>
      </c>
      <c r="J884">
        <v>2.1068901778316</v>
      </c>
      <c r="K884">
        <v>2.0012747785072298</v>
      </c>
      <c r="L884">
        <v>1996.6932224843399</v>
      </c>
      <c r="M884">
        <v>39.387593154125099</v>
      </c>
      <c r="O884">
        <v>50.563308171546097</v>
      </c>
      <c r="P884">
        <v>9.7372185782033799E-2</v>
      </c>
      <c r="Q884">
        <v>1.5</v>
      </c>
      <c r="R884">
        <v>0.26362209047148699</v>
      </c>
      <c r="S884" t="s">
        <v>2886</v>
      </c>
      <c r="T884" t="s">
        <v>4002</v>
      </c>
      <c r="U884" t="s">
        <v>4002</v>
      </c>
      <c r="V884" t="s">
        <v>4002</v>
      </c>
      <c r="W884" t="s">
        <v>4870</v>
      </c>
      <c r="X884">
        <v>19</v>
      </c>
      <c r="Y884" t="s">
        <v>6842</v>
      </c>
      <c r="Z884" t="s">
        <v>8782</v>
      </c>
      <c r="AA884">
        <v>1.319968263321492</v>
      </c>
      <c r="AB884" t="str">
        <f>HYPERLINK("Melting_Curves/meltCurve_P01008_SERPINC1.pdf", "Melting_Curves/meltCurve_P01008_SERPINC1.pdf")</f>
        <v>Melting_Curves/meltCurve_P01008_SERPINC1.pdf</v>
      </c>
    </row>
    <row r="885" spans="1:28" x14ac:dyDescent="0.25">
      <c r="A885" t="s">
        <v>889</v>
      </c>
      <c r="B885">
        <v>1</v>
      </c>
      <c r="C885">
        <v>0.98210794478345897</v>
      </c>
      <c r="D885">
        <v>1.03315757252602</v>
      </c>
      <c r="E885">
        <v>1.2228410055887999</v>
      </c>
      <c r="F885">
        <v>1.23283369867883</v>
      </c>
      <c r="G885">
        <v>1.38610107233841</v>
      </c>
      <c r="H885">
        <v>1.52224657858878</v>
      </c>
      <c r="I885">
        <v>1.6254517447716099</v>
      </c>
      <c r="J885">
        <v>1.3697888895471699</v>
      </c>
      <c r="K885">
        <v>1.3277445346288299</v>
      </c>
      <c r="L885">
        <v>1024.4348287390401</v>
      </c>
      <c r="M885">
        <v>19.943290094324201</v>
      </c>
      <c r="O885">
        <v>50.859286946256397</v>
      </c>
      <c r="P885">
        <v>4.4999118966788598E-2</v>
      </c>
      <c r="Q885">
        <v>1.45901109805989</v>
      </c>
      <c r="R885">
        <v>0.83911320779548204</v>
      </c>
      <c r="S885" t="s">
        <v>2887</v>
      </c>
      <c r="T885" t="s">
        <v>4002</v>
      </c>
      <c r="U885" t="s">
        <v>4002</v>
      </c>
      <c r="V885" t="s">
        <v>4002</v>
      </c>
      <c r="W885" t="s">
        <v>4871</v>
      </c>
      <c r="X885">
        <v>19</v>
      </c>
      <c r="Y885" t="s">
        <v>6843</v>
      </c>
      <c r="Z885" t="s">
        <v>8783</v>
      </c>
      <c r="AA885">
        <v>1.278686643288109</v>
      </c>
      <c r="AB885" t="str">
        <f>HYPERLINK("Melting_Curves/meltCurve_P01009_SERPINA1.pdf", "Melting_Curves/meltCurve_P01009_SERPINA1.pdf")</f>
        <v>Melting_Curves/meltCurve_P01009_SERPINA1.pdf</v>
      </c>
    </row>
    <row r="886" spans="1:28" x14ac:dyDescent="0.25">
      <c r="A886" t="s">
        <v>890</v>
      </c>
      <c r="B886">
        <v>1</v>
      </c>
      <c r="C886">
        <v>1.0849755636134299</v>
      </c>
      <c r="D886">
        <v>1.4542014819486</v>
      </c>
      <c r="E886">
        <v>2.234668138105</v>
      </c>
      <c r="F886">
        <v>2.5476115402806201</v>
      </c>
      <c r="G886">
        <v>3.4732776288822298</v>
      </c>
      <c r="H886">
        <v>3.64906195806401</v>
      </c>
      <c r="I886">
        <v>4.2813337537442804</v>
      </c>
      <c r="J886">
        <v>3.86378685164749</v>
      </c>
      <c r="K886">
        <v>3.62241841399968</v>
      </c>
      <c r="L886">
        <v>2780.1135586089799</v>
      </c>
      <c r="M886">
        <v>63.168784170111202</v>
      </c>
      <c r="O886">
        <v>43.966832478613</v>
      </c>
      <c r="P886">
        <v>0.17959221243815199</v>
      </c>
      <c r="Q886">
        <v>1.5</v>
      </c>
      <c r="R886">
        <v>-1.07396659334528</v>
      </c>
      <c r="S886" t="s">
        <v>2888</v>
      </c>
      <c r="T886" t="s">
        <v>4002</v>
      </c>
      <c r="U886" t="s">
        <v>4002</v>
      </c>
      <c r="V886" t="s">
        <v>4002</v>
      </c>
      <c r="W886" t="s">
        <v>4872</v>
      </c>
      <c r="X886">
        <v>5</v>
      </c>
      <c r="Y886" t="s">
        <v>6844</v>
      </c>
      <c r="Z886" t="s">
        <v>8784</v>
      </c>
      <c r="AA886">
        <v>1.432528649547137</v>
      </c>
      <c r="AB886" t="str">
        <f>HYPERLINK("Melting_Curves/meltCurve_P01019_AGT.pdf", "Melting_Curves/meltCurve_P01019_AGT.pdf")</f>
        <v>Melting_Curves/meltCurve_P01019_AGT.pdf</v>
      </c>
    </row>
    <row r="887" spans="1:28" x14ac:dyDescent="0.25">
      <c r="A887" t="s">
        <v>891</v>
      </c>
      <c r="B887">
        <v>1</v>
      </c>
      <c r="C887">
        <v>0.69863467656415701</v>
      </c>
      <c r="D887">
        <v>0.43020943796394501</v>
      </c>
      <c r="E887">
        <v>0.32745559384941703</v>
      </c>
      <c r="F887">
        <v>0.25192537115588498</v>
      </c>
      <c r="G887">
        <v>0.25209769353128297</v>
      </c>
      <c r="H887">
        <v>0.19362075821845201</v>
      </c>
      <c r="I887">
        <v>0.25401312301166501</v>
      </c>
      <c r="J887">
        <v>0.26861081654294799</v>
      </c>
      <c r="K887">
        <v>0.20117974549310699</v>
      </c>
      <c r="L887">
        <v>1086.8410864093601</v>
      </c>
      <c r="M887">
        <v>24.743811334016598</v>
      </c>
      <c r="N887">
        <v>45.127732072941598</v>
      </c>
      <c r="O887">
        <v>43.639873971496797</v>
      </c>
      <c r="P887">
        <v>-0.10750291353167001</v>
      </c>
      <c r="Q887">
        <v>0.24161267857054999</v>
      </c>
      <c r="R887">
        <v>0.98026413472629803</v>
      </c>
      <c r="S887" t="s">
        <v>2889</v>
      </c>
      <c r="T887" t="s">
        <v>4002</v>
      </c>
      <c r="U887" t="s">
        <v>4002</v>
      </c>
      <c r="V887" t="s">
        <v>4002</v>
      </c>
      <c r="W887" t="s">
        <v>4873</v>
      </c>
      <c r="X887">
        <v>17</v>
      </c>
      <c r="Y887" t="s">
        <v>6845</v>
      </c>
      <c r="Z887" t="s">
        <v>8785</v>
      </c>
      <c r="AA887">
        <v>0.34983391518719809</v>
      </c>
      <c r="AB887" t="str">
        <f>HYPERLINK("Melting_Curves/meltCurve_P01023_A2M.pdf", "Melting_Curves/meltCurve_P01023_A2M.pdf")</f>
        <v>Melting_Curves/meltCurve_P01023_A2M.pdf</v>
      </c>
    </row>
    <row r="888" spans="1:28" x14ac:dyDescent="0.25">
      <c r="A888" t="s">
        <v>892</v>
      </c>
      <c r="B888">
        <v>1</v>
      </c>
      <c r="C888">
        <v>0.90728223321818702</v>
      </c>
      <c r="D888">
        <v>1.11035384184483</v>
      </c>
      <c r="E888">
        <v>1.3472131453645799</v>
      </c>
      <c r="F888">
        <v>1.3137895621323901</v>
      </c>
      <c r="G888">
        <v>1.4655961161422799</v>
      </c>
      <c r="H888">
        <v>1.3604705443002501</v>
      </c>
      <c r="I888">
        <v>1.8126225375781899</v>
      </c>
      <c r="J888">
        <v>1.55877135654934</v>
      </c>
      <c r="K888">
        <v>1.4797871347213101</v>
      </c>
      <c r="L888">
        <v>1008.32398047942</v>
      </c>
      <c r="M888">
        <v>20.4342357408018</v>
      </c>
      <c r="O888">
        <v>48.879558038669501</v>
      </c>
      <c r="P888">
        <v>5.2258174273837499E-2</v>
      </c>
      <c r="Q888">
        <v>1.5</v>
      </c>
      <c r="R888">
        <v>0.77841353920396805</v>
      </c>
      <c r="S888" t="s">
        <v>2890</v>
      </c>
      <c r="T888" t="s">
        <v>4002</v>
      </c>
      <c r="U888" t="s">
        <v>4002</v>
      </c>
      <c r="V888" t="s">
        <v>4002</v>
      </c>
      <c r="W888" t="s">
        <v>4874</v>
      </c>
      <c r="X888">
        <v>62</v>
      </c>
      <c r="Y888" t="s">
        <v>6846</v>
      </c>
      <c r="Z888" t="s">
        <v>8786</v>
      </c>
      <c r="AA888">
        <v>1.3375630804331831</v>
      </c>
      <c r="AB888" t="str">
        <f>HYPERLINK("Melting_Curves/meltCurve_P01024_C3.pdf", "Melting_Curves/meltCurve_P01024_C3.pdf")</f>
        <v>Melting_Curves/meltCurve_P01024_C3.pdf</v>
      </c>
    </row>
    <row r="889" spans="1:28" x14ac:dyDescent="0.25">
      <c r="A889" t="s">
        <v>893</v>
      </c>
      <c r="B889">
        <v>1</v>
      </c>
      <c r="C889">
        <v>0.93373753437365403</v>
      </c>
      <c r="D889">
        <v>1.0596362190637101</v>
      </c>
      <c r="E889">
        <v>1.0026008017758301</v>
      </c>
      <c r="F889">
        <v>1.0148096610674899</v>
      </c>
      <c r="G889">
        <v>0.988470330981016</v>
      </c>
      <c r="H889">
        <v>0.78579001424643002</v>
      </c>
      <c r="I889">
        <v>1.2519961567769899</v>
      </c>
      <c r="J889">
        <v>1.12422555743299</v>
      </c>
      <c r="K889">
        <v>0.99700162343040799</v>
      </c>
      <c r="L889">
        <v>2054.9990540249901</v>
      </c>
      <c r="M889">
        <v>32.703383212816497</v>
      </c>
      <c r="O889">
        <v>62.6039489249384</v>
      </c>
      <c r="P889">
        <v>1.2536876902549E-2</v>
      </c>
      <c r="Q889">
        <v>1.09599671639132</v>
      </c>
      <c r="R889">
        <v>0.134944412497354</v>
      </c>
      <c r="S889" t="s">
        <v>2891</v>
      </c>
      <c r="T889" t="s">
        <v>4002</v>
      </c>
      <c r="U889" t="s">
        <v>4002</v>
      </c>
      <c r="V889" t="s">
        <v>4002</v>
      </c>
      <c r="W889" t="s">
        <v>4875</v>
      </c>
      <c r="X889">
        <v>4</v>
      </c>
      <c r="Y889" t="s">
        <v>6847</v>
      </c>
      <c r="Z889" t="s">
        <v>8787</v>
      </c>
      <c r="AA889">
        <v>1.0225768379379621</v>
      </c>
      <c r="AB889" t="str">
        <f>HYPERLINK("Melting_Curves/meltCurve_P01031_C5.pdf", "Melting_Curves/meltCurve_P01031_C5.pdf")</f>
        <v>Melting_Curves/meltCurve_P01031_C5.pdf</v>
      </c>
    </row>
    <row r="890" spans="1:28" x14ac:dyDescent="0.25">
      <c r="A890" t="s">
        <v>894</v>
      </c>
      <c r="B890">
        <v>1</v>
      </c>
      <c r="C890">
        <v>0.914307252005928</v>
      </c>
      <c r="D890">
        <v>0.96864619001379904</v>
      </c>
      <c r="E890">
        <v>0.98013236571779006</v>
      </c>
      <c r="F890">
        <v>0.92538457607195801</v>
      </c>
      <c r="G890">
        <v>0.97495783717483497</v>
      </c>
      <c r="H890">
        <v>0.86484898042622804</v>
      </c>
      <c r="I890">
        <v>1.04614912863495</v>
      </c>
      <c r="J890">
        <v>0.87362651402872205</v>
      </c>
      <c r="K890">
        <v>0.93214340471201496</v>
      </c>
      <c r="L890">
        <v>94.711373132526802</v>
      </c>
      <c r="M890">
        <v>1.0000000000000001E-5</v>
      </c>
      <c r="Q890">
        <v>0.65173194487609498</v>
      </c>
      <c r="R890">
        <v>6.5958555634781701E-2</v>
      </c>
      <c r="S890" t="s">
        <v>2892</v>
      </c>
      <c r="T890" t="s">
        <v>4002</v>
      </c>
      <c r="U890" t="s">
        <v>4002</v>
      </c>
      <c r="V890" t="s">
        <v>4002</v>
      </c>
      <c r="W890" t="s">
        <v>4876</v>
      </c>
      <c r="X890">
        <v>9</v>
      </c>
      <c r="Y890" t="s">
        <v>6848</v>
      </c>
      <c r="Z890" t="s">
        <v>8788</v>
      </c>
      <c r="AA890">
        <v>0.9479294206049802</v>
      </c>
      <c r="AB890" t="str">
        <f>HYPERLINK("Melting_Curves/meltCurve_P01034_CST3.pdf", "Melting_Curves/meltCurve_P01034_CST3.pdf")</f>
        <v>Melting_Curves/meltCurve_P01034_CST3.pdf</v>
      </c>
    </row>
    <row r="891" spans="1:28" x14ac:dyDescent="0.25">
      <c r="A891" t="s">
        <v>895</v>
      </c>
      <c r="B891">
        <v>1</v>
      </c>
      <c r="C891">
        <v>0.93686193485658698</v>
      </c>
      <c r="D891">
        <v>1.0435099659698599</v>
      </c>
      <c r="E891">
        <v>1.0536582401555701</v>
      </c>
      <c r="F891">
        <v>0.99355858045697598</v>
      </c>
      <c r="G891">
        <v>1.01640738940204</v>
      </c>
      <c r="H891">
        <v>0.95563928050559099</v>
      </c>
      <c r="I891">
        <v>1.0732863393291201</v>
      </c>
      <c r="J891">
        <v>0.93619348565872595</v>
      </c>
      <c r="K891">
        <v>0.91954302382109898</v>
      </c>
      <c r="L891">
        <v>15000</v>
      </c>
      <c r="M891">
        <v>225.21861030654</v>
      </c>
      <c r="O891">
        <v>66.596714282044303</v>
      </c>
      <c r="P891">
        <v>-6.80490570359263E-2</v>
      </c>
      <c r="Q891">
        <v>0.91951210536144601</v>
      </c>
      <c r="R891">
        <v>0.37946034981881299</v>
      </c>
      <c r="S891" t="s">
        <v>2893</v>
      </c>
      <c r="T891" t="s">
        <v>4002</v>
      </c>
      <c r="U891" t="s">
        <v>4002</v>
      </c>
      <c r="V891" t="s">
        <v>4002</v>
      </c>
      <c r="W891" t="s">
        <v>4877</v>
      </c>
      <c r="X891">
        <v>15</v>
      </c>
      <c r="Y891" t="s">
        <v>6849</v>
      </c>
      <c r="Z891" t="s">
        <v>8789</v>
      </c>
      <c r="AA891">
        <v>0.99089486362626533</v>
      </c>
      <c r="AB891" t="str">
        <f>HYPERLINK("Melting_Curves/meltCurve_P01036_CST4.pdf", "Melting_Curves/meltCurve_P01036_CST4.pdf")</f>
        <v>Melting_Curves/meltCurve_P01036_CST4.pdf</v>
      </c>
    </row>
    <row r="892" spans="1:28" x14ac:dyDescent="0.25">
      <c r="A892" t="s">
        <v>896</v>
      </c>
      <c r="B892">
        <v>1</v>
      </c>
      <c r="C892">
        <v>0.930406792829791</v>
      </c>
      <c r="D892">
        <v>1.01787002608358</v>
      </c>
      <c r="E892">
        <v>1.03202175481436</v>
      </c>
      <c r="F892">
        <v>0.98002108885065797</v>
      </c>
      <c r="G892">
        <v>1.02486264498585</v>
      </c>
      <c r="H892">
        <v>0.90254731117154097</v>
      </c>
      <c r="I892">
        <v>1.0428436650202599</v>
      </c>
      <c r="J892">
        <v>0.86247849492202699</v>
      </c>
      <c r="K892">
        <v>0.91059437260669296</v>
      </c>
      <c r="L892">
        <v>1327.4030139681099</v>
      </c>
      <c r="M892">
        <v>19.9932177138162</v>
      </c>
      <c r="O892">
        <v>65.739160063405606</v>
      </c>
      <c r="P892">
        <v>-1.1056211640525501E-2</v>
      </c>
      <c r="Q892">
        <v>0.85459021405287805</v>
      </c>
      <c r="R892">
        <v>0.31771269465484597</v>
      </c>
      <c r="S892" t="s">
        <v>2894</v>
      </c>
      <c r="T892" t="s">
        <v>4002</v>
      </c>
      <c r="U892" t="s">
        <v>4002</v>
      </c>
      <c r="V892" t="s">
        <v>4002</v>
      </c>
      <c r="W892" t="s">
        <v>4878</v>
      </c>
      <c r="X892">
        <v>14</v>
      </c>
      <c r="Y892" t="s">
        <v>6850</v>
      </c>
      <c r="Z892" t="s">
        <v>8790</v>
      </c>
      <c r="AA892">
        <v>0.97904856314165711</v>
      </c>
      <c r="AB892" t="str">
        <f>HYPERLINK("Melting_Curves/meltCurve_P01037_CST1.pdf", "Melting_Curves/meltCurve_P01037_CST1.pdf")</f>
        <v>Melting_Curves/meltCurve_P01037_CST1.pdf</v>
      </c>
    </row>
    <row r="893" spans="1:28" x14ac:dyDescent="0.25">
      <c r="A893" t="s">
        <v>897</v>
      </c>
      <c r="B893">
        <v>1</v>
      </c>
      <c r="C893">
        <v>0.98077507776504402</v>
      </c>
      <c r="D893">
        <v>1.0416773861589901</v>
      </c>
      <c r="E893">
        <v>1.1028135743854801</v>
      </c>
      <c r="F893">
        <v>1.15468812124331</v>
      </c>
      <c r="G893">
        <v>0.97969923053535102</v>
      </c>
      <c r="H893">
        <v>1.49290174708235</v>
      </c>
      <c r="I893">
        <v>0.86762401478120499</v>
      </c>
      <c r="J893">
        <v>1.1482096498818899</v>
      </c>
      <c r="K893">
        <v>0.91556938045232406</v>
      </c>
      <c r="L893">
        <v>11510.901825683701</v>
      </c>
      <c r="M893">
        <v>250</v>
      </c>
      <c r="O893">
        <v>46.0406606093119</v>
      </c>
      <c r="P893">
        <v>0.128284454699476</v>
      </c>
      <c r="Q893">
        <v>1.09450081696041</v>
      </c>
      <c r="R893">
        <v>6.2435500067909197E-2</v>
      </c>
      <c r="S893" t="s">
        <v>2895</v>
      </c>
      <c r="T893" t="s">
        <v>4002</v>
      </c>
      <c r="U893" t="s">
        <v>4002</v>
      </c>
      <c r="V893" t="s">
        <v>4002</v>
      </c>
      <c r="W893" t="s">
        <v>4879</v>
      </c>
      <c r="X893">
        <v>9</v>
      </c>
      <c r="Y893" t="s">
        <v>6851</v>
      </c>
      <c r="Z893" t="s">
        <v>8791</v>
      </c>
      <c r="AA893">
        <v>1.0754556531617401</v>
      </c>
      <c r="AB893" t="str">
        <f>HYPERLINK("Melting_Curves/meltCurve_P01040_CSTA.pdf", "Melting_Curves/meltCurve_P01040_CSTA.pdf")</f>
        <v>Melting_Curves/meltCurve_P01040_CSTA.pdf</v>
      </c>
    </row>
    <row r="894" spans="1:28" x14ac:dyDescent="0.25">
      <c r="A894" t="s">
        <v>898</v>
      </c>
      <c r="B894">
        <v>1</v>
      </c>
      <c r="C894">
        <v>0.93157955910270795</v>
      </c>
      <c r="D894">
        <v>0.97256983456665802</v>
      </c>
      <c r="E894">
        <v>1.11243268373949</v>
      </c>
      <c r="F894">
        <v>1.05962574096316</v>
      </c>
      <c r="G894">
        <v>1.1307194606950499</v>
      </c>
      <c r="H894">
        <v>0.89531595056371305</v>
      </c>
      <c r="I894">
        <v>1.2569059703227301</v>
      </c>
      <c r="J894">
        <v>0.99097284103676697</v>
      </c>
      <c r="K894">
        <v>1.0292510944946001</v>
      </c>
      <c r="L894">
        <v>11969.526603951001</v>
      </c>
      <c r="M894">
        <v>250</v>
      </c>
      <c r="O894">
        <v>47.875042544386602</v>
      </c>
      <c r="P894">
        <v>8.8627915593322601E-2</v>
      </c>
      <c r="Q894">
        <v>1.0678890435809001</v>
      </c>
      <c r="R894">
        <v>0.174814228330748</v>
      </c>
      <c r="S894" t="s">
        <v>2896</v>
      </c>
      <c r="T894" t="s">
        <v>4002</v>
      </c>
      <c r="U894" t="s">
        <v>4002</v>
      </c>
      <c r="V894" t="s">
        <v>4002</v>
      </c>
      <c r="W894" t="s">
        <v>4880</v>
      </c>
      <c r="X894">
        <v>15</v>
      </c>
      <c r="Y894" t="s">
        <v>6852</v>
      </c>
      <c r="Z894" t="s">
        <v>8792</v>
      </c>
      <c r="AA894">
        <v>1.0500554355215841</v>
      </c>
      <c r="AB894" t="str">
        <f>HYPERLINK("Melting_Curves/meltCurve_P01042_2_KNG1.pdf", "Melting_Curves/meltCurve_P01042_2_KNG1.pdf")</f>
        <v>Melting_Curves/meltCurve_P01042_2_KNG1.pdf</v>
      </c>
    </row>
    <row r="895" spans="1:28" x14ac:dyDescent="0.25">
      <c r="A895" t="s">
        <v>899</v>
      </c>
      <c r="B895">
        <v>1</v>
      </c>
      <c r="C895">
        <v>0.95384317896161697</v>
      </c>
      <c r="D895">
        <v>0.93818041187276402</v>
      </c>
      <c r="E895">
        <v>1.12723581166006</v>
      </c>
      <c r="F895">
        <v>1.20903026201296</v>
      </c>
      <c r="G895">
        <v>1.20400270714493</v>
      </c>
      <c r="H895">
        <v>1.3901189210093801</v>
      </c>
      <c r="I895">
        <v>1.47926133616939</v>
      </c>
      <c r="J895">
        <v>1.7584839988398</v>
      </c>
      <c r="K895">
        <v>1.45180315189017</v>
      </c>
      <c r="L895">
        <v>1005.11558710611</v>
      </c>
      <c r="M895">
        <v>18.132102146612901</v>
      </c>
      <c r="O895">
        <v>54.771873899009897</v>
      </c>
      <c r="P895">
        <v>4.1382944307149297E-2</v>
      </c>
      <c r="Q895">
        <v>1.5</v>
      </c>
      <c r="R895">
        <v>0.83123602176908395</v>
      </c>
      <c r="S895" t="s">
        <v>2897</v>
      </c>
      <c r="T895" t="s">
        <v>4002</v>
      </c>
      <c r="U895" t="s">
        <v>4002</v>
      </c>
      <c r="V895" t="s">
        <v>4002</v>
      </c>
      <c r="W895" t="s">
        <v>4881</v>
      </c>
      <c r="X895">
        <v>5</v>
      </c>
      <c r="Y895" t="s">
        <v>6853</v>
      </c>
      <c r="Z895" t="s">
        <v>8793</v>
      </c>
      <c r="AA895">
        <v>1.235265972963224</v>
      </c>
      <c r="AB895" t="str">
        <f>HYPERLINK("Melting_Curves/meltCurve_P01116_2_KRAS.pdf", "Melting_Curves/meltCurve_P01116_2_KRAS.pdf")</f>
        <v>Melting_Curves/meltCurve_P01116_2_KRAS.pdf</v>
      </c>
    </row>
    <row r="896" spans="1:28" x14ac:dyDescent="0.25">
      <c r="A896" t="s">
        <v>900</v>
      </c>
      <c r="B896">
        <v>1</v>
      </c>
      <c r="C896">
        <v>0.96435143803564904</v>
      </c>
      <c r="D896">
        <v>1.1941216678058799</v>
      </c>
      <c r="E896">
        <v>1.4543701912122999</v>
      </c>
      <c r="F896">
        <v>1.5741101004258899</v>
      </c>
      <c r="G896">
        <v>1.7323203112676799</v>
      </c>
      <c r="H896">
        <v>1.4253290569079999</v>
      </c>
      <c r="I896">
        <v>1.97223828802776</v>
      </c>
      <c r="J896">
        <v>1.4121317279212</v>
      </c>
      <c r="K896">
        <v>1.66431813800235</v>
      </c>
      <c r="L896">
        <v>2363.6508415705598</v>
      </c>
      <c r="M896">
        <v>50.882486833742703</v>
      </c>
      <c r="O896">
        <v>46.381546767543398</v>
      </c>
      <c r="P896">
        <v>0.137130311540514</v>
      </c>
      <c r="Q896">
        <v>1.5</v>
      </c>
      <c r="R896">
        <v>0.64524043406808196</v>
      </c>
      <c r="S896" t="s">
        <v>2898</v>
      </c>
      <c r="T896" t="s">
        <v>4002</v>
      </c>
      <c r="U896" t="s">
        <v>4002</v>
      </c>
      <c r="V896" t="s">
        <v>4002</v>
      </c>
      <c r="W896" t="s">
        <v>4882</v>
      </c>
      <c r="X896">
        <v>12</v>
      </c>
      <c r="Y896" t="s">
        <v>6854</v>
      </c>
      <c r="Z896" t="s">
        <v>8794</v>
      </c>
      <c r="AA896">
        <v>1.39145572858223</v>
      </c>
      <c r="AB896" t="str">
        <f>HYPERLINK("Melting_Curves/meltCurve_P01133_2_EGF.pdf", "Melting_Curves/meltCurve_P01133_2_EGF.pdf")</f>
        <v>Melting_Curves/meltCurve_P01133_2_EGF.pdf</v>
      </c>
    </row>
    <row r="897" spans="1:28" x14ac:dyDescent="0.25">
      <c r="A897" t="s">
        <v>901</v>
      </c>
      <c r="B897">
        <v>1</v>
      </c>
      <c r="C897">
        <v>0.90094109019799595</v>
      </c>
      <c r="D897">
        <v>0.93962356392080204</v>
      </c>
      <c r="E897">
        <v>0.93201539965778502</v>
      </c>
      <c r="F897">
        <v>0.86539049132241497</v>
      </c>
      <c r="G897">
        <v>0.91863236372525103</v>
      </c>
      <c r="H897">
        <v>0.82348447812270797</v>
      </c>
      <c r="I897">
        <v>0.99726533854803201</v>
      </c>
      <c r="J897">
        <v>0.80906257638719103</v>
      </c>
      <c r="K897">
        <v>0.85715595208995399</v>
      </c>
      <c r="L897">
        <v>302.79353460917002</v>
      </c>
      <c r="M897">
        <v>6.4544116118764601</v>
      </c>
      <c r="O897">
        <v>43.017946317111601</v>
      </c>
      <c r="P897">
        <v>-5.52941323776084E-3</v>
      </c>
      <c r="Q897">
        <v>0.85295460376313803</v>
      </c>
      <c r="R897">
        <v>0.28235417222374098</v>
      </c>
      <c r="S897" t="s">
        <v>2899</v>
      </c>
      <c r="T897" t="s">
        <v>4002</v>
      </c>
      <c r="U897" t="s">
        <v>4002</v>
      </c>
      <c r="V897" t="s">
        <v>4002</v>
      </c>
      <c r="W897" t="s">
        <v>4883</v>
      </c>
      <c r="X897">
        <v>3</v>
      </c>
      <c r="Y897" t="s">
        <v>6855</v>
      </c>
      <c r="Z897" t="s">
        <v>8795</v>
      </c>
      <c r="AA897">
        <v>0.9020975681794714</v>
      </c>
      <c r="AB897" t="str">
        <f>HYPERLINK("Melting_Curves/meltCurve_P01344_IGF2.pdf", "Melting_Curves/meltCurve_P01344_IGF2.pdf")</f>
        <v>Melting_Curves/meltCurve_P01344_IGF2.pdf</v>
      </c>
    </row>
    <row r="898" spans="1:28" x14ac:dyDescent="0.25">
      <c r="A898" t="s">
        <v>902</v>
      </c>
      <c r="B898">
        <v>1</v>
      </c>
      <c r="C898">
        <v>0.79105206603497102</v>
      </c>
      <c r="D898">
        <v>0.78177200351665499</v>
      </c>
      <c r="E898">
        <v>0.87095828856110202</v>
      </c>
      <c r="F898">
        <v>0.85752661912669703</v>
      </c>
      <c r="G898">
        <v>1.0072775227117301</v>
      </c>
      <c r="H898">
        <v>0.60701377356647501</v>
      </c>
      <c r="I898">
        <v>1.2849467617466099</v>
      </c>
      <c r="J898">
        <v>0.60418091237667304</v>
      </c>
      <c r="K898">
        <v>0.75554361629383604</v>
      </c>
      <c r="L898">
        <v>10247.538015341001</v>
      </c>
      <c r="M898">
        <v>250</v>
      </c>
      <c r="O898">
        <v>40.987528955335101</v>
      </c>
      <c r="P898">
        <v>-0.243930801611208</v>
      </c>
      <c r="Q898">
        <v>0.84003006744938602</v>
      </c>
      <c r="R898">
        <v>6.1733851100182903E-2</v>
      </c>
      <c r="S898" t="s">
        <v>2900</v>
      </c>
      <c r="T898" t="s">
        <v>4002</v>
      </c>
      <c r="U898" t="s">
        <v>4002</v>
      </c>
      <c r="V898" t="s">
        <v>4002</v>
      </c>
      <c r="W898" t="s">
        <v>4884</v>
      </c>
      <c r="X898">
        <v>10</v>
      </c>
      <c r="Y898" t="s">
        <v>6856</v>
      </c>
      <c r="Z898" t="s">
        <v>8796</v>
      </c>
      <c r="AA898">
        <v>0.84532308815780899</v>
      </c>
      <c r="AB898" t="str">
        <f>HYPERLINK("Melting_Curves/meltCurve_P01591_IGJ.pdf", "Melting_Curves/meltCurve_P01591_IGJ.pdf")</f>
        <v>Melting_Curves/meltCurve_P01591_IGJ.pdf</v>
      </c>
    </row>
    <row r="899" spans="1:28" x14ac:dyDescent="0.25">
      <c r="A899" t="s">
        <v>903</v>
      </c>
      <c r="B899">
        <v>1</v>
      </c>
      <c r="C899">
        <v>0.83605504587155999</v>
      </c>
      <c r="D899">
        <v>0.75821100917431195</v>
      </c>
      <c r="E899">
        <v>0.81444954128440405</v>
      </c>
      <c r="F899">
        <v>0.78064220183486199</v>
      </c>
      <c r="G899">
        <v>0.81142201834862404</v>
      </c>
      <c r="H899">
        <v>0.91188073394495395</v>
      </c>
      <c r="I899">
        <v>1.0293119266055</v>
      </c>
      <c r="J899">
        <v>0.847155963302752</v>
      </c>
      <c r="K899">
        <v>0.866926605504587</v>
      </c>
      <c r="L899">
        <v>10263.117431626501</v>
      </c>
      <c r="M899">
        <v>250</v>
      </c>
      <c r="O899">
        <v>41.049833540571697</v>
      </c>
      <c r="P899">
        <v>-0.22735699350250599</v>
      </c>
      <c r="Q899">
        <v>0.85067249915536303</v>
      </c>
      <c r="R899">
        <v>0.27671866450773502</v>
      </c>
      <c r="S899" t="s">
        <v>2901</v>
      </c>
      <c r="T899" t="s">
        <v>4002</v>
      </c>
      <c r="U899" t="s">
        <v>4002</v>
      </c>
      <c r="V899" t="s">
        <v>4002</v>
      </c>
      <c r="W899" t="s">
        <v>4885</v>
      </c>
      <c r="X899">
        <v>3</v>
      </c>
      <c r="Z899" t="s">
        <v>8797</v>
      </c>
      <c r="AA899">
        <v>0.85592308359822455</v>
      </c>
      <c r="AB899" t="str">
        <f>HYPERLINK("Melting_Curves/meltCurve_P01598_.pdf", "Melting_Curves/meltCurve_P01598_.pdf")</f>
        <v>Melting_Curves/meltCurve_P01598_.pdf</v>
      </c>
    </row>
    <row r="900" spans="1:28" x14ac:dyDescent="0.25">
      <c r="A900" t="s">
        <v>904</v>
      </c>
      <c r="B900">
        <v>1</v>
      </c>
      <c r="C900">
        <v>0.93264892314999204</v>
      </c>
      <c r="D900">
        <v>0.73499808194655003</v>
      </c>
      <c r="E900">
        <v>1.07979102350986</v>
      </c>
      <c r="F900">
        <v>1.21586321538827</v>
      </c>
      <c r="G900">
        <v>0.72758160860749299</v>
      </c>
      <c r="H900">
        <v>1.0664559852401201</v>
      </c>
      <c r="I900">
        <v>1.32886396434247</v>
      </c>
      <c r="J900">
        <v>1.17591290210621</v>
      </c>
      <c r="K900">
        <v>0.95827777067387598</v>
      </c>
      <c r="L900">
        <v>15000</v>
      </c>
      <c r="M900">
        <v>245.62229062799301</v>
      </c>
      <c r="O900">
        <v>61.065323372983499</v>
      </c>
      <c r="P900">
        <v>0.155210138703085</v>
      </c>
      <c r="Q900">
        <v>1.1543501266515701</v>
      </c>
      <c r="R900">
        <v>0.207491889949698</v>
      </c>
      <c r="S900" t="s">
        <v>2902</v>
      </c>
      <c r="T900" t="s">
        <v>4002</v>
      </c>
      <c r="U900" t="s">
        <v>4002</v>
      </c>
      <c r="V900" t="s">
        <v>4002</v>
      </c>
      <c r="W900" t="s">
        <v>4886</v>
      </c>
      <c r="X900">
        <v>1</v>
      </c>
      <c r="Z900" t="s">
        <v>8798</v>
      </c>
      <c r="AA900">
        <v>1.0459309609432561</v>
      </c>
      <c r="AB900" t="str">
        <f>HYPERLINK("Melting_Curves/meltCurve_P01601_.pdf", "Melting_Curves/meltCurve_P01601_.pdf")</f>
        <v>Melting_Curves/meltCurve_P01601_.pdf</v>
      </c>
    </row>
    <row r="901" spans="1:28" x14ac:dyDescent="0.25">
      <c r="A901" t="s">
        <v>905</v>
      </c>
      <c r="B901">
        <v>1</v>
      </c>
      <c r="C901">
        <v>0.76007684371553597</v>
      </c>
      <c r="D901">
        <v>0.79647088121242304</v>
      </c>
      <c r="E901">
        <v>0.79109893628375205</v>
      </c>
      <c r="F901">
        <v>0.71905795296880004</v>
      </c>
      <c r="G901">
        <v>0.81738944821943105</v>
      </c>
      <c r="H901">
        <v>0.70475648368849797</v>
      </c>
      <c r="I901">
        <v>0.84919420826069902</v>
      </c>
      <c r="J901">
        <v>0.57469137998505804</v>
      </c>
      <c r="K901">
        <v>0.70550357536732</v>
      </c>
      <c r="L901">
        <v>5481.3690923396898</v>
      </c>
      <c r="M901">
        <v>130.521273568623</v>
      </c>
      <c r="O901">
        <v>41.986126801671602</v>
      </c>
      <c r="P901">
        <v>-0.19835875824444099</v>
      </c>
      <c r="Q901">
        <v>0.74476756663712196</v>
      </c>
      <c r="R901">
        <v>0.51936597807277796</v>
      </c>
      <c r="S901" t="s">
        <v>2903</v>
      </c>
      <c r="T901" t="s">
        <v>4002</v>
      </c>
      <c r="U901" t="s">
        <v>4002</v>
      </c>
      <c r="V901" t="s">
        <v>4002</v>
      </c>
      <c r="W901" t="s">
        <v>4887</v>
      </c>
      <c r="X901">
        <v>1</v>
      </c>
      <c r="Z901" t="s">
        <v>8799</v>
      </c>
      <c r="AA901">
        <v>0.76182156503303677</v>
      </c>
      <c r="AB901" t="str">
        <f>HYPERLINK("Melting_Curves/meltCurve_P01603_.pdf", "Melting_Curves/meltCurve_P01603_.pdf")</f>
        <v>Melting_Curves/meltCurve_P01603_.pdf</v>
      </c>
    </row>
    <row r="902" spans="1:28" x14ac:dyDescent="0.25">
      <c r="A902" t="s">
        <v>906</v>
      </c>
      <c r="B902">
        <v>1</v>
      </c>
      <c r="C902">
        <v>0.96872329820563896</v>
      </c>
      <c r="D902">
        <v>1.07759541441185</v>
      </c>
      <c r="E902">
        <v>1.08094203930504</v>
      </c>
      <c r="F902">
        <v>1.06383508971803</v>
      </c>
      <c r="G902">
        <v>1.31365707775563</v>
      </c>
      <c r="H902">
        <v>1.2740494161207601</v>
      </c>
      <c r="I902">
        <v>1.56821418399316</v>
      </c>
      <c r="J902">
        <v>1.0487040729137</v>
      </c>
      <c r="K902">
        <v>1.2867416690401601</v>
      </c>
      <c r="L902">
        <v>5770.6438960469104</v>
      </c>
      <c r="M902">
        <v>107.585850658243</v>
      </c>
      <c r="O902">
        <v>53.619047338084897</v>
      </c>
      <c r="P902">
        <v>0.14966564325689499</v>
      </c>
      <c r="Q902">
        <v>1.29836372880116</v>
      </c>
      <c r="R902">
        <v>0.52565319609500505</v>
      </c>
      <c r="S902" t="s">
        <v>2904</v>
      </c>
      <c r="T902" t="s">
        <v>4002</v>
      </c>
      <c r="U902" t="s">
        <v>4002</v>
      </c>
      <c r="V902" t="s">
        <v>4002</v>
      </c>
      <c r="W902" t="s">
        <v>4888</v>
      </c>
      <c r="X902">
        <v>1</v>
      </c>
      <c r="Z902" t="s">
        <v>8800</v>
      </c>
      <c r="AA902">
        <v>1.162580023033734</v>
      </c>
      <c r="AB902" t="str">
        <f>HYPERLINK("Melting_Curves/meltCurve_P01604_.pdf", "Melting_Curves/meltCurve_P01604_.pdf")</f>
        <v>Melting_Curves/meltCurve_P01604_.pdf</v>
      </c>
    </row>
    <row r="903" spans="1:28" x14ac:dyDescent="0.25">
      <c r="A903" t="s">
        <v>907</v>
      </c>
      <c r="B903">
        <v>1</v>
      </c>
      <c r="C903">
        <v>0.828809077742788</v>
      </c>
      <c r="D903">
        <v>0.86978647639547702</v>
      </c>
      <c r="E903">
        <v>1.0094471240084499</v>
      </c>
      <c r="F903">
        <v>1.04641182019904</v>
      </c>
      <c r="G903">
        <v>0.98968921486560102</v>
      </c>
      <c r="H903">
        <v>0.94980135794103204</v>
      </c>
      <c r="I903">
        <v>1.1507420842136</v>
      </c>
      <c r="J903">
        <v>1.0662095906246301</v>
      </c>
      <c r="K903">
        <v>0.88995628545993299</v>
      </c>
      <c r="L903">
        <v>12477.478549270299</v>
      </c>
      <c r="M903">
        <v>250</v>
      </c>
      <c r="O903">
        <v>49.906711056599796</v>
      </c>
      <c r="P903">
        <v>1.9371621066672898E-2</v>
      </c>
      <c r="Q903">
        <v>1.0154683851774999</v>
      </c>
      <c r="R903">
        <v>-2.8259102105343301E-2</v>
      </c>
      <c r="S903" t="s">
        <v>2905</v>
      </c>
      <c r="T903" t="s">
        <v>4002</v>
      </c>
      <c r="U903" t="s">
        <v>4002</v>
      </c>
      <c r="V903" t="s">
        <v>4002</v>
      </c>
      <c r="W903" t="s">
        <v>4889</v>
      </c>
      <c r="X903">
        <v>2</v>
      </c>
      <c r="Z903" t="s">
        <v>8801</v>
      </c>
      <c r="AA903">
        <v>1.010357351288395</v>
      </c>
      <c r="AB903" t="str">
        <f>HYPERLINK("Melting_Curves/meltCurve_P01611_.pdf", "Melting_Curves/meltCurve_P01611_.pdf")</f>
        <v>Melting_Curves/meltCurve_P01611_.pdf</v>
      </c>
    </row>
    <row r="904" spans="1:28" x14ac:dyDescent="0.25">
      <c r="A904" t="s">
        <v>908</v>
      </c>
      <c r="B904">
        <v>1</v>
      </c>
      <c r="C904">
        <v>0.75088437475863101</v>
      </c>
      <c r="D904">
        <v>0.83069436935197305</v>
      </c>
      <c r="E904">
        <v>0.66620838804356197</v>
      </c>
      <c r="F904">
        <v>0.77886769135707101</v>
      </c>
      <c r="G904">
        <v>0.90298910944620403</v>
      </c>
      <c r="H904">
        <v>0.88761875337916096</v>
      </c>
      <c r="I904">
        <v>1.1538580366108</v>
      </c>
      <c r="J904">
        <v>1.1038850699003599</v>
      </c>
      <c r="K904">
        <v>0.71240441801189502</v>
      </c>
      <c r="S904" t="s">
        <v>2906</v>
      </c>
      <c r="T904" t="s">
        <v>4002</v>
      </c>
      <c r="U904" t="s">
        <v>4003</v>
      </c>
      <c r="V904" t="s">
        <v>4002</v>
      </c>
      <c r="W904" t="s">
        <v>4890</v>
      </c>
      <c r="X904">
        <v>1</v>
      </c>
      <c r="Z904" t="s">
        <v>8802</v>
      </c>
      <c r="AB904" t="str">
        <f>HYPERLINK("Melting_Curves/meltCurve_P01612_.pdf", "Melting_Curves/meltCurve_P01612_.pdf")</f>
        <v>Melting_Curves/meltCurve_P01612_.pdf</v>
      </c>
    </row>
    <row r="905" spans="1:28" x14ac:dyDescent="0.25">
      <c r="A905" t="s">
        <v>909</v>
      </c>
      <c r="B905">
        <v>1</v>
      </c>
      <c r="C905">
        <v>0.87967596243458301</v>
      </c>
      <c r="D905">
        <v>0.89150476736683604</v>
      </c>
      <c r="E905">
        <v>1.0778693813176601</v>
      </c>
      <c r="F905">
        <v>0.97807728152555695</v>
      </c>
      <c r="G905">
        <v>1.06780414366621</v>
      </c>
      <c r="H905">
        <v>1.0366621263172999</v>
      </c>
      <c r="I905">
        <v>1.11831672521328</v>
      </c>
      <c r="J905">
        <v>1.2309699620044401</v>
      </c>
      <c r="K905">
        <v>1.0425980357014799</v>
      </c>
      <c r="L905">
        <v>1347.28016587145</v>
      </c>
      <c r="M905">
        <v>22.654916873193301</v>
      </c>
      <c r="O905">
        <v>59.012099028507002</v>
      </c>
      <c r="P905">
        <v>1.2753950911036E-2</v>
      </c>
      <c r="Q905">
        <v>1.1328846371321999</v>
      </c>
      <c r="R905">
        <v>0.431876516521077</v>
      </c>
      <c r="S905" t="s">
        <v>2907</v>
      </c>
      <c r="T905" t="s">
        <v>4002</v>
      </c>
      <c r="U905" t="s">
        <v>4002</v>
      </c>
      <c r="V905" t="s">
        <v>4002</v>
      </c>
      <c r="W905" t="s">
        <v>4891</v>
      </c>
      <c r="X905">
        <v>2</v>
      </c>
      <c r="Z905" t="s">
        <v>8803</v>
      </c>
      <c r="AA905">
        <v>1.0454975886785201</v>
      </c>
      <c r="AB905" t="str">
        <f>HYPERLINK("Melting_Curves/meltCurve_P01613_.pdf", "Melting_Curves/meltCurve_P01613_.pdf")</f>
        <v>Melting_Curves/meltCurve_P01613_.pdf</v>
      </c>
    </row>
    <row r="906" spans="1:28" x14ac:dyDescent="0.25">
      <c r="A906" t="s">
        <v>910</v>
      </c>
      <c r="B906">
        <v>1</v>
      </c>
      <c r="C906">
        <v>0.733522486384242</v>
      </c>
      <c r="D906">
        <v>0.69880094359108202</v>
      </c>
      <c r="E906">
        <v>0.73044603159073396</v>
      </c>
      <c r="F906">
        <v>0.67395014621313398</v>
      </c>
      <c r="G906">
        <v>0.78231092848057904</v>
      </c>
      <c r="H906">
        <v>0.87964865364336997</v>
      </c>
      <c r="I906">
        <v>0.94674363239082904</v>
      </c>
      <c r="J906">
        <v>0.80848797138788298</v>
      </c>
      <c r="K906">
        <v>0.80548761264933899</v>
      </c>
      <c r="L906">
        <v>10251.003332668601</v>
      </c>
      <c r="M906">
        <v>250</v>
      </c>
      <c r="O906">
        <v>41.001389597291698</v>
      </c>
      <c r="P906">
        <v>-0.32868185923155002</v>
      </c>
      <c r="Q906">
        <v>0.78437739415258101</v>
      </c>
      <c r="R906">
        <v>0.404960322345084</v>
      </c>
      <c r="S906" t="s">
        <v>2908</v>
      </c>
      <c r="T906" t="s">
        <v>4002</v>
      </c>
      <c r="U906" t="s">
        <v>4002</v>
      </c>
      <c r="V906" t="s">
        <v>4002</v>
      </c>
      <c r="W906" t="s">
        <v>4892</v>
      </c>
      <c r="X906">
        <v>3</v>
      </c>
      <c r="Z906" t="s">
        <v>8804</v>
      </c>
      <c r="AA906">
        <v>0.79161127007058307</v>
      </c>
      <c r="AB906" t="str">
        <f>HYPERLINK("Melting_Curves/meltCurve_P01617_.pdf", "Melting_Curves/meltCurve_P01617_.pdf")</f>
        <v>Melting_Curves/meltCurve_P01617_.pdf</v>
      </c>
    </row>
    <row r="907" spans="1:28" x14ac:dyDescent="0.25">
      <c r="A907" t="s">
        <v>911</v>
      </c>
      <c r="B907">
        <v>1</v>
      </c>
      <c r="C907">
        <v>0.85915492957746498</v>
      </c>
      <c r="D907">
        <v>0.87145497418902595</v>
      </c>
      <c r="E907">
        <v>0.89414313937926204</v>
      </c>
      <c r="F907">
        <v>0.91268880249824702</v>
      </c>
      <c r="G907">
        <v>0.97622841119112902</v>
      </c>
      <c r="H907">
        <v>1.03141928494041</v>
      </c>
      <c r="I907">
        <v>1.0762220381110199</v>
      </c>
      <c r="J907">
        <v>0.98967561022242001</v>
      </c>
      <c r="K907">
        <v>0.93308265884902197</v>
      </c>
      <c r="L907">
        <v>15000</v>
      </c>
      <c r="M907">
        <v>222.178440936763</v>
      </c>
      <c r="O907">
        <v>67.507831198266601</v>
      </c>
      <c r="P907">
        <v>-5.50793819933037E-2</v>
      </c>
      <c r="Q907">
        <v>0.933057598245011</v>
      </c>
      <c r="R907">
        <v>-0.34957837069294501</v>
      </c>
      <c r="S907" t="s">
        <v>2909</v>
      </c>
      <c r="T907" t="s">
        <v>4002</v>
      </c>
      <c r="U907" t="s">
        <v>4002</v>
      </c>
      <c r="V907" t="s">
        <v>4002</v>
      </c>
      <c r="W907" t="s">
        <v>4893</v>
      </c>
      <c r="X907">
        <v>5</v>
      </c>
      <c r="Z907" t="s">
        <v>8805</v>
      </c>
      <c r="AA907">
        <v>0.99446091527177805</v>
      </c>
      <c r="AB907" t="str">
        <f>HYPERLINK("Melting_Curves/meltCurve_P01623_.pdf", "Melting_Curves/meltCurve_P01623_.pdf")</f>
        <v>Melting_Curves/meltCurve_P01623_.pdf</v>
      </c>
    </row>
    <row r="908" spans="1:28" x14ac:dyDescent="0.25">
      <c r="A908" t="s">
        <v>912</v>
      </c>
      <c r="B908">
        <v>1</v>
      </c>
      <c r="C908">
        <v>1.0097162667639801</v>
      </c>
      <c r="D908">
        <v>0.92327342395766798</v>
      </c>
      <c r="E908">
        <v>1.11559164309826</v>
      </c>
      <c r="F908">
        <v>1.1772192318219099</v>
      </c>
      <c r="G908">
        <v>1.1774016969254599</v>
      </c>
      <c r="H908">
        <v>1.4281543654776001</v>
      </c>
      <c r="I908">
        <v>1.5190219870449799</v>
      </c>
      <c r="J908">
        <v>1.46898093239668</v>
      </c>
      <c r="K908">
        <v>1.2237478332269001</v>
      </c>
      <c r="L908">
        <v>1058.5874962154101</v>
      </c>
      <c r="M908">
        <v>19.402778707881399</v>
      </c>
      <c r="O908">
        <v>53.988922842820102</v>
      </c>
      <c r="P908">
        <v>3.7102993599228702E-2</v>
      </c>
      <c r="Q908">
        <v>1.41294645216514</v>
      </c>
      <c r="R908">
        <v>0.78759973347859902</v>
      </c>
      <c r="S908" t="s">
        <v>2910</v>
      </c>
      <c r="T908" t="s">
        <v>4002</v>
      </c>
      <c r="U908" t="s">
        <v>4002</v>
      </c>
      <c r="V908" t="s">
        <v>4002</v>
      </c>
      <c r="W908" t="s">
        <v>4894</v>
      </c>
      <c r="X908">
        <v>2</v>
      </c>
      <c r="Z908" t="s">
        <v>8806</v>
      </c>
      <c r="AA908">
        <v>1.2067303284324591</v>
      </c>
      <c r="AB908" t="str">
        <f>HYPERLINK("Melting_Curves/meltCurve_P01624_.pdf", "Melting_Curves/meltCurve_P01624_.pdf")</f>
        <v>Melting_Curves/meltCurve_P01624_.pdf</v>
      </c>
    </row>
    <row r="909" spans="1:28" x14ac:dyDescent="0.25">
      <c r="A909" t="s">
        <v>913</v>
      </c>
      <c r="B909">
        <v>1</v>
      </c>
      <c r="C909">
        <v>0.72524761455574505</v>
      </c>
      <c r="D909">
        <v>0.73794579690164397</v>
      </c>
      <c r="E909">
        <v>0.76736929942314003</v>
      </c>
      <c r="F909">
        <v>0.70928418532090098</v>
      </c>
      <c r="G909">
        <v>0.82588977977723799</v>
      </c>
      <c r="H909">
        <v>0.91942096288502695</v>
      </c>
      <c r="I909">
        <v>0.89489533069694904</v>
      </c>
      <c r="J909">
        <v>0.92000145122083998</v>
      </c>
      <c r="K909">
        <v>0.77799949207270602</v>
      </c>
      <c r="L909">
        <v>10242.623141198699</v>
      </c>
      <c r="M909">
        <v>250</v>
      </c>
      <c r="O909">
        <v>40.967871388155402</v>
      </c>
      <c r="P909">
        <v>-0.29188633477065301</v>
      </c>
      <c r="Q909">
        <v>0.80867261415494296</v>
      </c>
      <c r="R909">
        <v>0.36677803253886199</v>
      </c>
      <c r="S909" t="s">
        <v>2911</v>
      </c>
      <c r="T909" t="s">
        <v>4002</v>
      </c>
      <c r="U909" t="s">
        <v>4002</v>
      </c>
      <c r="V909" t="s">
        <v>4002</v>
      </c>
      <c r="W909" t="s">
        <v>4895</v>
      </c>
      <c r="X909">
        <v>1</v>
      </c>
      <c r="Z909" t="s">
        <v>8807</v>
      </c>
      <c r="AA909">
        <v>0.81487805676560543</v>
      </c>
      <c r="AB909" t="str">
        <f>HYPERLINK("Melting_Curves/meltCurve_P01625_.pdf", "Melting_Curves/meltCurve_P01625_.pdf")</f>
        <v>Melting_Curves/meltCurve_P01625_.pdf</v>
      </c>
    </row>
    <row r="910" spans="1:28" x14ac:dyDescent="0.25">
      <c r="A910" t="s">
        <v>914</v>
      </c>
      <c r="B910">
        <v>1</v>
      </c>
      <c r="C910">
        <v>0.81667499205303995</v>
      </c>
      <c r="D910">
        <v>0.83179692112074799</v>
      </c>
      <c r="E910">
        <v>0.80791063076154601</v>
      </c>
      <c r="F910">
        <v>0.65065165069706199</v>
      </c>
      <c r="G910">
        <v>0.81603923527541899</v>
      </c>
      <c r="H910">
        <v>0.72689705281322403</v>
      </c>
      <c r="I910">
        <v>0.92929476408882405</v>
      </c>
      <c r="J910">
        <v>0.78738476908405597</v>
      </c>
      <c r="K910">
        <v>0.855410744289542</v>
      </c>
      <c r="L910">
        <v>5104.3886924663202</v>
      </c>
      <c r="M910">
        <v>121.420180722658</v>
      </c>
      <c r="O910">
        <v>42.027642939722398</v>
      </c>
      <c r="P910">
        <v>-0.14396897349556501</v>
      </c>
      <c r="Q910">
        <v>0.80066980926728404</v>
      </c>
      <c r="R910">
        <v>0.41947705398538698</v>
      </c>
      <c r="S910" t="s">
        <v>2912</v>
      </c>
      <c r="T910" t="s">
        <v>4002</v>
      </c>
      <c r="U910" t="s">
        <v>4002</v>
      </c>
      <c r="V910" t="s">
        <v>4002</v>
      </c>
      <c r="W910" t="s">
        <v>4896</v>
      </c>
      <c r="X910">
        <v>2</v>
      </c>
      <c r="Z910" t="s">
        <v>8808</v>
      </c>
      <c r="AA910">
        <v>0.81428452120841155</v>
      </c>
      <c r="AB910" t="str">
        <f>HYPERLINK("Melting_Curves/meltCurve_P01699_.pdf", "Melting_Curves/meltCurve_P01699_.pdf")</f>
        <v>Melting_Curves/meltCurve_P01699_.pdf</v>
      </c>
    </row>
    <row r="911" spans="1:28" x14ac:dyDescent="0.25">
      <c r="A911" t="s">
        <v>915</v>
      </c>
      <c r="B911">
        <v>1</v>
      </c>
      <c r="C911">
        <v>0.767634548717823</v>
      </c>
      <c r="D911">
        <v>0.677648562928724</v>
      </c>
      <c r="E911">
        <v>0.628918447127087</v>
      </c>
      <c r="F911">
        <v>0.61974774420377199</v>
      </c>
      <c r="G911">
        <v>0.66995304010031198</v>
      </c>
      <c r="H911">
        <v>0.46485383423893001</v>
      </c>
      <c r="I911">
        <v>0.78848376072578896</v>
      </c>
      <c r="J911">
        <v>0.36439406977601901</v>
      </c>
      <c r="K911">
        <v>0.49191109581294701</v>
      </c>
      <c r="L911">
        <v>743.51671505303898</v>
      </c>
      <c r="M911">
        <v>16.983514914826301</v>
      </c>
      <c r="O911">
        <v>43.185288229124197</v>
      </c>
      <c r="P911">
        <v>-4.3301472417295497E-2</v>
      </c>
      <c r="Q911">
        <v>0.55960339960612104</v>
      </c>
      <c r="R911">
        <v>0.58182663702916504</v>
      </c>
      <c r="S911" t="s">
        <v>2913</v>
      </c>
      <c r="T911" t="s">
        <v>4002</v>
      </c>
      <c r="U911" t="s">
        <v>4002</v>
      </c>
      <c r="V911" t="s">
        <v>4002</v>
      </c>
      <c r="W911" t="s">
        <v>4897</v>
      </c>
      <c r="X911">
        <v>2</v>
      </c>
      <c r="Z911" t="s">
        <v>8809</v>
      </c>
      <c r="AA911">
        <v>0.62781487332043784</v>
      </c>
      <c r="AB911" t="str">
        <f>HYPERLINK("Melting_Curves/meltCurve_P01700_.pdf", "Melting_Curves/meltCurve_P01700_.pdf")</f>
        <v>Melting_Curves/meltCurve_P01700_.pdf</v>
      </c>
    </row>
    <row r="912" spans="1:28" x14ac:dyDescent="0.25">
      <c r="A912" t="s">
        <v>916</v>
      </c>
      <c r="B912">
        <v>1</v>
      </c>
      <c r="C912">
        <v>0.665882444289153</v>
      </c>
      <c r="D912">
        <v>0.66759065144809404</v>
      </c>
      <c r="E912">
        <v>0.69249941765665002</v>
      </c>
      <c r="F912">
        <v>0.58267722649274001</v>
      </c>
      <c r="G912">
        <v>0.71554468514636205</v>
      </c>
      <c r="H912">
        <v>0.83158630328441696</v>
      </c>
      <c r="I912">
        <v>0.65310971348707203</v>
      </c>
      <c r="J912">
        <v>0.74360587002096401</v>
      </c>
      <c r="K912">
        <v>0.62212128270828504</v>
      </c>
      <c r="L912">
        <v>10268.858419497399</v>
      </c>
      <c r="M912">
        <v>250</v>
      </c>
      <c r="O912">
        <v>41.072805523330999</v>
      </c>
      <c r="P912">
        <v>-0.47770677328144401</v>
      </c>
      <c r="Q912">
        <v>0.68606788509114403</v>
      </c>
      <c r="R912">
        <v>0.67859026024261404</v>
      </c>
      <c r="S912" t="s">
        <v>2914</v>
      </c>
      <c r="T912" t="s">
        <v>4002</v>
      </c>
      <c r="U912" t="s">
        <v>4002</v>
      </c>
      <c r="V912" t="s">
        <v>4002</v>
      </c>
      <c r="W912" t="s">
        <v>4898</v>
      </c>
      <c r="X912">
        <v>1</v>
      </c>
      <c r="Z912" t="s">
        <v>8810</v>
      </c>
      <c r="AA912">
        <v>0.69734623578124633</v>
      </c>
      <c r="AB912" t="str">
        <f>HYPERLINK("Melting_Curves/meltCurve_P01701_.pdf", "Melting_Curves/meltCurve_P01701_.pdf")</f>
        <v>Melting_Curves/meltCurve_P01701_.pdf</v>
      </c>
    </row>
    <row r="913" spans="1:28" x14ac:dyDescent="0.25">
      <c r="A913" t="s">
        <v>917</v>
      </c>
      <c r="B913">
        <v>1</v>
      </c>
      <c r="C913">
        <v>0.66177647372632697</v>
      </c>
      <c r="D913">
        <v>0.65015432686811703</v>
      </c>
      <c r="E913">
        <v>0.60176046945852202</v>
      </c>
      <c r="F913">
        <v>0.57539153298022305</v>
      </c>
      <c r="G913">
        <v>0.59048127119612803</v>
      </c>
      <c r="H913">
        <v>0.53869603322790804</v>
      </c>
      <c r="I913">
        <v>0.68452539724879002</v>
      </c>
      <c r="J913">
        <v>0.55252829325915498</v>
      </c>
      <c r="K913">
        <v>0.55828220858895705</v>
      </c>
      <c r="L913">
        <v>3772.9903401070101</v>
      </c>
      <c r="M913">
        <v>89.547258090663703</v>
      </c>
      <c r="O913">
        <v>42.113069223284803</v>
      </c>
      <c r="P913">
        <v>-0.21587456071667299</v>
      </c>
      <c r="Q913">
        <v>0.59390652066100902</v>
      </c>
      <c r="R913">
        <v>0.89195370468311297</v>
      </c>
      <c r="S913" t="s">
        <v>2915</v>
      </c>
      <c r="T913" t="s">
        <v>4002</v>
      </c>
      <c r="U913" t="s">
        <v>4002</v>
      </c>
      <c r="V913" t="s">
        <v>4002</v>
      </c>
      <c r="W913" t="s">
        <v>4899</v>
      </c>
      <c r="X913">
        <v>2</v>
      </c>
      <c r="Z913" t="s">
        <v>8811</v>
      </c>
      <c r="AA913">
        <v>0.62307576196135617</v>
      </c>
      <c r="AB913" t="str">
        <f>HYPERLINK("Melting_Curves/meltCurve_P01702_.pdf", "Melting_Curves/meltCurve_P01702_.pdf")</f>
        <v>Melting_Curves/meltCurve_P01702_.pdf</v>
      </c>
    </row>
    <row r="914" spans="1:28" x14ac:dyDescent="0.25">
      <c r="A914" t="s">
        <v>918</v>
      </c>
      <c r="B914">
        <v>1</v>
      </c>
      <c r="C914">
        <v>0.80818069878405396</v>
      </c>
      <c r="D914">
        <v>0.79986917038633198</v>
      </c>
      <c r="E914">
        <v>0.78251500692627396</v>
      </c>
      <c r="F914">
        <v>0.65626442973680199</v>
      </c>
      <c r="G914">
        <v>0.77135601046636904</v>
      </c>
      <c r="H914">
        <v>0.56999384331229797</v>
      </c>
      <c r="I914">
        <v>0.90245497922117901</v>
      </c>
      <c r="J914">
        <v>0.54948437740495604</v>
      </c>
      <c r="K914">
        <v>0.54117284900723395</v>
      </c>
      <c r="L914">
        <v>291.47262549991802</v>
      </c>
      <c r="M914">
        <v>5.9188046869633499</v>
      </c>
      <c r="O914">
        <v>44.502047792818402</v>
      </c>
      <c r="P914">
        <v>-1.4792325907833701E-2</v>
      </c>
      <c r="Q914">
        <v>0.55662764967868705</v>
      </c>
      <c r="R914">
        <v>0.48229354539968999</v>
      </c>
      <c r="S914" t="s">
        <v>2916</v>
      </c>
      <c r="T914" t="s">
        <v>4002</v>
      </c>
      <c r="U914" t="s">
        <v>4002</v>
      </c>
      <c r="V914" t="s">
        <v>4002</v>
      </c>
      <c r="W914" t="s">
        <v>4900</v>
      </c>
      <c r="X914">
        <v>2</v>
      </c>
      <c r="Z914" t="s">
        <v>8812</v>
      </c>
      <c r="AA914">
        <v>0.73221916874015613</v>
      </c>
      <c r="AB914" t="str">
        <f>HYPERLINK("Melting_Curves/meltCurve_P01714_.pdf", "Melting_Curves/meltCurve_P01714_.pdf")</f>
        <v>Melting_Curves/meltCurve_P01714_.pdf</v>
      </c>
    </row>
    <row r="915" spans="1:28" x14ac:dyDescent="0.25">
      <c r="A915" t="s">
        <v>919</v>
      </c>
      <c r="B915">
        <v>1</v>
      </c>
      <c r="C915">
        <v>0.82394059405940601</v>
      </c>
      <c r="D915">
        <v>0.73506930693069295</v>
      </c>
      <c r="E915">
        <v>0.67616831683168299</v>
      </c>
      <c r="F915">
        <v>0.70787128712871294</v>
      </c>
      <c r="G915">
        <v>0.80914851485148498</v>
      </c>
      <c r="H915">
        <v>0.70518811881188104</v>
      </c>
      <c r="I915">
        <v>0.88725742574257405</v>
      </c>
      <c r="J915">
        <v>0.79177227722772303</v>
      </c>
      <c r="K915">
        <v>0.76999009900990101</v>
      </c>
      <c r="L915">
        <v>10681.340741378201</v>
      </c>
      <c r="M915">
        <v>250</v>
      </c>
      <c r="O915">
        <v>42.722628225838498</v>
      </c>
      <c r="P915">
        <v>-0.35065116374333599</v>
      </c>
      <c r="Q915">
        <v>0.76030816802583601</v>
      </c>
      <c r="R915">
        <v>0.61249004887532699</v>
      </c>
      <c r="S915" t="s">
        <v>2917</v>
      </c>
      <c r="T915" t="s">
        <v>4002</v>
      </c>
      <c r="U915" t="s">
        <v>4002</v>
      </c>
      <c r="V915" t="s">
        <v>4002</v>
      </c>
      <c r="W915" t="s">
        <v>4901</v>
      </c>
      <c r="X915">
        <v>1</v>
      </c>
      <c r="Z915" t="s">
        <v>8813</v>
      </c>
      <c r="AA915">
        <v>0.78210104879613573</v>
      </c>
      <c r="AB915" t="str">
        <f>HYPERLINK("Melting_Curves/meltCurve_P01717_.pdf", "Melting_Curves/meltCurve_P01717_.pdf")</f>
        <v>Melting_Curves/meltCurve_P01717_.pdf</v>
      </c>
    </row>
    <row r="916" spans="1:28" x14ac:dyDescent="0.25">
      <c r="A916" t="s">
        <v>920</v>
      </c>
      <c r="B916">
        <v>1</v>
      </c>
      <c r="C916">
        <v>0.87669582857867401</v>
      </c>
      <c r="D916">
        <v>0.64403448713072098</v>
      </c>
      <c r="E916">
        <v>0.37705084315963</v>
      </c>
      <c r="F916">
        <v>0.33064536579180898</v>
      </c>
      <c r="G916">
        <v>0.34031951312286002</v>
      </c>
      <c r="H916">
        <v>0.37500316977304399</v>
      </c>
      <c r="I916">
        <v>0.36863826550019002</v>
      </c>
      <c r="J916">
        <v>0.33793584379358399</v>
      </c>
      <c r="K916">
        <v>0.34622163053125399</v>
      </c>
      <c r="L916">
        <v>1268.48393170601</v>
      </c>
      <c r="M916">
        <v>27.865091707352502</v>
      </c>
      <c r="N916">
        <v>47.5266326425998</v>
      </c>
      <c r="O916">
        <v>45.289814653387197</v>
      </c>
      <c r="P916">
        <v>-0.100656003534506</v>
      </c>
      <c r="Q916">
        <v>0.345611079663455</v>
      </c>
      <c r="R916">
        <v>0.99363221845055405</v>
      </c>
      <c r="S916" t="s">
        <v>2918</v>
      </c>
      <c r="T916" t="s">
        <v>4002</v>
      </c>
      <c r="U916" t="s">
        <v>4002</v>
      </c>
      <c r="V916" t="s">
        <v>4002</v>
      </c>
      <c r="W916" t="s">
        <v>4902</v>
      </c>
      <c r="X916">
        <v>2</v>
      </c>
      <c r="Z916" t="s">
        <v>8814</v>
      </c>
      <c r="AA916">
        <v>0.47089658169051102</v>
      </c>
      <c r="AB916" t="str">
        <f>HYPERLINK("Melting_Curves/meltCurve_P01719_.pdf", "Melting_Curves/meltCurve_P01719_.pdf")</f>
        <v>Melting_Curves/meltCurve_P01719_.pdf</v>
      </c>
    </row>
    <row r="917" spans="1:28" x14ac:dyDescent="0.25">
      <c r="A917" t="s">
        <v>921</v>
      </c>
      <c r="B917">
        <v>1</v>
      </c>
      <c r="C917">
        <v>1.0610399499605701</v>
      </c>
      <c r="D917">
        <v>1.1322373609637999</v>
      </c>
      <c r="E917">
        <v>1.3752685540235501</v>
      </c>
      <c r="F917">
        <v>1.29347855647113</v>
      </c>
      <c r="G917">
        <v>1.2990128090071</v>
      </c>
      <c r="H917">
        <v>1.2681324957167299</v>
      </c>
      <c r="I917">
        <v>1.5956868184166899</v>
      </c>
      <c r="J917">
        <v>1.3158875200565701</v>
      </c>
      <c r="K917">
        <v>1.33327894264502</v>
      </c>
      <c r="L917">
        <v>1438.2348651750401</v>
      </c>
      <c r="M917">
        <v>30.9858338784281</v>
      </c>
      <c r="O917">
        <v>46.223840634242897</v>
      </c>
      <c r="P917">
        <v>6.0191095020176999E-2</v>
      </c>
      <c r="Q917">
        <v>1.3591638261754699</v>
      </c>
      <c r="R917">
        <v>0.70024769111998897</v>
      </c>
      <c r="S917" t="s">
        <v>2919</v>
      </c>
      <c r="T917" t="s">
        <v>4002</v>
      </c>
      <c r="U917" t="s">
        <v>4002</v>
      </c>
      <c r="V917" t="s">
        <v>4002</v>
      </c>
      <c r="W917" t="s">
        <v>4903</v>
      </c>
      <c r="X917">
        <v>2</v>
      </c>
      <c r="Z917" t="s">
        <v>8815</v>
      </c>
      <c r="AA917">
        <v>1.2803335213948031</v>
      </c>
      <c r="AB917" t="str">
        <f>HYPERLINK("Melting_Curves/meltCurve_P01743_.pdf", "Melting_Curves/meltCurve_P01743_.pdf")</f>
        <v>Melting_Curves/meltCurve_P01743_.pdf</v>
      </c>
    </row>
    <row r="918" spans="1:28" x14ac:dyDescent="0.25">
      <c r="A918" t="s">
        <v>922</v>
      </c>
      <c r="B918">
        <v>1</v>
      </c>
      <c r="C918">
        <v>1.0157508573251499</v>
      </c>
      <c r="D918">
        <v>1.0249621181912401</v>
      </c>
      <c r="E918">
        <v>1.31964271473004</v>
      </c>
      <c r="F918">
        <v>1.29946566711859</v>
      </c>
      <c r="G918">
        <v>1.4934205279527899</v>
      </c>
      <c r="H918">
        <v>1.7733471568705601</v>
      </c>
      <c r="I918">
        <v>1.78842012919691</v>
      </c>
      <c r="J918">
        <v>1.7230241646064299</v>
      </c>
      <c r="K918">
        <v>1.5619666640082901</v>
      </c>
      <c r="L918">
        <v>1301.4422750839699</v>
      </c>
      <c r="M918">
        <v>26.11540315973</v>
      </c>
      <c r="O918">
        <v>49.544833610769103</v>
      </c>
      <c r="P918">
        <v>6.5889064953957396E-2</v>
      </c>
      <c r="Q918">
        <v>1.5</v>
      </c>
      <c r="R918">
        <v>0.74034077702726797</v>
      </c>
      <c r="S918" t="s">
        <v>2920</v>
      </c>
      <c r="T918" t="s">
        <v>4002</v>
      </c>
      <c r="U918" t="s">
        <v>4002</v>
      </c>
      <c r="V918" t="s">
        <v>4002</v>
      </c>
      <c r="W918" t="s">
        <v>4904</v>
      </c>
      <c r="X918">
        <v>3</v>
      </c>
      <c r="Z918" t="s">
        <v>8816</v>
      </c>
      <c r="AA918">
        <v>1.3320105094427019</v>
      </c>
      <c r="AB918" t="str">
        <f>HYPERLINK("Melting_Curves/meltCurve_P01764_.pdf", "Melting_Curves/meltCurve_P01764_.pdf")</f>
        <v>Melting_Curves/meltCurve_P01764_.pdf</v>
      </c>
    </row>
    <row r="919" spans="1:28" x14ac:dyDescent="0.25">
      <c r="A919" t="s">
        <v>923</v>
      </c>
      <c r="B919">
        <v>1</v>
      </c>
      <c r="C919">
        <v>0.96093588034947397</v>
      </c>
      <c r="D919">
        <v>1.1392862431511901</v>
      </c>
      <c r="E919">
        <v>1.31362357470754</v>
      </c>
      <c r="F919">
        <v>1.22422626980601</v>
      </c>
      <c r="G919">
        <v>1.33592477417444</v>
      </c>
      <c r="H919">
        <v>1.39389900784836</v>
      </c>
      <c r="I919">
        <v>1.6483044572782499</v>
      </c>
      <c r="J919">
        <v>1.3715237672145699</v>
      </c>
      <c r="K919">
        <v>1.26164667555161</v>
      </c>
      <c r="L919">
        <v>811.40955654088702</v>
      </c>
      <c r="M919">
        <v>16.632284744982702</v>
      </c>
      <c r="O919">
        <v>48.096340291956103</v>
      </c>
      <c r="P919">
        <v>3.5253802294107697E-2</v>
      </c>
      <c r="Q919">
        <v>1.4077526825655</v>
      </c>
      <c r="R919">
        <v>0.70781095282400497</v>
      </c>
      <c r="S919" t="s">
        <v>2921</v>
      </c>
      <c r="T919" t="s">
        <v>4002</v>
      </c>
      <c r="U919" t="s">
        <v>4002</v>
      </c>
      <c r="V919" t="s">
        <v>4002</v>
      </c>
      <c r="W919" t="s">
        <v>4905</v>
      </c>
      <c r="X919">
        <v>3</v>
      </c>
      <c r="Z919" t="s">
        <v>8817</v>
      </c>
      <c r="AA919">
        <v>1.2800423822065909</v>
      </c>
      <c r="AB919" t="str">
        <f>HYPERLINK("Melting_Curves/meltCurve_P01765_.pdf", "Melting_Curves/meltCurve_P01765_.pdf")</f>
        <v>Melting_Curves/meltCurve_P01765_.pdf</v>
      </c>
    </row>
    <row r="920" spans="1:28" x14ac:dyDescent="0.25">
      <c r="A920" t="s">
        <v>924</v>
      </c>
      <c r="B920">
        <v>1</v>
      </c>
      <c r="C920">
        <v>0.92440499845454105</v>
      </c>
      <c r="D920">
        <v>1.0589040491014301</v>
      </c>
      <c r="E920">
        <v>1.17852254161699</v>
      </c>
      <c r="F920">
        <v>1.2162096524926</v>
      </c>
      <c r="G920">
        <v>1.2992007771448799</v>
      </c>
      <c r="H920">
        <v>1.3174151101691201</v>
      </c>
      <c r="I920">
        <v>1.4969973947984301</v>
      </c>
      <c r="J920">
        <v>1.4029672804344899</v>
      </c>
      <c r="K920">
        <v>1.3147657526383201</v>
      </c>
      <c r="L920">
        <v>839.66380525952297</v>
      </c>
      <c r="M920">
        <v>16.2234765827099</v>
      </c>
      <c r="O920">
        <v>50.988870905892597</v>
      </c>
      <c r="P920">
        <v>3.1359272630485803E-2</v>
      </c>
      <c r="Q920">
        <v>1.3942079349888901</v>
      </c>
      <c r="R920">
        <v>0.89127887035171804</v>
      </c>
      <c r="S920" t="s">
        <v>2922</v>
      </c>
      <c r="T920" t="s">
        <v>4002</v>
      </c>
      <c r="U920" t="s">
        <v>4002</v>
      </c>
      <c r="V920" t="s">
        <v>4002</v>
      </c>
      <c r="W920" t="s">
        <v>4906</v>
      </c>
      <c r="X920">
        <v>2</v>
      </c>
      <c r="Z920" t="s">
        <v>8818</v>
      </c>
      <c r="AA920">
        <v>1.231889504328127</v>
      </c>
      <c r="AB920" t="str">
        <f>HYPERLINK("Melting_Curves/meltCurve_P01766_.pdf", "Melting_Curves/meltCurve_P01766_.pdf")</f>
        <v>Melting_Curves/meltCurve_P01766_.pdf</v>
      </c>
    </row>
    <row r="921" spans="1:28" x14ac:dyDescent="0.25">
      <c r="A921" t="s">
        <v>925</v>
      </c>
      <c r="B921">
        <v>1</v>
      </c>
      <c r="C921">
        <v>1.0296699969724501</v>
      </c>
      <c r="D921">
        <v>1.2144111413866201</v>
      </c>
      <c r="E921">
        <v>1.19255222524977</v>
      </c>
      <c r="F921">
        <v>1.34471692400848</v>
      </c>
      <c r="G921">
        <v>1.4762942779291599</v>
      </c>
      <c r="H921">
        <v>1.5168634574629101</v>
      </c>
      <c r="I921">
        <v>1.5660308810172601</v>
      </c>
      <c r="J921">
        <v>1.4077505298213699</v>
      </c>
      <c r="K921">
        <v>1.3711171662125301</v>
      </c>
      <c r="L921">
        <v>732.39696381636804</v>
      </c>
      <c r="M921">
        <v>14.932162578506</v>
      </c>
      <c r="O921">
        <v>48.193785293507098</v>
      </c>
      <c r="P921">
        <v>3.7127148699470099E-2</v>
      </c>
      <c r="Q921">
        <v>1.4792647354067201</v>
      </c>
      <c r="R921">
        <v>0.86874072953785497</v>
      </c>
      <c r="S921" t="s">
        <v>2923</v>
      </c>
      <c r="T921" t="s">
        <v>4002</v>
      </c>
      <c r="U921" t="s">
        <v>4002</v>
      </c>
      <c r="V921" t="s">
        <v>4002</v>
      </c>
      <c r="W921" t="s">
        <v>4907</v>
      </c>
      <c r="X921">
        <v>2</v>
      </c>
      <c r="Z921" t="s">
        <v>8819</v>
      </c>
      <c r="AA921">
        <v>1.32280589575406</v>
      </c>
      <c r="AB921" t="str">
        <f>HYPERLINK("Melting_Curves/meltCurve_P01767_.pdf", "Melting_Curves/meltCurve_P01767_.pdf")</f>
        <v>Melting_Curves/meltCurve_P01767_.pdf</v>
      </c>
    </row>
    <row r="922" spans="1:28" x14ac:dyDescent="0.25">
      <c r="A922" t="s">
        <v>926</v>
      </c>
      <c r="B922">
        <v>1</v>
      </c>
      <c r="C922">
        <v>0.99670664569406198</v>
      </c>
      <c r="D922">
        <v>1.1021185607550099</v>
      </c>
      <c r="E922">
        <v>1.0953598112465599</v>
      </c>
      <c r="F922">
        <v>1.0633110499410099</v>
      </c>
      <c r="G922">
        <v>1.3484319701140399</v>
      </c>
      <c r="H922">
        <v>1.1015778607943401</v>
      </c>
      <c r="I922">
        <v>1.35718147856862</v>
      </c>
      <c r="J922">
        <v>1.30129276445144</v>
      </c>
      <c r="K922">
        <v>1.0978421156114799</v>
      </c>
      <c r="L922">
        <v>791.21740057408499</v>
      </c>
      <c r="M922">
        <v>15.549453388099</v>
      </c>
      <c r="O922">
        <v>50.064620290203997</v>
      </c>
      <c r="P922">
        <v>1.8728010906833899E-2</v>
      </c>
      <c r="Q922">
        <v>1.24117341768883</v>
      </c>
      <c r="R922">
        <v>0.47328484873052601</v>
      </c>
      <c r="S922" t="s">
        <v>2924</v>
      </c>
      <c r="T922" t="s">
        <v>4002</v>
      </c>
      <c r="U922" t="s">
        <v>4002</v>
      </c>
      <c r="V922" t="s">
        <v>4002</v>
      </c>
      <c r="W922" t="s">
        <v>4908</v>
      </c>
      <c r="X922">
        <v>2</v>
      </c>
      <c r="Z922" t="s">
        <v>8820</v>
      </c>
      <c r="AA922">
        <v>1.1484122275532509</v>
      </c>
      <c r="AB922" t="str">
        <f>HYPERLINK("Melting_Curves/meltCurve_P01771_.pdf", "Melting_Curves/meltCurve_P01771_.pdf")</f>
        <v>Melting_Curves/meltCurve_P01771_.pdf</v>
      </c>
    </row>
    <row r="923" spans="1:28" x14ac:dyDescent="0.25">
      <c r="A923" t="s">
        <v>927</v>
      </c>
      <c r="B923">
        <v>1</v>
      </c>
      <c r="C923">
        <v>1.0621031175686599</v>
      </c>
      <c r="D923">
        <v>1.1336791491363301</v>
      </c>
      <c r="E923">
        <v>1.672981942666</v>
      </c>
      <c r="F923">
        <v>1.2277419186244001</v>
      </c>
      <c r="G923">
        <v>1.7935819374395701</v>
      </c>
      <c r="H923">
        <v>1.4512504246478699</v>
      </c>
      <c r="I923">
        <v>2.1163143178195298</v>
      </c>
      <c r="J923">
        <v>1.4176705777824199</v>
      </c>
      <c r="K923">
        <v>1.5069119606972099</v>
      </c>
      <c r="L923">
        <v>11546.3710824924</v>
      </c>
      <c r="M923">
        <v>250</v>
      </c>
      <c r="O923">
        <v>46.182528777409502</v>
      </c>
      <c r="P923">
        <v>0.67666281756532798</v>
      </c>
      <c r="Q923">
        <v>1.5</v>
      </c>
      <c r="R923">
        <v>0.47797101359866601</v>
      </c>
      <c r="S923" t="s">
        <v>2925</v>
      </c>
      <c r="T923" t="s">
        <v>4002</v>
      </c>
      <c r="U923" t="s">
        <v>4002</v>
      </c>
      <c r="V923" t="s">
        <v>4002</v>
      </c>
      <c r="W923" t="s">
        <v>4909</v>
      </c>
      <c r="X923">
        <v>1</v>
      </c>
      <c r="Z923" t="s">
        <v>8821</v>
      </c>
      <c r="AA923">
        <v>1.3968680670974101</v>
      </c>
      <c r="AB923" t="str">
        <f>HYPERLINK("Melting_Curves/meltCurve_P01775_.pdf", "Melting_Curves/meltCurve_P01775_.pdf")</f>
        <v>Melting_Curves/meltCurve_P01775_.pdf</v>
      </c>
    </row>
    <row r="924" spans="1:28" x14ac:dyDescent="0.25">
      <c r="A924" t="s">
        <v>928</v>
      </c>
      <c r="B924">
        <v>1</v>
      </c>
      <c r="C924">
        <v>0.80546522351113903</v>
      </c>
      <c r="D924">
        <v>0.83633451439110795</v>
      </c>
      <c r="E924">
        <v>0.88671552686501998</v>
      </c>
      <c r="F924">
        <v>0.93088385186623301</v>
      </c>
      <c r="G924">
        <v>1.33189341358055</v>
      </c>
      <c r="H924">
        <v>1.11265349706353</v>
      </c>
      <c r="I924">
        <v>1.25049750036402</v>
      </c>
      <c r="J924">
        <v>1.2419550550890599</v>
      </c>
      <c r="K924">
        <v>1.1691986603892599</v>
      </c>
      <c r="L924">
        <v>4464.9552236871496</v>
      </c>
      <c r="M924">
        <v>81.502447371770401</v>
      </c>
      <c r="O924">
        <v>54.750126464718903</v>
      </c>
      <c r="P924">
        <v>8.2281133354411506E-2</v>
      </c>
      <c r="Q924">
        <v>1.2210928391317599</v>
      </c>
      <c r="R924">
        <v>0.64595277093273096</v>
      </c>
      <c r="S924" t="s">
        <v>2926</v>
      </c>
      <c r="T924" t="s">
        <v>4002</v>
      </c>
      <c r="U924" t="s">
        <v>4002</v>
      </c>
      <c r="V924" t="s">
        <v>4002</v>
      </c>
      <c r="W924" t="s">
        <v>4910</v>
      </c>
      <c r="X924">
        <v>1</v>
      </c>
      <c r="Z924" t="s">
        <v>8822</v>
      </c>
      <c r="AA924">
        <v>1.111944681565072</v>
      </c>
      <c r="AB924" t="str">
        <f>HYPERLINK("Melting_Curves/meltCurve_P01778_.pdf", "Melting_Curves/meltCurve_P01778_.pdf")</f>
        <v>Melting_Curves/meltCurve_P01778_.pdf</v>
      </c>
    </row>
    <row r="925" spans="1:28" x14ac:dyDescent="0.25">
      <c r="A925" t="s">
        <v>929</v>
      </c>
      <c r="B925">
        <v>1</v>
      </c>
      <c r="C925">
        <v>1.061727025678</v>
      </c>
      <c r="D925">
        <v>1.1064278187565899</v>
      </c>
      <c r="E925">
        <v>1.24308135988021</v>
      </c>
      <c r="F925">
        <v>1.2213964838333999</v>
      </c>
      <c r="G925">
        <v>1.3834507237535401</v>
      </c>
      <c r="H925">
        <v>1.32516222062004</v>
      </c>
      <c r="I925">
        <v>1.37735011923909</v>
      </c>
      <c r="J925">
        <v>1.2360379346680701</v>
      </c>
      <c r="K925">
        <v>1.2957683988686199</v>
      </c>
      <c r="L925">
        <v>851.029002099845</v>
      </c>
      <c r="M925">
        <v>17.934414087331</v>
      </c>
      <c r="O925">
        <v>46.874093907682699</v>
      </c>
      <c r="P925">
        <v>3.0627364772268299E-2</v>
      </c>
      <c r="Q925">
        <v>1.32017966669617</v>
      </c>
      <c r="R925">
        <v>0.86313798952702503</v>
      </c>
      <c r="S925" t="s">
        <v>2927</v>
      </c>
      <c r="T925" t="s">
        <v>4002</v>
      </c>
      <c r="U925" t="s">
        <v>4002</v>
      </c>
      <c r="V925" t="s">
        <v>4002</v>
      </c>
      <c r="W925" t="s">
        <v>4911</v>
      </c>
      <c r="X925">
        <v>2</v>
      </c>
      <c r="Z925" t="s">
        <v>8823</v>
      </c>
      <c r="AA925">
        <v>1.2348084993285251</v>
      </c>
      <c r="AB925" t="str">
        <f>HYPERLINK("Melting_Curves/meltCurve_P01779_.pdf", "Melting_Curves/meltCurve_P01779_.pdf")</f>
        <v>Melting_Curves/meltCurve_P01779_.pdf</v>
      </c>
    </row>
    <row r="926" spans="1:28" x14ac:dyDescent="0.25">
      <c r="A926" t="s">
        <v>930</v>
      </c>
      <c r="B926">
        <v>1</v>
      </c>
      <c r="C926">
        <v>0.89354250273622804</v>
      </c>
      <c r="D926">
        <v>1.1092666909886899</v>
      </c>
      <c r="E926">
        <v>1.04549434512951</v>
      </c>
      <c r="F926">
        <v>1.31758482305728</v>
      </c>
      <c r="G926">
        <v>1.41313389273988</v>
      </c>
      <c r="H926">
        <v>1.48278000729661</v>
      </c>
      <c r="I926">
        <v>1.64370667639548</v>
      </c>
      <c r="J926">
        <v>1.80591025173294</v>
      </c>
      <c r="K926">
        <v>1.82243706676395</v>
      </c>
      <c r="L926">
        <v>1796.7253630996299</v>
      </c>
      <c r="M926">
        <v>34.2393940130844</v>
      </c>
      <c r="O926">
        <v>52.297353172327298</v>
      </c>
      <c r="P926">
        <v>8.1838576706797506E-2</v>
      </c>
      <c r="Q926">
        <v>1.5</v>
      </c>
      <c r="R926">
        <v>0.75896741852366001</v>
      </c>
      <c r="S926" t="s">
        <v>2928</v>
      </c>
      <c r="T926" t="s">
        <v>4002</v>
      </c>
      <c r="U926" t="s">
        <v>4002</v>
      </c>
      <c r="V926" t="s">
        <v>4002</v>
      </c>
      <c r="W926" t="s">
        <v>4912</v>
      </c>
      <c r="X926">
        <v>1</v>
      </c>
      <c r="Z926" t="s">
        <v>8824</v>
      </c>
      <c r="AA926">
        <v>1.2896019137233341</v>
      </c>
      <c r="AB926" t="str">
        <f>HYPERLINK("Melting_Curves/meltCurve_P01780_.pdf", "Melting_Curves/meltCurve_P01780_.pdf")</f>
        <v>Melting_Curves/meltCurve_P01780_.pdf</v>
      </c>
    </row>
    <row r="927" spans="1:28" x14ac:dyDescent="0.25">
      <c r="A927" t="s">
        <v>931</v>
      </c>
      <c r="B927">
        <v>1</v>
      </c>
      <c r="C927">
        <v>1.02426782442844</v>
      </c>
      <c r="D927">
        <v>1.1510025848871901</v>
      </c>
      <c r="E927">
        <v>1.52558536401737</v>
      </c>
      <c r="F927">
        <v>1.431375009411</v>
      </c>
      <c r="G927">
        <v>1.7405074409616801</v>
      </c>
      <c r="H927">
        <v>2.1193565387607598</v>
      </c>
      <c r="I927">
        <v>2.2085727909252899</v>
      </c>
      <c r="J927">
        <v>1.91788591361959</v>
      </c>
      <c r="K927">
        <v>1.8808191331844299</v>
      </c>
      <c r="S927" t="s">
        <v>2929</v>
      </c>
      <c r="T927" t="s">
        <v>4002</v>
      </c>
      <c r="U927" t="s">
        <v>4003</v>
      </c>
      <c r="V927" t="s">
        <v>4002</v>
      </c>
      <c r="W927" t="s">
        <v>4913</v>
      </c>
      <c r="X927">
        <v>2</v>
      </c>
      <c r="Z927" t="s">
        <v>8825</v>
      </c>
      <c r="AB927" t="str">
        <f>HYPERLINK("Melting_Curves/meltCurve_P01781_.pdf", "Melting_Curves/meltCurve_P01781_.pdf")</f>
        <v>Melting_Curves/meltCurve_P01781_.pdf</v>
      </c>
    </row>
    <row r="928" spans="1:28" x14ac:dyDescent="0.25">
      <c r="A928" t="s">
        <v>932</v>
      </c>
      <c r="B928">
        <v>1</v>
      </c>
      <c r="C928">
        <v>0.99258023444703003</v>
      </c>
      <c r="D928">
        <v>1.1450586117574699</v>
      </c>
      <c r="E928">
        <v>1.2855073100057099</v>
      </c>
      <c r="F928">
        <v>1.4676208455898501</v>
      </c>
      <c r="G928">
        <v>1.7201562980199301</v>
      </c>
      <c r="H928">
        <v>1.6730473723493</v>
      </c>
      <c r="I928">
        <v>1.55204811871625</v>
      </c>
      <c r="J928">
        <v>1.85726829696624</v>
      </c>
      <c r="K928">
        <v>1.5048952891074301</v>
      </c>
      <c r="L928">
        <v>1355.8517534053501</v>
      </c>
      <c r="M928">
        <v>27.9316544203154</v>
      </c>
      <c r="O928">
        <v>48.295014615548197</v>
      </c>
      <c r="P928">
        <v>7.2295009607459104E-2</v>
      </c>
      <c r="Q928">
        <v>1.5</v>
      </c>
      <c r="R928">
        <v>0.73263043037946796</v>
      </c>
      <c r="S928" t="s">
        <v>2930</v>
      </c>
      <c r="T928" t="s">
        <v>4002</v>
      </c>
      <c r="U928" t="s">
        <v>4002</v>
      </c>
      <c r="V928" t="s">
        <v>4002</v>
      </c>
      <c r="W928" t="s">
        <v>4914</v>
      </c>
      <c r="X928">
        <v>1</v>
      </c>
      <c r="Z928" t="s">
        <v>8826</v>
      </c>
      <c r="AA928">
        <v>1.354127949566404</v>
      </c>
      <c r="AB928" t="str">
        <f>HYPERLINK("Melting_Curves/meltCurve_P01824_.pdf", "Melting_Curves/meltCurve_P01824_.pdf")</f>
        <v>Melting_Curves/meltCurve_P01824_.pdf</v>
      </c>
    </row>
    <row r="929" spans="1:28" x14ac:dyDescent="0.25">
      <c r="A929" t="s">
        <v>933</v>
      </c>
      <c r="B929">
        <v>1</v>
      </c>
      <c r="C929">
        <v>0.89275152789643197</v>
      </c>
      <c r="D929">
        <v>0.92157893583930295</v>
      </c>
      <c r="E929">
        <v>0.95728461589012304</v>
      </c>
      <c r="F929">
        <v>0.94468905390900504</v>
      </c>
      <c r="G929">
        <v>1.1327681759435699</v>
      </c>
      <c r="H929">
        <v>0.96394383474622702</v>
      </c>
      <c r="I929">
        <v>1.4714245032967499</v>
      </c>
      <c r="J929">
        <v>0.93870890013362296</v>
      </c>
      <c r="K929">
        <v>1.1510591224726701</v>
      </c>
      <c r="L929">
        <v>13838.038343214201</v>
      </c>
      <c r="M929">
        <v>250</v>
      </c>
      <c r="O929">
        <v>55.348611216599998</v>
      </c>
      <c r="P929">
        <v>0.14860398363036501</v>
      </c>
      <c r="Q929">
        <v>1.13160038565459</v>
      </c>
      <c r="R929">
        <v>0.262649712608231</v>
      </c>
      <c r="S929" t="s">
        <v>2931</v>
      </c>
      <c r="T929" t="s">
        <v>4002</v>
      </c>
      <c r="U929" t="s">
        <v>4002</v>
      </c>
      <c r="V929" t="s">
        <v>4002</v>
      </c>
      <c r="W929" t="s">
        <v>4915</v>
      </c>
      <c r="X929">
        <v>46</v>
      </c>
      <c r="Y929" t="s">
        <v>6857</v>
      </c>
      <c r="Z929" t="s">
        <v>8827</v>
      </c>
      <c r="AA929">
        <v>1.064242624891313</v>
      </c>
      <c r="AB929" t="str">
        <f>HYPERLINK("Melting_Curves/meltCurve_P01833_PIGR.pdf", "Melting_Curves/meltCurve_P01833_PIGR.pdf")</f>
        <v>Melting_Curves/meltCurve_P01833_PIGR.pdf</v>
      </c>
    </row>
    <row r="930" spans="1:28" x14ac:dyDescent="0.25">
      <c r="A930" t="s">
        <v>934</v>
      </c>
      <c r="B930">
        <v>1</v>
      </c>
      <c r="C930">
        <v>0.77267502400367805</v>
      </c>
      <c r="D930">
        <v>0.69732375890840703</v>
      </c>
      <c r="E930">
        <v>0.72833245432539495</v>
      </c>
      <c r="F930">
        <v>0.72347762586717501</v>
      </c>
      <c r="G930">
        <v>0.73159154529595505</v>
      </c>
      <c r="H930">
        <v>0.84384762059312701</v>
      </c>
      <c r="I930">
        <v>0.86095446738880599</v>
      </c>
      <c r="J930">
        <v>0.87564066155489695</v>
      </c>
      <c r="K930">
        <v>0.71832528702989995</v>
      </c>
      <c r="L930">
        <v>10430.707377919</v>
      </c>
      <c r="M930">
        <v>250</v>
      </c>
      <c r="O930">
        <v>41.720184290383202</v>
      </c>
      <c r="P930">
        <v>-0.34090733304290199</v>
      </c>
      <c r="Q930">
        <v>0.77243666591733695</v>
      </c>
      <c r="R930">
        <v>0.54972313970398401</v>
      </c>
      <c r="S930" t="s">
        <v>2932</v>
      </c>
      <c r="T930" t="s">
        <v>4002</v>
      </c>
      <c r="U930" t="s">
        <v>4002</v>
      </c>
      <c r="V930" t="s">
        <v>4002</v>
      </c>
      <c r="W930" t="s">
        <v>4916</v>
      </c>
      <c r="X930">
        <v>8</v>
      </c>
      <c r="Y930" t="s">
        <v>6858</v>
      </c>
      <c r="Z930" t="s">
        <v>8828</v>
      </c>
      <c r="AA930">
        <v>0.78552178068880141</v>
      </c>
      <c r="AB930" t="str">
        <f>HYPERLINK("Melting_Curves/meltCurve_P01834_IGKC.pdf", "Melting_Curves/meltCurve_P01834_IGKC.pdf")</f>
        <v>Melting_Curves/meltCurve_P01834_IGKC.pdf</v>
      </c>
    </row>
    <row r="931" spans="1:28" x14ac:dyDescent="0.25">
      <c r="A931" t="s">
        <v>935</v>
      </c>
      <c r="B931">
        <v>1</v>
      </c>
      <c r="C931">
        <v>0.99195861394973295</v>
      </c>
      <c r="D931">
        <v>1.24731776753277</v>
      </c>
      <c r="E931">
        <v>1.4507425269285501</v>
      </c>
      <c r="F931">
        <v>1.44022605111645</v>
      </c>
      <c r="G931">
        <v>1.4953578788587001</v>
      </c>
      <c r="H931">
        <v>1.86396566742442</v>
      </c>
      <c r="I931">
        <v>1.7130170600607599</v>
      </c>
      <c r="J931">
        <v>1.8513246510442101</v>
      </c>
      <c r="K931">
        <v>1.4967388302279601</v>
      </c>
      <c r="L931">
        <v>1716.4166583077999</v>
      </c>
      <c r="M931">
        <v>37.181311130644197</v>
      </c>
      <c r="O931">
        <v>46.030492037549898</v>
      </c>
      <c r="P931">
        <v>0.100969514462868</v>
      </c>
      <c r="Q931">
        <v>1.5</v>
      </c>
      <c r="R931">
        <v>0.643304314372248</v>
      </c>
      <c r="S931" t="s">
        <v>2933</v>
      </c>
      <c r="T931" t="s">
        <v>4002</v>
      </c>
      <c r="U931" t="s">
        <v>4002</v>
      </c>
      <c r="V931" t="s">
        <v>4002</v>
      </c>
      <c r="W931" t="s">
        <v>4917</v>
      </c>
      <c r="X931">
        <v>14</v>
      </c>
      <c r="Y931" t="s">
        <v>6859</v>
      </c>
      <c r="Z931" t="s">
        <v>8829</v>
      </c>
      <c r="AA931">
        <v>1.395378530502174</v>
      </c>
      <c r="AB931" t="str">
        <f>HYPERLINK("Melting_Curves/meltCurve_P01857_IGHG1.pdf", "Melting_Curves/meltCurve_P01857_IGHG1.pdf")</f>
        <v>Melting_Curves/meltCurve_P01857_IGHG1.pdf</v>
      </c>
    </row>
    <row r="932" spans="1:28" x14ac:dyDescent="0.25">
      <c r="A932" t="s">
        <v>936</v>
      </c>
      <c r="B932">
        <v>1</v>
      </c>
      <c r="C932">
        <v>1.01431460195828</v>
      </c>
      <c r="D932">
        <v>1.2533524904214599</v>
      </c>
      <c r="E932">
        <v>1.42470200085143</v>
      </c>
      <c r="F932">
        <v>1.38021498510004</v>
      </c>
      <c r="G932">
        <v>1.47956577266922</v>
      </c>
      <c r="H932">
        <v>1.4987228607918299</v>
      </c>
      <c r="I932">
        <v>1.56944444444444</v>
      </c>
      <c r="J932">
        <v>1.5461898680289501</v>
      </c>
      <c r="K932">
        <v>1.41235632183908</v>
      </c>
      <c r="L932">
        <v>1117.7090661243201</v>
      </c>
      <c r="M932">
        <v>24.102368130948999</v>
      </c>
      <c r="O932">
        <v>46.057710384063498</v>
      </c>
      <c r="P932">
        <v>6.4033586736986406E-2</v>
      </c>
      <c r="Q932">
        <v>1.4894448941846301</v>
      </c>
      <c r="R932">
        <v>0.92982499655527395</v>
      </c>
      <c r="S932" t="s">
        <v>2934</v>
      </c>
      <c r="T932" t="s">
        <v>4002</v>
      </c>
      <c r="U932" t="s">
        <v>4002</v>
      </c>
      <c r="V932" t="s">
        <v>4002</v>
      </c>
      <c r="W932" t="s">
        <v>4918</v>
      </c>
      <c r="X932">
        <v>17</v>
      </c>
      <c r="Y932" t="s">
        <v>6860</v>
      </c>
      <c r="Z932" t="s">
        <v>8830</v>
      </c>
      <c r="AA932">
        <v>1.3806312480644241</v>
      </c>
      <c r="AB932" t="str">
        <f>HYPERLINK("Melting_Curves/meltCurve_P01859_IGHG2.pdf", "Melting_Curves/meltCurve_P01859_IGHG2.pdf")</f>
        <v>Melting_Curves/meltCurve_P01859_IGHG2.pdf</v>
      </c>
    </row>
    <row r="933" spans="1:28" x14ac:dyDescent="0.25">
      <c r="A933" t="s">
        <v>937</v>
      </c>
      <c r="B933">
        <v>1</v>
      </c>
      <c r="C933">
        <v>1.0080992258295201</v>
      </c>
      <c r="D933">
        <v>1.18156566698294</v>
      </c>
      <c r="E933">
        <v>1.38566890804835</v>
      </c>
      <c r="F933">
        <v>1.37187684776481</v>
      </c>
      <c r="G933">
        <v>1.4542854392695601</v>
      </c>
      <c r="H933">
        <v>1.45373540695516</v>
      </c>
      <c r="I933">
        <v>1.6386837726716399</v>
      </c>
      <c r="J933">
        <v>1.4633609724571299</v>
      </c>
      <c r="K933">
        <v>1.3224701951239599</v>
      </c>
      <c r="L933">
        <v>1133.44579581222</v>
      </c>
      <c r="M933">
        <v>24.074493321915199</v>
      </c>
      <c r="O933">
        <v>46.759543516692702</v>
      </c>
      <c r="P933">
        <v>5.9264397576667703E-2</v>
      </c>
      <c r="Q933">
        <v>1.4604262749015999</v>
      </c>
      <c r="R933">
        <v>0.85353628532090198</v>
      </c>
      <c r="S933" t="s">
        <v>2935</v>
      </c>
      <c r="T933" t="s">
        <v>4002</v>
      </c>
      <c r="U933" t="s">
        <v>4002</v>
      </c>
      <c r="V933" t="s">
        <v>4002</v>
      </c>
      <c r="W933" t="s">
        <v>4919</v>
      </c>
      <c r="X933">
        <v>19</v>
      </c>
      <c r="Y933" t="s">
        <v>6861</v>
      </c>
      <c r="Z933" t="s">
        <v>8831</v>
      </c>
      <c r="AA933">
        <v>1.3472936460806451</v>
      </c>
      <c r="AB933" t="str">
        <f>HYPERLINK("Melting_Curves/meltCurve_P01860_IGHG3.pdf", "Melting_Curves/meltCurve_P01860_IGHG3.pdf")</f>
        <v>Melting_Curves/meltCurve_P01860_IGHG3.pdf</v>
      </c>
    </row>
    <row r="934" spans="1:28" x14ac:dyDescent="0.25">
      <c r="A934" t="s">
        <v>938</v>
      </c>
      <c r="B934">
        <v>1</v>
      </c>
      <c r="C934">
        <v>0.92033117238147299</v>
      </c>
      <c r="D934">
        <v>1.0631883152386199</v>
      </c>
      <c r="E934">
        <v>1.1862844645786099</v>
      </c>
      <c r="F934">
        <v>1.15457314691869</v>
      </c>
      <c r="G934">
        <v>1.27134265406545</v>
      </c>
      <c r="H934">
        <v>0.99398578458173903</v>
      </c>
      <c r="I934">
        <v>1.4721549636803899</v>
      </c>
      <c r="J934">
        <v>0.96930406935874402</v>
      </c>
      <c r="K934">
        <v>1.0624072483011799</v>
      </c>
      <c r="L934">
        <v>11518.945587972499</v>
      </c>
      <c r="M934">
        <v>250</v>
      </c>
      <c r="O934">
        <v>46.072836967197297</v>
      </c>
      <c r="P934">
        <v>0.215119859763611</v>
      </c>
      <c r="Q934">
        <v>1.15857890458679</v>
      </c>
      <c r="R934">
        <v>0.24098785454558899</v>
      </c>
      <c r="S934" t="s">
        <v>2936</v>
      </c>
      <c r="T934" t="s">
        <v>4002</v>
      </c>
      <c r="U934" t="s">
        <v>4002</v>
      </c>
      <c r="V934" t="s">
        <v>4002</v>
      </c>
      <c r="W934" t="s">
        <v>4920</v>
      </c>
      <c r="X934">
        <v>14</v>
      </c>
      <c r="Y934" t="s">
        <v>6862</v>
      </c>
      <c r="Z934" t="s">
        <v>8832</v>
      </c>
      <c r="AA934">
        <v>1.126449717872535</v>
      </c>
      <c r="AB934" t="str">
        <f>HYPERLINK("Melting_Curves/meltCurve_P01861_IGHG4.pdf", "Melting_Curves/meltCurve_P01861_IGHG4.pdf")</f>
        <v>Melting_Curves/meltCurve_P01861_IGHG4.pdf</v>
      </c>
    </row>
    <row r="935" spans="1:28" x14ac:dyDescent="0.25">
      <c r="A935" t="s">
        <v>939</v>
      </c>
      <c r="B935">
        <v>1</v>
      </c>
      <c r="C935">
        <v>1.0239076197669901</v>
      </c>
      <c r="D935">
        <v>1.3149763098262699</v>
      </c>
      <c r="E935">
        <v>1.7339604934880599</v>
      </c>
      <c r="F935">
        <v>1.8852571585525</v>
      </c>
      <c r="G935">
        <v>2.1435601638856498</v>
      </c>
      <c r="H935">
        <v>1.6334775343908099</v>
      </c>
      <c r="I935">
        <v>2.4957083018608799</v>
      </c>
      <c r="J935">
        <v>1.77218521824716</v>
      </c>
      <c r="K935">
        <v>1.8365034676920999</v>
      </c>
      <c r="L935">
        <v>8061.9569010737296</v>
      </c>
      <c r="M935">
        <v>175.791961334158</v>
      </c>
      <c r="O935">
        <v>45.854847641213503</v>
      </c>
      <c r="P935">
        <v>0.47920768301670902</v>
      </c>
      <c r="Q935">
        <v>1.5</v>
      </c>
      <c r="R935">
        <v>8.6556580591141005E-2</v>
      </c>
      <c r="S935" t="s">
        <v>2937</v>
      </c>
      <c r="T935" t="s">
        <v>4002</v>
      </c>
      <c r="U935" t="s">
        <v>4002</v>
      </c>
      <c r="V935" t="s">
        <v>4002</v>
      </c>
      <c r="W935" t="s">
        <v>4921</v>
      </c>
      <c r="X935">
        <v>13</v>
      </c>
      <c r="Y935" t="s">
        <v>6863</v>
      </c>
      <c r="Z935" t="s">
        <v>8833</v>
      </c>
      <c r="AA935">
        <v>1.4022388843316509</v>
      </c>
      <c r="AB935" t="str">
        <f>HYPERLINK("Melting_Curves/meltCurve_P01871_IGHM.pdf", "Melting_Curves/meltCurve_P01871_IGHM.pdf")</f>
        <v>Melting_Curves/meltCurve_P01871_IGHM.pdf</v>
      </c>
    </row>
    <row r="936" spans="1:28" x14ac:dyDescent="0.25">
      <c r="A936" t="s">
        <v>940</v>
      </c>
      <c r="B936">
        <v>1</v>
      </c>
      <c r="C936">
        <v>0.89922747965236605</v>
      </c>
      <c r="D936">
        <v>0.93316319492343802</v>
      </c>
      <c r="E936">
        <v>1.0514553731549201</v>
      </c>
      <c r="F936">
        <v>1.0242102358946099</v>
      </c>
      <c r="G936">
        <v>1.1706442267899</v>
      </c>
      <c r="H936">
        <v>0.90550420747689297</v>
      </c>
      <c r="I936">
        <v>1.4332321699544801</v>
      </c>
      <c r="J936">
        <v>0.96275348323906795</v>
      </c>
      <c r="K936">
        <v>1.0539384742723099</v>
      </c>
      <c r="L936">
        <v>13314.0093542739</v>
      </c>
      <c r="M936">
        <v>250</v>
      </c>
      <c r="O936">
        <v>53.252629399759797</v>
      </c>
      <c r="P936">
        <v>0.12348511350917001</v>
      </c>
      <c r="Q936">
        <v>1.10521451162288</v>
      </c>
      <c r="R936">
        <v>0.16193248761089701</v>
      </c>
      <c r="S936" t="s">
        <v>2938</v>
      </c>
      <c r="T936" t="s">
        <v>4002</v>
      </c>
      <c r="U936" t="s">
        <v>4002</v>
      </c>
      <c r="V936" t="s">
        <v>4002</v>
      </c>
      <c r="W936" t="s">
        <v>4922</v>
      </c>
      <c r="X936">
        <v>18</v>
      </c>
      <c r="Y936" t="s">
        <v>6864</v>
      </c>
      <c r="Z936" t="s">
        <v>8834</v>
      </c>
      <c r="AA936">
        <v>1.058713761141459</v>
      </c>
      <c r="AB936" t="str">
        <f>HYPERLINK("Melting_Curves/meltCurve_P01876_IGHA1.pdf", "Melting_Curves/meltCurve_P01876_IGHA1.pdf")</f>
        <v>Melting_Curves/meltCurve_P01876_IGHA1.pdf</v>
      </c>
    </row>
    <row r="937" spans="1:28" x14ac:dyDescent="0.25">
      <c r="A937" t="s">
        <v>941</v>
      </c>
      <c r="B937">
        <v>1</v>
      </c>
      <c r="C937">
        <v>0.89778714436248697</v>
      </c>
      <c r="D937">
        <v>0.80173035328046105</v>
      </c>
      <c r="E937">
        <v>0.92973212800177496</v>
      </c>
      <c r="F937">
        <v>0.836115578725528</v>
      </c>
      <c r="G937">
        <v>0.90410958904109595</v>
      </c>
      <c r="H937">
        <v>0.78719982252786902</v>
      </c>
      <c r="I937">
        <v>1.1318285175531</v>
      </c>
      <c r="J937">
        <v>0.91215129499195802</v>
      </c>
      <c r="K937">
        <v>0.88259109311740902</v>
      </c>
      <c r="L937">
        <v>10308.0851311511</v>
      </c>
      <c r="M937">
        <v>250</v>
      </c>
      <c r="O937">
        <v>41.229702038310499</v>
      </c>
      <c r="P937">
        <v>-0.154412778071288</v>
      </c>
      <c r="Q937">
        <v>0.89813771509858997</v>
      </c>
      <c r="R937">
        <v>0.10276439918566101</v>
      </c>
      <c r="S937" t="s">
        <v>2939</v>
      </c>
      <c r="T937" t="s">
        <v>4002</v>
      </c>
      <c r="U937" t="s">
        <v>4002</v>
      </c>
      <c r="V937" t="s">
        <v>4002</v>
      </c>
      <c r="W937" t="s">
        <v>4923</v>
      </c>
      <c r="X937">
        <v>12</v>
      </c>
      <c r="Y937" t="s">
        <v>6865</v>
      </c>
      <c r="Z937" t="s">
        <v>8835</v>
      </c>
      <c r="AA937">
        <v>0.90232962305434306</v>
      </c>
      <c r="AB937" t="str">
        <f>HYPERLINK("Melting_Curves/meltCurve_P01877_IGHA2.pdf", "Melting_Curves/meltCurve_P01877_IGHA2.pdf")</f>
        <v>Melting_Curves/meltCurve_P01877_IGHA2.pdf</v>
      </c>
    </row>
    <row r="938" spans="1:28" x14ac:dyDescent="0.25">
      <c r="A938" t="s">
        <v>942</v>
      </c>
      <c r="B938">
        <v>1</v>
      </c>
      <c r="C938">
        <v>1.2928343277285601</v>
      </c>
      <c r="D938">
        <v>2.3169408786837802</v>
      </c>
      <c r="E938">
        <v>2.85240764177665</v>
      </c>
      <c r="F938">
        <v>3.09678780208522</v>
      </c>
      <c r="G938">
        <v>4.0580365214247003</v>
      </c>
      <c r="H938">
        <v>1.9667932260591801</v>
      </c>
      <c r="I938">
        <v>4.1241788706080902</v>
      </c>
      <c r="J938">
        <v>2.0814500090399601</v>
      </c>
      <c r="K938">
        <v>3.7764418730790101</v>
      </c>
      <c r="S938" t="s">
        <v>2940</v>
      </c>
      <c r="T938" t="s">
        <v>4002</v>
      </c>
      <c r="U938" t="s">
        <v>4003</v>
      </c>
      <c r="V938" t="s">
        <v>4002</v>
      </c>
      <c r="W938" t="s">
        <v>4924</v>
      </c>
      <c r="X938">
        <v>1</v>
      </c>
      <c r="Y938" t="s">
        <v>6866</v>
      </c>
      <c r="Z938" t="s">
        <v>8836</v>
      </c>
      <c r="AB938" t="str">
        <f>HYPERLINK("Melting_Curves/meltCurve_P01880_IGHD.pdf", "Melting_Curves/meltCurve_P01880_IGHD.pdf")</f>
        <v>Melting_Curves/meltCurve_P01880_IGHD.pdf</v>
      </c>
    </row>
    <row r="939" spans="1:28" x14ac:dyDescent="0.25">
      <c r="A939" t="s">
        <v>943</v>
      </c>
      <c r="B939">
        <v>1</v>
      </c>
      <c r="C939">
        <v>0.86894329896907196</v>
      </c>
      <c r="D939">
        <v>0.83717783505154597</v>
      </c>
      <c r="E939">
        <v>0.76610824742268002</v>
      </c>
      <c r="F939">
        <v>0.67525773195876304</v>
      </c>
      <c r="G939">
        <v>0.74935567010309301</v>
      </c>
      <c r="H939">
        <v>0.70283505154639203</v>
      </c>
      <c r="I939">
        <v>0.97384020618556699</v>
      </c>
      <c r="J939">
        <v>0.74342783505154597</v>
      </c>
      <c r="K939">
        <v>0.78975515463917501</v>
      </c>
      <c r="L939">
        <v>1256.4053146987001</v>
      </c>
      <c r="M939">
        <v>29.229963117980699</v>
      </c>
      <c r="O939">
        <v>42.783809135770397</v>
      </c>
      <c r="P939">
        <v>-3.8597211025423898E-2</v>
      </c>
      <c r="Q939">
        <v>0.77402323081146995</v>
      </c>
      <c r="R939">
        <v>0.44972885976797999</v>
      </c>
      <c r="S939" t="s">
        <v>2941</v>
      </c>
      <c r="T939" t="s">
        <v>4002</v>
      </c>
      <c r="U939" t="s">
        <v>4002</v>
      </c>
      <c r="V939" t="s">
        <v>4002</v>
      </c>
      <c r="W939" t="s">
        <v>4925</v>
      </c>
      <c r="X939">
        <v>30</v>
      </c>
      <c r="Y939" t="s">
        <v>6867</v>
      </c>
      <c r="Z939" t="s">
        <v>8837</v>
      </c>
      <c r="AA939">
        <v>0.79872942376649736</v>
      </c>
      <c r="AB939" t="str">
        <f>HYPERLINK("Melting_Curves/meltCurve_P02647_APOA1.pdf", "Melting_Curves/meltCurve_P02647_APOA1.pdf")</f>
        <v>Melting_Curves/meltCurve_P02647_APOA1.pdf</v>
      </c>
    </row>
    <row r="940" spans="1:28" x14ac:dyDescent="0.25">
      <c r="A940" t="s">
        <v>944</v>
      </c>
      <c r="B940">
        <v>1</v>
      </c>
      <c r="C940">
        <v>0.91583133128986804</v>
      </c>
      <c r="D940">
        <v>0.88451661005716198</v>
      </c>
      <c r="E940">
        <v>0.80199652058653004</v>
      </c>
      <c r="F940">
        <v>0.75700439068842695</v>
      </c>
      <c r="G940">
        <v>0.76591003230883903</v>
      </c>
      <c r="H940">
        <v>0.61578990970093594</v>
      </c>
      <c r="I940">
        <v>0.93289702592991497</v>
      </c>
      <c r="J940">
        <v>0.67638140999088703</v>
      </c>
      <c r="K940">
        <v>0.79215475105625099</v>
      </c>
      <c r="L940">
        <v>830.38790554392006</v>
      </c>
      <c r="M940">
        <v>18.190876549649701</v>
      </c>
      <c r="O940">
        <v>45.107659317506702</v>
      </c>
      <c r="P940">
        <v>-2.4849225756938001E-2</v>
      </c>
      <c r="Q940">
        <v>0.75353857068388996</v>
      </c>
      <c r="R940">
        <v>0.52976136717059397</v>
      </c>
      <c r="S940" t="s">
        <v>2942</v>
      </c>
      <c r="T940" t="s">
        <v>4002</v>
      </c>
      <c r="U940" t="s">
        <v>4002</v>
      </c>
      <c r="V940" t="s">
        <v>4002</v>
      </c>
      <c r="W940" t="s">
        <v>4926</v>
      </c>
      <c r="X940">
        <v>11</v>
      </c>
      <c r="Y940" t="s">
        <v>6868</v>
      </c>
      <c r="Z940" t="s">
        <v>8838</v>
      </c>
      <c r="AA940">
        <v>0.80480737619517373</v>
      </c>
      <c r="AB940" t="str">
        <f>HYPERLINK("Melting_Curves/meltCurve_P02649_APOE.pdf", "Melting_Curves/meltCurve_P02649_APOE.pdf")</f>
        <v>Melting_Curves/meltCurve_P02649_APOE.pdf</v>
      </c>
    </row>
    <row r="941" spans="1:28" x14ac:dyDescent="0.25">
      <c r="A941" t="s">
        <v>945</v>
      </c>
      <c r="B941">
        <v>1</v>
      </c>
      <c r="C941">
        <v>1.0407373781233999</v>
      </c>
      <c r="D941">
        <v>1.1695022302925</v>
      </c>
      <c r="E941">
        <v>1.1315280464216599</v>
      </c>
      <c r="F941">
        <v>0.96289424860853401</v>
      </c>
      <c r="G941">
        <v>0.99510519875261505</v>
      </c>
      <c r="H941">
        <v>0.38096948644061102</v>
      </c>
      <c r="I941">
        <v>1.04432953065172</v>
      </c>
      <c r="J941">
        <v>0.24127422729246401</v>
      </c>
      <c r="K941">
        <v>0.47092724904275102</v>
      </c>
      <c r="L941">
        <v>1027.9376821328101</v>
      </c>
      <c r="M941">
        <v>16.401977019569099</v>
      </c>
      <c r="N941">
        <v>66.724225049990693</v>
      </c>
      <c r="O941">
        <v>61.762190677182502</v>
      </c>
      <c r="P941">
        <v>-4.5457401913931397E-2</v>
      </c>
      <c r="Q941">
        <v>0.31536326758720001</v>
      </c>
      <c r="R941">
        <v>0.57000480892955296</v>
      </c>
      <c r="S941" t="s">
        <v>2943</v>
      </c>
      <c r="T941" t="s">
        <v>4002</v>
      </c>
      <c r="U941" t="s">
        <v>4002</v>
      </c>
      <c r="V941" t="s">
        <v>4002</v>
      </c>
      <c r="W941" t="s">
        <v>4927</v>
      </c>
      <c r="X941">
        <v>4</v>
      </c>
      <c r="Y941" t="s">
        <v>6869</v>
      </c>
      <c r="Z941" t="s">
        <v>8839</v>
      </c>
      <c r="AA941">
        <v>0.82999747761070664</v>
      </c>
      <c r="AB941" t="str">
        <f>HYPERLINK("Melting_Curves/meltCurve_P02652_APOA2.pdf", "Melting_Curves/meltCurve_P02652_APOA2.pdf")</f>
        <v>Melting_Curves/meltCurve_P02652_APOA2.pdf</v>
      </c>
    </row>
    <row r="942" spans="1:28" x14ac:dyDescent="0.25">
      <c r="A942" t="s">
        <v>946</v>
      </c>
      <c r="B942">
        <v>1</v>
      </c>
      <c r="C942">
        <v>0.93426371363140304</v>
      </c>
      <c r="D942">
        <v>1.06790341668844</v>
      </c>
      <c r="E942">
        <v>1.1220201958102101</v>
      </c>
      <c r="F942">
        <v>1.07159214914775</v>
      </c>
      <c r="G942">
        <v>1.24989625439958</v>
      </c>
      <c r="H942">
        <v>0.93549329111783996</v>
      </c>
      <c r="I942">
        <v>1.4059911163026599</v>
      </c>
      <c r="J942">
        <v>0.93606197070531605</v>
      </c>
      <c r="K942">
        <v>0.976776355224936</v>
      </c>
      <c r="L942">
        <v>11465.0843639581</v>
      </c>
      <c r="M942">
        <v>250</v>
      </c>
      <c r="O942">
        <v>45.857402789483899</v>
      </c>
      <c r="P942">
        <v>0.13586981790307101</v>
      </c>
      <c r="Q942">
        <v>1.0996901911494299</v>
      </c>
      <c r="R942">
        <v>0.116558377813219</v>
      </c>
      <c r="S942" t="s">
        <v>2944</v>
      </c>
      <c r="T942" t="s">
        <v>4002</v>
      </c>
      <c r="U942" t="s">
        <v>4002</v>
      </c>
      <c r="V942" t="s">
        <v>4002</v>
      </c>
      <c r="W942" t="s">
        <v>4928</v>
      </c>
      <c r="X942">
        <v>27</v>
      </c>
      <c r="Y942" t="s">
        <v>6870</v>
      </c>
      <c r="Z942" t="s">
        <v>8840</v>
      </c>
      <c r="AA942">
        <v>1.0802082289605579</v>
      </c>
      <c r="AB942" t="str">
        <f>HYPERLINK("Melting_Curves/meltCurve_P02671_2_FGA.pdf", "Melting_Curves/meltCurve_P02671_2_FGA.pdf")</f>
        <v>Melting_Curves/meltCurve_P02671_2_FGA.pdf</v>
      </c>
    </row>
    <row r="943" spans="1:28" x14ac:dyDescent="0.25">
      <c r="A943" t="s">
        <v>947</v>
      </c>
      <c r="B943">
        <v>1</v>
      </c>
      <c r="C943">
        <v>0.98595626491413402</v>
      </c>
      <c r="D943">
        <v>1.16441732191057</v>
      </c>
      <c r="E943">
        <v>1.5078433673669001</v>
      </c>
      <c r="F943">
        <v>2.04827289441771</v>
      </c>
      <c r="G943">
        <v>2.5326448382427702</v>
      </c>
      <c r="H943">
        <v>2.19305245863162</v>
      </c>
      <c r="I943">
        <v>2.96428431717717</v>
      </c>
      <c r="J943">
        <v>2.4225247427923202</v>
      </c>
      <c r="K943">
        <v>2.3048155537300001</v>
      </c>
      <c r="L943">
        <v>11503.966085776099</v>
      </c>
      <c r="M943">
        <v>249.37274161605899</v>
      </c>
      <c r="O943">
        <v>46.128643929112897</v>
      </c>
      <c r="P943">
        <v>0.67575351525889105</v>
      </c>
      <c r="Q943">
        <v>1.5</v>
      </c>
      <c r="R943">
        <v>-0.24316016759588599</v>
      </c>
      <c r="S943" t="s">
        <v>2945</v>
      </c>
      <c r="T943" t="s">
        <v>4002</v>
      </c>
      <c r="U943" t="s">
        <v>4002</v>
      </c>
      <c r="V943" t="s">
        <v>4002</v>
      </c>
      <c r="W943" t="s">
        <v>4929</v>
      </c>
      <c r="X943">
        <v>25</v>
      </c>
      <c r="Y943" t="s">
        <v>6871</v>
      </c>
      <c r="Z943" t="s">
        <v>8841</v>
      </c>
      <c r="AA943">
        <v>1.3977658142616509</v>
      </c>
      <c r="AB943" t="str">
        <f>HYPERLINK("Melting_Curves/meltCurve_P02675_FGB.pdf", "Melting_Curves/meltCurve_P02675_FGB.pdf")</f>
        <v>Melting_Curves/meltCurve_P02675_FGB.pdf</v>
      </c>
    </row>
    <row r="944" spans="1:28" x14ac:dyDescent="0.25">
      <c r="A944" t="s">
        <v>948</v>
      </c>
      <c r="B944">
        <v>1</v>
      </c>
      <c r="C944">
        <v>0.96998229292560201</v>
      </c>
      <c r="D944">
        <v>1.0147277888642201</v>
      </c>
      <c r="E944">
        <v>1.0314792433739</v>
      </c>
      <c r="F944">
        <v>0.93380926951291499</v>
      </c>
      <c r="G944">
        <v>0.99879142190618098</v>
      </c>
      <c r="H944">
        <v>0.83293515837994303</v>
      </c>
      <c r="I944">
        <v>1.14643469462323</v>
      </c>
      <c r="J944">
        <v>0.93895275302847203</v>
      </c>
      <c r="K944">
        <v>0.96998229292560201</v>
      </c>
      <c r="L944">
        <v>3396.5016420132201</v>
      </c>
      <c r="M944">
        <v>66.090818457085504</v>
      </c>
      <c r="O944">
        <v>51.344464458037102</v>
      </c>
      <c r="P944">
        <v>-9.2767624947080393E-3</v>
      </c>
      <c r="Q944">
        <v>0.97117239284311796</v>
      </c>
      <c r="R944">
        <v>3.7285950390324202E-2</v>
      </c>
      <c r="S944" t="s">
        <v>2946</v>
      </c>
      <c r="T944" t="s">
        <v>4002</v>
      </c>
      <c r="U944" t="s">
        <v>4002</v>
      </c>
      <c r="V944" t="s">
        <v>4002</v>
      </c>
      <c r="W944" t="s">
        <v>4930</v>
      </c>
      <c r="X944">
        <v>5</v>
      </c>
      <c r="Y944" t="s">
        <v>6872</v>
      </c>
      <c r="Z944" t="s">
        <v>8842</v>
      </c>
      <c r="AA944">
        <v>0.98215596066097399</v>
      </c>
      <c r="AB944" t="str">
        <f>HYPERLINK("Melting_Curves/meltCurve_P02748_C9.pdf", "Melting_Curves/meltCurve_P02748_C9.pdf")</f>
        <v>Melting_Curves/meltCurve_P02748_C9.pdf</v>
      </c>
    </row>
    <row r="945" spans="1:28" x14ac:dyDescent="0.25">
      <c r="A945" t="s">
        <v>949</v>
      </c>
      <c r="B945">
        <v>1</v>
      </c>
      <c r="C945">
        <v>0.86403229233057099</v>
      </c>
      <c r="D945">
        <v>0.98158770625309799</v>
      </c>
      <c r="E945">
        <v>1.0703207988102801</v>
      </c>
      <c r="F945">
        <v>0.95485447206288498</v>
      </c>
      <c r="G945">
        <v>1.1045605835280801</v>
      </c>
      <c r="H945">
        <v>0.91339140287515097</v>
      </c>
      <c r="I945">
        <v>1.20118971744211</v>
      </c>
      <c r="J945">
        <v>0.95372140783230697</v>
      </c>
      <c r="K945">
        <v>1.02836201402167</v>
      </c>
      <c r="L945">
        <v>1163.4201667775901</v>
      </c>
      <c r="M945">
        <v>22.465842490625</v>
      </c>
      <c r="O945">
        <v>51.381100225777203</v>
      </c>
      <c r="P945">
        <v>3.8250789294457998E-3</v>
      </c>
      <c r="Q945">
        <v>1.0349922734500501</v>
      </c>
      <c r="R945">
        <v>6.6657345077677205E-2</v>
      </c>
      <c r="S945" t="s">
        <v>2947</v>
      </c>
      <c r="T945" t="s">
        <v>4002</v>
      </c>
      <c r="U945" t="s">
        <v>4002</v>
      </c>
      <c r="V945" t="s">
        <v>4002</v>
      </c>
      <c r="W945" t="s">
        <v>4931</v>
      </c>
      <c r="X945">
        <v>9</v>
      </c>
      <c r="Y945" t="s">
        <v>6873</v>
      </c>
      <c r="Z945" t="s">
        <v>8843</v>
      </c>
      <c r="AA945">
        <v>1.02085381142091</v>
      </c>
      <c r="AB945" t="str">
        <f>HYPERLINK("Melting_Curves/meltCurve_P02749_APOH.pdf", "Melting_Curves/meltCurve_P02749_APOH.pdf")</f>
        <v>Melting_Curves/meltCurve_P02749_APOH.pdf</v>
      </c>
    </row>
    <row r="946" spans="1:28" x14ac:dyDescent="0.25">
      <c r="A946" t="s">
        <v>950</v>
      </c>
      <c r="B946">
        <v>1</v>
      </c>
      <c r="C946">
        <v>0.95941841424119201</v>
      </c>
      <c r="D946">
        <v>0.98767893930590001</v>
      </c>
      <c r="E946">
        <v>1.05842269293751</v>
      </c>
      <c r="F946">
        <v>0.970300036976388</v>
      </c>
      <c r="G946">
        <v>1.55049918123712</v>
      </c>
      <c r="H946">
        <v>1.98497173947494</v>
      </c>
      <c r="I946">
        <v>2.20656595002905</v>
      </c>
      <c r="J946">
        <v>2.0673762611589499</v>
      </c>
      <c r="K946">
        <v>1.97942528128467</v>
      </c>
      <c r="L946">
        <v>13718.9599888633</v>
      </c>
      <c r="M946">
        <v>250</v>
      </c>
      <c r="O946">
        <v>54.8723282984677</v>
      </c>
      <c r="P946">
        <v>0.56950381046934295</v>
      </c>
      <c r="Q946">
        <v>1.5</v>
      </c>
      <c r="R946">
        <v>0.49488628082251501</v>
      </c>
      <c r="S946" t="s">
        <v>2948</v>
      </c>
      <c r="T946" t="s">
        <v>4002</v>
      </c>
      <c r="U946" t="s">
        <v>4002</v>
      </c>
      <c r="V946" t="s">
        <v>4002</v>
      </c>
      <c r="W946" t="s">
        <v>4932</v>
      </c>
      <c r="X946">
        <v>6</v>
      </c>
      <c r="Y946" t="s">
        <v>6874</v>
      </c>
      <c r="Z946" t="s">
        <v>8844</v>
      </c>
      <c r="AA946">
        <v>1.2520211809533111</v>
      </c>
      <c r="AB946" t="str">
        <f>HYPERLINK("Melting_Curves/meltCurve_P02750_LRG1.pdf", "Melting_Curves/meltCurve_P02750_LRG1.pdf")</f>
        <v>Melting_Curves/meltCurve_P02750_LRG1.pdf</v>
      </c>
    </row>
    <row r="947" spans="1:28" x14ac:dyDescent="0.25">
      <c r="A947" t="s">
        <v>951</v>
      </c>
      <c r="B947">
        <v>1</v>
      </c>
      <c r="C947">
        <v>0.91043317772228904</v>
      </c>
      <c r="D947">
        <v>1.03104983172294</v>
      </c>
      <c r="E947">
        <v>1.1300075996091601</v>
      </c>
      <c r="F947">
        <v>1.01921615459776</v>
      </c>
      <c r="G947">
        <v>1.0354467484529399</v>
      </c>
      <c r="H947">
        <v>0.89697101291933601</v>
      </c>
      <c r="I947">
        <v>1.1410270328954499</v>
      </c>
      <c r="J947">
        <v>0.93496905873412195</v>
      </c>
      <c r="K947">
        <v>0.88839431114971201</v>
      </c>
      <c r="L947">
        <v>15000</v>
      </c>
      <c r="M947">
        <v>224.21329660410601</v>
      </c>
      <c r="O947">
        <v>66.895236235050803</v>
      </c>
      <c r="P947">
        <v>-9.3528317635930697E-2</v>
      </c>
      <c r="Q947">
        <v>0.88838126619121704</v>
      </c>
      <c r="R947">
        <v>0.22317238941093601</v>
      </c>
      <c r="S947" t="s">
        <v>2949</v>
      </c>
      <c r="T947" t="s">
        <v>4002</v>
      </c>
      <c r="U947" t="s">
        <v>4002</v>
      </c>
      <c r="V947" t="s">
        <v>4002</v>
      </c>
      <c r="W947" t="s">
        <v>4933</v>
      </c>
      <c r="X947">
        <v>28</v>
      </c>
      <c r="Y947" t="s">
        <v>6875</v>
      </c>
      <c r="Z947" t="s">
        <v>8845</v>
      </c>
      <c r="AA947">
        <v>0.98848446285811264</v>
      </c>
      <c r="AB947" t="str">
        <f>HYPERLINK("Melting_Curves/meltCurve_P02751_10_FN1.pdf", "Melting_Curves/meltCurve_P02751_10_FN1.pdf")</f>
        <v>Melting_Curves/meltCurve_P02751_10_FN1.pdf</v>
      </c>
    </row>
    <row r="948" spans="1:28" x14ac:dyDescent="0.25">
      <c r="A948" t="s">
        <v>952</v>
      </c>
      <c r="B948">
        <v>1</v>
      </c>
      <c r="C948">
        <v>0.93335907335907298</v>
      </c>
      <c r="D948">
        <v>0.99088803088803101</v>
      </c>
      <c r="E948">
        <v>1.10579150579151</v>
      </c>
      <c r="F948">
        <v>1.05945945945946</v>
      </c>
      <c r="G948">
        <v>1.1206177606177601</v>
      </c>
      <c r="H948">
        <v>0.93088803088803096</v>
      </c>
      <c r="I948">
        <v>1.3264092664092699</v>
      </c>
      <c r="J948">
        <v>0.98115830115830105</v>
      </c>
      <c r="K948">
        <v>1.02123552123552</v>
      </c>
      <c r="L948">
        <v>11954.469976005899</v>
      </c>
      <c r="M948">
        <v>250</v>
      </c>
      <c r="O948">
        <v>47.814820324452199</v>
      </c>
      <c r="P948">
        <v>0.101873730100696</v>
      </c>
      <c r="Q948">
        <v>1.07793718478796</v>
      </c>
      <c r="R948">
        <v>0.16509303172709799</v>
      </c>
      <c r="S948" t="s">
        <v>2950</v>
      </c>
      <c r="T948" t="s">
        <v>4002</v>
      </c>
      <c r="U948" t="s">
        <v>4002</v>
      </c>
      <c r="V948" t="s">
        <v>4002</v>
      </c>
      <c r="W948" t="s">
        <v>4934</v>
      </c>
      <c r="X948">
        <v>11</v>
      </c>
      <c r="Y948" t="s">
        <v>6876</v>
      </c>
      <c r="Z948" t="s">
        <v>8846</v>
      </c>
      <c r="AA948">
        <v>1.057620525970189</v>
      </c>
      <c r="AB948" t="str">
        <f>HYPERLINK("Melting_Curves/meltCurve_P02760_AMBP.pdf", "Melting_Curves/meltCurve_P02760_AMBP.pdf")</f>
        <v>Melting_Curves/meltCurve_P02760_AMBP.pdf</v>
      </c>
    </row>
    <row r="949" spans="1:28" x14ac:dyDescent="0.25">
      <c r="A949" t="s">
        <v>953</v>
      </c>
      <c r="B949">
        <v>1</v>
      </c>
      <c r="C949">
        <v>0.91411509229098797</v>
      </c>
      <c r="D949">
        <v>1.01085776330076</v>
      </c>
      <c r="E949">
        <v>1.1643470535978699</v>
      </c>
      <c r="F949">
        <v>1.14174316454447</v>
      </c>
      <c r="G949">
        <v>1.1539828249926001</v>
      </c>
      <c r="H949">
        <v>1.0984108182805301</v>
      </c>
      <c r="I949">
        <v>1.3125061691836899</v>
      </c>
      <c r="J949">
        <v>1.16089231072944</v>
      </c>
      <c r="K949">
        <v>1.0892310729444299</v>
      </c>
      <c r="L949">
        <v>11620.5699585772</v>
      </c>
      <c r="M949">
        <v>250</v>
      </c>
      <c r="O949">
        <v>46.479281368716101</v>
      </c>
      <c r="P949">
        <v>0.215363399722867</v>
      </c>
      <c r="Q949">
        <v>1.16015905969336</v>
      </c>
      <c r="R949">
        <v>0.63818470461813004</v>
      </c>
      <c r="S949" t="s">
        <v>2951</v>
      </c>
      <c r="T949" t="s">
        <v>4002</v>
      </c>
      <c r="U949" t="s">
        <v>4002</v>
      </c>
      <c r="V949" t="s">
        <v>4002</v>
      </c>
      <c r="W949" t="s">
        <v>4935</v>
      </c>
      <c r="X949">
        <v>6</v>
      </c>
      <c r="Y949" t="s">
        <v>6877</v>
      </c>
      <c r="Z949" t="s">
        <v>8847</v>
      </c>
      <c r="AA949">
        <v>1.125539466511791</v>
      </c>
      <c r="AB949" t="str">
        <f>HYPERLINK("Melting_Curves/meltCurve_P02763_ORM1.pdf", "Melting_Curves/meltCurve_P02763_ORM1.pdf")</f>
        <v>Melting_Curves/meltCurve_P02763_ORM1.pdf</v>
      </c>
    </row>
    <row r="950" spans="1:28" x14ac:dyDescent="0.25">
      <c r="A950" t="s">
        <v>954</v>
      </c>
      <c r="B950">
        <v>1</v>
      </c>
      <c r="C950">
        <v>0.94176285414480598</v>
      </c>
      <c r="D950">
        <v>1.0224554039874101</v>
      </c>
      <c r="E950">
        <v>1.1524134312696701</v>
      </c>
      <c r="F950">
        <v>1.09344176285414</v>
      </c>
      <c r="G950">
        <v>1.1688352570828999</v>
      </c>
      <c r="H950">
        <v>1.2922875131164699</v>
      </c>
      <c r="I950">
        <v>1.4418153200419701</v>
      </c>
      <c r="J950">
        <v>1.2721930745015699</v>
      </c>
      <c r="K950">
        <v>1.1766002098635899</v>
      </c>
      <c r="L950">
        <v>861.387953534237</v>
      </c>
      <c r="M950">
        <v>16.1634968134174</v>
      </c>
      <c r="O950">
        <v>52.496461083476397</v>
      </c>
      <c r="P950">
        <v>2.30512265772745E-2</v>
      </c>
      <c r="Q950">
        <v>1.2994443530648701</v>
      </c>
      <c r="R950">
        <v>0.73006012794679198</v>
      </c>
      <c r="S950" t="s">
        <v>2952</v>
      </c>
      <c r="T950" t="s">
        <v>4002</v>
      </c>
      <c r="U950" t="s">
        <v>4002</v>
      </c>
      <c r="V950" t="s">
        <v>4002</v>
      </c>
      <c r="W950" t="s">
        <v>4936</v>
      </c>
      <c r="X950">
        <v>6</v>
      </c>
      <c r="Y950" t="s">
        <v>6878</v>
      </c>
      <c r="Z950" t="s">
        <v>8848</v>
      </c>
      <c r="AA950">
        <v>1.161036756334358</v>
      </c>
      <c r="AB950" t="str">
        <f>HYPERLINK("Melting_Curves/meltCurve_P02766_TTR.pdf", "Melting_Curves/meltCurve_P02766_TTR.pdf")</f>
        <v>Melting_Curves/meltCurve_P02766_TTR.pdf</v>
      </c>
    </row>
    <row r="951" spans="1:28" x14ac:dyDescent="0.25">
      <c r="A951" t="s">
        <v>955</v>
      </c>
      <c r="B951">
        <v>1</v>
      </c>
      <c r="C951">
        <v>0.94181927478048</v>
      </c>
      <c r="D951">
        <v>1.05788016058739</v>
      </c>
      <c r="E951">
        <v>1.1612314562356401</v>
      </c>
      <c r="F951">
        <v>1.1081173919577501</v>
      </c>
      <c r="G951">
        <v>1.2121342235771499</v>
      </c>
      <c r="H951">
        <v>1.07385302389489</v>
      </c>
      <c r="I951">
        <v>1.3776594602718</v>
      </c>
      <c r="J951">
        <v>1.1439919276927399</v>
      </c>
      <c r="K951">
        <v>1.1306168015629401</v>
      </c>
      <c r="L951">
        <v>11531.4353076806</v>
      </c>
      <c r="M951">
        <v>250</v>
      </c>
      <c r="O951">
        <v>46.122790970306703</v>
      </c>
      <c r="P951">
        <v>0.233771227957592</v>
      </c>
      <c r="Q951">
        <v>1.17251489797216</v>
      </c>
      <c r="R951">
        <v>0.508897402118347</v>
      </c>
      <c r="S951" t="s">
        <v>2953</v>
      </c>
      <c r="T951" t="s">
        <v>4002</v>
      </c>
      <c r="U951" t="s">
        <v>4002</v>
      </c>
      <c r="V951" t="s">
        <v>4002</v>
      </c>
      <c r="W951" t="s">
        <v>4937</v>
      </c>
      <c r="X951">
        <v>63</v>
      </c>
      <c r="Y951" t="s">
        <v>6151</v>
      </c>
      <c r="Z951" t="s">
        <v>8849</v>
      </c>
      <c r="AA951">
        <v>1.137274878784353</v>
      </c>
      <c r="AB951" t="str">
        <f>HYPERLINK("Melting_Curves/meltCurve_P02787_TF.pdf", "Melting_Curves/meltCurve_P02787_TF.pdf")</f>
        <v>Melting_Curves/meltCurve_P02787_TF.pdf</v>
      </c>
    </row>
    <row r="952" spans="1:28" x14ac:dyDescent="0.25">
      <c r="A952" t="s">
        <v>956</v>
      </c>
      <c r="B952">
        <v>1</v>
      </c>
      <c r="C952">
        <v>1.0018194876705799</v>
      </c>
      <c r="D952">
        <v>1.1906392147474301</v>
      </c>
      <c r="E952">
        <v>1.50148431888915</v>
      </c>
      <c r="F952">
        <v>1.6287526933205601</v>
      </c>
      <c r="G952">
        <v>1.8680392626286799</v>
      </c>
      <c r="H952">
        <v>1.76504668422313</v>
      </c>
      <c r="I952">
        <v>2.2723964567871699</v>
      </c>
      <c r="J952">
        <v>1.8681110845104101</v>
      </c>
      <c r="K952">
        <v>1.91886521426861</v>
      </c>
      <c r="L952">
        <v>6050.5587961651599</v>
      </c>
      <c r="M952">
        <v>131.04976702934999</v>
      </c>
      <c r="O952">
        <v>46.159182777167103</v>
      </c>
      <c r="P952">
        <v>0.35488542684007501</v>
      </c>
      <c r="Q952">
        <v>1.5</v>
      </c>
      <c r="R952">
        <v>0.30285739352887298</v>
      </c>
      <c r="S952" t="s">
        <v>2954</v>
      </c>
      <c r="T952" t="s">
        <v>4002</v>
      </c>
      <c r="U952" t="s">
        <v>4002</v>
      </c>
      <c r="V952" t="s">
        <v>4002</v>
      </c>
      <c r="W952" t="s">
        <v>4938</v>
      </c>
      <c r="X952">
        <v>19</v>
      </c>
      <c r="Y952" t="s">
        <v>6879</v>
      </c>
      <c r="Z952" t="s">
        <v>8850</v>
      </c>
      <c r="AA952">
        <v>1.3970202801896601</v>
      </c>
      <c r="AB952" t="str">
        <f>HYPERLINK("Melting_Curves/meltCurve_P02790_HPX.pdf", "Melting_Curves/meltCurve_P02790_HPX.pdf")</f>
        <v>Melting_Curves/meltCurve_P02790_HPX.pdf</v>
      </c>
    </row>
    <row r="953" spans="1:28" x14ac:dyDescent="0.25">
      <c r="A953" t="s">
        <v>957</v>
      </c>
      <c r="B953">
        <v>1</v>
      </c>
      <c r="C953">
        <v>0.86762214259922799</v>
      </c>
      <c r="D953">
        <v>1.01855400938811</v>
      </c>
      <c r="E953">
        <v>1.1284059661694901</v>
      </c>
      <c r="F953">
        <v>0.94489348109879701</v>
      </c>
      <c r="G953">
        <v>0.99244507402160898</v>
      </c>
      <c r="H953">
        <v>0.67641585423436901</v>
      </c>
      <c r="I953">
        <v>1.00061106018943</v>
      </c>
      <c r="J953">
        <v>0.54739882787545502</v>
      </c>
      <c r="K953">
        <v>0.62136488625947806</v>
      </c>
      <c r="L953">
        <v>886.56238367288904</v>
      </c>
      <c r="M953">
        <v>13.265516394554799</v>
      </c>
      <c r="O953">
        <v>65.368120036573004</v>
      </c>
      <c r="P953">
        <v>-3.2205955625154097E-2</v>
      </c>
      <c r="Q953">
        <v>0.36530203608238998</v>
      </c>
      <c r="R953">
        <v>0.58471352983049596</v>
      </c>
      <c r="S953" t="s">
        <v>2955</v>
      </c>
      <c r="T953" t="s">
        <v>4002</v>
      </c>
      <c r="U953" t="s">
        <v>4002</v>
      </c>
      <c r="V953" t="s">
        <v>4002</v>
      </c>
      <c r="W953" t="s">
        <v>9920</v>
      </c>
      <c r="X953">
        <v>6</v>
      </c>
      <c r="Y953" t="s">
        <v>6880</v>
      </c>
      <c r="Z953" t="s">
        <v>8851</v>
      </c>
      <c r="AA953">
        <v>0.89828059648701408</v>
      </c>
      <c r="AB953" t="str">
        <f>HYPERLINK("Melting_Curves/meltCurve_P02810_PRH1.pdf", "Melting_Curves/meltCurve_P02810_PRH1.pdf")</f>
        <v>Melting_Curves/meltCurve_P02810_PRH1.pdf</v>
      </c>
    </row>
    <row r="954" spans="1:28" x14ac:dyDescent="0.25">
      <c r="A954" t="s">
        <v>958</v>
      </c>
      <c r="B954">
        <v>1</v>
      </c>
      <c r="C954">
        <v>0.865556418722082</v>
      </c>
      <c r="D954">
        <v>0.95547679161002097</v>
      </c>
      <c r="E954">
        <v>1.0265100019421201</v>
      </c>
      <c r="F954">
        <v>0.77338318120023297</v>
      </c>
      <c r="G954">
        <v>0.73127791804233799</v>
      </c>
      <c r="H954">
        <v>0.71289570790444701</v>
      </c>
      <c r="I954">
        <v>0.722004272674306</v>
      </c>
      <c r="J954">
        <v>0.677587881141969</v>
      </c>
      <c r="K954">
        <v>0.65607885026218704</v>
      </c>
      <c r="L954">
        <v>13190.2616122624</v>
      </c>
      <c r="M954">
        <v>250</v>
      </c>
      <c r="O954">
        <v>52.757670084466199</v>
      </c>
      <c r="P954">
        <v>-0.35543539503292698</v>
      </c>
      <c r="Q954">
        <v>0.69996890738881801</v>
      </c>
      <c r="R954">
        <v>0.85662804884341603</v>
      </c>
      <c r="S954" t="s">
        <v>2956</v>
      </c>
      <c r="T954" t="s">
        <v>4002</v>
      </c>
      <c r="U954" t="s">
        <v>4002</v>
      </c>
      <c r="V954" t="s">
        <v>4002</v>
      </c>
      <c r="W954" t="s">
        <v>4939</v>
      </c>
      <c r="X954">
        <v>2</v>
      </c>
      <c r="Y954" t="s">
        <v>6881</v>
      </c>
      <c r="Z954" t="s">
        <v>8852</v>
      </c>
      <c r="AA954">
        <v>0.82762037901145968</v>
      </c>
      <c r="AB954" t="str">
        <f>HYPERLINK("Melting_Curves/meltCurve_P02812_PRB2.pdf", "Melting_Curves/meltCurve_P02812_PRB2.pdf")</f>
        <v>Melting_Curves/meltCurve_P02812_PRB2.pdf</v>
      </c>
    </row>
    <row r="955" spans="1:28" x14ac:dyDescent="0.25">
      <c r="A955" t="s">
        <v>959</v>
      </c>
      <c r="B955">
        <v>1</v>
      </c>
      <c r="C955">
        <v>0.95719961272660503</v>
      </c>
      <c r="D955">
        <v>0.99913197342503302</v>
      </c>
      <c r="E955">
        <v>1.0043735185123399</v>
      </c>
      <c r="F955">
        <v>0.95850165258905595</v>
      </c>
      <c r="G955">
        <v>0.90051080025373098</v>
      </c>
      <c r="H955">
        <v>1.0008012552999701</v>
      </c>
      <c r="I955">
        <v>0.96334257002637502</v>
      </c>
      <c r="J955">
        <v>0.91299702867826305</v>
      </c>
      <c r="K955">
        <v>0.86141621874269703</v>
      </c>
      <c r="L955">
        <v>395.69595606588598</v>
      </c>
      <c r="M955">
        <v>3.5910811308281501</v>
      </c>
      <c r="Q955">
        <v>0</v>
      </c>
      <c r="R955">
        <v>0.49176095337368902</v>
      </c>
      <c r="S955" t="s">
        <v>2957</v>
      </c>
      <c r="T955" t="s">
        <v>4002</v>
      </c>
      <c r="U955" t="s">
        <v>4002</v>
      </c>
      <c r="V955" t="s">
        <v>4002</v>
      </c>
      <c r="W955" t="s">
        <v>4940</v>
      </c>
      <c r="X955">
        <v>3</v>
      </c>
      <c r="Y955" t="s">
        <v>6882</v>
      </c>
      <c r="Z955" t="s">
        <v>8853</v>
      </c>
      <c r="AA955">
        <v>0.9629013433795659</v>
      </c>
      <c r="AB955" t="str">
        <f>HYPERLINK("Melting_Curves/meltCurve_P02814_SMR3B.pdf", "Melting_Curves/meltCurve_P02814_SMR3B.pdf")</f>
        <v>Melting_Curves/meltCurve_P02814_SMR3B.pdf</v>
      </c>
    </row>
    <row r="956" spans="1:28" x14ac:dyDescent="0.25">
      <c r="A956" t="s">
        <v>960</v>
      </c>
      <c r="B956">
        <v>1</v>
      </c>
      <c r="C956">
        <v>1.15008796860198</v>
      </c>
      <c r="D956">
        <v>1.2466504263093801</v>
      </c>
      <c r="E956">
        <v>1.9215049397753401</v>
      </c>
      <c r="F956">
        <v>2.3665583976180802</v>
      </c>
      <c r="G956">
        <v>3.1912978752199201</v>
      </c>
      <c r="H956">
        <v>1.58444985789687</v>
      </c>
      <c r="I956">
        <v>3.3765056164569001</v>
      </c>
      <c r="J956">
        <v>1.38719718500474</v>
      </c>
      <c r="K956">
        <v>1.7673568818514001</v>
      </c>
      <c r="S956" t="s">
        <v>2958</v>
      </c>
      <c r="T956" t="s">
        <v>4002</v>
      </c>
      <c r="U956" t="s">
        <v>4003</v>
      </c>
      <c r="V956" t="s">
        <v>4002</v>
      </c>
      <c r="W956" t="s">
        <v>4941</v>
      </c>
      <c r="X956">
        <v>3</v>
      </c>
      <c r="Y956" t="s">
        <v>6883</v>
      </c>
      <c r="Z956" t="s">
        <v>8854</v>
      </c>
      <c r="AB956" t="str">
        <f>HYPERLINK("Melting_Curves/meltCurve_P03950_ANG.pdf", "Melting_Curves/meltCurve_P03950_ANG.pdf")</f>
        <v>Melting_Curves/meltCurve_P03950_ANG.pdf</v>
      </c>
    </row>
    <row r="957" spans="1:28" x14ac:dyDescent="0.25">
      <c r="A957" t="s">
        <v>961</v>
      </c>
      <c r="B957">
        <v>1</v>
      </c>
      <c r="C957">
        <v>0.97116700486055396</v>
      </c>
      <c r="D957">
        <v>1.0983436364494401</v>
      </c>
      <c r="E957">
        <v>1.0017932141003301</v>
      </c>
      <c r="F957">
        <v>0.95703364635930299</v>
      </c>
      <c r="G957">
        <v>1.11693643527913</v>
      </c>
      <c r="H957">
        <v>0.49646076164409397</v>
      </c>
      <c r="I957">
        <v>1.16775989806994</v>
      </c>
      <c r="J957">
        <v>0.44993157472511902</v>
      </c>
      <c r="K957">
        <v>0.67325751498277597</v>
      </c>
      <c r="L957">
        <v>983.18149445317704</v>
      </c>
      <c r="M957">
        <v>15.199468317231201</v>
      </c>
      <c r="O957">
        <v>63.596562565514802</v>
      </c>
      <c r="P957">
        <v>-3.0286628119205E-2</v>
      </c>
      <c r="Q957">
        <v>0.49315578146219002</v>
      </c>
      <c r="R957">
        <v>0.35611492691483698</v>
      </c>
      <c r="S957" t="s">
        <v>2959</v>
      </c>
      <c r="T957" t="s">
        <v>4002</v>
      </c>
      <c r="U957" t="s">
        <v>4002</v>
      </c>
      <c r="V957" t="s">
        <v>4002</v>
      </c>
      <c r="W957" t="s">
        <v>4942</v>
      </c>
      <c r="X957">
        <v>12</v>
      </c>
      <c r="Y957" t="s">
        <v>6884</v>
      </c>
      <c r="Z957" t="s">
        <v>8855</v>
      </c>
      <c r="AA957">
        <v>0.89911693574414053</v>
      </c>
      <c r="AB957" t="str">
        <f>HYPERLINK("Melting_Curves/meltCurve_P03973_SLPI.pdf", "Melting_Curves/meltCurve_P03973_SLPI.pdf")</f>
        <v>Melting_Curves/meltCurve_P03973_SLPI.pdf</v>
      </c>
    </row>
    <row r="958" spans="1:28" x14ac:dyDescent="0.25">
      <c r="A958" t="s">
        <v>962</v>
      </c>
      <c r="B958">
        <v>1</v>
      </c>
      <c r="C958">
        <v>0.91498447792837101</v>
      </c>
      <c r="D958">
        <v>1.02195805254789</v>
      </c>
      <c r="E958">
        <v>0.99831907321874802</v>
      </c>
      <c r="F958">
        <v>0.95534186416294398</v>
      </c>
      <c r="G958">
        <v>0.98788521238737004</v>
      </c>
      <c r="H958">
        <v>0.87736806239115595</v>
      </c>
      <c r="I958">
        <v>1.0686151283410299</v>
      </c>
      <c r="J958">
        <v>1.58673430756417</v>
      </c>
      <c r="K958">
        <v>0.91913379268569695</v>
      </c>
      <c r="L958">
        <v>15000</v>
      </c>
      <c r="M958">
        <v>233.389409083375</v>
      </c>
      <c r="O958">
        <v>64.265541811526802</v>
      </c>
      <c r="P958">
        <v>0.22962333613768501</v>
      </c>
      <c r="Q958">
        <v>1.2529141302592499</v>
      </c>
      <c r="R958">
        <v>0.32947014852928402</v>
      </c>
      <c r="S958" t="s">
        <v>2960</v>
      </c>
      <c r="T958" t="s">
        <v>4002</v>
      </c>
      <c r="U958" t="s">
        <v>4002</v>
      </c>
      <c r="V958" t="s">
        <v>4002</v>
      </c>
      <c r="W958" t="s">
        <v>4943</v>
      </c>
      <c r="X958">
        <v>3</v>
      </c>
      <c r="Y958" t="s">
        <v>6885</v>
      </c>
      <c r="Z958" t="s">
        <v>8856</v>
      </c>
      <c r="AA958">
        <v>1.0482716016438789</v>
      </c>
      <c r="AB958" t="str">
        <f>HYPERLINK("Melting_Curves/meltCurve_P04003_C4BPA.pdf", "Melting_Curves/meltCurve_P04003_C4BPA.pdf")</f>
        <v>Melting_Curves/meltCurve_P04003_C4BPA.pdf</v>
      </c>
    </row>
    <row r="959" spans="1:28" x14ac:dyDescent="0.25">
      <c r="A959" t="s">
        <v>963</v>
      </c>
      <c r="B959">
        <v>1</v>
      </c>
      <c r="C959">
        <v>0.95058328591171404</v>
      </c>
      <c r="D959">
        <v>1.11515323957402</v>
      </c>
      <c r="E959">
        <v>1.1293797252255899</v>
      </c>
      <c r="F959">
        <v>1.08842777009999</v>
      </c>
      <c r="G959">
        <v>1.3164580115437801</v>
      </c>
      <c r="H959">
        <v>0.94086862856678299</v>
      </c>
      <c r="I959">
        <v>1.67293309487034</v>
      </c>
      <c r="J959">
        <v>1.25965368669214</v>
      </c>
      <c r="K959">
        <v>1.36472644500447</v>
      </c>
      <c r="L959">
        <v>459.73456263109398</v>
      </c>
      <c r="M959">
        <v>7.7389851200203204</v>
      </c>
      <c r="O959">
        <v>55.829306024907602</v>
      </c>
      <c r="P959">
        <v>1.73495037046753E-2</v>
      </c>
      <c r="Q959">
        <v>1.5</v>
      </c>
      <c r="R959">
        <v>0.40665153862992098</v>
      </c>
      <c r="S959" t="s">
        <v>2961</v>
      </c>
      <c r="T959" t="s">
        <v>4002</v>
      </c>
      <c r="U959" t="s">
        <v>4002</v>
      </c>
      <c r="V959" t="s">
        <v>4002</v>
      </c>
      <c r="W959" t="s">
        <v>4944</v>
      </c>
      <c r="X959">
        <v>8</v>
      </c>
      <c r="Y959" t="s">
        <v>6886</v>
      </c>
      <c r="Z959" t="s">
        <v>8857</v>
      </c>
      <c r="AA959">
        <v>1.182079055210089</v>
      </c>
      <c r="AB959" t="str">
        <f>HYPERLINK("Melting_Curves/meltCurve_P04004_VTN.pdf", "Melting_Curves/meltCurve_P04004_VTN.pdf")</f>
        <v>Melting_Curves/meltCurve_P04004_VTN.pdf</v>
      </c>
    </row>
    <row r="960" spans="1:28" x14ac:dyDescent="0.25">
      <c r="A960" t="s">
        <v>964</v>
      </c>
      <c r="B960">
        <v>1</v>
      </c>
      <c r="C960">
        <v>0.81767516896640202</v>
      </c>
      <c r="D960">
        <v>0.786008481930067</v>
      </c>
      <c r="E960">
        <v>0.75250852470637097</v>
      </c>
      <c r="F960">
        <v>0.69825594896175802</v>
      </c>
      <c r="G960">
        <v>0.70552792070495396</v>
      </c>
      <c r="H960">
        <v>0.62272521724251695</v>
      </c>
      <c r="I960">
        <v>0.83919776096601095</v>
      </c>
      <c r="J960">
        <v>0.73163368817296304</v>
      </c>
      <c r="K960">
        <v>0.68586304249520302</v>
      </c>
      <c r="L960">
        <v>1373.44262267044</v>
      </c>
      <c r="M960">
        <v>32.273608712314697</v>
      </c>
      <c r="O960">
        <v>42.393846295879499</v>
      </c>
      <c r="P960">
        <v>-5.27758707433508E-2</v>
      </c>
      <c r="Q960">
        <v>0.72270096882606005</v>
      </c>
      <c r="R960">
        <v>0.69933237417334204</v>
      </c>
      <c r="S960" t="s">
        <v>2962</v>
      </c>
      <c r="T960" t="s">
        <v>4002</v>
      </c>
      <c r="U960" t="s">
        <v>4002</v>
      </c>
      <c r="V960" t="s">
        <v>4002</v>
      </c>
      <c r="W960" t="s">
        <v>4945</v>
      </c>
      <c r="X960">
        <v>11</v>
      </c>
      <c r="Y960" t="s">
        <v>6887</v>
      </c>
      <c r="Z960" t="s">
        <v>8858</v>
      </c>
      <c r="AA960">
        <v>0.74880573233008729</v>
      </c>
      <c r="AB960" t="str">
        <f>HYPERLINK("Melting_Curves/meltCurve_P04040_CAT.pdf", "Melting_Curves/meltCurve_P04040_CAT.pdf")</f>
        <v>Melting_Curves/meltCurve_P04040_CAT.pdf</v>
      </c>
    </row>
    <row r="961" spans="1:28" x14ac:dyDescent="0.25">
      <c r="A961" t="s">
        <v>965</v>
      </c>
      <c r="B961">
        <v>1</v>
      </c>
      <c r="C961">
        <v>1.1494093837766399</v>
      </c>
      <c r="D961">
        <v>1.1018503221542999</v>
      </c>
      <c r="E961">
        <v>1.41935816950273</v>
      </c>
      <c r="F961">
        <v>2.1666942012225299</v>
      </c>
      <c r="G961">
        <v>2.60284156616554</v>
      </c>
      <c r="H961">
        <v>3.0625309763753501</v>
      </c>
      <c r="I961">
        <v>3.1856104411035902</v>
      </c>
      <c r="J961">
        <v>3.6075086733850998</v>
      </c>
      <c r="K961">
        <v>3.11704939699323</v>
      </c>
      <c r="L961">
        <v>2550.9119521361999</v>
      </c>
      <c r="M961">
        <v>54.093068704040498</v>
      </c>
      <c r="O961">
        <v>47.093515510499202</v>
      </c>
      <c r="P961">
        <v>0.14357895906834001</v>
      </c>
      <c r="Q961">
        <v>1.5</v>
      </c>
      <c r="R961">
        <v>-0.55115059575196301</v>
      </c>
      <c r="S961" t="s">
        <v>2963</v>
      </c>
      <c r="T961" t="s">
        <v>4002</v>
      </c>
      <c r="U961" t="s">
        <v>4002</v>
      </c>
      <c r="V961" t="s">
        <v>4002</v>
      </c>
      <c r="W961" t="s">
        <v>4946</v>
      </c>
      <c r="X961">
        <v>4</v>
      </c>
      <c r="Y961" t="s">
        <v>6888</v>
      </c>
      <c r="Z961" t="s">
        <v>8859</v>
      </c>
      <c r="AA961">
        <v>1.379814229876593</v>
      </c>
      <c r="AB961" t="str">
        <f>HYPERLINK("Melting_Curves/meltCurve_P04066_FUCA1.pdf", "Melting_Curves/meltCurve_P04066_FUCA1.pdf")</f>
        <v>Melting_Curves/meltCurve_P04066_FUCA1.pdf</v>
      </c>
    </row>
    <row r="962" spans="1:28" x14ac:dyDescent="0.25">
      <c r="A962" t="s">
        <v>966</v>
      </c>
      <c r="B962">
        <v>1</v>
      </c>
      <c r="C962">
        <v>0.95900389186914903</v>
      </c>
      <c r="D962">
        <v>1.0704480908803999</v>
      </c>
      <c r="E962">
        <v>1.13810876196487</v>
      </c>
      <c r="F962">
        <v>1.12259387819501</v>
      </c>
      <c r="G962">
        <v>1.12112127905754</v>
      </c>
      <c r="H962">
        <v>1.30353949721258</v>
      </c>
      <c r="I962">
        <v>1.1085778899758101</v>
      </c>
      <c r="J962">
        <v>1.2338014094877501</v>
      </c>
      <c r="K962">
        <v>1.0718155043652</v>
      </c>
      <c r="L962">
        <v>11509.512303159499</v>
      </c>
      <c r="M962">
        <v>250</v>
      </c>
      <c r="O962">
        <v>46.035102844600601</v>
      </c>
      <c r="P962">
        <v>0.213260826488293</v>
      </c>
      <c r="Q962">
        <v>1.15707974591072</v>
      </c>
      <c r="R962">
        <v>0.54761831856038001</v>
      </c>
      <c r="S962" t="s">
        <v>2964</v>
      </c>
      <c r="T962" t="s">
        <v>4002</v>
      </c>
      <c r="U962" t="s">
        <v>4002</v>
      </c>
      <c r="V962" t="s">
        <v>4002</v>
      </c>
      <c r="W962" t="s">
        <v>4947</v>
      </c>
      <c r="X962">
        <v>6</v>
      </c>
      <c r="Y962" t="s">
        <v>6889</v>
      </c>
      <c r="Z962" t="s">
        <v>8860</v>
      </c>
      <c r="AA962">
        <v>1.125451879948913</v>
      </c>
      <c r="AB962" t="str">
        <f>HYPERLINK("Melting_Curves/meltCurve_P04080_CSTB.pdf", "Melting_Curves/meltCurve_P04080_CSTB.pdf")</f>
        <v>Melting_Curves/meltCurve_P04080_CSTB.pdf</v>
      </c>
    </row>
    <row r="963" spans="1:28" x14ac:dyDescent="0.25">
      <c r="A963" t="s">
        <v>967</v>
      </c>
      <c r="B963">
        <v>1</v>
      </c>
      <c r="C963">
        <v>0.91810214566334203</v>
      </c>
      <c r="D963">
        <v>0.90671904905812395</v>
      </c>
      <c r="E963">
        <v>0.79349249521507004</v>
      </c>
      <c r="F963">
        <v>0.672207111916994</v>
      </c>
      <c r="G963">
        <v>0.64203686914475699</v>
      </c>
      <c r="H963">
        <v>0.50213558980558104</v>
      </c>
      <c r="I963">
        <v>0.63614385010577201</v>
      </c>
      <c r="J963">
        <v>1.50720257882543</v>
      </c>
      <c r="K963">
        <v>0.52785332930391904</v>
      </c>
      <c r="L963">
        <v>1227.3752759021099</v>
      </c>
      <c r="M963">
        <v>26.6479926297167</v>
      </c>
      <c r="O963">
        <v>45.801792554019997</v>
      </c>
      <c r="P963">
        <v>-3.6273535753626199E-2</v>
      </c>
      <c r="Q963">
        <v>0.75061902248504297</v>
      </c>
      <c r="R963">
        <v>9.4390418395365105E-2</v>
      </c>
      <c r="S963" t="s">
        <v>2965</v>
      </c>
      <c r="T963" t="s">
        <v>4002</v>
      </c>
      <c r="U963" t="s">
        <v>4002</v>
      </c>
      <c r="V963" t="s">
        <v>4002</v>
      </c>
      <c r="W963" t="s">
        <v>4948</v>
      </c>
      <c r="X963">
        <v>15</v>
      </c>
      <c r="Y963" t="s">
        <v>6890</v>
      </c>
      <c r="Z963" t="s">
        <v>8861</v>
      </c>
      <c r="AA963">
        <v>0.80296840564830441</v>
      </c>
      <c r="AB963" t="str">
        <f>HYPERLINK("Melting_Curves/meltCurve_P04083_ANXA1.pdf", "Melting_Curves/meltCurve_P04083_ANXA1.pdf")</f>
        <v>Melting_Curves/meltCurve_P04083_ANXA1.pdf</v>
      </c>
    </row>
    <row r="964" spans="1:28" x14ac:dyDescent="0.25">
      <c r="A964" t="s">
        <v>968</v>
      </c>
      <c r="B964">
        <v>1</v>
      </c>
      <c r="C964">
        <v>0.99014532765826901</v>
      </c>
      <c r="D964">
        <v>0.81314467579278304</v>
      </c>
      <c r="E964">
        <v>0.88542505464166599</v>
      </c>
      <c r="F964">
        <v>0.81210936002147305</v>
      </c>
      <c r="G964">
        <v>0.74147781740097396</v>
      </c>
      <c r="H964">
        <v>0.67471912266574596</v>
      </c>
      <c r="I964">
        <v>0.88162889681352796</v>
      </c>
      <c r="J964">
        <v>0.82299934813451403</v>
      </c>
      <c r="K964">
        <v>0.73618620345872199</v>
      </c>
      <c r="L964">
        <v>864.19596268825205</v>
      </c>
      <c r="M964">
        <v>18.9228580107719</v>
      </c>
      <c r="O964">
        <v>45.168553527937199</v>
      </c>
      <c r="P964">
        <v>-2.3087626724171102E-2</v>
      </c>
      <c r="Q964">
        <v>0.77956977657159998</v>
      </c>
      <c r="R964">
        <v>0.61486213768464704</v>
      </c>
      <c r="S964" t="s">
        <v>2966</v>
      </c>
      <c r="T964" t="s">
        <v>4002</v>
      </c>
      <c r="U964" t="s">
        <v>4002</v>
      </c>
      <c r="V964" t="s">
        <v>4002</v>
      </c>
      <c r="W964" t="s">
        <v>4949</v>
      </c>
      <c r="X964">
        <v>2</v>
      </c>
      <c r="Y964" t="s">
        <v>6891</v>
      </c>
      <c r="Z964" t="s">
        <v>8862</v>
      </c>
      <c r="AA964">
        <v>0.82519622489822264</v>
      </c>
      <c r="AB964" t="str">
        <f>HYPERLINK("Melting_Curves/meltCurve_P04114_APOB.pdf", "Melting_Curves/meltCurve_P04114_APOB.pdf")</f>
        <v>Melting_Curves/meltCurve_P04114_APOB.pdf</v>
      </c>
    </row>
    <row r="965" spans="1:28" x14ac:dyDescent="0.25">
      <c r="A965" t="s">
        <v>969</v>
      </c>
      <c r="B965">
        <v>1</v>
      </c>
      <c r="C965">
        <v>0.86551521757357297</v>
      </c>
      <c r="D965">
        <v>0.97442776892764305</v>
      </c>
      <c r="E965">
        <v>1.0970906346943901</v>
      </c>
      <c r="F965">
        <v>1.0243984237444499</v>
      </c>
      <c r="G965">
        <v>1.05575584807579</v>
      </c>
      <c r="H965">
        <v>1.0073782174897301</v>
      </c>
      <c r="I965">
        <v>1.16978284564434</v>
      </c>
      <c r="J965">
        <v>1.0056175064978601</v>
      </c>
      <c r="K965">
        <v>0.92454095749140597</v>
      </c>
      <c r="L965">
        <v>15000</v>
      </c>
      <c r="M965">
        <v>211.78000053519801</v>
      </c>
      <c r="Q965">
        <v>0</v>
      </c>
      <c r="R965">
        <v>6.3822611566701895E-2</v>
      </c>
      <c r="S965" t="s">
        <v>2967</v>
      </c>
      <c r="T965" t="s">
        <v>4002</v>
      </c>
      <c r="U965" t="s">
        <v>4002</v>
      </c>
      <c r="V965" t="s">
        <v>4002</v>
      </c>
      <c r="W965" t="s">
        <v>4950</v>
      </c>
      <c r="X965">
        <v>12</v>
      </c>
      <c r="Y965" t="s">
        <v>6892</v>
      </c>
      <c r="Z965" t="s">
        <v>8863</v>
      </c>
      <c r="AA965">
        <v>0.99915370413042537</v>
      </c>
      <c r="AB965" t="str">
        <f>HYPERLINK("Melting_Curves/meltCurve_P04196_HRG.pdf", "Melting_Curves/meltCurve_P04196_HRG.pdf")</f>
        <v>Melting_Curves/meltCurve_P04196_HRG.pdf</v>
      </c>
    </row>
    <row r="966" spans="1:28" x14ac:dyDescent="0.25">
      <c r="A966" t="s">
        <v>970</v>
      </c>
      <c r="B966">
        <v>1</v>
      </c>
      <c r="C966">
        <v>0.82921179916888099</v>
      </c>
      <c r="D966">
        <v>0.86293344233258396</v>
      </c>
      <c r="E966">
        <v>0.97554329313985999</v>
      </c>
      <c r="F966">
        <v>1.1165837818198301</v>
      </c>
      <c r="G966">
        <v>1.1541203987555899</v>
      </c>
      <c r="H966">
        <v>1.2002634148556901</v>
      </c>
      <c r="I966">
        <v>1.2643231827781201</v>
      </c>
      <c r="J966">
        <v>1.4634284805958599</v>
      </c>
      <c r="K966">
        <v>1.27165792401844</v>
      </c>
      <c r="L966">
        <v>994.37033980706701</v>
      </c>
      <c r="M966">
        <v>16.973012824012699</v>
      </c>
      <c r="O966">
        <v>57.790261779529303</v>
      </c>
      <c r="P966">
        <v>2.7142804561706799E-2</v>
      </c>
      <c r="Q966">
        <v>1.3696437999823401</v>
      </c>
      <c r="R966">
        <v>0.76922087461626398</v>
      </c>
      <c r="S966" t="s">
        <v>2968</v>
      </c>
      <c r="T966" t="s">
        <v>4002</v>
      </c>
      <c r="U966" t="s">
        <v>4002</v>
      </c>
      <c r="V966" t="s">
        <v>4002</v>
      </c>
      <c r="W966" t="s">
        <v>4951</v>
      </c>
      <c r="X966">
        <v>1</v>
      </c>
      <c r="Z966" t="s">
        <v>8864</v>
      </c>
      <c r="AA966">
        <v>1.13633632378076</v>
      </c>
      <c r="AB966" t="str">
        <f>HYPERLINK("Melting_Curves/meltCurve_P04209_.pdf", "Melting_Curves/meltCurve_P04209_.pdf")</f>
        <v>Melting_Curves/meltCurve_P04209_.pdf</v>
      </c>
    </row>
    <row r="967" spans="1:28" x14ac:dyDescent="0.25">
      <c r="A967" t="s">
        <v>971</v>
      </c>
      <c r="B967">
        <v>1</v>
      </c>
      <c r="C967">
        <v>0.66205368777690898</v>
      </c>
      <c r="D967">
        <v>0.67279124315871797</v>
      </c>
      <c r="E967">
        <v>0.69254626009903597</v>
      </c>
      <c r="F967">
        <v>0.67036747458952295</v>
      </c>
      <c r="G967">
        <v>0.643341151941621</v>
      </c>
      <c r="H967">
        <v>0.69324993484493103</v>
      </c>
      <c r="I967">
        <v>0.81065936929893101</v>
      </c>
      <c r="J967">
        <v>0.71363044044826696</v>
      </c>
      <c r="K967">
        <v>0.65658066197550202</v>
      </c>
      <c r="L967">
        <v>10263.9386841301</v>
      </c>
      <c r="M967">
        <v>250</v>
      </c>
      <c r="O967">
        <v>41.053121665239701</v>
      </c>
      <c r="P967">
        <v>-0.47106731276688901</v>
      </c>
      <c r="Q967">
        <v>0.69057941748130203</v>
      </c>
      <c r="R967">
        <v>0.81247206090771795</v>
      </c>
      <c r="S967" t="s">
        <v>2969</v>
      </c>
      <c r="T967" t="s">
        <v>4002</v>
      </c>
      <c r="U967" t="s">
        <v>4002</v>
      </c>
      <c r="V967" t="s">
        <v>4002</v>
      </c>
      <c r="W967" t="s">
        <v>4952</v>
      </c>
      <c r="X967">
        <v>12</v>
      </c>
      <c r="Y967" t="s">
        <v>6893</v>
      </c>
      <c r="Z967" t="s">
        <v>8865</v>
      </c>
      <c r="AA967">
        <v>0.70149295897260311</v>
      </c>
      <c r="AB967" t="str">
        <f>HYPERLINK("Melting_Curves/meltCurve_P04217_A1BG.pdf", "Melting_Curves/meltCurve_P04217_A1BG.pdf")</f>
        <v>Melting_Curves/meltCurve_P04217_A1BG.pdf</v>
      </c>
    </row>
    <row r="968" spans="1:28" x14ac:dyDescent="0.25">
      <c r="A968" t="s">
        <v>972</v>
      </c>
      <c r="B968">
        <v>1</v>
      </c>
      <c r="C968">
        <v>1.0382298170664901</v>
      </c>
      <c r="D968">
        <v>1.6822214919487399</v>
      </c>
      <c r="E968">
        <v>1.54131522255085</v>
      </c>
      <c r="F968">
        <v>0.94595976193084297</v>
      </c>
      <c r="G968">
        <v>1.0152627158870999</v>
      </c>
      <c r="H968">
        <v>1.0420272392010801</v>
      </c>
      <c r="I968">
        <v>1.31839924051557</v>
      </c>
      <c r="J968">
        <v>0.97568189286887896</v>
      </c>
      <c r="K968">
        <v>0.79424544491912197</v>
      </c>
      <c r="L968">
        <v>15000</v>
      </c>
      <c r="M968">
        <v>221.86980673239501</v>
      </c>
      <c r="O968">
        <v>67.601722797906206</v>
      </c>
      <c r="P968">
        <v>-0.16890830849889801</v>
      </c>
      <c r="Q968">
        <v>0.79414066489511204</v>
      </c>
      <c r="R968">
        <v>-0.19315660485811401</v>
      </c>
      <c r="S968" t="s">
        <v>2970</v>
      </c>
      <c r="T968" t="s">
        <v>4002</v>
      </c>
      <c r="U968" t="s">
        <v>4002</v>
      </c>
      <c r="V968" t="s">
        <v>4002</v>
      </c>
      <c r="W968" t="s">
        <v>4953</v>
      </c>
      <c r="X968">
        <v>30</v>
      </c>
      <c r="Y968" t="s">
        <v>6894</v>
      </c>
      <c r="Z968" t="s">
        <v>8866</v>
      </c>
      <c r="AA968">
        <v>0.983610633742803</v>
      </c>
      <c r="AB968" t="str">
        <f>HYPERLINK("Melting_Curves/meltCurve_P04259_KRT6B.pdf", "Melting_Curves/meltCurve_P04259_KRT6B.pdf")</f>
        <v>Melting_Curves/meltCurve_P04259_KRT6B.pdf</v>
      </c>
    </row>
    <row r="969" spans="1:28" x14ac:dyDescent="0.25">
      <c r="A969" t="s">
        <v>973</v>
      </c>
      <c r="B969">
        <v>1</v>
      </c>
      <c r="C969">
        <v>0.88786291396608397</v>
      </c>
      <c r="D969">
        <v>0.88194974695906903</v>
      </c>
      <c r="E969">
        <v>1.0156263872858</v>
      </c>
      <c r="F969">
        <v>1.4239545414188</v>
      </c>
      <c r="G969">
        <v>1.2821628340584199</v>
      </c>
      <c r="H969">
        <v>0.89017135754239496</v>
      </c>
      <c r="I969">
        <v>1.30666785048389</v>
      </c>
      <c r="J969">
        <v>0.936695374234218</v>
      </c>
      <c r="K969">
        <v>1.2411435674331901</v>
      </c>
      <c r="L969">
        <v>12617.632433319101</v>
      </c>
      <c r="M969">
        <v>250</v>
      </c>
      <c r="O969">
        <v>50.467300056886799</v>
      </c>
      <c r="P969">
        <v>0.223080392978138</v>
      </c>
      <c r="Q969">
        <v>1.1801322414899</v>
      </c>
      <c r="R969">
        <v>0.31606157466711199</v>
      </c>
      <c r="S969" t="s">
        <v>2971</v>
      </c>
      <c r="T969" t="s">
        <v>4002</v>
      </c>
      <c r="U969" t="s">
        <v>4002</v>
      </c>
      <c r="V969" t="s">
        <v>4002</v>
      </c>
      <c r="W969" t="s">
        <v>4954</v>
      </c>
      <c r="X969">
        <v>3</v>
      </c>
      <c r="Y969" t="s">
        <v>6895</v>
      </c>
      <c r="Z969" t="s">
        <v>8867</v>
      </c>
      <c r="AA969">
        <v>1.117246953262933</v>
      </c>
      <c r="AB969" t="str">
        <f>HYPERLINK("Melting_Curves/meltCurve_P04275_VWF.pdf", "Melting_Curves/meltCurve_P04275_VWF.pdf")</f>
        <v>Melting_Curves/meltCurve_P04275_VWF.pdf</v>
      </c>
    </row>
    <row r="970" spans="1:28" x14ac:dyDescent="0.25">
      <c r="A970" t="s">
        <v>974</v>
      </c>
      <c r="B970">
        <v>1</v>
      </c>
      <c r="C970">
        <v>0.91710972707478899</v>
      </c>
      <c r="D970">
        <v>1.37252519114892</v>
      </c>
      <c r="E970">
        <v>1.30545850422806</v>
      </c>
      <c r="F970">
        <v>1.5039242493290801</v>
      </c>
      <c r="G970">
        <v>1.17575573446757</v>
      </c>
      <c r="H970">
        <v>0.87077826725403795</v>
      </c>
      <c r="I970">
        <v>1.5139753911590501</v>
      </c>
      <c r="J970">
        <v>0.81449693655375</v>
      </c>
      <c r="K970">
        <v>1.62724694921262</v>
      </c>
      <c r="L970">
        <v>11096.518344873301</v>
      </c>
      <c r="M970">
        <v>250</v>
      </c>
      <c r="O970">
        <v>44.383233057128002</v>
      </c>
      <c r="P970">
        <v>0.384466302227011</v>
      </c>
      <c r="Q970">
        <v>1.2730217190241799</v>
      </c>
      <c r="R970">
        <v>0.19567197616631099</v>
      </c>
      <c r="S970" t="s">
        <v>2972</v>
      </c>
      <c r="T970" t="s">
        <v>4002</v>
      </c>
      <c r="U970" t="s">
        <v>4002</v>
      </c>
      <c r="V970" t="s">
        <v>4002</v>
      </c>
      <c r="W970" t="s">
        <v>4955</v>
      </c>
      <c r="X970">
        <v>23</v>
      </c>
      <c r="Y970" t="s">
        <v>6896</v>
      </c>
      <c r="Z970" t="s">
        <v>8868</v>
      </c>
      <c r="AA970">
        <v>1.233084008359528</v>
      </c>
      <c r="AB970" t="str">
        <f>HYPERLINK("Melting_Curves/meltCurve_P04279_SEMG1.pdf", "Melting_Curves/meltCurve_P04279_SEMG1.pdf")</f>
        <v>Melting_Curves/meltCurve_P04279_SEMG1.pdf</v>
      </c>
    </row>
    <row r="971" spans="1:28" x14ac:dyDescent="0.25">
      <c r="A971" t="s">
        <v>975</v>
      </c>
      <c r="B971">
        <v>1</v>
      </c>
      <c r="C971">
        <v>1.02026362384419</v>
      </c>
      <c r="D971">
        <v>1.0607065568702401</v>
      </c>
      <c r="E971">
        <v>1.09527556842135</v>
      </c>
      <c r="F971">
        <v>1.0901885837947201</v>
      </c>
      <c r="G971">
        <v>1.2787442736291801</v>
      </c>
      <c r="H971">
        <v>1.2776200781315901</v>
      </c>
      <c r="I971">
        <v>1.7130772041258</v>
      </c>
      <c r="J971">
        <v>1.5621820634608401</v>
      </c>
      <c r="K971">
        <v>1.4178634664568199</v>
      </c>
      <c r="L971">
        <v>1269.80914798714</v>
      </c>
      <c r="M971">
        <v>22.510174453142699</v>
      </c>
      <c r="O971">
        <v>55.970919011584201</v>
      </c>
      <c r="P971">
        <v>5.0273059518198202E-2</v>
      </c>
      <c r="Q971">
        <v>1.5</v>
      </c>
      <c r="R971">
        <v>0.81330607729777005</v>
      </c>
      <c r="S971" t="s">
        <v>2973</v>
      </c>
      <c r="T971" t="s">
        <v>4002</v>
      </c>
      <c r="U971" t="s">
        <v>4002</v>
      </c>
      <c r="V971" t="s">
        <v>4002</v>
      </c>
      <c r="W971" t="s">
        <v>4956</v>
      </c>
      <c r="X971">
        <v>20</v>
      </c>
      <c r="Y971" t="s">
        <v>6897</v>
      </c>
      <c r="Z971" t="s">
        <v>8869</v>
      </c>
      <c r="AA971">
        <v>1.2211256015325129</v>
      </c>
      <c r="AB971" t="str">
        <f>HYPERLINK("Melting_Curves/meltCurve_P04406_GAPDH.pdf", "Melting_Curves/meltCurve_P04406_GAPDH.pdf")</f>
        <v>Melting_Curves/meltCurve_P04406_GAPDH.pdf</v>
      </c>
    </row>
    <row r="972" spans="1:28" x14ac:dyDescent="0.25">
      <c r="A972" t="s">
        <v>976</v>
      </c>
      <c r="B972">
        <v>1</v>
      </c>
      <c r="C972">
        <v>1.1801539567588399</v>
      </c>
      <c r="D972">
        <v>1.3211173262725999</v>
      </c>
      <c r="E972">
        <v>1.28866015535955</v>
      </c>
      <c r="F972">
        <v>1.29749776429536</v>
      </c>
      <c r="G972">
        <v>1.53344789493065</v>
      </c>
      <c r="H972">
        <v>1.2964982728085701</v>
      </c>
      <c r="I972">
        <v>1.6758666643286699</v>
      </c>
      <c r="J972">
        <v>1.3620964772308799</v>
      </c>
      <c r="K972">
        <v>1.29548124638342</v>
      </c>
      <c r="L972">
        <v>723.16787960776105</v>
      </c>
      <c r="M972">
        <v>16.333809078837</v>
      </c>
      <c r="O972">
        <v>43.626621565636903</v>
      </c>
      <c r="P972">
        <v>3.87552398534158E-2</v>
      </c>
      <c r="Q972">
        <v>1.4140216966875001</v>
      </c>
      <c r="R972">
        <v>0.54336030030625604</v>
      </c>
      <c r="S972" t="s">
        <v>2974</v>
      </c>
      <c r="T972" t="s">
        <v>4002</v>
      </c>
      <c r="U972" t="s">
        <v>4002</v>
      </c>
      <c r="V972" t="s">
        <v>4002</v>
      </c>
      <c r="W972" t="s">
        <v>4957</v>
      </c>
      <c r="X972">
        <v>2</v>
      </c>
      <c r="Y972" t="s">
        <v>6898</v>
      </c>
      <c r="Z972" t="s">
        <v>8870</v>
      </c>
      <c r="AA972">
        <v>1.342920437559824</v>
      </c>
      <c r="AB972" t="str">
        <f>HYPERLINK("Melting_Curves/meltCurve_P04424_3_ASL.pdf", "Melting_Curves/meltCurve_P04424_3_ASL.pdf")</f>
        <v>Melting_Curves/meltCurve_P04424_3_ASL.pdf</v>
      </c>
    </row>
    <row r="973" spans="1:28" x14ac:dyDescent="0.25">
      <c r="A973" t="s">
        <v>977</v>
      </c>
      <c r="B973">
        <v>1</v>
      </c>
      <c r="C973">
        <v>0.89660315953624004</v>
      </c>
      <c r="D973">
        <v>0.88071507672836602</v>
      </c>
      <c r="E973">
        <v>1.04764164802133</v>
      </c>
      <c r="F973">
        <v>0.94989490812936495</v>
      </c>
      <c r="G973">
        <v>1.0737225122607199</v>
      </c>
      <c r="H973">
        <v>1.2093023255813999</v>
      </c>
      <c r="I973">
        <v>1.4255429746649499</v>
      </c>
      <c r="J973">
        <v>1.34700657671707</v>
      </c>
      <c r="K973">
        <v>1.19614889145027</v>
      </c>
      <c r="L973">
        <v>2630.1411002745399</v>
      </c>
      <c r="M973">
        <v>44.468796872267198</v>
      </c>
      <c r="O973">
        <v>59.026510637092798</v>
      </c>
      <c r="P973">
        <v>5.9489816273785898E-2</v>
      </c>
      <c r="Q973">
        <v>1.3158594693933401</v>
      </c>
      <c r="R973">
        <v>0.80241656712749498</v>
      </c>
      <c r="S973" t="s">
        <v>2975</v>
      </c>
      <c r="T973" t="s">
        <v>4002</v>
      </c>
      <c r="U973" t="s">
        <v>4002</v>
      </c>
      <c r="V973" t="s">
        <v>4002</v>
      </c>
      <c r="W973" t="s">
        <v>4958</v>
      </c>
      <c r="X973">
        <v>2</v>
      </c>
      <c r="Z973" t="s">
        <v>8871</v>
      </c>
      <c r="AA973">
        <v>1.1132580432713819</v>
      </c>
      <c r="AB973" t="str">
        <f>HYPERLINK("Melting_Curves/meltCurve_P04433_.pdf", "Melting_Curves/meltCurve_P04433_.pdf")</f>
        <v>Melting_Curves/meltCurve_P04433_.pdf</v>
      </c>
    </row>
    <row r="974" spans="1:28" x14ac:dyDescent="0.25">
      <c r="A974" t="s">
        <v>978</v>
      </c>
      <c r="B974">
        <v>1</v>
      </c>
      <c r="C974">
        <v>0.93648073219428596</v>
      </c>
      <c r="D974">
        <v>0.88873968584907304</v>
      </c>
      <c r="E974">
        <v>1.2560206371362399</v>
      </c>
      <c r="F974">
        <v>1.40222980016609</v>
      </c>
      <c r="G974">
        <v>1.33876353870346</v>
      </c>
      <c r="H974">
        <v>2.2716751771295298</v>
      </c>
      <c r="I974">
        <v>1.9758997826739899</v>
      </c>
      <c r="J974">
        <v>1.9158259271692799</v>
      </c>
      <c r="K974">
        <v>1.5768503630934501</v>
      </c>
      <c r="L974">
        <v>2020.9022304914999</v>
      </c>
      <c r="M974">
        <v>40.217413154579198</v>
      </c>
      <c r="O974">
        <v>50.125675932349402</v>
      </c>
      <c r="P974">
        <v>0.100291654931344</v>
      </c>
      <c r="Q974">
        <v>1.5</v>
      </c>
      <c r="R974">
        <v>0.480543721770198</v>
      </c>
      <c r="S974" t="s">
        <v>2976</v>
      </c>
      <c r="T974" t="s">
        <v>4002</v>
      </c>
      <c r="U974" t="s">
        <v>4002</v>
      </c>
      <c r="V974" t="s">
        <v>4002</v>
      </c>
      <c r="W974" t="s">
        <v>4959</v>
      </c>
      <c r="X974">
        <v>2</v>
      </c>
      <c r="Z974" t="s">
        <v>8872</v>
      </c>
      <c r="AA974">
        <v>1.3274578996311339</v>
      </c>
      <c r="AB974" t="str">
        <f>HYPERLINK("Melting_Curves/meltCurve_P04438_.pdf", "Melting_Curves/meltCurve_P04438_.pdf")</f>
        <v>Melting_Curves/meltCurve_P04438_.pdf</v>
      </c>
    </row>
    <row r="975" spans="1:28" x14ac:dyDescent="0.25">
      <c r="A975" t="s">
        <v>979</v>
      </c>
      <c r="B975">
        <v>1</v>
      </c>
      <c r="C975">
        <v>1.6455912508544099</v>
      </c>
      <c r="D975">
        <v>2.7485304169514699</v>
      </c>
      <c r="E975">
        <v>3.0611756664388201</v>
      </c>
      <c r="F975">
        <v>2.6849624060150399</v>
      </c>
      <c r="G975">
        <v>3.1188653451811299</v>
      </c>
      <c r="H975">
        <v>2.20058099794942</v>
      </c>
      <c r="I975">
        <v>3.48188653451811</v>
      </c>
      <c r="J975">
        <v>2.2317498291182498</v>
      </c>
      <c r="K975">
        <v>2.4707108680792902</v>
      </c>
      <c r="L975">
        <v>10247.7379307623</v>
      </c>
      <c r="M975">
        <v>250</v>
      </c>
      <c r="O975">
        <v>40.988328564725499</v>
      </c>
      <c r="P975">
        <v>0.762412157894924</v>
      </c>
      <c r="Q975">
        <v>1.5</v>
      </c>
      <c r="R975">
        <v>-1.85170661938972</v>
      </c>
      <c r="S975" t="s">
        <v>2977</v>
      </c>
      <c r="T975" t="s">
        <v>4002</v>
      </c>
      <c r="U975" t="s">
        <v>4002</v>
      </c>
      <c r="V975" t="s">
        <v>4002</v>
      </c>
      <c r="W975" t="s">
        <v>4960</v>
      </c>
      <c r="X975">
        <v>40</v>
      </c>
      <c r="Y975" t="s">
        <v>6899</v>
      </c>
      <c r="Z975" t="s">
        <v>8873</v>
      </c>
      <c r="AA975">
        <v>1.483442899429825</v>
      </c>
      <c r="AB975" t="str">
        <f>HYPERLINK("Melting_Curves/meltCurve_P04745_AMY1A.pdf", "Melting_Curves/meltCurve_P04745_AMY1A.pdf")</f>
        <v>Melting_Curves/meltCurve_P04745_AMY1A.pdf</v>
      </c>
    </row>
    <row r="976" spans="1:28" x14ac:dyDescent="0.25">
      <c r="A976" t="s">
        <v>980</v>
      </c>
      <c r="B976">
        <v>1</v>
      </c>
      <c r="C976">
        <v>0.93875201473635705</v>
      </c>
      <c r="D976">
        <v>0.97706654386368896</v>
      </c>
      <c r="E976">
        <v>0.97356665899148098</v>
      </c>
      <c r="F976">
        <v>0.93179829610868103</v>
      </c>
      <c r="G976">
        <v>0.97540870366106402</v>
      </c>
      <c r="H976">
        <v>0.71107529357586896</v>
      </c>
      <c r="I976">
        <v>1.05595210683859</v>
      </c>
      <c r="J976">
        <v>1.4327423440018401</v>
      </c>
      <c r="K976">
        <v>0.837209302325581</v>
      </c>
      <c r="L976">
        <v>15000</v>
      </c>
      <c r="M976">
        <v>234.03111320038099</v>
      </c>
      <c r="O976">
        <v>64.089361666844596</v>
      </c>
      <c r="P976">
        <v>0.123209371959893</v>
      </c>
      <c r="Q976">
        <v>1.13496342221866</v>
      </c>
      <c r="R976">
        <v>0.1195243615127</v>
      </c>
      <c r="S976" t="s">
        <v>2978</v>
      </c>
      <c r="T976" t="s">
        <v>4002</v>
      </c>
      <c r="U976" t="s">
        <v>4002</v>
      </c>
      <c r="V976" t="s">
        <v>4002</v>
      </c>
      <c r="W976" t="s">
        <v>4961</v>
      </c>
      <c r="X976">
        <v>10</v>
      </c>
      <c r="Y976" t="s">
        <v>6900</v>
      </c>
      <c r="Z976" t="s">
        <v>8874</v>
      </c>
      <c r="AA976">
        <v>1.026552285877488</v>
      </c>
      <c r="AB976" t="str">
        <f>HYPERLINK("Melting_Curves/meltCurve_P04792_HSPB1.pdf", "Melting_Curves/meltCurve_P04792_HSPB1.pdf")</f>
        <v>Melting_Curves/meltCurve_P04792_HSPB1.pdf</v>
      </c>
    </row>
    <row r="977" spans="1:28" x14ac:dyDescent="0.25">
      <c r="A977" t="s">
        <v>981</v>
      </c>
      <c r="B977">
        <v>1</v>
      </c>
      <c r="C977">
        <v>0.91982259349365902</v>
      </c>
      <c r="D977">
        <v>0.93026460266540401</v>
      </c>
      <c r="E977">
        <v>0.97709216956961698</v>
      </c>
      <c r="F977">
        <v>0.92298749111890999</v>
      </c>
      <c r="G977">
        <v>1.1871595582061301</v>
      </c>
      <c r="H977">
        <v>1.14829806015458</v>
      </c>
      <c r="I977">
        <v>1.43346179516438</v>
      </c>
      <c r="J977">
        <v>1.2829676835963599</v>
      </c>
      <c r="K977">
        <v>1.1105130578939399</v>
      </c>
      <c r="L977">
        <v>12961.166874987</v>
      </c>
      <c r="M977">
        <v>228.58393505700701</v>
      </c>
      <c r="O977">
        <v>56.697652791748702</v>
      </c>
      <c r="P977">
        <v>0.24573802965102401</v>
      </c>
      <c r="Q977">
        <v>1.24381016642652</v>
      </c>
      <c r="R977">
        <v>0.69764455175512696</v>
      </c>
      <c r="S977" t="s">
        <v>2979</v>
      </c>
      <c r="T977" t="s">
        <v>4002</v>
      </c>
      <c r="U977" t="s">
        <v>4002</v>
      </c>
      <c r="V977" t="s">
        <v>4002</v>
      </c>
      <c r="W977" t="s">
        <v>4962</v>
      </c>
      <c r="X977">
        <v>7</v>
      </c>
      <c r="Y977" t="s">
        <v>6901</v>
      </c>
      <c r="Z977" t="s">
        <v>8875</v>
      </c>
      <c r="AA977">
        <v>1.1080438765761049</v>
      </c>
      <c r="AB977" t="str">
        <f>HYPERLINK("Melting_Curves/meltCurve_P05089_3_ARG1.pdf", "Melting_Curves/meltCurve_P05089_3_ARG1.pdf")</f>
        <v>Melting_Curves/meltCurve_P05089_3_ARG1.pdf</v>
      </c>
    </row>
    <row r="978" spans="1:28" x14ac:dyDescent="0.25">
      <c r="A978" t="s">
        <v>982</v>
      </c>
      <c r="B978">
        <v>1</v>
      </c>
      <c r="C978">
        <v>0.89019013647316303</v>
      </c>
      <c r="D978">
        <v>0.92470301040647296</v>
      </c>
      <c r="E978">
        <v>0.84087250228858201</v>
      </c>
      <c r="F978">
        <v>0.89578795626966301</v>
      </c>
      <c r="G978">
        <v>0.92283005566253096</v>
      </c>
      <c r="H978">
        <v>0.90573145196081495</v>
      </c>
      <c r="I978">
        <v>1.1180908488273</v>
      </c>
      <c r="J978">
        <v>4.2976945821101298</v>
      </c>
      <c r="K978">
        <v>0.90786746214632197</v>
      </c>
      <c r="L978">
        <v>15000</v>
      </c>
      <c r="M978">
        <v>233.21624156491799</v>
      </c>
      <c r="O978">
        <v>64.313260565869598</v>
      </c>
      <c r="P978">
        <v>0.45328179359665599</v>
      </c>
      <c r="Q978">
        <v>1.5</v>
      </c>
      <c r="R978">
        <v>0.19425836388263901</v>
      </c>
      <c r="S978" t="s">
        <v>2980</v>
      </c>
      <c r="T978" t="s">
        <v>4002</v>
      </c>
      <c r="U978" t="s">
        <v>4002</v>
      </c>
      <c r="V978" t="s">
        <v>4002</v>
      </c>
      <c r="W978" t="s">
        <v>4963</v>
      </c>
      <c r="X978">
        <v>3</v>
      </c>
      <c r="Y978" t="s">
        <v>6902</v>
      </c>
      <c r="Z978" t="s">
        <v>8876</v>
      </c>
      <c r="AA978">
        <v>1.0946353026895721</v>
      </c>
      <c r="AB978" t="str">
        <f>HYPERLINK("Melting_Curves/meltCurve_P05091_ALDH2.pdf", "Melting_Curves/meltCurve_P05091_ALDH2.pdf")</f>
        <v>Melting_Curves/meltCurve_P05091_ALDH2.pdf</v>
      </c>
    </row>
    <row r="979" spans="1:28" x14ac:dyDescent="0.25">
      <c r="A979" t="s">
        <v>983</v>
      </c>
      <c r="B979">
        <v>1</v>
      </c>
      <c r="C979">
        <v>0.88029943136831501</v>
      </c>
      <c r="D979">
        <v>0.82933851579932305</v>
      </c>
      <c r="E979">
        <v>0.78039300367091302</v>
      </c>
      <c r="F979">
        <v>0.75453465774130901</v>
      </c>
      <c r="G979">
        <v>0.79748794356870401</v>
      </c>
      <c r="H979">
        <v>0.73504642625782801</v>
      </c>
      <c r="I979">
        <v>0.87191391348160896</v>
      </c>
      <c r="J979">
        <v>1.0158533074210001</v>
      </c>
      <c r="K979">
        <v>0.74607716116029699</v>
      </c>
      <c r="L979">
        <v>2587.4470050833002</v>
      </c>
      <c r="M979">
        <v>60.915345150697902</v>
      </c>
      <c r="O979">
        <v>42.4303939319798</v>
      </c>
      <c r="P979">
        <v>-6.6024283589881702E-2</v>
      </c>
      <c r="Q979">
        <v>0.81604398310043202</v>
      </c>
      <c r="R979">
        <v>0.345609719907361</v>
      </c>
      <c r="S979" t="s">
        <v>2981</v>
      </c>
      <c r="T979" t="s">
        <v>4002</v>
      </c>
      <c r="U979" t="s">
        <v>4002</v>
      </c>
      <c r="V979" t="s">
        <v>4002</v>
      </c>
      <c r="W979" t="s">
        <v>4964</v>
      </c>
      <c r="X979">
        <v>11</v>
      </c>
      <c r="Y979" t="s">
        <v>6903</v>
      </c>
      <c r="Z979" t="s">
        <v>8877</v>
      </c>
      <c r="AA979">
        <v>0.83154273672697954</v>
      </c>
      <c r="AB979" t="str">
        <f>HYPERLINK("Melting_Curves/meltCurve_P05107_ITGB2.pdf", "Melting_Curves/meltCurve_P05107_ITGB2.pdf")</f>
        <v>Melting_Curves/meltCurve_P05107_ITGB2.pdf</v>
      </c>
    </row>
    <row r="980" spans="1:28" x14ac:dyDescent="0.25">
      <c r="A980" t="s">
        <v>984</v>
      </c>
      <c r="B980">
        <v>1</v>
      </c>
      <c r="C980">
        <v>0.96836359585607701</v>
      </c>
      <c r="D980">
        <v>1.08094760684713</v>
      </c>
      <c r="E980">
        <v>1.20964687534811</v>
      </c>
      <c r="F980">
        <v>1.17188370279603</v>
      </c>
      <c r="G980">
        <v>1.4059262559875201</v>
      </c>
      <c r="H980">
        <v>1.7224759570754899</v>
      </c>
      <c r="I980">
        <v>1.84619954699046</v>
      </c>
      <c r="J980">
        <v>2.0717017563402802</v>
      </c>
      <c r="K980">
        <v>1.43533474434666</v>
      </c>
      <c r="L980">
        <v>1433.6627594741699</v>
      </c>
      <c r="M980">
        <v>27.227614668559902</v>
      </c>
      <c r="O980">
        <v>52.373162901527898</v>
      </c>
      <c r="P980">
        <v>6.4985283992506096E-2</v>
      </c>
      <c r="Q980">
        <v>1.5</v>
      </c>
      <c r="R980">
        <v>0.58109981253923704</v>
      </c>
      <c r="S980" t="s">
        <v>2982</v>
      </c>
      <c r="T980" t="s">
        <v>4002</v>
      </c>
      <c r="U980" t="s">
        <v>4002</v>
      </c>
      <c r="V980" t="s">
        <v>4002</v>
      </c>
      <c r="W980" t="s">
        <v>4965</v>
      </c>
      <c r="X980">
        <v>11</v>
      </c>
      <c r="Y980" t="s">
        <v>6904</v>
      </c>
      <c r="Z980" t="s">
        <v>8878</v>
      </c>
      <c r="AA980">
        <v>1.285188859201724</v>
      </c>
      <c r="AB980" t="str">
        <f>HYPERLINK("Melting_Curves/meltCurve_P05109_S100A8.pdf", "Melting_Curves/meltCurve_P05109_S100A8.pdf")</f>
        <v>Melting_Curves/meltCurve_P05109_S100A8.pdf</v>
      </c>
    </row>
    <row r="981" spans="1:28" x14ac:dyDescent="0.25">
      <c r="A981" t="s">
        <v>985</v>
      </c>
      <c r="B981">
        <v>1</v>
      </c>
      <c r="C981">
        <v>1.0096149546084701</v>
      </c>
      <c r="D981">
        <v>1.08313581682393</v>
      </c>
      <c r="E981">
        <v>1.33129108716068</v>
      </c>
      <c r="F981">
        <v>1.4751576405348601</v>
      </c>
      <c r="G981">
        <v>1.6317248781360401</v>
      </c>
      <c r="H981">
        <v>1.4478332811591601</v>
      </c>
      <c r="I981">
        <v>1.93220338983051</v>
      </c>
      <c r="J981">
        <v>1.8125754662135001</v>
      </c>
      <c r="K981">
        <v>1.6455435803407701</v>
      </c>
      <c r="L981">
        <v>1602.1709785032001</v>
      </c>
      <c r="M981">
        <v>32.893668193393403</v>
      </c>
      <c r="O981">
        <v>48.528602090460602</v>
      </c>
      <c r="P981">
        <v>8.4727887530204896E-2</v>
      </c>
      <c r="Q981">
        <v>1.5</v>
      </c>
      <c r="R981">
        <v>0.66521364642001002</v>
      </c>
      <c r="S981" t="s">
        <v>2983</v>
      </c>
      <c r="T981" t="s">
        <v>4002</v>
      </c>
      <c r="U981" t="s">
        <v>4002</v>
      </c>
      <c r="V981" t="s">
        <v>4002</v>
      </c>
      <c r="W981" t="s">
        <v>4966</v>
      </c>
      <c r="X981">
        <v>4</v>
      </c>
      <c r="Y981" t="s">
        <v>6905</v>
      </c>
      <c r="Z981" t="s">
        <v>8879</v>
      </c>
      <c r="AA981">
        <v>1.352363090619586</v>
      </c>
      <c r="AB981" t="str">
        <f>HYPERLINK("Melting_Curves/meltCurve_P05120_SERPINB2.pdf", "Melting_Curves/meltCurve_P05120_SERPINB2.pdf")</f>
        <v>Melting_Curves/meltCurve_P05120_SERPINB2.pdf</v>
      </c>
    </row>
    <row r="982" spans="1:28" x14ac:dyDescent="0.25">
      <c r="A982" t="s">
        <v>986</v>
      </c>
      <c r="B982">
        <v>1</v>
      </c>
      <c r="C982">
        <v>0.80558650415836697</v>
      </c>
      <c r="D982">
        <v>0.89560754920827801</v>
      </c>
      <c r="E982">
        <v>0.93486163161033997</v>
      </c>
      <c r="F982">
        <v>0.95227162744634597</v>
      </c>
      <c r="G982">
        <v>0.91875710411110001</v>
      </c>
      <c r="H982">
        <v>1.0635290410434699</v>
      </c>
      <c r="I982">
        <v>1.08098405302902</v>
      </c>
      <c r="J982">
        <v>6.6726313064812004</v>
      </c>
      <c r="K982">
        <v>1.1328314032659199</v>
      </c>
      <c r="L982">
        <v>15000</v>
      </c>
      <c r="M982">
        <v>232.80130870302301</v>
      </c>
      <c r="O982">
        <v>64.427872716492104</v>
      </c>
      <c r="P982">
        <v>0.45167041029531702</v>
      </c>
      <c r="Q982">
        <v>1.5</v>
      </c>
      <c r="R982">
        <v>7.9661603861719901E-2</v>
      </c>
      <c r="S982" t="s">
        <v>2984</v>
      </c>
      <c r="T982" t="s">
        <v>4002</v>
      </c>
      <c r="U982" t="s">
        <v>4002</v>
      </c>
      <c r="V982" t="s">
        <v>4002</v>
      </c>
      <c r="W982" t="s">
        <v>4967</v>
      </c>
      <c r="X982">
        <v>1</v>
      </c>
      <c r="Y982" t="s">
        <v>6906</v>
      </c>
      <c r="Z982" t="s">
        <v>8880</v>
      </c>
      <c r="AA982">
        <v>1.0927243382699601</v>
      </c>
      <c r="AB982" t="str">
        <f>HYPERLINK("Melting_Curves/meltCurve_P05141_SLC25A5.pdf", "Melting_Curves/meltCurve_P05141_SLC25A5.pdf")</f>
        <v>Melting_Curves/meltCurve_P05141_SLC25A5.pdf</v>
      </c>
    </row>
    <row r="983" spans="1:28" x14ac:dyDescent="0.25">
      <c r="A983" t="s">
        <v>987</v>
      </c>
      <c r="B983">
        <v>1</v>
      </c>
      <c r="C983">
        <v>1.0884160322846901</v>
      </c>
      <c r="D983">
        <v>1.19260753920939</v>
      </c>
      <c r="E983">
        <v>1.3378427955608501</v>
      </c>
      <c r="F983">
        <v>1.37959735852518</v>
      </c>
      <c r="G983">
        <v>1.3632945060992401</v>
      </c>
      <c r="H983">
        <v>1.7943685224250201</v>
      </c>
      <c r="I983">
        <v>1.4404292396588101</v>
      </c>
      <c r="J983">
        <v>1.7549069063560501</v>
      </c>
      <c r="K983">
        <v>1.38464184169495</v>
      </c>
      <c r="L983">
        <v>796.92241172798197</v>
      </c>
      <c r="M983">
        <v>16.7346360773365</v>
      </c>
      <c r="O983">
        <v>46.956719487227303</v>
      </c>
      <c r="P983">
        <v>4.45509681468515E-2</v>
      </c>
      <c r="Q983">
        <v>1.5</v>
      </c>
      <c r="R983">
        <v>0.67196395715939405</v>
      </c>
      <c r="S983" t="s">
        <v>2985</v>
      </c>
      <c r="T983" t="s">
        <v>4002</v>
      </c>
      <c r="U983" t="s">
        <v>4002</v>
      </c>
      <c r="V983" t="s">
        <v>4002</v>
      </c>
      <c r="W983" t="s">
        <v>4968</v>
      </c>
      <c r="X983">
        <v>2</v>
      </c>
      <c r="Y983" t="s">
        <v>6907</v>
      </c>
      <c r="Z983" t="s">
        <v>8881</v>
      </c>
      <c r="AA983">
        <v>1.362506369962007</v>
      </c>
      <c r="AB983" t="str">
        <f>HYPERLINK("Melting_Curves/meltCurve_P05154_SERPINA5.pdf", "Melting_Curves/meltCurve_P05154_SERPINA5.pdf")</f>
        <v>Melting_Curves/meltCurve_P05154_SERPINA5.pdf</v>
      </c>
    </row>
    <row r="984" spans="1:28" x14ac:dyDescent="0.25">
      <c r="A984" t="s">
        <v>988</v>
      </c>
      <c r="B984">
        <v>1</v>
      </c>
      <c r="C984">
        <v>0.90220663897252196</v>
      </c>
      <c r="D984">
        <v>1.0272495140820901</v>
      </c>
      <c r="E984">
        <v>1.1464613742901799</v>
      </c>
      <c r="F984">
        <v>1.0228667251038499</v>
      </c>
      <c r="G984">
        <v>1.19432905217424</v>
      </c>
      <c r="H984">
        <v>0.98178284233392998</v>
      </c>
      <c r="I984">
        <v>1.36731582758489</v>
      </c>
      <c r="J984">
        <v>0.99828499561721096</v>
      </c>
      <c r="K984">
        <v>1.11357140134914</v>
      </c>
      <c r="L984">
        <v>11555.2409959087</v>
      </c>
      <c r="M984">
        <v>250</v>
      </c>
      <c r="O984">
        <v>46.217983706853502</v>
      </c>
      <c r="P984">
        <v>0.15930174621324</v>
      </c>
      <c r="Q984">
        <v>1.1178017456715399</v>
      </c>
      <c r="R984">
        <v>0.25426064338813498</v>
      </c>
      <c r="S984" t="s">
        <v>2986</v>
      </c>
      <c r="T984" t="s">
        <v>4002</v>
      </c>
      <c r="U984" t="s">
        <v>4002</v>
      </c>
      <c r="V984" t="s">
        <v>4002</v>
      </c>
      <c r="W984" t="s">
        <v>4969</v>
      </c>
      <c r="X984">
        <v>5</v>
      </c>
      <c r="Y984" t="s">
        <v>6908</v>
      </c>
      <c r="Z984" t="s">
        <v>8882</v>
      </c>
      <c r="AA984">
        <v>1.0933641760377379</v>
      </c>
      <c r="AB984" t="str">
        <f>HYPERLINK("Melting_Curves/meltCurve_P05160_F13B.pdf", "Melting_Curves/meltCurve_P05160_F13B.pdf")</f>
        <v>Melting_Curves/meltCurve_P05160_F13B.pdf</v>
      </c>
    </row>
    <row r="985" spans="1:28" x14ac:dyDescent="0.25">
      <c r="A985" t="s">
        <v>989</v>
      </c>
      <c r="B985">
        <v>1</v>
      </c>
      <c r="C985">
        <v>0.85823391468149701</v>
      </c>
      <c r="D985">
        <v>0.98931276189499895</v>
      </c>
      <c r="E985">
        <v>0.96709253302920395</v>
      </c>
      <c r="F985">
        <v>0.94146366467188602</v>
      </c>
      <c r="G985">
        <v>1.07563079052244</v>
      </c>
      <c r="H985">
        <v>1.0325102195112601</v>
      </c>
      <c r="I985">
        <v>1.19467688404219</v>
      </c>
      <c r="J985">
        <v>1.63717211066545</v>
      </c>
      <c r="K985">
        <v>1.1325140638415101</v>
      </c>
      <c r="L985">
        <v>15000</v>
      </c>
      <c r="M985">
        <v>234.39876790498701</v>
      </c>
      <c r="O985">
        <v>63.9888278210368</v>
      </c>
      <c r="P985">
        <v>0.35242665157643099</v>
      </c>
      <c r="Q985">
        <v>1.3848378058161099</v>
      </c>
      <c r="R985">
        <v>0.62562322512129298</v>
      </c>
      <c r="S985" t="s">
        <v>2987</v>
      </c>
      <c r="T985" t="s">
        <v>4002</v>
      </c>
      <c r="U985" t="s">
        <v>4002</v>
      </c>
      <c r="V985" t="s">
        <v>4002</v>
      </c>
      <c r="W985" t="s">
        <v>4970</v>
      </c>
      <c r="X985">
        <v>12</v>
      </c>
      <c r="Y985" t="s">
        <v>6909</v>
      </c>
      <c r="Z985" t="s">
        <v>8883</v>
      </c>
      <c r="AA985">
        <v>1.0770016423039701</v>
      </c>
      <c r="AB985" t="str">
        <f>HYPERLINK("Melting_Curves/meltCurve_P05164_2_MPO.pdf", "Melting_Curves/meltCurve_P05164_2_MPO.pdf")</f>
        <v>Melting_Curves/meltCurve_P05164_2_MPO.pdf</v>
      </c>
    </row>
    <row r="986" spans="1:28" x14ac:dyDescent="0.25">
      <c r="A986" t="s">
        <v>990</v>
      </c>
      <c r="B986">
        <v>1</v>
      </c>
      <c r="C986">
        <v>0.92187251629311695</v>
      </c>
      <c r="D986">
        <v>0.90025433158480395</v>
      </c>
      <c r="E986">
        <v>0.90645366396439397</v>
      </c>
      <c r="F986">
        <v>0.88165633444603397</v>
      </c>
      <c r="G986">
        <v>0.88634557304085204</v>
      </c>
      <c r="H986">
        <v>0.75854395167699895</v>
      </c>
      <c r="I986">
        <v>1.0657288189477001</v>
      </c>
      <c r="J986">
        <v>1.29939596248609</v>
      </c>
      <c r="K986">
        <v>0.82920044508027302</v>
      </c>
      <c r="L986">
        <v>15000</v>
      </c>
      <c r="M986">
        <v>212.705533735915</v>
      </c>
      <c r="Q986">
        <v>0</v>
      </c>
      <c r="R986">
        <v>-5.6508441623086504E-3</v>
      </c>
      <c r="S986" t="s">
        <v>2988</v>
      </c>
      <c r="T986" t="s">
        <v>4002</v>
      </c>
      <c r="U986" t="s">
        <v>4002</v>
      </c>
      <c r="V986" t="s">
        <v>4002</v>
      </c>
      <c r="W986" t="s">
        <v>4472</v>
      </c>
      <c r="X986">
        <v>3</v>
      </c>
      <c r="Y986" t="s">
        <v>6910</v>
      </c>
      <c r="Z986" t="s">
        <v>8884</v>
      </c>
      <c r="AA986">
        <v>0.9979806323954582</v>
      </c>
      <c r="AB986" t="str">
        <f>HYPERLINK("Melting_Curves/meltCurve_P05198_EIF2S1.pdf", "Melting_Curves/meltCurve_P05198_EIF2S1.pdf")</f>
        <v>Melting_Curves/meltCurve_P05198_EIF2S1.pdf</v>
      </c>
    </row>
    <row r="987" spans="1:28" x14ac:dyDescent="0.25">
      <c r="A987" t="s">
        <v>991</v>
      </c>
      <c r="B987">
        <v>1</v>
      </c>
      <c r="C987">
        <v>1.0398435054773101</v>
      </c>
      <c r="D987">
        <v>1.11378716744914</v>
      </c>
      <c r="E987">
        <v>1.6261345852895099</v>
      </c>
      <c r="F987">
        <v>1.6957746478873199</v>
      </c>
      <c r="G987">
        <v>1.58059467918623</v>
      </c>
      <c r="H987">
        <v>1.2998591549295799</v>
      </c>
      <c r="I987">
        <v>1.8840375586854501</v>
      </c>
      <c r="J987">
        <v>2.31345852895149</v>
      </c>
      <c r="K987">
        <v>1.4954147104851301</v>
      </c>
      <c r="L987">
        <v>11556.214704235899</v>
      </c>
      <c r="M987">
        <v>250</v>
      </c>
      <c r="O987">
        <v>46.221900443463397</v>
      </c>
      <c r="P987">
        <v>0.67608643394841395</v>
      </c>
      <c r="Q987">
        <v>1.5</v>
      </c>
      <c r="R987">
        <v>0.40053104273255702</v>
      </c>
      <c r="S987" t="s">
        <v>2989</v>
      </c>
      <c r="T987" t="s">
        <v>4002</v>
      </c>
      <c r="U987" t="s">
        <v>4002</v>
      </c>
      <c r="V987" t="s">
        <v>4002</v>
      </c>
      <c r="W987" t="s">
        <v>4971</v>
      </c>
      <c r="X987">
        <v>3</v>
      </c>
      <c r="Y987" t="s">
        <v>6911</v>
      </c>
      <c r="Z987" t="s">
        <v>8885</v>
      </c>
      <c r="AA987">
        <v>1.3962117910970371</v>
      </c>
      <c r="AB987" t="str">
        <f>HYPERLINK("Melting_Curves/meltCurve_P05204_HMGN2.pdf", "Melting_Curves/meltCurve_P05204_HMGN2.pdf")</f>
        <v>Melting_Curves/meltCurve_P05204_HMGN2.pdf</v>
      </c>
    </row>
    <row r="988" spans="1:28" x14ac:dyDescent="0.25">
      <c r="A988" t="s">
        <v>992</v>
      </c>
      <c r="B988">
        <v>1</v>
      </c>
      <c r="C988">
        <v>0.87448332310210797</v>
      </c>
      <c r="D988">
        <v>0.90984243912420704</v>
      </c>
      <c r="E988">
        <v>0.94479230611827303</v>
      </c>
      <c r="F988">
        <v>0.84964190710047105</v>
      </c>
      <c r="G988">
        <v>0.93316963372212003</v>
      </c>
      <c r="H988">
        <v>0.89355432780847099</v>
      </c>
      <c r="I988">
        <v>1.20875792919992</v>
      </c>
      <c r="J988">
        <v>1.0853693472478001</v>
      </c>
      <c r="K988">
        <v>0.93816247186412904</v>
      </c>
      <c r="L988">
        <v>1554.5202623984601</v>
      </c>
      <c r="M988">
        <v>24.996141384285298</v>
      </c>
      <c r="O988">
        <v>61.796464489796499</v>
      </c>
      <c r="P988">
        <v>4.9257030173570403E-3</v>
      </c>
      <c r="Q988">
        <v>1.0487094277098901</v>
      </c>
      <c r="R988">
        <v>-7.5562266354951099E-2</v>
      </c>
      <c r="S988" t="s">
        <v>2990</v>
      </c>
      <c r="T988" t="s">
        <v>4002</v>
      </c>
      <c r="U988" t="s">
        <v>4002</v>
      </c>
      <c r="V988" t="s">
        <v>4002</v>
      </c>
      <c r="W988" t="s">
        <v>4972</v>
      </c>
      <c r="X988">
        <v>6</v>
      </c>
      <c r="Y988" t="s">
        <v>6912</v>
      </c>
      <c r="Z988" t="s">
        <v>8886</v>
      </c>
      <c r="AA988">
        <v>1.0124740188506329</v>
      </c>
      <c r="AB988" t="str">
        <f>HYPERLINK("Melting_Curves/meltCurve_P05362_ICAM1.pdf", "Melting_Curves/meltCurve_P05362_ICAM1.pdf")</f>
        <v>Melting_Curves/meltCurve_P05362_ICAM1.pdf</v>
      </c>
    </row>
    <row r="989" spans="1:28" x14ac:dyDescent="0.25">
      <c r="A989" t="s">
        <v>993</v>
      </c>
      <c r="B989">
        <v>1</v>
      </c>
      <c r="C989">
        <v>0.95277633627400105</v>
      </c>
      <c r="D989">
        <v>1.0069686411149801</v>
      </c>
      <c r="E989">
        <v>1.0527837497220001</v>
      </c>
      <c r="F989">
        <v>0.90140114167099095</v>
      </c>
      <c r="G989">
        <v>0.98435762473126298</v>
      </c>
      <c r="H989">
        <v>0.98183705241307695</v>
      </c>
      <c r="I989">
        <v>0.85981169842093597</v>
      </c>
      <c r="J989">
        <v>2.04633404996664</v>
      </c>
      <c r="K989">
        <v>0.90963006894506604</v>
      </c>
      <c r="L989">
        <v>15000</v>
      </c>
      <c r="M989">
        <v>229.82141837672901</v>
      </c>
      <c r="O989">
        <v>65.263125916072099</v>
      </c>
      <c r="P989">
        <v>0.420025034891787</v>
      </c>
      <c r="Q989">
        <v>1.47710342889749</v>
      </c>
      <c r="R989">
        <v>0.372312504714853</v>
      </c>
      <c r="S989" t="s">
        <v>2991</v>
      </c>
      <c r="T989" t="s">
        <v>4002</v>
      </c>
      <c r="U989" t="s">
        <v>4002</v>
      </c>
      <c r="V989" t="s">
        <v>4002</v>
      </c>
      <c r="W989" t="s">
        <v>4973</v>
      </c>
      <c r="X989">
        <v>2</v>
      </c>
      <c r="Y989" t="s">
        <v>6913</v>
      </c>
      <c r="Z989" t="s">
        <v>8887</v>
      </c>
      <c r="AA989">
        <v>1.075189361042044</v>
      </c>
      <c r="AB989" t="str">
        <f>HYPERLINK("Melting_Curves/meltCurve_P05387_RPLP2.pdf", "Melting_Curves/meltCurve_P05387_RPLP2.pdf")</f>
        <v>Melting_Curves/meltCurve_P05387_RPLP2.pdf</v>
      </c>
    </row>
    <row r="990" spans="1:28" x14ac:dyDescent="0.25">
      <c r="A990" t="s">
        <v>994</v>
      </c>
      <c r="B990">
        <v>1</v>
      </c>
      <c r="C990">
        <v>0.85300471760504404</v>
      </c>
      <c r="D990">
        <v>1.1805696397866099</v>
      </c>
      <c r="E990">
        <v>1.1367223667386801</v>
      </c>
      <c r="F990">
        <v>1.0412459768087801</v>
      </c>
      <c r="G990">
        <v>1.0850050703231799</v>
      </c>
      <c r="H990">
        <v>1.13764825184075</v>
      </c>
      <c r="I990">
        <v>1.4897932189938701</v>
      </c>
      <c r="J990">
        <v>1.4561747718354601</v>
      </c>
      <c r="K990">
        <v>1.2105286363035099</v>
      </c>
      <c r="L990">
        <v>15000</v>
      </c>
      <c r="M990">
        <v>245.31360303564199</v>
      </c>
      <c r="O990">
        <v>61.142139595231697</v>
      </c>
      <c r="P990">
        <v>0.38667383451596998</v>
      </c>
      <c r="Q990">
        <v>1.3854995792596501</v>
      </c>
      <c r="R990">
        <v>0.62265589240464503</v>
      </c>
      <c r="S990" t="s">
        <v>2992</v>
      </c>
      <c r="T990" t="s">
        <v>4002</v>
      </c>
      <c r="U990" t="s">
        <v>4002</v>
      </c>
      <c r="V990" t="s">
        <v>4002</v>
      </c>
      <c r="W990" t="s">
        <v>4974</v>
      </c>
      <c r="X990">
        <v>1</v>
      </c>
      <c r="Y990" t="s">
        <v>6914</v>
      </c>
      <c r="Z990" t="s">
        <v>8888</v>
      </c>
      <c r="AA990">
        <v>1.1137279604907551</v>
      </c>
      <c r="AB990" t="str">
        <f>HYPERLINK("Melting_Curves/meltCurve_P05455_SSB.pdf", "Melting_Curves/meltCurve_P05455_SSB.pdf")</f>
        <v>Melting_Curves/meltCurve_P05455_SSB.pdf</v>
      </c>
    </row>
    <row r="991" spans="1:28" x14ac:dyDescent="0.25">
      <c r="A991" t="s">
        <v>995</v>
      </c>
      <c r="B991">
        <v>1</v>
      </c>
      <c r="C991">
        <v>1.1083198271204799</v>
      </c>
      <c r="D991">
        <v>1.61525301638754</v>
      </c>
      <c r="E991">
        <v>2.3661984512875902</v>
      </c>
      <c r="F991">
        <v>2.6653160453808802</v>
      </c>
      <c r="G991">
        <v>2.81730596074194</v>
      </c>
      <c r="H991">
        <v>2.4337295155771699</v>
      </c>
      <c r="I991">
        <v>3.3471096704484098</v>
      </c>
      <c r="J991">
        <v>2.5135962542769699</v>
      </c>
      <c r="K991">
        <v>2.6488384656942201</v>
      </c>
      <c r="L991">
        <v>10780.1417867369</v>
      </c>
      <c r="M991">
        <v>250</v>
      </c>
      <c r="O991">
        <v>43.117807724850898</v>
      </c>
      <c r="P991">
        <v>0.72475855549012502</v>
      </c>
      <c r="Q991">
        <v>1.5</v>
      </c>
      <c r="R991">
        <v>-1.0004792262375199</v>
      </c>
      <c r="S991" t="s">
        <v>2993</v>
      </c>
      <c r="T991" t="s">
        <v>4002</v>
      </c>
      <c r="U991" t="s">
        <v>4002</v>
      </c>
      <c r="V991" t="s">
        <v>4002</v>
      </c>
      <c r="W991" t="s">
        <v>4975</v>
      </c>
      <c r="X991">
        <v>3</v>
      </c>
      <c r="Y991" t="s">
        <v>6915</v>
      </c>
      <c r="Z991" t="s">
        <v>8889</v>
      </c>
      <c r="AA991">
        <v>1.447952709580439</v>
      </c>
      <c r="AB991" t="str">
        <f>HYPERLINK("Melting_Curves/meltCurve_P05543_SERPINA7.pdf", "Melting_Curves/meltCurve_P05543_SERPINA7.pdf")</f>
        <v>Melting_Curves/meltCurve_P05543_SERPINA7.pdf</v>
      </c>
    </row>
    <row r="992" spans="1:28" x14ac:dyDescent="0.25">
      <c r="A992" t="s">
        <v>996</v>
      </c>
      <c r="B992">
        <v>1</v>
      </c>
      <c r="C992">
        <v>0.91162997553924796</v>
      </c>
      <c r="D992">
        <v>1.1601067378252199</v>
      </c>
      <c r="E992">
        <v>1.77193684678675</v>
      </c>
      <c r="F992">
        <v>2.2116966866800101</v>
      </c>
      <c r="G992">
        <v>2.4814765399155001</v>
      </c>
      <c r="H992">
        <v>2.4040916166333099</v>
      </c>
      <c r="I992">
        <v>2.7466310873915898</v>
      </c>
      <c r="J992">
        <v>2.88289971091839</v>
      </c>
      <c r="K992">
        <v>2.5295530353569</v>
      </c>
      <c r="L992">
        <v>11534.628381901701</v>
      </c>
      <c r="M992">
        <v>250</v>
      </c>
      <c r="O992">
        <v>46.135561079830303</v>
      </c>
      <c r="P992">
        <v>0.67735168664752599</v>
      </c>
      <c r="Q992">
        <v>1.5</v>
      </c>
      <c r="R992">
        <v>-0.379553802917382</v>
      </c>
      <c r="S992" t="s">
        <v>2994</v>
      </c>
      <c r="T992" t="s">
        <v>4002</v>
      </c>
      <c r="U992" t="s">
        <v>4002</v>
      </c>
      <c r="V992" t="s">
        <v>4002</v>
      </c>
      <c r="W992" t="s">
        <v>4976</v>
      </c>
      <c r="X992">
        <v>4</v>
      </c>
      <c r="Y992" t="s">
        <v>6916</v>
      </c>
      <c r="Z992" t="s">
        <v>8890</v>
      </c>
      <c r="AA992">
        <v>1.3976509550199701</v>
      </c>
      <c r="AB992" t="str">
        <f>HYPERLINK("Melting_Curves/meltCurve_P05546_SERPIND1.pdf", "Melting_Curves/meltCurve_P05546_SERPIND1.pdf")</f>
        <v>Melting_Curves/meltCurve_P05546_SERPIND1.pdf</v>
      </c>
    </row>
    <row r="993" spans="1:28" x14ac:dyDescent="0.25">
      <c r="A993" t="s">
        <v>997</v>
      </c>
      <c r="B993">
        <v>1</v>
      </c>
      <c r="C993">
        <v>0.70740065537453301</v>
      </c>
      <c r="D993">
        <v>1.19132782572576</v>
      </c>
      <c r="E993">
        <v>1.1281787972492701</v>
      </c>
      <c r="F993">
        <v>1.3002492269349699</v>
      </c>
      <c r="G993">
        <v>0.67767803572252705</v>
      </c>
      <c r="H993">
        <v>0.92480500299995405</v>
      </c>
      <c r="I993">
        <v>0.97312733650251504</v>
      </c>
      <c r="J993">
        <v>0.93254719158166799</v>
      </c>
      <c r="K993">
        <v>0.64381317210504496</v>
      </c>
      <c r="L993">
        <v>2942.4677425885002</v>
      </c>
      <c r="M993">
        <v>41.435224634310501</v>
      </c>
      <c r="Q993">
        <v>0</v>
      </c>
      <c r="R993">
        <v>0.23646150767430399</v>
      </c>
      <c r="S993" t="s">
        <v>2995</v>
      </c>
      <c r="T993" t="s">
        <v>4002</v>
      </c>
      <c r="U993" t="s">
        <v>4002</v>
      </c>
      <c r="V993" t="s">
        <v>4002</v>
      </c>
      <c r="W993" t="s">
        <v>4977</v>
      </c>
      <c r="X993">
        <v>2</v>
      </c>
      <c r="Y993" t="s">
        <v>6917</v>
      </c>
      <c r="Z993" t="s">
        <v>8891</v>
      </c>
      <c r="AA993">
        <v>0.97691520710861746</v>
      </c>
      <c r="AB993" t="str">
        <f>HYPERLINK("Melting_Curves/meltCurve_P05814_CSN2.pdf", "Melting_Curves/meltCurve_P05814_CSN2.pdf")</f>
        <v>Melting_Curves/meltCurve_P05814_CSN2.pdf</v>
      </c>
    </row>
    <row r="994" spans="1:28" x14ac:dyDescent="0.25">
      <c r="A994" t="s">
        <v>998</v>
      </c>
      <c r="B994">
        <v>1</v>
      </c>
      <c r="C994">
        <v>0.87288713711816901</v>
      </c>
      <c r="D994">
        <v>1.0074029156876101</v>
      </c>
      <c r="E994">
        <v>1.0724374036736699</v>
      </c>
      <c r="F994">
        <v>1.0152606180045001</v>
      </c>
      <c r="G994">
        <v>0.98256651254453098</v>
      </c>
      <c r="H994">
        <v>0.82490714772985696</v>
      </c>
      <c r="I994">
        <v>0.76292983652947299</v>
      </c>
      <c r="J994">
        <v>1.1057884231536901</v>
      </c>
      <c r="K994">
        <v>0.739053538492635</v>
      </c>
      <c r="L994">
        <v>14362.009243160001</v>
      </c>
      <c r="M994">
        <v>250</v>
      </c>
      <c r="O994">
        <v>57.444360606778901</v>
      </c>
      <c r="P994">
        <v>-0.15431265871417801</v>
      </c>
      <c r="Q994">
        <v>0.85816972777325096</v>
      </c>
      <c r="R994">
        <v>0.28465699399375799</v>
      </c>
      <c r="S994" t="s">
        <v>2996</v>
      </c>
      <c r="T994" t="s">
        <v>4002</v>
      </c>
      <c r="U994" t="s">
        <v>4002</v>
      </c>
      <c r="V994" t="s">
        <v>4002</v>
      </c>
      <c r="W994" t="s">
        <v>4978</v>
      </c>
      <c r="X994">
        <v>1</v>
      </c>
      <c r="Y994" t="s">
        <v>6918</v>
      </c>
      <c r="Z994" t="s">
        <v>8892</v>
      </c>
      <c r="AA994">
        <v>0.94067268828129103</v>
      </c>
      <c r="AB994" t="str">
        <f>HYPERLINK("Melting_Curves/meltCurve_P05976_2_MYL1.pdf", "Melting_Curves/meltCurve_P05976_2_MYL1.pdf")</f>
        <v>Melting_Curves/meltCurve_P05976_2_MYL1.pdf</v>
      </c>
    </row>
    <row r="995" spans="1:28" x14ac:dyDescent="0.25">
      <c r="A995" t="s">
        <v>999</v>
      </c>
      <c r="B995">
        <v>1</v>
      </c>
      <c r="C995">
        <v>1.1797911193695101</v>
      </c>
      <c r="D995">
        <v>1.0955340552316299</v>
      </c>
      <c r="E995">
        <v>0.81482668033574701</v>
      </c>
      <c r="F995">
        <v>0.84840135836483599</v>
      </c>
      <c r="G995">
        <v>0.80726597039789805</v>
      </c>
      <c r="H995">
        <v>0.93054398667264704</v>
      </c>
      <c r="I995">
        <v>1.2926891779329801</v>
      </c>
      <c r="J995">
        <v>1.1009803293394</v>
      </c>
      <c r="K995">
        <v>1.2291279554046299</v>
      </c>
      <c r="L995">
        <v>8106.6885256591004</v>
      </c>
      <c r="M995">
        <v>129.851732269971</v>
      </c>
      <c r="O995">
        <v>62.415540191313703</v>
      </c>
      <c r="P995">
        <v>0.108153164857597</v>
      </c>
      <c r="Q995">
        <v>1.20794295412242</v>
      </c>
      <c r="R995">
        <v>0.419400372024398</v>
      </c>
      <c r="S995" t="s">
        <v>2997</v>
      </c>
      <c r="T995" t="s">
        <v>4002</v>
      </c>
      <c r="U995" t="s">
        <v>4002</v>
      </c>
      <c r="V995" t="s">
        <v>4002</v>
      </c>
      <c r="W995" t="s">
        <v>4979</v>
      </c>
      <c r="X995">
        <v>1</v>
      </c>
      <c r="Y995" t="s">
        <v>6919</v>
      </c>
      <c r="Z995" t="s">
        <v>8893</v>
      </c>
      <c r="AA995">
        <v>1.052384046209077</v>
      </c>
      <c r="AB995" t="str">
        <f>HYPERLINK("Melting_Curves/meltCurve_P06280_GLA.pdf", "Melting_Curves/meltCurve_P06280_GLA.pdf")</f>
        <v>Melting_Curves/meltCurve_P06280_GLA.pdf</v>
      </c>
    </row>
    <row r="996" spans="1:28" x14ac:dyDescent="0.25">
      <c r="A996" t="s">
        <v>1000</v>
      </c>
      <c r="B996">
        <v>1</v>
      </c>
      <c r="C996">
        <v>0.75025679654865396</v>
      </c>
      <c r="D996">
        <v>0.72433746490447204</v>
      </c>
      <c r="E996">
        <v>0.673953982058481</v>
      </c>
      <c r="F996">
        <v>0.668903649934945</v>
      </c>
      <c r="G996">
        <v>0.71978360610833403</v>
      </c>
      <c r="H996">
        <v>0.768249674724372</v>
      </c>
      <c r="I996">
        <v>0.854002602205026</v>
      </c>
      <c r="J996">
        <v>0.76321646237074603</v>
      </c>
      <c r="K996">
        <v>0.72883996439087895</v>
      </c>
      <c r="L996">
        <v>10596.8549444605</v>
      </c>
      <c r="M996">
        <v>250</v>
      </c>
      <c r="O996">
        <v>42.384707470902697</v>
      </c>
      <c r="P996">
        <v>-0.38684217051051201</v>
      </c>
      <c r="Q996">
        <v>0.73766092583529297</v>
      </c>
      <c r="R996">
        <v>0.71497921109717999</v>
      </c>
      <c r="S996" t="s">
        <v>2998</v>
      </c>
      <c r="T996" t="s">
        <v>4002</v>
      </c>
      <c r="U996" t="s">
        <v>4002</v>
      </c>
      <c r="V996" t="s">
        <v>4002</v>
      </c>
      <c r="W996" t="s">
        <v>4980</v>
      </c>
      <c r="X996">
        <v>3</v>
      </c>
      <c r="Z996" t="s">
        <v>8894</v>
      </c>
      <c r="AA996">
        <v>0.75855755795114144</v>
      </c>
      <c r="AB996" t="str">
        <f>HYPERLINK("Melting_Curves/meltCurve_P06310_.pdf", "Melting_Curves/meltCurve_P06310_.pdf")</f>
        <v>Melting_Curves/meltCurve_P06310_.pdf</v>
      </c>
    </row>
    <row r="997" spans="1:28" x14ac:dyDescent="0.25">
      <c r="A997" t="s">
        <v>1001</v>
      </c>
      <c r="B997">
        <v>1</v>
      </c>
      <c r="C997">
        <v>0.96977247085370399</v>
      </c>
      <c r="D997">
        <v>1.17177510342234</v>
      </c>
      <c r="E997">
        <v>1.28666792027078</v>
      </c>
      <c r="F997">
        <v>1.2518333960135399</v>
      </c>
      <c r="G997">
        <v>1.3049078600977799</v>
      </c>
      <c r="H997">
        <v>1.4459383226777001</v>
      </c>
      <c r="I997">
        <v>1.5047010154193301</v>
      </c>
      <c r="J997">
        <v>1.4401090635577301</v>
      </c>
      <c r="K997">
        <v>1.2891124482888301</v>
      </c>
      <c r="L997">
        <v>732.67069419920097</v>
      </c>
      <c r="M997">
        <v>15.041147136302801</v>
      </c>
      <c r="O997">
        <v>47.874410256680299</v>
      </c>
      <c r="P997">
        <v>3.2202891466719202E-2</v>
      </c>
      <c r="Q997">
        <v>1.40995274420718</v>
      </c>
      <c r="R997">
        <v>0.83393458675598997</v>
      </c>
      <c r="S997" t="s">
        <v>2999</v>
      </c>
      <c r="T997" t="s">
        <v>4002</v>
      </c>
      <c r="U997" t="s">
        <v>4002</v>
      </c>
      <c r="V997" t="s">
        <v>4002</v>
      </c>
      <c r="W997" t="s">
        <v>4981</v>
      </c>
      <c r="X997">
        <v>2</v>
      </c>
      <c r="Z997" t="s">
        <v>8895</v>
      </c>
      <c r="AA997">
        <v>1.28073762423714</v>
      </c>
      <c r="AB997" t="str">
        <f>HYPERLINK("Melting_Curves/meltCurve_P06331_.pdf", "Melting_Curves/meltCurve_P06331_.pdf")</f>
        <v>Melting_Curves/meltCurve_P06331_.pdf</v>
      </c>
    </row>
    <row r="998" spans="1:28" x14ac:dyDescent="0.25">
      <c r="A998" t="s">
        <v>1002</v>
      </c>
      <c r="B998">
        <v>1</v>
      </c>
      <c r="C998">
        <v>1.0162662988314299</v>
      </c>
      <c r="D998">
        <v>1.15212242667152</v>
      </c>
      <c r="E998">
        <v>1.16313145772064</v>
      </c>
      <c r="F998">
        <v>1.08156572886032</v>
      </c>
      <c r="G998">
        <v>1.17991827811467</v>
      </c>
      <c r="H998">
        <v>1.03375582333498</v>
      </c>
      <c r="I998">
        <v>1.2178122478723701</v>
      </c>
      <c r="J998">
        <v>0.97225620071311503</v>
      </c>
      <c r="K998">
        <v>0.91684668037373496</v>
      </c>
      <c r="L998">
        <v>15000</v>
      </c>
      <c r="M998">
        <v>223.18789214847999</v>
      </c>
      <c r="O998">
        <v>67.202552308921796</v>
      </c>
      <c r="P998">
        <v>-6.9051236924082202E-2</v>
      </c>
      <c r="Q998">
        <v>0.91683385330275202</v>
      </c>
      <c r="R998">
        <v>-0.50442344501283198</v>
      </c>
      <c r="S998" t="s">
        <v>3000</v>
      </c>
      <c r="T998" t="s">
        <v>4002</v>
      </c>
      <c r="U998" t="s">
        <v>4002</v>
      </c>
      <c r="V998" t="s">
        <v>4002</v>
      </c>
      <c r="W998" t="s">
        <v>4982</v>
      </c>
      <c r="X998">
        <v>24</v>
      </c>
      <c r="Y998" t="s">
        <v>6920</v>
      </c>
      <c r="Z998" t="s">
        <v>8896</v>
      </c>
      <c r="AA998">
        <v>0.99227204074881825</v>
      </c>
      <c r="AB998" t="str">
        <f>HYPERLINK("Melting_Curves/meltCurve_P06396_2_GSN.pdf", "Melting_Curves/meltCurve_P06396_2_GSN.pdf")</f>
        <v>Melting_Curves/meltCurve_P06396_2_GSN.pdf</v>
      </c>
    </row>
    <row r="999" spans="1:28" x14ac:dyDescent="0.25">
      <c r="A999" t="s">
        <v>1003</v>
      </c>
      <c r="B999">
        <v>1</v>
      </c>
      <c r="C999">
        <v>0.74716149182436198</v>
      </c>
      <c r="D999">
        <v>0.91467940474003295</v>
      </c>
      <c r="E999">
        <v>0.97042072386551503</v>
      </c>
      <c r="F999">
        <v>0.86996141833547702</v>
      </c>
      <c r="G999">
        <v>0.97710821238287704</v>
      </c>
      <c r="H999">
        <v>0.96307183538489805</v>
      </c>
      <c r="I999">
        <v>0.97832077898217895</v>
      </c>
      <c r="J999">
        <v>0.912915671504685</v>
      </c>
      <c r="K999">
        <v>0.86147345214036397</v>
      </c>
      <c r="L999">
        <v>10222.961960017899</v>
      </c>
      <c r="M999">
        <v>250</v>
      </c>
      <c r="O999">
        <v>40.889231044449303</v>
      </c>
      <c r="P999">
        <v>-0.13669809556663701</v>
      </c>
      <c r="Q999">
        <v>0.91056831992241405</v>
      </c>
      <c r="R999">
        <v>0.13494738993819899</v>
      </c>
      <c r="S999" t="s">
        <v>3001</v>
      </c>
      <c r="T999" t="s">
        <v>4002</v>
      </c>
      <c r="U999" t="s">
        <v>4002</v>
      </c>
      <c r="V999" t="s">
        <v>4002</v>
      </c>
      <c r="W999" t="s">
        <v>4983</v>
      </c>
      <c r="X999">
        <v>1</v>
      </c>
      <c r="Y999" t="s">
        <v>6921</v>
      </c>
      <c r="Z999" t="s">
        <v>8897</v>
      </c>
      <c r="AA999">
        <v>0.91323513992762861</v>
      </c>
      <c r="AB999" t="str">
        <f>HYPERLINK("Melting_Curves/meltCurve_P06401_3_PGR.pdf", "Melting_Curves/meltCurve_P06401_3_PGR.pdf")</f>
        <v>Melting_Curves/meltCurve_P06401_3_PGR.pdf</v>
      </c>
    </row>
    <row r="1000" spans="1:28" x14ac:dyDescent="0.25">
      <c r="A1000" t="s">
        <v>1004</v>
      </c>
      <c r="B1000">
        <v>1</v>
      </c>
      <c r="C1000">
        <v>1.17518469177667</v>
      </c>
      <c r="D1000">
        <v>1.1498728351701599</v>
      </c>
      <c r="E1000">
        <v>1.3847644422913901</v>
      </c>
      <c r="F1000">
        <v>1.9947317427637199</v>
      </c>
      <c r="G1000">
        <v>1.9821363691413301</v>
      </c>
      <c r="H1000">
        <v>1.46675548019862</v>
      </c>
      <c r="I1000">
        <v>2.6174155262201801</v>
      </c>
      <c r="J1000">
        <v>1.9137095797505099</v>
      </c>
      <c r="K1000">
        <v>2.0817488191837201</v>
      </c>
      <c r="L1000">
        <v>1830.5488252810401</v>
      </c>
      <c r="M1000">
        <v>39.129241328927201</v>
      </c>
      <c r="O1000">
        <v>46.660430264898501</v>
      </c>
      <c r="P1000">
        <v>0.10482471385863799</v>
      </c>
      <c r="Q1000">
        <v>1.5</v>
      </c>
      <c r="R1000">
        <v>5.8570736999789902E-2</v>
      </c>
      <c r="S1000" t="s">
        <v>3002</v>
      </c>
      <c r="T1000" t="s">
        <v>4002</v>
      </c>
      <c r="U1000" t="s">
        <v>4002</v>
      </c>
      <c r="V1000" t="s">
        <v>4002</v>
      </c>
      <c r="W1000" t="s">
        <v>4984</v>
      </c>
      <c r="X1000">
        <v>6</v>
      </c>
      <c r="Y1000" t="s">
        <v>6922</v>
      </c>
      <c r="Z1000" t="s">
        <v>8898</v>
      </c>
      <c r="AA1000">
        <v>1.385255663017807</v>
      </c>
      <c r="AB1000" t="str">
        <f>HYPERLINK("Melting_Curves/meltCurve_P06681_C2.pdf", "Melting_Curves/meltCurve_P06681_C2.pdf")</f>
        <v>Melting_Curves/meltCurve_P06681_C2.pdf</v>
      </c>
    </row>
    <row r="1001" spans="1:28" x14ac:dyDescent="0.25">
      <c r="A1001" t="s">
        <v>1005</v>
      </c>
      <c r="B1001">
        <v>1</v>
      </c>
      <c r="C1001">
        <v>0.88413298825403097</v>
      </c>
      <c r="D1001">
        <v>0.89843387086070703</v>
      </c>
      <c r="E1001">
        <v>0.90165239896476201</v>
      </c>
      <c r="F1001">
        <v>0.81461941734687104</v>
      </c>
      <c r="G1001">
        <v>0.85121773176720394</v>
      </c>
      <c r="H1001">
        <v>0.89936293051961003</v>
      </c>
      <c r="I1001">
        <v>0.91867409914393805</v>
      </c>
      <c r="J1001">
        <v>1.1234985732298099</v>
      </c>
      <c r="K1001">
        <v>0.81033910677549903</v>
      </c>
      <c r="L1001">
        <v>10256.435541336799</v>
      </c>
      <c r="M1001">
        <v>250</v>
      </c>
      <c r="O1001">
        <v>41.0231170605418</v>
      </c>
      <c r="P1001">
        <v>-0.152026432631647</v>
      </c>
      <c r="Q1001">
        <v>0.90021443050073802</v>
      </c>
      <c r="R1001">
        <v>0.11603839700775199</v>
      </c>
      <c r="S1001" t="s">
        <v>3003</v>
      </c>
      <c r="T1001" t="s">
        <v>4002</v>
      </c>
      <c r="U1001" t="s">
        <v>4002</v>
      </c>
      <c r="V1001" t="s">
        <v>4002</v>
      </c>
      <c r="W1001" t="s">
        <v>4985</v>
      </c>
      <c r="X1001">
        <v>8</v>
      </c>
      <c r="Y1001" t="s">
        <v>6923</v>
      </c>
      <c r="Z1001" t="s">
        <v>8899</v>
      </c>
      <c r="AA1001">
        <v>0.90363426943229241</v>
      </c>
      <c r="AB1001" t="str">
        <f>HYPERLINK("Melting_Curves/meltCurve_P06702_S100A9.pdf", "Melting_Curves/meltCurve_P06702_S100A9.pdf")</f>
        <v>Melting_Curves/meltCurve_P06702_S100A9.pdf</v>
      </c>
    </row>
    <row r="1002" spans="1:28" x14ac:dyDescent="0.25">
      <c r="A1002" t="s">
        <v>1006</v>
      </c>
      <c r="B1002">
        <v>1</v>
      </c>
      <c r="C1002">
        <v>0.92540634886004103</v>
      </c>
      <c r="D1002">
        <v>0.91779208028798998</v>
      </c>
      <c r="E1002">
        <v>0.90256354314388598</v>
      </c>
      <c r="F1002">
        <v>0.84068942947529202</v>
      </c>
      <c r="G1002">
        <v>0.88790225809970502</v>
      </c>
      <c r="H1002">
        <v>0.78874222755536205</v>
      </c>
      <c r="I1002">
        <v>1.1902912621359201</v>
      </c>
      <c r="J1002">
        <v>0.925057270644704</v>
      </c>
      <c r="K1002">
        <v>1.0360859605105299</v>
      </c>
      <c r="L1002">
        <v>10257.582792318501</v>
      </c>
      <c r="M1002">
        <v>250</v>
      </c>
      <c r="O1002">
        <v>41.0277054783217</v>
      </c>
      <c r="P1002">
        <v>-9.9098089907828896E-2</v>
      </c>
      <c r="Q1002">
        <v>0.934947724102274</v>
      </c>
      <c r="R1002">
        <v>3.3631651396860002E-2</v>
      </c>
      <c r="S1002" t="s">
        <v>3004</v>
      </c>
      <c r="T1002" t="s">
        <v>4002</v>
      </c>
      <c r="U1002" t="s">
        <v>4002</v>
      </c>
      <c r="V1002" t="s">
        <v>4002</v>
      </c>
      <c r="W1002" t="s">
        <v>4986</v>
      </c>
      <c r="X1002">
        <v>34</v>
      </c>
      <c r="Y1002" t="s">
        <v>6924</v>
      </c>
      <c r="Z1002" t="s">
        <v>8900</v>
      </c>
      <c r="AA1002">
        <v>0.93718712353936207</v>
      </c>
      <c r="AB1002" t="str">
        <f>HYPERLINK("Melting_Curves/meltCurve_P06727_APOA4.pdf", "Melting_Curves/meltCurve_P06727_APOA4.pdf")</f>
        <v>Melting_Curves/meltCurve_P06727_APOA4.pdf</v>
      </c>
    </row>
    <row r="1003" spans="1:28" x14ac:dyDescent="0.25">
      <c r="A1003" t="s">
        <v>1007</v>
      </c>
      <c r="B1003">
        <v>1</v>
      </c>
      <c r="C1003">
        <v>0.97652343418933796</v>
      </c>
      <c r="D1003">
        <v>1.0728027798966</v>
      </c>
      <c r="E1003">
        <v>1.3421476396304799</v>
      </c>
      <c r="F1003">
        <v>1.56903127383677</v>
      </c>
      <c r="G1003">
        <v>1.88049834731757</v>
      </c>
      <c r="H1003">
        <v>1.6774302907026</v>
      </c>
      <c r="I1003">
        <v>2.2000169505890299</v>
      </c>
      <c r="J1003">
        <v>1.8431222984998701</v>
      </c>
      <c r="K1003">
        <v>1.7844732604458</v>
      </c>
      <c r="L1003">
        <v>2263.5006186037899</v>
      </c>
      <c r="M1003">
        <v>46.292979490881301</v>
      </c>
      <c r="O1003">
        <v>48.804136446502298</v>
      </c>
      <c r="P1003">
        <v>0.11856841618345899</v>
      </c>
      <c r="Q1003">
        <v>1.5</v>
      </c>
      <c r="R1003">
        <v>0.448915452326345</v>
      </c>
      <c r="S1003" t="s">
        <v>3005</v>
      </c>
      <c r="T1003" t="s">
        <v>4002</v>
      </c>
      <c r="U1003" t="s">
        <v>4002</v>
      </c>
      <c r="V1003" t="s">
        <v>4002</v>
      </c>
      <c r="W1003" t="s">
        <v>4987</v>
      </c>
      <c r="X1003">
        <v>32</v>
      </c>
      <c r="Y1003" t="s">
        <v>6925</v>
      </c>
      <c r="Z1003" t="s">
        <v>8901</v>
      </c>
      <c r="AA1003">
        <v>1.350488507583679</v>
      </c>
      <c r="AB1003" t="str">
        <f>HYPERLINK("Melting_Curves/meltCurve_P06733_ENO1.pdf", "Melting_Curves/meltCurve_P06733_ENO1.pdf")</f>
        <v>Melting_Curves/meltCurve_P06733_ENO1.pdf</v>
      </c>
    </row>
    <row r="1004" spans="1:28" x14ac:dyDescent="0.25">
      <c r="A1004" t="s">
        <v>1008</v>
      </c>
      <c r="B1004">
        <v>1</v>
      </c>
      <c r="C1004">
        <v>1.0061135371179</v>
      </c>
      <c r="D1004">
        <v>1.1478477854023701</v>
      </c>
      <c r="E1004">
        <v>1.35870243293824</v>
      </c>
      <c r="F1004">
        <v>1.39970887918486</v>
      </c>
      <c r="G1004">
        <v>1.56764400083177</v>
      </c>
      <c r="H1004">
        <v>1.2986483676439999</v>
      </c>
      <c r="I1004">
        <v>2.0221251819505102</v>
      </c>
      <c r="J1004">
        <v>1.4692035766271601</v>
      </c>
      <c r="K1004">
        <v>1.55479309627781</v>
      </c>
      <c r="L1004">
        <v>1121.6082660462</v>
      </c>
      <c r="M1004">
        <v>23.345486574661699</v>
      </c>
      <c r="O1004">
        <v>47.695545965516303</v>
      </c>
      <c r="P1004">
        <v>6.1184691164870297E-2</v>
      </c>
      <c r="Q1004">
        <v>1.5</v>
      </c>
      <c r="R1004">
        <v>0.60679754694182597</v>
      </c>
      <c r="S1004" t="s">
        <v>3006</v>
      </c>
      <c r="T1004" t="s">
        <v>4002</v>
      </c>
      <c r="U1004" t="s">
        <v>4002</v>
      </c>
      <c r="V1004" t="s">
        <v>4002</v>
      </c>
      <c r="W1004" t="s">
        <v>4988</v>
      </c>
      <c r="X1004">
        <v>21</v>
      </c>
      <c r="Y1004" t="s">
        <v>6926</v>
      </c>
      <c r="Z1004" t="s">
        <v>8902</v>
      </c>
      <c r="AA1004">
        <v>1.360824283950735</v>
      </c>
      <c r="AB1004" t="str">
        <f>HYPERLINK("Melting_Curves/meltCurve_P06737_2_PYGL.pdf", "Melting_Curves/meltCurve_P06737_2_PYGL.pdf")</f>
        <v>Melting_Curves/meltCurve_P06737_2_PYGL.pdf</v>
      </c>
    </row>
    <row r="1005" spans="1:28" x14ac:dyDescent="0.25">
      <c r="A1005" t="s">
        <v>1009</v>
      </c>
      <c r="B1005">
        <v>1</v>
      </c>
      <c r="C1005">
        <v>1.0219220705749199</v>
      </c>
      <c r="D1005">
        <v>1.1716285976946501</v>
      </c>
      <c r="E1005">
        <v>1.4462202107347399</v>
      </c>
      <c r="F1005">
        <v>2.1109539636517902</v>
      </c>
      <c r="G1005">
        <v>3.1581217735662301</v>
      </c>
      <c r="H1005">
        <v>2.9907361572731799</v>
      </c>
      <c r="I1005">
        <v>4.1166112721872601</v>
      </c>
      <c r="J1005">
        <v>3.3537232161799002</v>
      </c>
      <c r="K1005">
        <v>3.2298988756099298</v>
      </c>
      <c r="L1005">
        <v>2729.7771138998</v>
      </c>
      <c r="M1005">
        <v>58.689953080569502</v>
      </c>
      <c r="O1005">
        <v>46.457921708669701</v>
      </c>
      <c r="P1005">
        <v>0.15791165828321599</v>
      </c>
      <c r="Q1005">
        <v>1.5</v>
      </c>
      <c r="R1005">
        <v>-0.57637634074149202</v>
      </c>
      <c r="S1005" t="s">
        <v>3007</v>
      </c>
      <c r="T1005" t="s">
        <v>4002</v>
      </c>
      <c r="U1005" t="s">
        <v>4002</v>
      </c>
      <c r="V1005" t="s">
        <v>4002</v>
      </c>
      <c r="W1005" t="s">
        <v>4989</v>
      </c>
      <c r="X1005">
        <v>17</v>
      </c>
      <c r="Y1005" t="s">
        <v>6927</v>
      </c>
      <c r="Z1005" t="s">
        <v>8903</v>
      </c>
      <c r="AA1005">
        <v>1.3907254371102871</v>
      </c>
      <c r="AB1005" t="str">
        <f>HYPERLINK("Melting_Curves/meltCurve_P06744_GPI.pdf", "Melting_Curves/meltCurve_P06744_GPI.pdf")</f>
        <v>Melting_Curves/meltCurve_P06744_GPI.pdf</v>
      </c>
    </row>
    <row r="1006" spans="1:28" x14ac:dyDescent="0.25">
      <c r="A1006" t="s">
        <v>1010</v>
      </c>
      <c r="B1006">
        <v>1</v>
      </c>
      <c r="C1006">
        <v>0.96822560126007196</v>
      </c>
      <c r="D1006">
        <v>1.3372205730902</v>
      </c>
      <c r="E1006">
        <v>1.1807415036045299</v>
      </c>
      <c r="F1006">
        <v>0.73738414006179198</v>
      </c>
      <c r="G1006">
        <v>0.92533470648815697</v>
      </c>
      <c r="H1006">
        <v>0.33304052826073799</v>
      </c>
      <c r="I1006">
        <v>1.0139637729448101</v>
      </c>
      <c r="J1006">
        <v>0.53440964439328797</v>
      </c>
      <c r="K1006">
        <v>0.43133216211304298</v>
      </c>
      <c r="L1006">
        <v>1269.2751337823299</v>
      </c>
      <c r="M1006">
        <v>22.294712034060598</v>
      </c>
      <c r="O1006">
        <v>56.479567819630503</v>
      </c>
      <c r="P1006">
        <v>-4.2959002357446999E-2</v>
      </c>
      <c r="Q1006">
        <v>0.56469418529756299</v>
      </c>
      <c r="R1006">
        <v>0.47892645521971799</v>
      </c>
      <c r="S1006" t="s">
        <v>3008</v>
      </c>
      <c r="T1006" t="s">
        <v>4002</v>
      </c>
      <c r="U1006" t="s">
        <v>4002</v>
      </c>
      <c r="V1006" t="s">
        <v>4002</v>
      </c>
      <c r="W1006" t="s">
        <v>4990</v>
      </c>
      <c r="X1006">
        <v>2</v>
      </c>
      <c r="Y1006" t="s">
        <v>6928</v>
      </c>
      <c r="Z1006" t="s">
        <v>8904</v>
      </c>
      <c r="AA1006">
        <v>0.81502551404564538</v>
      </c>
      <c r="AB1006" t="str">
        <f>HYPERLINK("Melting_Curves/meltCurve_P06748_3_NPM1.pdf", "Melting_Curves/meltCurve_P06748_3_NPM1.pdf")</f>
        <v>Melting_Curves/meltCurve_P06748_3_NPM1.pdf</v>
      </c>
    </row>
    <row r="1007" spans="1:28" x14ac:dyDescent="0.25">
      <c r="A1007" t="s">
        <v>1011</v>
      </c>
      <c r="B1007">
        <v>1</v>
      </c>
      <c r="C1007">
        <v>0.91739518287243504</v>
      </c>
      <c r="D1007">
        <v>1.0110950044603</v>
      </c>
      <c r="E1007">
        <v>1.02903657448707</v>
      </c>
      <c r="F1007">
        <v>0.95311106155218595</v>
      </c>
      <c r="G1007">
        <v>0.98926181980374694</v>
      </c>
      <c r="H1007">
        <v>0.79473684210526296</v>
      </c>
      <c r="I1007">
        <v>1.10548617305977</v>
      </c>
      <c r="J1007">
        <v>0.87082961641391599</v>
      </c>
      <c r="K1007">
        <v>0.87650535236396099</v>
      </c>
      <c r="L1007">
        <v>335.54672587461999</v>
      </c>
      <c r="M1007">
        <v>2.6733948065853199</v>
      </c>
      <c r="Q1007">
        <v>0</v>
      </c>
      <c r="R1007">
        <v>0.12855716508214099</v>
      </c>
      <c r="S1007" t="s">
        <v>3009</v>
      </c>
      <c r="T1007" t="s">
        <v>4002</v>
      </c>
      <c r="U1007" t="s">
        <v>4002</v>
      </c>
      <c r="V1007" t="s">
        <v>4002</v>
      </c>
      <c r="W1007" t="s">
        <v>4991</v>
      </c>
      <c r="X1007">
        <v>29</v>
      </c>
      <c r="Y1007" t="s">
        <v>6622</v>
      </c>
      <c r="Z1007" t="s">
        <v>8905</v>
      </c>
      <c r="AA1007">
        <v>0.96038027069900522</v>
      </c>
      <c r="AB1007" t="str">
        <f>HYPERLINK("Melting_Curves/meltCurve_P06753_2_TPM3.pdf", "Melting_Curves/meltCurve_P06753_2_TPM3.pdf")</f>
        <v>Melting_Curves/meltCurve_P06753_2_TPM3.pdf</v>
      </c>
    </row>
    <row r="1008" spans="1:28" x14ac:dyDescent="0.25">
      <c r="A1008" t="s">
        <v>1012</v>
      </c>
      <c r="B1008">
        <v>1</v>
      </c>
      <c r="C1008">
        <v>0.90031867868279503</v>
      </c>
      <c r="D1008">
        <v>1.02710482130007</v>
      </c>
      <c r="E1008">
        <v>0.96785799952026896</v>
      </c>
      <c r="F1008">
        <v>0.89230031182537795</v>
      </c>
      <c r="G1008">
        <v>1.08117739780009</v>
      </c>
      <c r="H1008">
        <v>0.85943871431998098</v>
      </c>
      <c r="I1008">
        <v>1.14662646061063</v>
      </c>
      <c r="J1008">
        <v>0.957372442860569</v>
      </c>
      <c r="K1008">
        <v>0.954905253058287</v>
      </c>
      <c r="L1008">
        <v>73.8606697226693</v>
      </c>
      <c r="M1008">
        <v>20.982841097912299</v>
      </c>
      <c r="Q1008">
        <v>0.97871020794055796</v>
      </c>
      <c r="R1008">
        <v>-3.9293235332138498E-11</v>
      </c>
      <c r="S1008" t="s">
        <v>3010</v>
      </c>
      <c r="T1008" t="s">
        <v>4002</v>
      </c>
      <c r="U1008" t="s">
        <v>4002</v>
      </c>
      <c r="V1008" t="s">
        <v>4002</v>
      </c>
      <c r="W1008" t="s">
        <v>4992</v>
      </c>
      <c r="X1008">
        <v>27</v>
      </c>
      <c r="Y1008" t="s">
        <v>6622</v>
      </c>
      <c r="Z1008" t="s">
        <v>8906</v>
      </c>
      <c r="AA1008">
        <v>0.97871020800738351</v>
      </c>
      <c r="AB1008" t="str">
        <f>HYPERLINK("Melting_Curves/meltCurve_P06753_5_TPM3.pdf", "Melting_Curves/meltCurve_P06753_5_TPM3.pdf")</f>
        <v>Melting_Curves/meltCurve_P06753_5_TPM3.pdf</v>
      </c>
    </row>
    <row r="1009" spans="1:28" x14ac:dyDescent="0.25">
      <c r="A1009" t="s">
        <v>1013</v>
      </c>
      <c r="B1009">
        <v>1</v>
      </c>
      <c r="C1009">
        <v>0.91291554498215699</v>
      </c>
      <c r="D1009">
        <v>1.0149001439929899</v>
      </c>
      <c r="E1009">
        <v>1.07706755149314</v>
      </c>
      <c r="F1009">
        <v>1.03180366869092</v>
      </c>
      <c r="G1009">
        <v>1.03599824704188</v>
      </c>
      <c r="H1009">
        <v>1.15175608839917</v>
      </c>
      <c r="I1009">
        <v>1.03105240092656</v>
      </c>
      <c r="J1009">
        <v>1.0699931133788301</v>
      </c>
      <c r="K1009">
        <v>0.998685281412383</v>
      </c>
      <c r="L1009">
        <v>11125.350790289</v>
      </c>
      <c r="M1009">
        <v>240.82579596674501</v>
      </c>
      <c r="O1009">
        <v>46.193490206317001</v>
      </c>
      <c r="P1009">
        <v>7.3798925560961001E-2</v>
      </c>
      <c r="Q1009">
        <v>1.0566223361759399</v>
      </c>
      <c r="R1009">
        <v>0.35297221954641</v>
      </c>
      <c r="S1009" t="s">
        <v>3011</v>
      </c>
      <c r="T1009" t="s">
        <v>4002</v>
      </c>
      <c r="U1009" t="s">
        <v>4002</v>
      </c>
      <c r="V1009" t="s">
        <v>4002</v>
      </c>
      <c r="W1009" t="s">
        <v>4993</v>
      </c>
      <c r="X1009">
        <v>4</v>
      </c>
      <c r="Y1009" t="s">
        <v>6929</v>
      </c>
      <c r="Z1009" t="s">
        <v>8907</v>
      </c>
      <c r="AA1009">
        <v>1.0449217170750309</v>
      </c>
      <c r="AB1009" t="str">
        <f>HYPERLINK("Melting_Curves/meltCurve_P07108_DBI.pdf", "Melting_Curves/meltCurve_P07108_DBI.pdf")</f>
        <v>Melting_Curves/meltCurve_P07108_DBI.pdf</v>
      </c>
    </row>
    <row r="1010" spans="1:28" x14ac:dyDescent="0.25">
      <c r="A1010" t="s">
        <v>1014</v>
      </c>
      <c r="B1010">
        <v>1</v>
      </c>
      <c r="C1010">
        <v>1.05202124452072</v>
      </c>
      <c r="D1010">
        <v>1.3711529095252499</v>
      </c>
      <c r="E1010">
        <v>1.6789201475056199</v>
      </c>
      <c r="F1010">
        <v>1.57710415845258</v>
      </c>
      <c r="G1010">
        <v>1.8318760581673099</v>
      </c>
      <c r="H1010">
        <v>1.6240693925829699</v>
      </c>
      <c r="I1010">
        <v>2.2215135561379502</v>
      </c>
      <c r="J1010">
        <v>1.77772108449104</v>
      </c>
      <c r="K1010">
        <v>1.7985945218823201</v>
      </c>
      <c r="L1010">
        <v>2370.3197190577098</v>
      </c>
      <c r="M1010">
        <v>52.705370464684798</v>
      </c>
      <c r="O1010">
        <v>44.9084164216126</v>
      </c>
      <c r="P1010">
        <v>0.14670247524087501</v>
      </c>
      <c r="Q1010">
        <v>1.5</v>
      </c>
      <c r="R1010">
        <v>0.30793553390918099</v>
      </c>
      <c r="S1010" t="s">
        <v>3012</v>
      </c>
      <c r="T1010" t="s">
        <v>4002</v>
      </c>
      <c r="U1010" t="s">
        <v>4002</v>
      </c>
      <c r="V1010" t="s">
        <v>4002</v>
      </c>
      <c r="W1010" t="s">
        <v>4994</v>
      </c>
      <c r="X1010">
        <v>9</v>
      </c>
      <c r="Y1010" t="s">
        <v>6930</v>
      </c>
      <c r="Z1010" t="s">
        <v>8908</v>
      </c>
      <c r="AA1010">
        <v>1.4162086282798321</v>
      </c>
      <c r="AB1010" t="str">
        <f>HYPERLINK("Melting_Curves/meltCurve_P07195_LDHB.pdf", "Melting_Curves/meltCurve_P07195_LDHB.pdf")</f>
        <v>Melting_Curves/meltCurve_P07195_LDHB.pdf</v>
      </c>
    </row>
    <row r="1011" spans="1:28" x14ac:dyDescent="0.25">
      <c r="A1011" t="s">
        <v>1015</v>
      </c>
      <c r="B1011">
        <v>1</v>
      </c>
      <c r="C1011">
        <v>0.952040624412262</v>
      </c>
      <c r="D1011">
        <v>0.65495580214406601</v>
      </c>
      <c r="E1011">
        <v>0.74883392890727796</v>
      </c>
      <c r="F1011">
        <v>0.656168892232462</v>
      </c>
      <c r="G1011">
        <v>1.1042881324054901</v>
      </c>
      <c r="H1011">
        <v>1.08106074854241</v>
      </c>
      <c r="I1011">
        <v>1.45091216851608</v>
      </c>
      <c r="J1011">
        <v>2.43473763400414</v>
      </c>
      <c r="K1011">
        <v>1.8324242994169599</v>
      </c>
      <c r="L1011">
        <v>6159.8953221431102</v>
      </c>
      <c r="M1011">
        <v>99.279538808801803</v>
      </c>
      <c r="O1011">
        <v>62.020808217094803</v>
      </c>
      <c r="P1011">
        <v>0.20009321931577001</v>
      </c>
      <c r="Q1011">
        <v>1.5</v>
      </c>
      <c r="R1011">
        <v>0.55327036471961299</v>
      </c>
      <c r="S1011" t="s">
        <v>3013</v>
      </c>
      <c r="T1011" t="s">
        <v>4002</v>
      </c>
      <c r="U1011" t="s">
        <v>4002</v>
      </c>
      <c r="V1011" t="s">
        <v>4002</v>
      </c>
      <c r="W1011" t="s">
        <v>4995</v>
      </c>
      <c r="X1011">
        <v>1</v>
      </c>
      <c r="Y1011" t="s">
        <v>6931</v>
      </c>
      <c r="Z1011" t="s">
        <v>8909</v>
      </c>
      <c r="AA1011">
        <v>1.1322216857082099</v>
      </c>
      <c r="AB1011" t="str">
        <f>HYPERLINK("Melting_Curves/meltCurve_P07203_GPX1.pdf", "Melting_Curves/meltCurve_P07203_GPX1.pdf")</f>
        <v>Melting_Curves/meltCurve_P07203_GPX1.pdf</v>
      </c>
    </row>
    <row r="1012" spans="1:28" x14ac:dyDescent="0.25">
      <c r="A1012" t="s">
        <v>1016</v>
      </c>
      <c r="B1012">
        <v>1</v>
      </c>
      <c r="C1012">
        <v>1.0867705222374699</v>
      </c>
      <c r="D1012">
        <v>1.2150294616191799</v>
      </c>
      <c r="E1012">
        <v>1.32867866655904</v>
      </c>
      <c r="F1012">
        <v>1.17862620066188</v>
      </c>
      <c r="G1012">
        <v>1.36564694487045</v>
      </c>
      <c r="H1012">
        <v>1.1310840261522299</v>
      </c>
      <c r="I1012">
        <v>1.6354830898377599</v>
      </c>
      <c r="J1012">
        <v>1.3725078698845701</v>
      </c>
      <c r="K1012">
        <v>1.2247154734038299</v>
      </c>
      <c r="L1012">
        <v>771.67621722233798</v>
      </c>
      <c r="M1012">
        <v>17.047169905137299</v>
      </c>
      <c r="O1012">
        <v>44.657970245817403</v>
      </c>
      <c r="P1012">
        <v>3.1992306075164699E-2</v>
      </c>
      <c r="Q1012">
        <v>1.3352167261710299</v>
      </c>
      <c r="R1012">
        <v>0.42739428637413701</v>
      </c>
      <c r="S1012" t="s">
        <v>3014</v>
      </c>
      <c r="T1012" t="s">
        <v>4002</v>
      </c>
      <c r="U1012" t="s">
        <v>4002</v>
      </c>
      <c r="V1012" t="s">
        <v>4002</v>
      </c>
      <c r="W1012" t="s">
        <v>4996</v>
      </c>
      <c r="X1012">
        <v>3</v>
      </c>
      <c r="Y1012" t="s">
        <v>6932</v>
      </c>
      <c r="Z1012" t="s">
        <v>8910</v>
      </c>
      <c r="AA1012">
        <v>1.268425931093395</v>
      </c>
      <c r="AB1012" t="str">
        <f>HYPERLINK("Melting_Curves/meltCurve_P07225_PROS1.pdf", "Melting_Curves/meltCurve_P07225_PROS1.pdf")</f>
        <v>Melting_Curves/meltCurve_P07225_PROS1.pdf</v>
      </c>
    </row>
    <row r="1013" spans="1:28" x14ac:dyDescent="0.25">
      <c r="A1013" t="s">
        <v>1017</v>
      </c>
      <c r="B1013">
        <v>1</v>
      </c>
      <c r="C1013">
        <v>1.0233903545957801</v>
      </c>
      <c r="D1013">
        <v>1.2123584858610501</v>
      </c>
      <c r="E1013">
        <v>1.4096055059598001</v>
      </c>
      <c r="F1013">
        <v>1.44905490997955</v>
      </c>
      <c r="G1013">
        <v>1.6991671238342201</v>
      </c>
      <c r="H1013">
        <v>1.6398683357438499</v>
      </c>
      <c r="I1013">
        <v>1.9345169816966701</v>
      </c>
      <c r="J1013">
        <v>1.8965138895815701</v>
      </c>
      <c r="K1013">
        <v>1.65308463418283</v>
      </c>
      <c r="L1013">
        <v>1352.2878892616</v>
      </c>
      <c r="M1013">
        <v>28.9734180404472</v>
      </c>
      <c r="O1013">
        <v>46.452751142517599</v>
      </c>
      <c r="P1013">
        <v>7.7965335859212198E-2</v>
      </c>
      <c r="Q1013">
        <v>1.5</v>
      </c>
      <c r="R1013">
        <v>0.56689813189882798</v>
      </c>
      <c r="S1013" t="s">
        <v>3015</v>
      </c>
      <c r="T1013" t="s">
        <v>4002</v>
      </c>
      <c r="U1013" t="s">
        <v>4002</v>
      </c>
      <c r="V1013" t="s">
        <v>4002</v>
      </c>
      <c r="W1013" t="s">
        <v>4997</v>
      </c>
      <c r="X1013">
        <v>16</v>
      </c>
      <c r="Y1013" t="s">
        <v>6437</v>
      </c>
      <c r="Z1013" t="s">
        <v>8911</v>
      </c>
      <c r="AA1013">
        <v>1.385532526130945</v>
      </c>
      <c r="AB1013" t="str">
        <f>HYPERLINK("Melting_Curves/meltCurve_P07339_CTSD.pdf", "Melting_Curves/meltCurve_P07339_CTSD.pdf")</f>
        <v>Melting_Curves/meltCurve_P07339_CTSD.pdf</v>
      </c>
    </row>
    <row r="1014" spans="1:28" x14ac:dyDescent="0.25">
      <c r="A1014" t="s">
        <v>1018</v>
      </c>
      <c r="B1014">
        <v>1</v>
      </c>
      <c r="C1014">
        <v>1.00696621949248</v>
      </c>
      <c r="D1014">
        <v>1.0206885404881201</v>
      </c>
      <c r="E1014">
        <v>1.2199612089865799</v>
      </c>
      <c r="F1014">
        <v>1.0536447389688099</v>
      </c>
      <c r="G1014">
        <v>1.3259576531436901</v>
      </c>
      <c r="H1014">
        <v>1.05377404234686</v>
      </c>
      <c r="I1014">
        <v>1.48820106675287</v>
      </c>
      <c r="J1014">
        <v>1.0146112817197299</v>
      </c>
      <c r="K1014">
        <v>0.95078390172943295</v>
      </c>
      <c r="L1014">
        <v>11587.107560956099</v>
      </c>
      <c r="M1014">
        <v>250</v>
      </c>
      <c r="O1014">
        <v>46.3454570642538</v>
      </c>
      <c r="P1014">
        <v>0.213253626995453</v>
      </c>
      <c r="Q1014">
        <v>1.1581334134176799</v>
      </c>
      <c r="R1014">
        <v>0.17113870302318099</v>
      </c>
      <c r="S1014" t="s">
        <v>3016</v>
      </c>
      <c r="T1014" t="s">
        <v>4002</v>
      </c>
      <c r="U1014" t="s">
        <v>4002</v>
      </c>
      <c r="V1014" t="s">
        <v>4002</v>
      </c>
      <c r="W1014" t="s">
        <v>4998</v>
      </c>
      <c r="X1014">
        <v>3</v>
      </c>
      <c r="Y1014" t="s">
        <v>6933</v>
      </c>
      <c r="Z1014" t="s">
        <v>8912</v>
      </c>
      <c r="AA1014">
        <v>1.1246572525801459</v>
      </c>
      <c r="AB1014" t="str">
        <f>HYPERLINK("Melting_Curves/meltCurve_P07357_C8A.pdf", "Melting_Curves/meltCurve_P07357_C8A.pdf")</f>
        <v>Melting_Curves/meltCurve_P07357_C8A.pdf</v>
      </c>
    </row>
    <row r="1015" spans="1:28" x14ac:dyDescent="0.25">
      <c r="A1015" t="s">
        <v>1019</v>
      </c>
      <c r="B1015">
        <v>1</v>
      </c>
      <c r="C1015">
        <v>1.27474956497202</v>
      </c>
      <c r="D1015">
        <v>1.46178808258477</v>
      </c>
      <c r="E1015">
        <v>1.4131119785543</v>
      </c>
      <c r="F1015">
        <v>1.5012933264355901</v>
      </c>
      <c r="G1015">
        <v>1.5333207919860801</v>
      </c>
      <c r="H1015">
        <v>1.4217419931336099</v>
      </c>
      <c r="I1015">
        <v>1.8135023279875799</v>
      </c>
      <c r="J1015">
        <v>2.17622160560598</v>
      </c>
      <c r="K1015">
        <v>1.48330433146781</v>
      </c>
      <c r="L1015">
        <v>1913.79116248114</v>
      </c>
      <c r="M1015">
        <v>44.753105297279603</v>
      </c>
      <c r="O1015">
        <v>42.678192703207301</v>
      </c>
      <c r="P1015">
        <v>0.13107737514482001</v>
      </c>
      <c r="Q1015">
        <v>1.5</v>
      </c>
      <c r="R1015">
        <v>0.34496050815713297</v>
      </c>
      <c r="S1015" t="s">
        <v>3017</v>
      </c>
      <c r="T1015" t="s">
        <v>4002</v>
      </c>
      <c r="U1015" t="s">
        <v>4002</v>
      </c>
      <c r="V1015" t="s">
        <v>4002</v>
      </c>
      <c r="W1015" t="s">
        <v>4999</v>
      </c>
      <c r="X1015">
        <v>2</v>
      </c>
      <c r="Y1015" t="s">
        <v>6934</v>
      </c>
      <c r="Z1015" t="s">
        <v>8913</v>
      </c>
      <c r="AA1015">
        <v>1.45217145217946</v>
      </c>
      <c r="AB1015" t="str">
        <f>HYPERLINK("Melting_Curves/meltCurve_P07360_C8G.pdf", "Melting_Curves/meltCurve_P07360_C8G.pdf")</f>
        <v>Melting_Curves/meltCurve_P07360_C8G.pdf</v>
      </c>
    </row>
    <row r="1016" spans="1:28" x14ac:dyDescent="0.25">
      <c r="A1016" t="s">
        <v>1020</v>
      </c>
      <c r="B1016">
        <v>1</v>
      </c>
      <c r="C1016">
        <v>1.04334147990224</v>
      </c>
      <c r="D1016">
        <v>1.2217773386719399</v>
      </c>
      <c r="E1016">
        <v>1.41773698715615</v>
      </c>
      <c r="F1016">
        <v>1.5100618792574501</v>
      </c>
      <c r="G1016">
        <v>1.6994696063647201</v>
      </c>
      <c r="H1016">
        <v>1.5402735167178001</v>
      </c>
      <c r="I1016">
        <v>1.9590244917060999</v>
      </c>
      <c r="J1016">
        <v>2.04144350267797</v>
      </c>
      <c r="K1016">
        <v>1.6858457698507601</v>
      </c>
      <c r="L1016">
        <v>1410.33914359193</v>
      </c>
      <c r="M1016">
        <v>30.392590026688602</v>
      </c>
      <c r="O1016">
        <v>46.2045376563335</v>
      </c>
      <c r="P1016">
        <v>8.2223466314244695E-2</v>
      </c>
      <c r="Q1016">
        <v>1.5</v>
      </c>
      <c r="R1016">
        <v>0.48071804132984403</v>
      </c>
      <c r="S1016" t="s">
        <v>3018</v>
      </c>
      <c r="T1016" t="s">
        <v>4002</v>
      </c>
      <c r="U1016" t="s">
        <v>4002</v>
      </c>
      <c r="V1016" t="s">
        <v>4002</v>
      </c>
      <c r="W1016" t="s">
        <v>5000</v>
      </c>
      <c r="X1016">
        <v>9</v>
      </c>
      <c r="Y1016" t="s">
        <v>6935</v>
      </c>
      <c r="Z1016" t="s">
        <v>8914</v>
      </c>
      <c r="AA1016">
        <v>1.390333467390229</v>
      </c>
      <c r="AB1016" t="str">
        <f>HYPERLINK("Melting_Curves/meltCurve_P07384_CAPN1.pdf", "Melting_Curves/meltCurve_P07384_CAPN1.pdf")</f>
        <v>Melting_Curves/meltCurve_P07384_CAPN1.pdf</v>
      </c>
    </row>
    <row r="1017" spans="1:28" x14ac:dyDescent="0.25">
      <c r="A1017" t="s">
        <v>1021</v>
      </c>
      <c r="B1017">
        <v>1</v>
      </c>
      <c r="C1017">
        <v>0.86290844079272699</v>
      </c>
      <c r="D1017">
        <v>0.95199513104340205</v>
      </c>
      <c r="E1017">
        <v>0.95233747955418602</v>
      </c>
      <c r="F1017">
        <v>0.86986952717866795</v>
      </c>
      <c r="G1017">
        <v>0.88466659058922004</v>
      </c>
      <c r="H1017">
        <v>0.69833390391418504</v>
      </c>
      <c r="I1017">
        <v>0.90151774506447602</v>
      </c>
      <c r="J1017">
        <v>0.78823842671839905</v>
      </c>
      <c r="K1017">
        <v>0.69723078093499202</v>
      </c>
      <c r="L1017">
        <v>215.181758090274</v>
      </c>
      <c r="M1017">
        <v>2.0222936263861899</v>
      </c>
      <c r="O1017">
        <v>63.627771985081203</v>
      </c>
      <c r="P1017">
        <v>-8.6405336461225103E-3</v>
      </c>
      <c r="Q1017">
        <v>0</v>
      </c>
      <c r="R1017">
        <v>0.57217686735192597</v>
      </c>
      <c r="S1017" t="s">
        <v>3019</v>
      </c>
      <c r="T1017" t="s">
        <v>4002</v>
      </c>
      <c r="U1017" t="s">
        <v>4002</v>
      </c>
      <c r="V1017" t="s">
        <v>4002</v>
      </c>
      <c r="W1017" t="s">
        <v>5001</v>
      </c>
      <c r="X1017">
        <v>27</v>
      </c>
      <c r="Y1017" t="s">
        <v>6936</v>
      </c>
      <c r="Z1017" t="s">
        <v>8915</v>
      </c>
      <c r="AA1017">
        <v>0.86378788836462128</v>
      </c>
      <c r="AB1017" t="str">
        <f>HYPERLINK("Melting_Curves/meltCurve_P07476_IVL.pdf", "Melting_Curves/meltCurve_P07476_IVL.pdf")</f>
        <v>Melting_Curves/meltCurve_P07476_IVL.pdf</v>
      </c>
    </row>
    <row r="1018" spans="1:28" x14ac:dyDescent="0.25">
      <c r="A1018" t="s">
        <v>1022</v>
      </c>
      <c r="B1018">
        <v>1</v>
      </c>
      <c r="C1018">
        <v>1.0104513736091001</v>
      </c>
      <c r="D1018">
        <v>1.0973156471993499</v>
      </c>
      <c r="E1018">
        <v>1.1196014333312401</v>
      </c>
      <c r="F1018">
        <v>0.93598730118815598</v>
      </c>
      <c r="G1018">
        <v>0.92170113786383401</v>
      </c>
      <c r="H1018">
        <v>0.78218708744577803</v>
      </c>
      <c r="I1018">
        <v>1.12327905953354</v>
      </c>
      <c r="J1018">
        <v>0.79788772238637096</v>
      </c>
      <c r="K1018">
        <v>0.87294901615640896</v>
      </c>
      <c r="L1018">
        <v>13220.061899762501</v>
      </c>
      <c r="M1018">
        <v>250</v>
      </c>
      <c r="O1018">
        <v>52.876870044139899</v>
      </c>
      <c r="P1018">
        <v>-0.118671020199538</v>
      </c>
      <c r="Q1018">
        <v>0.89960077849424402</v>
      </c>
      <c r="R1018">
        <v>0.30243908285405202</v>
      </c>
      <c r="S1018" t="s">
        <v>3020</v>
      </c>
      <c r="T1018" t="s">
        <v>4002</v>
      </c>
      <c r="U1018" t="s">
        <v>4002</v>
      </c>
      <c r="V1018" t="s">
        <v>4002</v>
      </c>
      <c r="W1018" t="s">
        <v>5002</v>
      </c>
      <c r="X1018">
        <v>2</v>
      </c>
      <c r="Y1018" t="s">
        <v>6937</v>
      </c>
      <c r="Z1018" t="s">
        <v>8916</v>
      </c>
      <c r="AA1018">
        <v>0.94271565700295512</v>
      </c>
      <c r="AB1018" t="str">
        <f>HYPERLINK("Melting_Curves/meltCurve_P07585_DCN.pdf", "Melting_Curves/meltCurve_P07585_DCN.pdf")</f>
        <v>Melting_Curves/meltCurve_P07585_DCN.pdf</v>
      </c>
    </row>
    <row r="1019" spans="1:28" x14ac:dyDescent="0.25">
      <c r="A1019" t="s">
        <v>1023</v>
      </c>
      <c r="B1019">
        <v>1</v>
      </c>
      <c r="C1019">
        <v>0.96190168325290404</v>
      </c>
      <c r="D1019">
        <v>0.96855157126694202</v>
      </c>
      <c r="E1019">
        <v>0.95400494123623303</v>
      </c>
      <c r="F1019">
        <v>0.92001662472003498</v>
      </c>
      <c r="G1019">
        <v>1.03345724907063</v>
      </c>
      <c r="H1019">
        <v>0.87614583573853</v>
      </c>
      <c r="I1019">
        <v>1.2835207462652101</v>
      </c>
      <c r="J1019">
        <v>1.1237156249278399</v>
      </c>
      <c r="K1019">
        <v>1.0209194393775001</v>
      </c>
      <c r="L1019">
        <v>4518.6852237441399</v>
      </c>
      <c r="M1019">
        <v>72.407507395776605</v>
      </c>
      <c r="O1019">
        <v>62.358759742920199</v>
      </c>
      <c r="P1019">
        <v>3.8815794193957698E-2</v>
      </c>
      <c r="Q1019">
        <v>1.1337156470491201</v>
      </c>
      <c r="R1019">
        <v>0.38803264747903798</v>
      </c>
      <c r="S1019" t="s">
        <v>3021</v>
      </c>
      <c r="T1019" t="s">
        <v>4002</v>
      </c>
      <c r="U1019" t="s">
        <v>4002</v>
      </c>
      <c r="V1019" t="s">
        <v>4002</v>
      </c>
      <c r="W1019" t="s">
        <v>5003</v>
      </c>
      <c r="X1019">
        <v>8</v>
      </c>
      <c r="Y1019" t="s">
        <v>6938</v>
      </c>
      <c r="Z1019" t="s">
        <v>8917</v>
      </c>
      <c r="AA1019">
        <v>1.033673443826842</v>
      </c>
      <c r="AB1019" t="str">
        <f>HYPERLINK("Melting_Curves/meltCurve_P07686_HEXB.pdf", "Melting_Curves/meltCurve_P07686_HEXB.pdf")</f>
        <v>Melting_Curves/meltCurve_P07686_HEXB.pdf</v>
      </c>
    </row>
    <row r="1020" spans="1:28" x14ac:dyDescent="0.25">
      <c r="A1020" t="s">
        <v>1024</v>
      </c>
      <c r="B1020">
        <v>1</v>
      </c>
      <c r="C1020">
        <v>0.96903968859103495</v>
      </c>
      <c r="D1020">
        <v>1.0170953890605601</v>
      </c>
      <c r="E1020">
        <v>1.11330711505277</v>
      </c>
      <c r="F1020">
        <v>1.14621373249328</v>
      </c>
      <c r="G1020">
        <v>1.2486656767928099</v>
      </c>
      <c r="H1020">
        <v>1.4519844295517501</v>
      </c>
      <c r="I1020">
        <v>3.0767687306874301</v>
      </c>
      <c r="J1020">
        <v>2.3588426501866002</v>
      </c>
      <c r="K1020">
        <v>2.63995344917533</v>
      </c>
      <c r="L1020">
        <v>3980.8205376414999</v>
      </c>
      <c r="M1020">
        <v>69.863437712504293</v>
      </c>
      <c r="O1020">
        <v>56.933376074216802</v>
      </c>
      <c r="P1020">
        <v>0.15338856620796201</v>
      </c>
      <c r="Q1020">
        <v>1.5</v>
      </c>
      <c r="R1020">
        <v>0.17441914684195101</v>
      </c>
      <c r="S1020" t="s">
        <v>3022</v>
      </c>
      <c r="T1020" t="s">
        <v>4002</v>
      </c>
      <c r="U1020" t="s">
        <v>4002</v>
      </c>
      <c r="V1020" t="s">
        <v>4002</v>
      </c>
      <c r="W1020" t="s">
        <v>5004</v>
      </c>
      <c r="X1020">
        <v>6</v>
      </c>
      <c r="Y1020" t="s">
        <v>6939</v>
      </c>
      <c r="Z1020" t="s">
        <v>8918</v>
      </c>
      <c r="AA1020">
        <v>1.21635767841155</v>
      </c>
      <c r="AB1020" t="str">
        <f>HYPERLINK("Melting_Curves/meltCurve_P07711_CTSL1.pdf", "Melting_Curves/meltCurve_P07711_CTSL1.pdf")</f>
        <v>Melting_Curves/meltCurve_P07711_CTSL1.pdf</v>
      </c>
    </row>
    <row r="1021" spans="1:28" x14ac:dyDescent="0.25">
      <c r="A1021" t="s">
        <v>1025</v>
      </c>
      <c r="B1021">
        <v>1</v>
      </c>
      <c r="C1021">
        <v>0.98917553671297098</v>
      </c>
      <c r="D1021">
        <v>1.12508268687233</v>
      </c>
      <c r="E1021">
        <v>1.1856395453725399</v>
      </c>
      <c r="F1021">
        <v>1.1243009200793801</v>
      </c>
      <c r="G1021">
        <v>1.5268506825425501</v>
      </c>
      <c r="H1021">
        <v>2.9063082566600502</v>
      </c>
      <c r="I1021">
        <v>3.8408202537735301</v>
      </c>
      <c r="J1021">
        <v>4.1060196043057298</v>
      </c>
      <c r="K1021">
        <v>3.8569366768897702</v>
      </c>
      <c r="L1021">
        <v>4575.1233871669101</v>
      </c>
      <c r="M1021">
        <v>85.251209265226194</v>
      </c>
      <c r="O1021">
        <v>53.6368658129918</v>
      </c>
      <c r="P1021">
        <v>0.19867682607836901</v>
      </c>
      <c r="Q1021">
        <v>1.5</v>
      </c>
      <c r="R1021">
        <v>-0.22115581547695001</v>
      </c>
      <c r="S1021" t="s">
        <v>3023</v>
      </c>
      <c r="T1021" t="s">
        <v>4002</v>
      </c>
      <c r="U1021" t="s">
        <v>4002</v>
      </c>
      <c r="V1021" t="s">
        <v>4002</v>
      </c>
      <c r="W1021" t="s">
        <v>5005</v>
      </c>
      <c r="X1021">
        <v>16</v>
      </c>
      <c r="Y1021" t="s">
        <v>6610</v>
      </c>
      <c r="Z1021" t="s">
        <v>8919</v>
      </c>
      <c r="AA1021">
        <v>1.2718214241312049</v>
      </c>
      <c r="AB1021" t="str">
        <f>HYPERLINK("Melting_Curves/meltCurve_P07737_PFN1.pdf", "Melting_Curves/meltCurve_P07737_PFN1.pdf")</f>
        <v>Melting_Curves/meltCurve_P07737_PFN1.pdf</v>
      </c>
    </row>
    <row r="1022" spans="1:28" x14ac:dyDescent="0.25">
      <c r="A1022" t="s">
        <v>1026</v>
      </c>
      <c r="B1022">
        <v>1</v>
      </c>
      <c r="C1022">
        <v>1.1973690912795401</v>
      </c>
      <c r="D1022">
        <v>1.30093724531377</v>
      </c>
      <c r="E1022">
        <v>1.62948247758761</v>
      </c>
      <c r="F1022">
        <v>2.10498166259169</v>
      </c>
      <c r="G1022">
        <v>2.8032039527302399</v>
      </c>
      <c r="H1022">
        <v>2.8018031784841102</v>
      </c>
      <c r="I1022">
        <v>3.9356662591687002</v>
      </c>
      <c r="J1022">
        <v>3.25234311328443</v>
      </c>
      <c r="K1022">
        <v>3.5048645069274702</v>
      </c>
      <c r="L1022">
        <v>1462.84388501342</v>
      </c>
      <c r="M1022">
        <v>33.206575089782703</v>
      </c>
      <c r="O1022">
        <v>43.894014044983997</v>
      </c>
      <c r="P1022">
        <v>9.45650989055207E-2</v>
      </c>
      <c r="Q1022">
        <v>1.5</v>
      </c>
      <c r="R1022">
        <v>-0.69828858093925605</v>
      </c>
      <c r="S1022" t="s">
        <v>3024</v>
      </c>
      <c r="T1022" t="s">
        <v>4002</v>
      </c>
      <c r="U1022" t="s">
        <v>4002</v>
      </c>
      <c r="V1022" t="s">
        <v>4002</v>
      </c>
      <c r="W1022" t="s">
        <v>5006</v>
      </c>
      <c r="X1022">
        <v>4</v>
      </c>
      <c r="Y1022" t="s">
        <v>6940</v>
      </c>
      <c r="Z1022" t="s">
        <v>8920</v>
      </c>
      <c r="AA1022">
        <v>1.429646099980501</v>
      </c>
      <c r="AB1022" t="str">
        <f>HYPERLINK("Melting_Curves/meltCurve_P07738_BPGM.pdf", "Melting_Curves/meltCurve_P07738_BPGM.pdf")</f>
        <v>Melting_Curves/meltCurve_P07738_BPGM.pdf</v>
      </c>
    </row>
    <row r="1023" spans="1:28" x14ac:dyDescent="0.25">
      <c r="A1023" t="s">
        <v>1027</v>
      </c>
      <c r="B1023">
        <v>1</v>
      </c>
      <c r="C1023">
        <v>0.799564146025325</v>
      </c>
      <c r="D1023">
        <v>0.84440297975985301</v>
      </c>
      <c r="E1023">
        <v>0.89469710997478902</v>
      </c>
      <c r="F1023">
        <v>0.77741535744298995</v>
      </c>
      <c r="G1023">
        <v>0.88229093964989203</v>
      </c>
      <c r="H1023">
        <v>0.64918028116854398</v>
      </c>
      <c r="I1023">
        <v>1.07138889284544</v>
      </c>
      <c r="J1023">
        <v>1.02861538023274</v>
      </c>
      <c r="K1023">
        <v>0.74639280983377698</v>
      </c>
      <c r="L1023">
        <v>10244.4093143631</v>
      </c>
      <c r="M1023">
        <v>250</v>
      </c>
      <c r="O1023">
        <v>40.975014421558598</v>
      </c>
      <c r="P1023">
        <v>-0.22134976274666099</v>
      </c>
      <c r="Q1023">
        <v>0.85488304272905002</v>
      </c>
      <c r="R1023">
        <v>0.117280044771276</v>
      </c>
      <c r="S1023" t="s">
        <v>3025</v>
      </c>
      <c r="T1023" t="s">
        <v>4002</v>
      </c>
      <c r="U1023" t="s">
        <v>4002</v>
      </c>
      <c r="V1023" t="s">
        <v>4002</v>
      </c>
      <c r="W1023" t="s">
        <v>5007</v>
      </c>
      <c r="X1023">
        <v>2</v>
      </c>
      <c r="Y1023" t="s">
        <v>6941</v>
      </c>
      <c r="Z1023" t="s">
        <v>8921</v>
      </c>
      <c r="AA1023">
        <v>0.85962419938885204</v>
      </c>
      <c r="AB1023" t="str">
        <f>HYPERLINK("Melting_Curves/meltCurve_P07814_EPRS.pdf", "Melting_Curves/meltCurve_P07814_EPRS.pdf")</f>
        <v>Melting_Curves/meltCurve_P07814_EPRS.pdf</v>
      </c>
    </row>
    <row r="1024" spans="1:28" x14ac:dyDescent="0.25">
      <c r="A1024" t="s">
        <v>1028</v>
      </c>
      <c r="B1024">
        <v>1</v>
      </c>
      <c r="C1024">
        <v>0.98368863049095601</v>
      </c>
      <c r="D1024">
        <v>1.31438415159345</v>
      </c>
      <c r="E1024">
        <v>1.8700473729543501</v>
      </c>
      <c r="F1024">
        <v>1.90622308354866</v>
      </c>
      <c r="G1024">
        <v>2.01911068044789</v>
      </c>
      <c r="H1024">
        <v>1.8150301464255001</v>
      </c>
      <c r="I1024">
        <v>2.0472652885443599</v>
      </c>
      <c r="J1024">
        <v>1.83166451335056</v>
      </c>
      <c r="K1024">
        <v>1.7895133505598599</v>
      </c>
      <c r="S1024" t="s">
        <v>3026</v>
      </c>
      <c r="T1024" t="s">
        <v>4002</v>
      </c>
      <c r="U1024" t="s">
        <v>4003</v>
      </c>
      <c r="V1024" t="s">
        <v>4002</v>
      </c>
      <c r="W1024" t="s">
        <v>5008</v>
      </c>
      <c r="X1024">
        <v>13</v>
      </c>
      <c r="Y1024" t="s">
        <v>6313</v>
      </c>
      <c r="Z1024" t="s">
        <v>8922</v>
      </c>
      <c r="AB1024" t="str">
        <f>HYPERLINK("Melting_Curves/meltCurve_P07858_CTSB.pdf", "Melting_Curves/meltCurve_P07858_CTSB.pdf")</f>
        <v>Melting_Curves/meltCurve_P07858_CTSB.pdf</v>
      </c>
    </row>
    <row r="1025" spans="1:28" x14ac:dyDescent="0.25">
      <c r="A1025" t="s">
        <v>1029</v>
      </c>
      <c r="B1025">
        <v>1</v>
      </c>
      <c r="C1025">
        <v>1.0244856048339299</v>
      </c>
      <c r="D1025">
        <v>1.207377275779</v>
      </c>
      <c r="E1025">
        <v>1.3793689032818599</v>
      </c>
      <c r="F1025">
        <v>1.4025117491410299</v>
      </c>
      <c r="G1025">
        <v>1.4039334939378401</v>
      </c>
      <c r="H1025">
        <v>1.43410607795901</v>
      </c>
      <c r="I1025">
        <v>2.07630030409541</v>
      </c>
      <c r="J1025">
        <v>3.6837012756210301</v>
      </c>
      <c r="K1025">
        <v>2.1195450416650199</v>
      </c>
      <c r="L1025">
        <v>1123.91786959879</v>
      </c>
      <c r="M1025">
        <v>23.8284042237091</v>
      </c>
      <c r="O1025">
        <v>46.838720226583</v>
      </c>
      <c r="P1025">
        <v>6.3592673093558996E-2</v>
      </c>
      <c r="Q1025">
        <v>1.5</v>
      </c>
      <c r="R1025">
        <v>4.8217423528738999E-2</v>
      </c>
      <c r="S1025" t="s">
        <v>3027</v>
      </c>
      <c r="T1025" t="s">
        <v>4002</v>
      </c>
      <c r="U1025" t="s">
        <v>4002</v>
      </c>
      <c r="V1025" t="s">
        <v>4002</v>
      </c>
      <c r="W1025" t="s">
        <v>5009</v>
      </c>
      <c r="X1025">
        <v>13</v>
      </c>
      <c r="Y1025" t="s">
        <v>6942</v>
      </c>
      <c r="Z1025" t="s">
        <v>8923</v>
      </c>
      <c r="AA1025">
        <v>1.375602107733455</v>
      </c>
      <c r="AB1025" t="str">
        <f>HYPERLINK("Melting_Curves/meltCurve_P07900_HSP90AA1.pdf", "Melting_Curves/meltCurve_P07900_HSP90AA1.pdf")</f>
        <v>Melting_Curves/meltCurve_P07900_HSP90AA1.pdf</v>
      </c>
    </row>
    <row r="1026" spans="1:28" x14ac:dyDescent="0.25">
      <c r="A1026" t="s">
        <v>1030</v>
      </c>
      <c r="B1026">
        <v>1</v>
      </c>
      <c r="C1026">
        <v>1.0137561285316199</v>
      </c>
      <c r="D1026">
        <v>0.97580332263412195</v>
      </c>
      <c r="E1026">
        <v>0.97569750626080198</v>
      </c>
      <c r="F1026">
        <v>0.87457232549116404</v>
      </c>
      <c r="G1026">
        <v>0.79866671369616604</v>
      </c>
      <c r="H1026">
        <v>0.90134386794116605</v>
      </c>
      <c r="I1026">
        <v>1.03932841875066</v>
      </c>
      <c r="J1026">
        <v>1.01269796479842</v>
      </c>
      <c r="K1026">
        <v>0.95792035554301402</v>
      </c>
      <c r="L1026">
        <v>12530.739360732599</v>
      </c>
      <c r="M1026">
        <v>250</v>
      </c>
      <c r="O1026">
        <v>50.119740411586697</v>
      </c>
      <c r="P1026">
        <v>-8.6349498575618203E-2</v>
      </c>
      <c r="Q1026">
        <v>0.93075495567220301</v>
      </c>
      <c r="R1026">
        <v>0.17974613518777299</v>
      </c>
      <c r="S1026" t="s">
        <v>3028</v>
      </c>
      <c r="T1026" t="s">
        <v>4002</v>
      </c>
      <c r="U1026" t="s">
        <v>4002</v>
      </c>
      <c r="V1026" t="s">
        <v>4002</v>
      </c>
      <c r="W1026" t="s">
        <v>5010</v>
      </c>
      <c r="X1026">
        <v>2</v>
      </c>
      <c r="Y1026" t="s">
        <v>6943</v>
      </c>
      <c r="Z1026" t="s">
        <v>8924</v>
      </c>
      <c r="AA1026">
        <v>0.95412653470870612</v>
      </c>
      <c r="AB1026" t="str">
        <f>HYPERLINK("Melting_Curves/meltCurve_P07948_2_LYN.pdf", "Melting_Curves/meltCurve_P07948_2_LYN.pdf")</f>
        <v>Melting_Curves/meltCurve_P07948_2_LYN.pdf</v>
      </c>
    </row>
    <row r="1027" spans="1:28" x14ac:dyDescent="0.25">
      <c r="A1027" t="s">
        <v>1031</v>
      </c>
      <c r="B1027">
        <v>1</v>
      </c>
      <c r="C1027">
        <v>1.24614456215636</v>
      </c>
      <c r="D1027">
        <v>0.96944705198694703</v>
      </c>
      <c r="E1027">
        <v>1.18338473917125</v>
      </c>
      <c r="F1027">
        <v>0.899803316794064</v>
      </c>
      <c r="G1027">
        <v>1.46457467256716</v>
      </c>
      <c r="H1027">
        <v>1.33465200482768</v>
      </c>
      <c r="I1027">
        <v>2.4656921907827098</v>
      </c>
      <c r="J1027">
        <v>4.2948460059898999</v>
      </c>
      <c r="K1027">
        <v>1.528608466318</v>
      </c>
      <c r="L1027">
        <v>14103.299685649599</v>
      </c>
      <c r="M1027">
        <v>250</v>
      </c>
      <c r="O1027">
        <v>56.409588868950401</v>
      </c>
      <c r="P1027">
        <v>0.55398383098125104</v>
      </c>
      <c r="Q1027">
        <v>1.5</v>
      </c>
      <c r="R1027">
        <v>7.8867456827357005E-2</v>
      </c>
      <c r="S1027" t="s">
        <v>3029</v>
      </c>
      <c r="T1027" t="s">
        <v>4002</v>
      </c>
      <c r="U1027" t="s">
        <v>4002</v>
      </c>
      <c r="V1027" t="s">
        <v>4002</v>
      </c>
      <c r="W1027" t="s">
        <v>5011</v>
      </c>
      <c r="X1027">
        <v>1</v>
      </c>
      <c r="Y1027" t="s">
        <v>6944</v>
      </c>
      <c r="Z1027" t="s">
        <v>8925</v>
      </c>
      <c r="AA1027">
        <v>1.226397185480455</v>
      </c>
      <c r="AB1027" t="str">
        <f>HYPERLINK("Melting_Curves/meltCurve_P07954_2_FH.pdf", "Melting_Curves/meltCurve_P07954_2_FH.pdf")</f>
        <v>Melting_Curves/meltCurve_P07954_2_FH.pdf</v>
      </c>
    </row>
    <row r="1028" spans="1:28" x14ac:dyDescent="0.25">
      <c r="A1028" t="s">
        <v>1032</v>
      </c>
      <c r="B1028">
        <v>1</v>
      </c>
      <c r="C1028">
        <v>0.82256046098774804</v>
      </c>
      <c r="D1028">
        <v>1.16387765198917</v>
      </c>
      <c r="E1028">
        <v>1.24475422717616</v>
      </c>
      <c r="F1028">
        <v>1.75833066558016</v>
      </c>
      <c r="G1028">
        <v>1.2084630831465899</v>
      </c>
      <c r="H1028">
        <v>0.33261546520764801</v>
      </c>
      <c r="I1028">
        <v>1.3587788481126899</v>
      </c>
      <c r="J1028">
        <v>1.4171298856261501</v>
      </c>
      <c r="K1028">
        <v>0.86464305462588398</v>
      </c>
      <c r="L1028">
        <v>11342.7705684137</v>
      </c>
      <c r="M1028">
        <v>250</v>
      </c>
      <c r="O1028">
        <v>45.368168353081899</v>
      </c>
      <c r="P1028">
        <v>0.23315556662689499</v>
      </c>
      <c r="Q1028">
        <v>1.16924549499637</v>
      </c>
      <c r="R1028">
        <v>6.6031955773109094E-2</v>
      </c>
      <c r="S1028" t="s">
        <v>3030</v>
      </c>
      <c r="T1028" t="s">
        <v>4002</v>
      </c>
      <c r="U1028" t="s">
        <v>4002</v>
      </c>
      <c r="V1028" t="s">
        <v>4002</v>
      </c>
      <c r="W1028" t="s">
        <v>5012</v>
      </c>
      <c r="X1028">
        <v>1</v>
      </c>
      <c r="Y1028" t="s">
        <v>6945</v>
      </c>
      <c r="Z1028" t="s">
        <v>8926</v>
      </c>
      <c r="AA1028">
        <v>1.138930969462848</v>
      </c>
      <c r="AB1028" t="str">
        <f>HYPERLINK("Melting_Curves/meltCurve_P07998_RNASE1.pdf", "Melting_Curves/meltCurve_P07998_RNASE1.pdf")</f>
        <v>Melting_Curves/meltCurve_P07998_RNASE1.pdf</v>
      </c>
    </row>
    <row r="1029" spans="1:28" x14ac:dyDescent="0.25">
      <c r="A1029" t="s">
        <v>1033</v>
      </c>
      <c r="B1029">
        <v>1</v>
      </c>
      <c r="C1029">
        <v>0.93018013641398301</v>
      </c>
      <c r="D1029">
        <v>1.0780979771088799</v>
      </c>
      <c r="E1029">
        <v>1.11344513320767</v>
      </c>
      <c r="F1029">
        <v>1.00656808068246</v>
      </c>
      <c r="G1029">
        <v>1.16940984434815</v>
      </c>
      <c r="H1029">
        <v>1.38747789588232</v>
      </c>
      <c r="I1029">
        <v>2.3380812654243002</v>
      </c>
      <c r="J1029">
        <v>2.4016245311983799</v>
      </c>
      <c r="K1029">
        <v>2.25141369192204</v>
      </c>
      <c r="L1029">
        <v>3668.4768945946698</v>
      </c>
      <c r="M1029">
        <v>63.645199778764699</v>
      </c>
      <c r="O1029">
        <v>57.5826659377013</v>
      </c>
      <c r="P1029">
        <v>0.13816054510831</v>
      </c>
      <c r="Q1029">
        <v>1.5</v>
      </c>
      <c r="R1029">
        <v>0.36618431881962299</v>
      </c>
      <c r="S1029" t="s">
        <v>3031</v>
      </c>
      <c r="T1029" t="s">
        <v>4002</v>
      </c>
      <c r="U1029" t="s">
        <v>4002</v>
      </c>
      <c r="V1029" t="s">
        <v>4002</v>
      </c>
      <c r="W1029" t="s">
        <v>5013</v>
      </c>
      <c r="X1029">
        <v>29</v>
      </c>
      <c r="Y1029" t="s">
        <v>6946</v>
      </c>
      <c r="Z1029" t="s">
        <v>8927</v>
      </c>
      <c r="AA1029">
        <v>1.205225894362602</v>
      </c>
      <c r="AB1029" t="str">
        <f>HYPERLINK("Melting_Curves/meltCurve_P08107_HSPA1A.pdf", "Melting_Curves/meltCurve_P08107_HSPA1A.pdf")</f>
        <v>Melting_Curves/meltCurve_P08107_HSPA1A.pdf</v>
      </c>
    </row>
    <row r="1030" spans="1:28" x14ac:dyDescent="0.25">
      <c r="A1030" t="s">
        <v>1034</v>
      </c>
      <c r="B1030">
        <v>1</v>
      </c>
      <c r="C1030">
        <v>0.99467043724167903</v>
      </c>
      <c r="D1030">
        <v>1.1015879921688101</v>
      </c>
      <c r="E1030">
        <v>1.13818794866217</v>
      </c>
      <c r="F1030">
        <v>1.2760495975636299</v>
      </c>
      <c r="G1030">
        <v>1.24722645203394</v>
      </c>
      <c r="H1030">
        <v>1.00070698281488</v>
      </c>
      <c r="I1030">
        <v>1.47955188166195</v>
      </c>
      <c r="J1030">
        <v>1.0216989340874501</v>
      </c>
      <c r="K1030">
        <v>1.31683706765282</v>
      </c>
      <c r="L1030">
        <v>1225.6465072803701</v>
      </c>
      <c r="M1030">
        <v>26.100974241239399</v>
      </c>
      <c r="O1030">
        <v>46.684838279270799</v>
      </c>
      <c r="P1030">
        <v>3.0787674333131398E-2</v>
      </c>
      <c r="Q1030">
        <v>1.2202678483796701</v>
      </c>
      <c r="R1030">
        <v>0.308414271470832</v>
      </c>
      <c r="S1030" t="s">
        <v>3032</v>
      </c>
      <c r="T1030" t="s">
        <v>4002</v>
      </c>
      <c r="U1030" t="s">
        <v>4002</v>
      </c>
      <c r="V1030" t="s">
        <v>4002</v>
      </c>
      <c r="W1030" t="s">
        <v>5014</v>
      </c>
      <c r="X1030">
        <v>1</v>
      </c>
      <c r="Y1030" t="s">
        <v>6947</v>
      </c>
      <c r="Z1030" t="s">
        <v>8928</v>
      </c>
      <c r="AA1030">
        <v>1.1673913729428029</v>
      </c>
      <c r="AB1030" t="str">
        <f>HYPERLINK("Melting_Curves/meltCurve_P08118_MSMB.pdf", "Melting_Curves/meltCurve_P08118_MSMB.pdf")</f>
        <v>Melting_Curves/meltCurve_P08118_MSMB.pdf</v>
      </c>
    </row>
    <row r="1031" spans="1:28" x14ac:dyDescent="0.25">
      <c r="A1031" t="s">
        <v>1035</v>
      </c>
      <c r="B1031">
        <v>1</v>
      </c>
      <c r="C1031">
        <v>0.96978535375587305</v>
      </c>
      <c r="D1031">
        <v>1.0335330177969499</v>
      </c>
      <c r="E1031">
        <v>1.2768569781860699</v>
      </c>
      <c r="F1031">
        <v>1.2561258885376501</v>
      </c>
      <c r="G1031">
        <v>1.3541575702534201</v>
      </c>
      <c r="H1031">
        <v>1.18774996943605</v>
      </c>
      <c r="I1031">
        <v>1.5579055835967699</v>
      </c>
      <c r="J1031">
        <v>1.2307665438287001</v>
      </c>
      <c r="K1031">
        <v>1.1210507012243001</v>
      </c>
      <c r="L1031">
        <v>3180.58789818586</v>
      </c>
      <c r="M1031">
        <v>67.117049556673194</v>
      </c>
      <c r="O1031">
        <v>47.346655977676797</v>
      </c>
      <c r="P1031">
        <v>0.100909491117153</v>
      </c>
      <c r="Q1031">
        <v>1.2847399104231201</v>
      </c>
      <c r="R1031">
        <v>0.58369952860151098</v>
      </c>
      <c r="S1031" t="s">
        <v>3033</v>
      </c>
      <c r="T1031" t="s">
        <v>4002</v>
      </c>
      <c r="U1031" t="s">
        <v>4002</v>
      </c>
      <c r="V1031" t="s">
        <v>4002</v>
      </c>
      <c r="W1031" t="s">
        <v>5015</v>
      </c>
      <c r="X1031">
        <v>2</v>
      </c>
      <c r="Y1031" t="s">
        <v>6948</v>
      </c>
      <c r="Z1031" t="s">
        <v>8929</v>
      </c>
      <c r="AA1031">
        <v>1.214282058393396</v>
      </c>
      <c r="AB1031" t="str">
        <f>HYPERLINK("Melting_Curves/meltCurve_P08185_SERPINA6.pdf", "Melting_Curves/meltCurve_P08185_SERPINA6.pdf")</f>
        <v>Melting_Curves/meltCurve_P08185_SERPINA6.pdf</v>
      </c>
    </row>
    <row r="1032" spans="1:28" x14ac:dyDescent="0.25">
      <c r="A1032" t="s">
        <v>1036</v>
      </c>
      <c r="B1032">
        <v>1</v>
      </c>
      <c r="C1032">
        <v>0.953292564034388</v>
      </c>
      <c r="D1032">
        <v>1.06407870247275</v>
      </c>
      <c r="E1032">
        <v>1.16095010192325</v>
      </c>
      <c r="F1032">
        <v>1.1783213684303799</v>
      </c>
      <c r="G1032">
        <v>1.2599485952317599</v>
      </c>
      <c r="H1032">
        <v>1.1940973145439999</v>
      </c>
      <c r="I1032">
        <v>1.9938846051582</v>
      </c>
      <c r="J1032">
        <v>4.6491181423380299</v>
      </c>
      <c r="K1032">
        <v>2.2983249135868098</v>
      </c>
      <c r="L1032">
        <v>1721.71951635298</v>
      </c>
      <c r="M1032">
        <v>31.3834355243436</v>
      </c>
      <c r="O1032">
        <v>54.639465812393297</v>
      </c>
      <c r="P1032">
        <v>7.1797019429995002E-2</v>
      </c>
      <c r="Q1032">
        <v>1.5</v>
      </c>
      <c r="R1032">
        <v>5.6883149985440001E-2</v>
      </c>
      <c r="S1032" t="s">
        <v>3034</v>
      </c>
      <c r="T1032" t="s">
        <v>4002</v>
      </c>
      <c r="U1032" t="s">
        <v>4002</v>
      </c>
      <c r="V1032" t="s">
        <v>4002</v>
      </c>
      <c r="W1032" t="s">
        <v>5016</v>
      </c>
      <c r="X1032">
        <v>17</v>
      </c>
      <c r="Y1032" t="s">
        <v>6949</v>
      </c>
      <c r="Z1032" t="s">
        <v>8930</v>
      </c>
      <c r="AA1032">
        <v>1.249280361477654</v>
      </c>
      <c r="AB1032" t="str">
        <f>HYPERLINK("Melting_Curves/meltCurve_P08238_HSP90AB1.pdf", "Melting_Curves/meltCurve_P08238_HSP90AB1.pdf")</f>
        <v>Melting_Curves/meltCurve_P08238_HSP90AB1.pdf</v>
      </c>
    </row>
    <row r="1033" spans="1:28" x14ac:dyDescent="0.25">
      <c r="A1033" t="s">
        <v>1037</v>
      </c>
      <c r="B1033">
        <v>1</v>
      </c>
      <c r="C1033">
        <v>0.83358152944400099</v>
      </c>
      <c r="D1033">
        <v>1.0409106613135699</v>
      </c>
      <c r="E1033">
        <v>1.0267456128855501</v>
      </c>
      <c r="F1033">
        <v>0.94858170814520104</v>
      </c>
      <c r="G1033">
        <v>0.91637975196273502</v>
      </c>
      <c r="H1033">
        <v>0.86586687951965102</v>
      </c>
      <c r="I1033">
        <v>0.91500970943184901</v>
      </c>
      <c r="J1033">
        <v>1.0888383230679399</v>
      </c>
      <c r="K1033">
        <v>0.99477001155601097</v>
      </c>
      <c r="L1033">
        <v>1.00390641225168E-5</v>
      </c>
      <c r="M1033">
        <v>13.024821016268501</v>
      </c>
      <c r="Q1033">
        <v>0.96306833730222996</v>
      </c>
      <c r="R1033">
        <v>-6.8833827526759698E-15</v>
      </c>
      <c r="S1033" t="s">
        <v>3035</v>
      </c>
      <c r="T1033" t="s">
        <v>4002</v>
      </c>
      <c r="U1033" t="s">
        <v>4002</v>
      </c>
      <c r="V1033" t="s">
        <v>4002</v>
      </c>
      <c r="W1033" t="s">
        <v>5017</v>
      </c>
      <c r="X1033">
        <v>1</v>
      </c>
      <c r="Y1033" t="s">
        <v>6950</v>
      </c>
      <c r="Z1033" t="s">
        <v>8931</v>
      </c>
      <c r="AA1033">
        <v>0.9630684187332903</v>
      </c>
      <c r="AB1033" t="str">
        <f>HYPERLINK("Melting_Curves/meltCurve_P08240_2_SRPR.pdf", "Melting_Curves/meltCurve_P08240_2_SRPR.pdf")</f>
        <v>Melting_Curves/meltCurve_P08240_2_SRPR.pdf</v>
      </c>
    </row>
    <row r="1034" spans="1:28" x14ac:dyDescent="0.25">
      <c r="A1034" t="s">
        <v>1038</v>
      </c>
      <c r="B1034">
        <v>1</v>
      </c>
      <c r="C1034">
        <v>1.07468761832639</v>
      </c>
      <c r="D1034">
        <v>1.15174176448315</v>
      </c>
      <c r="E1034">
        <v>1.1958538432412</v>
      </c>
      <c r="F1034">
        <v>1.2795342673229799</v>
      </c>
      <c r="G1034">
        <v>1.59040136312003</v>
      </c>
      <c r="H1034">
        <v>1.8741007194244601</v>
      </c>
      <c r="I1034">
        <v>5.5908746686860997</v>
      </c>
      <c r="J1034">
        <v>3.0181749337372201</v>
      </c>
      <c r="K1034">
        <v>4.73040514956456</v>
      </c>
      <c r="L1034">
        <v>1838.53283124719</v>
      </c>
      <c r="M1034">
        <v>35.942454102948901</v>
      </c>
      <c r="O1034">
        <v>50.994557237642901</v>
      </c>
      <c r="P1034">
        <v>8.8103940256665E-2</v>
      </c>
      <c r="Q1034">
        <v>1.5</v>
      </c>
      <c r="R1034">
        <v>-0.20204758373551401</v>
      </c>
      <c r="S1034" t="s">
        <v>3036</v>
      </c>
      <c r="T1034" t="s">
        <v>4002</v>
      </c>
      <c r="U1034" t="s">
        <v>4002</v>
      </c>
      <c r="V1034" t="s">
        <v>4002</v>
      </c>
      <c r="W1034" t="s">
        <v>5018</v>
      </c>
      <c r="X1034">
        <v>4</v>
      </c>
      <c r="Y1034" t="s">
        <v>6951</v>
      </c>
      <c r="Z1034" t="s">
        <v>8932</v>
      </c>
      <c r="AA1034">
        <v>1.311938802809439</v>
      </c>
      <c r="AB1034" t="str">
        <f>HYPERLINK("Melting_Curves/meltCurve_P08246_ELANE.pdf", "Melting_Curves/meltCurve_P08246_ELANE.pdf")</f>
        <v>Melting_Curves/meltCurve_P08246_ELANE.pdf</v>
      </c>
    </row>
    <row r="1035" spans="1:28" x14ac:dyDescent="0.25">
      <c r="A1035" t="s">
        <v>1039</v>
      </c>
      <c r="B1035">
        <v>1</v>
      </c>
      <c r="C1035">
        <v>1.0732940441926699</v>
      </c>
      <c r="D1035">
        <v>1.1690042182527001</v>
      </c>
      <c r="E1035">
        <v>1.17756255044391</v>
      </c>
      <c r="F1035">
        <v>1.0724412566433701</v>
      </c>
      <c r="G1035">
        <v>1.2449479951878399</v>
      </c>
      <c r="H1035">
        <v>0.83181811259841298</v>
      </c>
      <c r="I1035">
        <v>1.4731752630697299</v>
      </c>
      <c r="J1035">
        <v>0.91613748153562702</v>
      </c>
      <c r="K1035">
        <v>1.0614159318988201</v>
      </c>
      <c r="L1035">
        <v>10704.0905726698</v>
      </c>
      <c r="M1035">
        <v>250</v>
      </c>
      <c r="O1035">
        <v>42.813622363305498</v>
      </c>
      <c r="P1035">
        <v>0.17271496302394901</v>
      </c>
      <c r="Q1035">
        <v>1.1183128510167299</v>
      </c>
      <c r="R1035">
        <v>4.61065439592157E-2</v>
      </c>
      <c r="S1035" t="s">
        <v>3037</v>
      </c>
      <c r="T1035" t="s">
        <v>4002</v>
      </c>
      <c r="U1035" t="s">
        <v>4002</v>
      </c>
      <c r="V1035" t="s">
        <v>4002</v>
      </c>
      <c r="W1035" t="s">
        <v>5019</v>
      </c>
      <c r="X1035">
        <v>3</v>
      </c>
      <c r="Y1035" t="s">
        <v>6952</v>
      </c>
      <c r="Z1035" t="s">
        <v>8933</v>
      </c>
      <c r="AA1035">
        <v>1.1071968989965799</v>
      </c>
      <c r="AB1035" t="str">
        <f>HYPERLINK("Melting_Curves/meltCurve_P08294_SOD3.pdf", "Melting_Curves/meltCurve_P08294_SOD3.pdf")</f>
        <v>Melting_Curves/meltCurve_P08294_SOD3.pdf</v>
      </c>
    </row>
    <row r="1036" spans="1:28" x14ac:dyDescent="0.25">
      <c r="A1036" t="s">
        <v>1040</v>
      </c>
      <c r="B1036">
        <v>1</v>
      </c>
      <c r="C1036">
        <v>0.89092013361676303</v>
      </c>
      <c r="D1036">
        <v>1.0443364713027601</v>
      </c>
      <c r="E1036">
        <v>0.94491345277862104</v>
      </c>
      <c r="F1036">
        <v>0.90276343759489797</v>
      </c>
      <c r="G1036">
        <v>1.03000303674461</v>
      </c>
      <c r="H1036">
        <v>0.90999088976617104</v>
      </c>
      <c r="I1036">
        <v>1.07172790768296</v>
      </c>
      <c r="J1036">
        <v>1.6754934709990901</v>
      </c>
      <c r="K1036">
        <v>1.0629820832068</v>
      </c>
      <c r="L1036">
        <v>15000</v>
      </c>
      <c r="M1036">
        <v>232.95632921658299</v>
      </c>
      <c r="O1036">
        <v>64.385005348994696</v>
      </c>
      <c r="P1036">
        <v>0.33397548420273998</v>
      </c>
      <c r="Q1036">
        <v>1.36921964562842</v>
      </c>
      <c r="R1036">
        <v>0.52794877986986199</v>
      </c>
      <c r="S1036" t="s">
        <v>3038</v>
      </c>
      <c r="T1036" t="s">
        <v>4002</v>
      </c>
      <c r="U1036" t="s">
        <v>4002</v>
      </c>
      <c r="V1036" t="s">
        <v>4002</v>
      </c>
      <c r="W1036" t="s">
        <v>5020</v>
      </c>
      <c r="X1036">
        <v>4</v>
      </c>
      <c r="Y1036" t="s">
        <v>6953</v>
      </c>
      <c r="Z1036" t="s">
        <v>8934</v>
      </c>
      <c r="AA1036">
        <v>1.068999086998691</v>
      </c>
      <c r="AB1036" t="str">
        <f>HYPERLINK("Melting_Curves/meltCurve_P08311_CTSG.pdf", "Melting_Curves/meltCurve_P08311_CTSG.pdf")</f>
        <v>Melting_Curves/meltCurve_P08311_CTSG.pdf</v>
      </c>
    </row>
    <row r="1037" spans="1:28" x14ac:dyDescent="0.25">
      <c r="A1037" t="s">
        <v>1041</v>
      </c>
      <c r="B1037">
        <v>1</v>
      </c>
      <c r="C1037">
        <v>1.0663302090843501</v>
      </c>
      <c r="D1037">
        <v>1.05578586878154</v>
      </c>
      <c r="E1037">
        <v>0.98612112472963198</v>
      </c>
      <c r="F1037">
        <v>0.89790014419610698</v>
      </c>
      <c r="G1037">
        <v>0.94863013698630105</v>
      </c>
      <c r="H1037">
        <v>0.63841925018024503</v>
      </c>
      <c r="I1037">
        <v>1.13058759913482</v>
      </c>
      <c r="J1037">
        <v>0.61412220620043301</v>
      </c>
      <c r="K1037">
        <v>0.96548305695746195</v>
      </c>
      <c r="L1037">
        <v>1521.9904122846301</v>
      </c>
      <c r="M1037">
        <v>28.724097426090999</v>
      </c>
      <c r="O1037">
        <v>52.731729117548298</v>
      </c>
      <c r="P1037">
        <v>-2.0227214384884E-2</v>
      </c>
      <c r="Q1037">
        <v>0.85146863398925998</v>
      </c>
      <c r="R1037">
        <v>0.22788024784923799</v>
      </c>
      <c r="S1037" t="s">
        <v>3039</v>
      </c>
      <c r="T1037" t="s">
        <v>4002</v>
      </c>
      <c r="U1037" t="s">
        <v>4002</v>
      </c>
      <c r="V1037" t="s">
        <v>4002</v>
      </c>
      <c r="W1037" t="s">
        <v>5021</v>
      </c>
      <c r="X1037">
        <v>2</v>
      </c>
      <c r="Y1037" t="s">
        <v>6954</v>
      </c>
      <c r="Z1037" t="s">
        <v>8935</v>
      </c>
      <c r="AA1037">
        <v>0.91681387928306135</v>
      </c>
      <c r="AB1037" t="str">
        <f>HYPERLINK("Melting_Curves/meltCurve_P08493_MGP.pdf", "Melting_Curves/meltCurve_P08493_MGP.pdf")</f>
        <v>Melting_Curves/meltCurve_P08493_MGP.pdf</v>
      </c>
    </row>
    <row r="1038" spans="1:28" x14ac:dyDescent="0.25">
      <c r="A1038" t="s">
        <v>1042</v>
      </c>
      <c r="B1038">
        <v>1</v>
      </c>
      <c r="C1038">
        <v>1.0591480163912299</v>
      </c>
      <c r="D1038">
        <v>1.15697752960778</v>
      </c>
      <c r="E1038">
        <v>1.12914846669969</v>
      </c>
      <c r="F1038">
        <v>1.10433647048228</v>
      </c>
      <c r="G1038">
        <v>1.13529517719638</v>
      </c>
      <c r="H1038">
        <v>0.82197054982663098</v>
      </c>
      <c r="I1038">
        <v>1.2106317827712001</v>
      </c>
      <c r="J1038">
        <v>0.97334173909127797</v>
      </c>
      <c r="K1038">
        <v>0.89847795740082004</v>
      </c>
      <c r="L1038">
        <v>15000</v>
      </c>
      <c r="M1038">
        <v>222.847211132898</v>
      </c>
      <c r="O1038">
        <v>67.305271237873896</v>
      </c>
      <c r="P1038">
        <v>-8.4051356922008699E-2</v>
      </c>
      <c r="Q1038">
        <v>0.89845779399829695</v>
      </c>
      <c r="R1038">
        <v>-9.4259919360169198E-2</v>
      </c>
      <c r="S1038" t="s">
        <v>3040</v>
      </c>
      <c r="T1038" t="s">
        <v>4002</v>
      </c>
      <c r="U1038" t="s">
        <v>4002</v>
      </c>
      <c r="V1038" t="s">
        <v>4002</v>
      </c>
      <c r="W1038" t="s">
        <v>5022</v>
      </c>
      <c r="X1038">
        <v>1</v>
      </c>
      <c r="Y1038" t="s">
        <v>6955</v>
      </c>
      <c r="Z1038" t="s">
        <v>8936</v>
      </c>
      <c r="AA1038">
        <v>0.99091227482316357</v>
      </c>
      <c r="AB1038" t="str">
        <f>HYPERLINK("Melting_Curves/meltCurve_P08567_PLEK.pdf", "Melting_Curves/meltCurve_P08567_PLEK.pdf")</f>
        <v>Melting_Curves/meltCurve_P08567_PLEK.pdf</v>
      </c>
    </row>
    <row r="1039" spans="1:28" x14ac:dyDescent="0.25">
      <c r="A1039" t="s">
        <v>1043</v>
      </c>
      <c r="B1039">
        <v>1</v>
      </c>
      <c r="C1039">
        <v>1.0469714013021101</v>
      </c>
      <c r="D1039">
        <v>1.0531069979888901</v>
      </c>
      <c r="E1039">
        <v>1.1949074547499701</v>
      </c>
      <c r="F1039">
        <v>1.17210348706412</v>
      </c>
      <c r="G1039">
        <v>1.3294815420799699</v>
      </c>
      <c r="H1039">
        <v>1.14643624092443</v>
      </c>
      <c r="I1039">
        <v>1.6031632409585199</v>
      </c>
      <c r="J1039">
        <v>1.3190169410641901</v>
      </c>
      <c r="K1039">
        <v>1.3288338957630299</v>
      </c>
      <c r="L1039">
        <v>567.93497981483597</v>
      </c>
      <c r="M1039">
        <v>10.846820256156199</v>
      </c>
      <c r="O1039">
        <v>50.674155883108199</v>
      </c>
      <c r="P1039">
        <v>2.1530817423590601E-2</v>
      </c>
      <c r="Q1039">
        <v>1.40220740194653</v>
      </c>
      <c r="R1039">
        <v>0.63427409449096905</v>
      </c>
      <c r="S1039" t="s">
        <v>3041</v>
      </c>
      <c r="T1039" t="s">
        <v>4002</v>
      </c>
      <c r="U1039" t="s">
        <v>4002</v>
      </c>
      <c r="V1039" t="s">
        <v>4002</v>
      </c>
      <c r="W1039" t="s">
        <v>5023</v>
      </c>
      <c r="X1039">
        <v>6</v>
      </c>
      <c r="Y1039" t="s">
        <v>6956</v>
      </c>
      <c r="Z1039" t="s">
        <v>8937</v>
      </c>
      <c r="AA1039">
        <v>1.222990737223898</v>
      </c>
      <c r="AB1039" t="str">
        <f>HYPERLINK("Melting_Curves/meltCurve_P08571_CD14.pdf", "Melting_Curves/meltCurve_P08571_CD14.pdf")</f>
        <v>Melting_Curves/meltCurve_P08571_CD14.pdf</v>
      </c>
    </row>
    <row r="1040" spans="1:28" x14ac:dyDescent="0.25">
      <c r="A1040" t="s">
        <v>1044</v>
      </c>
      <c r="B1040">
        <v>1</v>
      </c>
      <c r="C1040">
        <v>0.91927571778964101</v>
      </c>
      <c r="D1040">
        <v>0.95007935362862495</v>
      </c>
      <c r="E1040">
        <v>0.97143269369499397</v>
      </c>
      <c r="F1040">
        <v>0.905785600923388</v>
      </c>
      <c r="G1040">
        <v>1.0655028134468301</v>
      </c>
      <c r="H1040">
        <v>0.99401240802193003</v>
      </c>
      <c r="I1040">
        <v>1.5163035636993201</v>
      </c>
      <c r="J1040">
        <v>1.16909536863367</v>
      </c>
      <c r="K1040">
        <v>1.2837974318280201</v>
      </c>
      <c r="L1040">
        <v>15000</v>
      </c>
      <c r="M1040">
        <v>241.615063578617</v>
      </c>
      <c r="O1040">
        <v>62.077957600168602</v>
      </c>
      <c r="P1040">
        <v>0.31433708556301898</v>
      </c>
      <c r="Q1040">
        <v>1.3230495221074099</v>
      </c>
      <c r="R1040">
        <v>0.74668577331011199</v>
      </c>
      <c r="S1040" t="s">
        <v>3042</v>
      </c>
      <c r="T1040" t="s">
        <v>4002</v>
      </c>
      <c r="U1040" t="s">
        <v>4002</v>
      </c>
      <c r="V1040" t="s">
        <v>4002</v>
      </c>
      <c r="W1040" t="s">
        <v>5024</v>
      </c>
      <c r="X1040">
        <v>17</v>
      </c>
      <c r="Y1040" t="s">
        <v>6957</v>
      </c>
      <c r="Z1040" t="s">
        <v>8938</v>
      </c>
      <c r="AA1040">
        <v>1.085223464076458</v>
      </c>
      <c r="AB1040" t="str">
        <f>HYPERLINK("Melting_Curves/meltCurve_P08582_MFI2.pdf", "Melting_Curves/meltCurve_P08582_MFI2.pdf")</f>
        <v>Melting_Curves/meltCurve_P08582_MFI2.pdf</v>
      </c>
    </row>
    <row r="1041" spans="1:28" x14ac:dyDescent="0.25">
      <c r="A1041" t="s">
        <v>1045</v>
      </c>
      <c r="B1041">
        <v>1</v>
      </c>
      <c r="C1041">
        <v>0.89216267488736101</v>
      </c>
      <c r="D1041">
        <v>0.95553711169077504</v>
      </c>
      <c r="E1041">
        <v>0.95257291913682696</v>
      </c>
      <c r="F1041">
        <v>0.91643941190419698</v>
      </c>
      <c r="G1041">
        <v>1.0840052169788901</v>
      </c>
      <c r="H1041">
        <v>0.95023120701920805</v>
      </c>
      <c r="I1041">
        <v>1.26378349537586</v>
      </c>
      <c r="J1041">
        <v>1.08305667536163</v>
      </c>
      <c r="K1041">
        <v>1.1231918425420899</v>
      </c>
      <c r="L1041">
        <v>6548.4127794475498</v>
      </c>
      <c r="M1041">
        <v>105.174557922753</v>
      </c>
      <c r="O1041">
        <v>62.239820174214898</v>
      </c>
      <c r="P1041">
        <v>6.5575864656361005E-2</v>
      </c>
      <c r="Q1041">
        <v>1.15522500292695</v>
      </c>
      <c r="R1041">
        <v>0.54589150271557396</v>
      </c>
      <c r="S1041" t="s">
        <v>3043</v>
      </c>
      <c r="T1041" t="s">
        <v>4002</v>
      </c>
      <c r="U1041" t="s">
        <v>4002</v>
      </c>
      <c r="V1041" t="s">
        <v>4002</v>
      </c>
      <c r="W1041" t="s">
        <v>5025</v>
      </c>
      <c r="X1041">
        <v>31</v>
      </c>
      <c r="Y1041" t="s">
        <v>6958</v>
      </c>
      <c r="Z1041" t="s">
        <v>8939</v>
      </c>
      <c r="AA1041">
        <v>1.0399401100915719</v>
      </c>
      <c r="AB1041" t="str">
        <f>HYPERLINK("Melting_Curves/meltCurve_P08603_CFH.pdf", "Melting_Curves/meltCurve_P08603_CFH.pdf")</f>
        <v>Melting_Curves/meltCurve_P08603_CFH.pdf</v>
      </c>
    </row>
    <row r="1042" spans="1:28" x14ac:dyDescent="0.25">
      <c r="A1042" t="s">
        <v>1046</v>
      </c>
      <c r="B1042">
        <v>1</v>
      </c>
      <c r="C1042">
        <v>0.91294015360092695</v>
      </c>
      <c r="D1042">
        <v>0.98032169250833201</v>
      </c>
      <c r="E1042">
        <v>0.95078974061730204</v>
      </c>
      <c r="F1042">
        <v>0.85636864222576403</v>
      </c>
      <c r="G1042">
        <v>0.86468627735110903</v>
      </c>
      <c r="H1042">
        <v>0.7255470221707</v>
      </c>
      <c r="I1042">
        <v>0.89621793942906802</v>
      </c>
      <c r="J1042">
        <v>0.83782060570931705</v>
      </c>
      <c r="K1042">
        <v>0.74380524561657702</v>
      </c>
      <c r="L1042">
        <v>443.32815295187299</v>
      </c>
      <c r="M1042">
        <v>8.2895865161901092</v>
      </c>
      <c r="O1042">
        <v>50.638925327559903</v>
      </c>
      <c r="P1042">
        <v>-9.8322383768626107E-3</v>
      </c>
      <c r="Q1042">
        <v>0.75998728666558701</v>
      </c>
      <c r="R1042">
        <v>0.63103018129365696</v>
      </c>
      <c r="S1042" t="s">
        <v>3044</v>
      </c>
      <c r="T1042" t="s">
        <v>4002</v>
      </c>
      <c r="U1042" t="s">
        <v>4002</v>
      </c>
      <c r="V1042" t="s">
        <v>4002</v>
      </c>
      <c r="W1042" t="s">
        <v>5026</v>
      </c>
      <c r="X1042">
        <v>23</v>
      </c>
      <c r="Y1042" t="s">
        <v>6959</v>
      </c>
      <c r="Z1042" t="s">
        <v>8940</v>
      </c>
      <c r="AA1042">
        <v>0.87667042957555763</v>
      </c>
      <c r="AB1042" t="str">
        <f>HYPERLINK("Melting_Curves/meltCurve_P08670_VIM.pdf", "Melting_Curves/meltCurve_P08670_VIM.pdf")</f>
        <v>Melting_Curves/meltCurve_P08670_VIM.pdf</v>
      </c>
    </row>
    <row r="1043" spans="1:28" x14ac:dyDescent="0.25">
      <c r="A1043" t="s">
        <v>1047</v>
      </c>
      <c r="B1043">
        <v>1</v>
      </c>
      <c r="C1043">
        <v>0.88444966705836303</v>
      </c>
      <c r="D1043">
        <v>1.0140227183705399</v>
      </c>
      <c r="E1043">
        <v>1.0755973364669</v>
      </c>
      <c r="F1043">
        <v>0.996788092440266</v>
      </c>
      <c r="G1043">
        <v>1.0180180180180201</v>
      </c>
      <c r="H1043">
        <v>0.99811985898942401</v>
      </c>
      <c r="I1043">
        <v>1.21895808852331</v>
      </c>
      <c r="J1043">
        <v>1.0216999608304</v>
      </c>
      <c r="K1043">
        <v>1.07489228358794</v>
      </c>
      <c r="L1043">
        <v>15000</v>
      </c>
      <c r="M1043">
        <v>241.86759841087499</v>
      </c>
      <c r="O1043">
        <v>62.013163139914496</v>
      </c>
      <c r="P1043">
        <v>0.10253821192742101</v>
      </c>
      <c r="Q1043">
        <v>1.1051603231192799</v>
      </c>
      <c r="R1043">
        <v>0.37247323199132798</v>
      </c>
      <c r="S1043" t="s">
        <v>3045</v>
      </c>
      <c r="T1043" t="s">
        <v>4002</v>
      </c>
      <c r="U1043" t="s">
        <v>4002</v>
      </c>
      <c r="V1043" t="s">
        <v>4002</v>
      </c>
      <c r="W1043" t="s">
        <v>5027</v>
      </c>
      <c r="X1043">
        <v>10</v>
      </c>
      <c r="Y1043" t="s">
        <v>6960</v>
      </c>
      <c r="Z1043" t="s">
        <v>8941</v>
      </c>
      <c r="AA1043">
        <v>1.027969525604884</v>
      </c>
      <c r="AB1043" t="str">
        <f>HYPERLINK("Melting_Curves/meltCurve_P08697_SERPINF2.pdf", "Melting_Curves/meltCurve_P08697_SERPINF2.pdf")</f>
        <v>Melting_Curves/meltCurve_P08697_SERPINF2.pdf</v>
      </c>
    </row>
    <row r="1044" spans="1:28" x14ac:dyDescent="0.25">
      <c r="A1044" t="s">
        <v>1048</v>
      </c>
      <c r="B1044">
        <v>1</v>
      </c>
      <c r="C1044">
        <v>0.97170666045403997</v>
      </c>
      <c r="D1044">
        <v>0.87243405555124098</v>
      </c>
      <c r="E1044">
        <v>1.0960109756413201</v>
      </c>
      <c r="F1044">
        <v>1.08143718775077</v>
      </c>
      <c r="G1044">
        <v>1.2780668375139099</v>
      </c>
      <c r="H1044">
        <v>1.2787916440164599</v>
      </c>
      <c r="I1044">
        <v>1.8558929357251901</v>
      </c>
      <c r="J1044">
        <v>2.7969765214465099</v>
      </c>
      <c r="K1044">
        <v>1.65170458957832</v>
      </c>
      <c r="L1044">
        <v>2162.05729822591</v>
      </c>
      <c r="M1044">
        <v>38.176551240284297</v>
      </c>
      <c r="O1044">
        <v>56.4783988233823</v>
      </c>
      <c r="P1044">
        <v>8.4493911102732397E-2</v>
      </c>
      <c r="Q1044">
        <v>1.5</v>
      </c>
      <c r="R1044">
        <v>0.37906253244483501</v>
      </c>
      <c r="S1044" t="s">
        <v>3046</v>
      </c>
      <c r="T1044" t="s">
        <v>4002</v>
      </c>
      <c r="U1044" t="s">
        <v>4002</v>
      </c>
      <c r="V1044" t="s">
        <v>4002</v>
      </c>
      <c r="W1044" t="s">
        <v>5028</v>
      </c>
      <c r="X1044">
        <v>1</v>
      </c>
      <c r="Y1044" t="s">
        <v>6961</v>
      </c>
      <c r="Z1044" t="s">
        <v>8942</v>
      </c>
      <c r="AA1044">
        <v>1.2206576502327779</v>
      </c>
      <c r="AB1044" t="str">
        <f>HYPERLINK("Melting_Curves/meltCurve_P08754_GNAI3.pdf", "Melting_Curves/meltCurve_P08754_GNAI3.pdf")</f>
        <v>Melting_Curves/meltCurve_P08754_GNAI3.pdf</v>
      </c>
    </row>
    <row r="1045" spans="1:28" x14ac:dyDescent="0.25">
      <c r="A1045" t="s">
        <v>1049</v>
      </c>
      <c r="B1045">
        <v>1</v>
      </c>
      <c r="C1045">
        <v>0.89880146597550103</v>
      </c>
      <c r="D1045">
        <v>0.97698682603096998</v>
      </c>
      <c r="E1045">
        <v>1.0234424010301499</v>
      </c>
      <c r="F1045">
        <v>0.98659490870670596</v>
      </c>
      <c r="G1045">
        <v>1.01314095156338</v>
      </c>
      <c r="H1045">
        <v>0.91210750487007597</v>
      </c>
      <c r="I1045">
        <v>1.1246079175884001</v>
      </c>
      <c r="J1045">
        <v>0.94436556938620497</v>
      </c>
      <c r="K1045">
        <v>0.94023838610624999</v>
      </c>
      <c r="L1045">
        <v>15000</v>
      </c>
      <c r="M1045">
        <v>226.27415271907901</v>
      </c>
      <c r="O1045">
        <v>66.286066913520898</v>
      </c>
      <c r="P1045">
        <v>-5.13542051544413E-2</v>
      </c>
      <c r="Q1045">
        <v>0.93982398270886303</v>
      </c>
      <c r="R1045">
        <v>8.9462998198634E-2</v>
      </c>
      <c r="S1045" t="s">
        <v>3047</v>
      </c>
      <c r="T1045" t="s">
        <v>4002</v>
      </c>
      <c r="U1045" t="s">
        <v>4002</v>
      </c>
      <c r="V1045" t="s">
        <v>4002</v>
      </c>
      <c r="W1045" t="s">
        <v>5029</v>
      </c>
      <c r="X1045">
        <v>16</v>
      </c>
      <c r="Y1045" t="s">
        <v>6962</v>
      </c>
      <c r="Z1045" t="s">
        <v>8943</v>
      </c>
      <c r="AA1045">
        <v>0.99256931385220659</v>
      </c>
      <c r="AB1045" t="str">
        <f>HYPERLINK("Melting_Curves/meltCurve_P09228_CST2.pdf", "Melting_Curves/meltCurve_P09228_CST2.pdf")</f>
        <v>Melting_Curves/meltCurve_P09228_CST2.pdf</v>
      </c>
    </row>
    <row r="1046" spans="1:28" x14ac:dyDescent="0.25">
      <c r="A1046" t="s">
        <v>1050</v>
      </c>
      <c r="B1046">
        <v>1</v>
      </c>
      <c r="C1046">
        <v>0.99720690922455002</v>
      </c>
      <c r="D1046">
        <v>1.0310915104740901</v>
      </c>
      <c r="E1046">
        <v>1.0565233370084499</v>
      </c>
      <c r="F1046">
        <v>0.921499448732084</v>
      </c>
      <c r="G1046">
        <v>0.80859977949283302</v>
      </c>
      <c r="H1046">
        <v>0.84439544285189305</v>
      </c>
      <c r="I1046">
        <v>1.0457919882396201</v>
      </c>
      <c r="J1046">
        <v>0.77971334068357201</v>
      </c>
      <c r="K1046">
        <v>0.947372289599412</v>
      </c>
      <c r="L1046">
        <v>13209.1584829399</v>
      </c>
      <c r="M1046">
        <v>250</v>
      </c>
      <c r="O1046">
        <v>52.833254526265499</v>
      </c>
      <c r="P1046">
        <v>-0.13583473007571201</v>
      </c>
      <c r="Q1046">
        <v>0.88517455013831903</v>
      </c>
      <c r="R1046">
        <v>0.43156016476630199</v>
      </c>
      <c r="S1046" t="s">
        <v>3048</v>
      </c>
      <c r="T1046" t="s">
        <v>4002</v>
      </c>
      <c r="U1046" t="s">
        <v>4002</v>
      </c>
      <c r="V1046" t="s">
        <v>4002</v>
      </c>
      <c r="W1046" t="s">
        <v>5030</v>
      </c>
      <c r="X1046">
        <v>2</v>
      </c>
      <c r="Y1046" t="s">
        <v>6963</v>
      </c>
      <c r="Z1046" t="s">
        <v>8944</v>
      </c>
      <c r="AA1046">
        <v>0.93431760647593598</v>
      </c>
      <c r="AB1046" t="str">
        <f>HYPERLINK("Melting_Curves/meltCurve_P09341_CXCL1.pdf", "Melting_Curves/meltCurve_P09341_CXCL1.pdf")</f>
        <v>Melting_Curves/meltCurve_P09341_CXCL1.pdf</v>
      </c>
    </row>
    <row r="1047" spans="1:28" x14ac:dyDescent="0.25">
      <c r="A1047" t="s">
        <v>1051</v>
      </c>
      <c r="B1047">
        <v>1</v>
      </c>
      <c r="C1047">
        <v>0.90067764428585495</v>
      </c>
      <c r="D1047">
        <v>0.96709987887517601</v>
      </c>
      <c r="E1047">
        <v>0.95115723311618205</v>
      </c>
      <c r="F1047">
        <v>0.85831669231021002</v>
      </c>
      <c r="G1047">
        <v>0.90784692441156301</v>
      </c>
      <c r="H1047">
        <v>0.79539725668641803</v>
      </c>
      <c r="I1047">
        <v>1.01090123416375</v>
      </c>
      <c r="J1047">
        <v>0.819720430811536</v>
      </c>
      <c r="K1047">
        <v>0.82901757946770505</v>
      </c>
      <c r="L1047">
        <v>234.87455635294901</v>
      </c>
      <c r="M1047">
        <v>4.1498234716616</v>
      </c>
      <c r="O1047">
        <v>46.9976380435224</v>
      </c>
      <c r="P1047">
        <v>-4.79993281247032E-3</v>
      </c>
      <c r="Q1047">
        <v>0.78501308660069402</v>
      </c>
      <c r="R1047">
        <v>0.296487468205477</v>
      </c>
      <c r="S1047" t="s">
        <v>3049</v>
      </c>
      <c r="T1047" t="s">
        <v>4002</v>
      </c>
      <c r="U1047" t="s">
        <v>4002</v>
      </c>
      <c r="V1047" t="s">
        <v>4002</v>
      </c>
      <c r="W1047" t="s">
        <v>5031</v>
      </c>
      <c r="X1047">
        <v>4</v>
      </c>
      <c r="Y1047" t="s">
        <v>6964</v>
      </c>
      <c r="Z1047" t="s">
        <v>8945</v>
      </c>
      <c r="AA1047">
        <v>0.90307369316298614</v>
      </c>
      <c r="AB1047" t="str">
        <f>HYPERLINK("Melting_Curves/meltCurve_P09382_LGALS1.pdf", "Melting_Curves/meltCurve_P09382_LGALS1.pdf")</f>
        <v>Melting_Curves/meltCurve_P09382_LGALS1.pdf</v>
      </c>
    </row>
    <row r="1048" spans="1:28" x14ac:dyDescent="0.25">
      <c r="A1048" t="s">
        <v>1052</v>
      </c>
      <c r="B1048">
        <v>1</v>
      </c>
      <c r="C1048">
        <v>1.04321559743246</v>
      </c>
      <c r="D1048">
        <v>1.08152267188412</v>
      </c>
      <c r="E1048">
        <v>1.1852538358562501</v>
      </c>
      <c r="F1048">
        <v>1.12024165036213</v>
      </c>
      <c r="G1048">
        <v>1.2460783304156799</v>
      </c>
      <c r="H1048">
        <v>1.0814540212130599</v>
      </c>
      <c r="I1048">
        <v>1.5744344900971401</v>
      </c>
      <c r="J1048">
        <v>1.61603679675969</v>
      </c>
      <c r="K1048">
        <v>1.39467270792572</v>
      </c>
      <c r="L1048">
        <v>640.74697657473996</v>
      </c>
      <c r="M1048">
        <v>11.309873517182901</v>
      </c>
      <c r="O1048">
        <v>54.9692720005838</v>
      </c>
      <c r="P1048">
        <v>2.5726426227540001E-2</v>
      </c>
      <c r="Q1048">
        <v>1.5</v>
      </c>
      <c r="R1048">
        <v>0.647274659040039</v>
      </c>
      <c r="S1048" t="s">
        <v>3050</v>
      </c>
      <c r="T1048" t="s">
        <v>4002</v>
      </c>
      <c r="U1048" t="s">
        <v>4002</v>
      </c>
      <c r="V1048" t="s">
        <v>4002</v>
      </c>
      <c r="W1048" t="s">
        <v>5032</v>
      </c>
      <c r="X1048">
        <v>4</v>
      </c>
      <c r="Y1048" t="s">
        <v>6965</v>
      </c>
      <c r="Z1048" t="s">
        <v>8946</v>
      </c>
      <c r="AA1048">
        <v>1.2133494938534559</v>
      </c>
      <c r="AB1048" t="str">
        <f>HYPERLINK("Melting_Curves/meltCurve_P09429_HMGB1.pdf", "Melting_Curves/meltCurve_P09429_HMGB1.pdf")</f>
        <v>Melting_Curves/meltCurve_P09429_HMGB1.pdf</v>
      </c>
    </row>
    <row r="1049" spans="1:28" x14ac:dyDescent="0.25">
      <c r="A1049" t="s">
        <v>1053</v>
      </c>
      <c r="B1049">
        <v>1</v>
      </c>
      <c r="C1049">
        <v>0.79037148478185404</v>
      </c>
      <c r="D1049">
        <v>0.90815877791922195</v>
      </c>
      <c r="E1049">
        <v>1.0211781043860699</v>
      </c>
      <c r="F1049">
        <v>0.95523666242333105</v>
      </c>
      <c r="G1049">
        <v>1.00287003819002</v>
      </c>
      <c r="H1049">
        <v>1.0146742275199601</v>
      </c>
      <c r="I1049">
        <v>1.3859507001504501</v>
      </c>
      <c r="J1049">
        <v>1.3353547043166301</v>
      </c>
      <c r="K1049">
        <v>1.07226015507464</v>
      </c>
      <c r="L1049">
        <v>15000</v>
      </c>
      <c r="M1049">
        <v>243.09328231173299</v>
      </c>
      <c r="O1049">
        <v>61.700553223708297</v>
      </c>
      <c r="P1049">
        <v>0.26054749035327401</v>
      </c>
      <c r="Q1049">
        <v>1.26452263193861</v>
      </c>
      <c r="R1049">
        <v>0.62567143844002404</v>
      </c>
      <c r="S1049" t="s">
        <v>3051</v>
      </c>
      <c r="T1049" t="s">
        <v>4002</v>
      </c>
      <c r="U1049" t="s">
        <v>4002</v>
      </c>
      <c r="V1049" t="s">
        <v>4002</v>
      </c>
      <c r="W1049" t="s">
        <v>5033</v>
      </c>
      <c r="X1049">
        <v>2</v>
      </c>
      <c r="Y1049" t="s">
        <v>6966</v>
      </c>
      <c r="Z1049" t="s">
        <v>8947</v>
      </c>
      <c r="AA1049">
        <v>1.07311278587286</v>
      </c>
      <c r="AB1049" t="str">
        <f>HYPERLINK("Melting_Curves/meltCurve_P09467_FBP1.pdf", "Melting_Curves/meltCurve_P09467_FBP1.pdf")</f>
        <v>Melting_Curves/meltCurve_P09467_FBP1.pdf</v>
      </c>
    </row>
    <row r="1050" spans="1:28" x14ac:dyDescent="0.25">
      <c r="A1050" t="s">
        <v>1054</v>
      </c>
      <c r="B1050">
        <v>1</v>
      </c>
      <c r="C1050">
        <v>0.94069181049790496</v>
      </c>
      <c r="D1050">
        <v>1.0322466084238899</v>
      </c>
      <c r="E1050">
        <v>1.0953902976063601</v>
      </c>
      <c r="F1050">
        <v>0.99019816748348599</v>
      </c>
      <c r="G1050">
        <v>1.0333830527736301</v>
      </c>
      <c r="H1050">
        <v>0.74948504865402399</v>
      </c>
      <c r="I1050">
        <v>1.0976631863058499</v>
      </c>
      <c r="J1050">
        <v>0.84309965196391801</v>
      </c>
      <c r="K1050">
        <v>0.77640457418850795</v>
      </c>
      <c r="L1050">
        <v>935.364696365074</v>
      </c>
      <c r="M1050">
        <v>12.063627881891801</v>
      </c>
      <c r="Q1050">
        <v>0</v>
      </c>
      <c r="R1050">
        <v>0.356776329838492</v>
      </c>
      <c r="S1050" t="s">
        <v>3052</v>
      </c>
      <c r="T1050" t="s">
        <v>4002</v>
      </c>
      <c r="U1050" t="s">
        <v>4002</v>
      </c>
      <c r="V1050" t="s">
        <v>4002</v>
      </c>
      <c r="W1050" t="s">
        <v>5034</v>
      </c>
      <c r="X1050">
        <v>9</v>
      </c>
      <c r="Y1050" t="s">
        <v>6967</v>
      </c>
      <c r="Z1050" t="s">
        <v>8948</v>
      </c>
      <c r="AA1050">
        <v>0.96336133380355282</v>
      </c>
      <c r="AB1050" t="str">
        <f>HYPERLINK("Melting_Curves/meltCurve_P09497_2_CLTB.pdf", "Melting_Curves/meltCurve_P09497_2_CLTB.pdf")</f>
        <v>Melting_Curves/meltCurve_P09497_2_CLTB.pdf</v>
      </c>
    </row>
    <row r="1051" spans="1:28" x14ac:dyDescent="0.25">
      <c r="A1051" t="s">
        <v>1055</v>
      </c>
      <c r="B1051">
        <v>1</v>
      </c>
      <c r="C1051">
        <v>0.973705393077542</v>
      </c>
      <c r="D1051">
        <v>1.1313197132891299</v>
      </c>
      <c r="E1051">
        <v>1.1018053585802401</v>
      </c>
      <c r="F1051">
        <v>0.937099927172372</v>
      </c>
      <c r="G1051">
        <v>0.96281957913296801</v>
      </c>
      <c r="H1051">
        <v>1.17033999003411</v>
      </c>
      <c r="I1051">
        <v>0.95477020966690895</v>
      </c>
      <c r="J1051">
        <v>1.0082026907892201</v>
      </c>
      <c r="K1051">
        <v>0.87186170416650699</v>
      </c>
      <c r="L1051">
        <v>15000</v>
      </c>
      <c r="M1051">
        <v>212.36818700498</v>
      </c>
      <c r="Q1051">
        <v>0</v>
      </c>
      <c r="R1051">
        <v>0.18973636493972301</v>
      </c>
      <c r="S1051" t="s">
        <v>3053</v>
      </c>
      <c r="T1051" t="s">
        <v>4002</v>
      </c>
      <c r="U1051" t="s">
        <v>4002</v>
      </c>
      <c r="V1051" t="s">
        <v>4002</v>
      </c>
      <c r="W1051" t="s">
        <v>5035</v>
      </c>
      <c r="X1051">
        <v>1</v>
      </c>
      <c r="Y1051" t="s">
        <v>6968</v>
      </c>
      <c r="Z1051" t="s">
        <v>8949</v>
      </c>
      <c r="AA1051">
        <v>0.99852109532031896</v>
      </c>
      <c r="AB1051" t="str">
        <f>HYPERLINK("Melting_Curves/meltCurve_P09529_INHBB.pdf", "Melting_Curves/meltCurve_P09529_INHBB.pdf")</f>
        <v>Melting_Curves/meltCurve_P09529_INHBB.pdf</v>
      </c>
    </row>
    <row r="1052" spans="1:28" x14ac:dyDescent="0.25">
      <c r="A1052" t="s">
        <v>1056</v>
      </c>
      <c r="B1052">
        <v>1</v>
      </c>
      <c r="C1052">
        <v>0.93515795603435703</v>
      </c>
      <c r="D1052">
        <v>1.09934488280681</v>
      </c>
      <c r="E1052">
        <v>1.3650895326830701</v>
      </c>
      <c r="F1052">
        <v>1.46184306303683</v>
      </c>
      <c r="G1052">
        <v>1.6889794729946099</v>
      </c>
      <c r="H1052">
        <v>1.5302081816858299</v>
      </c>
      <c r="I1052">
        <v>2.6428883389139601</v>
      </c>
      <c r="J1052">
        <v>1.6580288251565001</v>
      </c>
      <c r="K1052">
        <v>1.9269180375600501</v>
      </c>
      <c r="L1052">
        <v>1679.3454075029999</v>
      </c>
      <c r="M1052">
        <v>34.752592462938203</v>
      </c>
      <c r="O1052">
        <v>48.163717947693399</v>
      </c>
      <c r="P1052">
        <v>9.0194241681325907E-2</v>
      </c>
      <c r="Q1052">
        <v>1.5</v>
      </c>
      <c r="R1052">
        <v>0.31980834205589298</v>
      </c>
      <c r="S1052" t="s">
        <v>3054</v>
      </c>
      <c r="T1052" t="s">
        <v>4002</v>
      </c>
      <c r="U1052" t="s">
        <v>4002</v>
      </c>
      <c r="V1052" t="s">
        <v>4002</v>
      </c>
      <c r="W1052" t="s">
        <v>5036</v>
      </c>
      <c r="X1052">
        <v>3</v>
      </c>
      <c r="Y1052" t="s">
        <v>6969</v>
      </c>
      <c r="Z1052" t="s">
        <v>8950</v>
      </c>
      <c r="AA1052">
        <v>1.359055836212304</v>
      </c>
      <c r="AB1052" t="str">
        <f>HYPERLINK("Melting_Curves/meltCurve_P09668_CTSH.pdf", "Melting_Curves/meltCurve_P09668_CTSH.pdf")</f>
        <v>Melting_Curves/meltCurve_P09668_CTSH.pdf</v>
      </c>
    </row>
    <row r="1053" spans="1:28" x14ac:dyDescent="0.25">
      <c r="A1053" t="s">
        <v>1057</v>
      </c>
      <c r="B1053">
        <v>1</v>
      </c>
      <c r="C1053">
        <v>0.89729306292975897</v>
      </c>
      <c r="D1053">
        <v>0.963269214030812</v>
      </c>
      <c r="E1053">
        <v>0.93167377491513603</v>
      </c>
      <c r="F1053">
        <v>0.84707981547567202</v>
      </c>
      <c r="G1053">
        <v>0.93532944555661901</v>
      </c>
      <c r="H1053">
        <v>0.75306815214553002</v>
      </c>
      <c r="I1053">
        <v>0.96857864043868003</v>
      </c>
      <c r="J1053">
        <v>0.79152232570284597</v>
      </c>
      <c r="K1053">
        <v>0.84051701627643804</v>
      </c>
      <c r="L1053">
        <v>294.46814439613701</v>
      </c>
      <c r="M1053">
        <v>5.6651697637890601</v>
      </c>
      <c r="O1053">
        <v>46.589211424360698</v>
      </c>
      <c r="P1053">
        <v>-6.1425773770987999E-3</v>
      </c>
      <c r="Q1053">
        <v>0.79873760808518002</v>
      </c>
      <c r="R1053">
        <v>0.34852256306420598</v>
      </c>
      <c r="S1053" t="s">
        <v>3055</v>
      </c>
      <c r="T1053" t="s">
        <v>4002</v>
      </c>
      <c r="U1053" t="s">
        <v>4002</v>
      </c>
      <c r="V1053" t="s">
        <v>4002</v>
      </c>
      <c r="W1053" t="s">
        <v>5037</v>
      </c>
      <c r="X1053">
        <v>5</v>
      </c>
      <c r="Y1053" t="s">
        <v>6970</v>
      </c>
      <c r="Z1053" t="s">
        <v>8951</v>
      </c>
      <c r="AA1053">
        <v>0.89126064882734068</v>
      </c>
      <c r="AB1053" t="str">
        <f>HYPERLINK("Melting_Curves/meltCurve_P09758_TACSTD2.pdf", "Melting_Curves/meltCurve_P09758_TACSTD2.pdf")</f>
        <v>Melting_Curves/meltCurve_P09758_TACSTD2.pdf</v>
      </c>
    </row>
    <row r="1054" spans="1:28" x14ac:dyDescent="0.25">
      <c r="A1054" t="s">
        <v>1058</v>
      </c>
      <c r="B1054">
        <v>1</v>
      </c>
      <c r="C1054">
        <v>0.94651070353756195</v>
      </c>
      <c r="D1054">
        <v>0.99943217307364696</v>
      </c>
      <c r="E1054">
        <v>0.91488274373970802</v>
      </c>
      <c r="F1054">
        <v>0.80478110271989101</v>
      </c>
      <c r="G1054">
        <v>0.842200897166544</v>
      </c>
      <c r="H1054">
        <v>0.77394810061893105</v>
      </c>
      <c r="I1054">
        <v>1.00420191925501</v>
      </c>
      <c r="J1054">
        <v>0.91198682641530904</v>
      </c>
      <c r="K1054">
        <v>0.90477542445062697</v>
      </c>
      <c r="L1054">
        <v>12463.761100702901</v>
      </c>
      <c r="M1054">
        <v>250</v>
      </c>
      <c r="O1054">
        <v>49.851853242391797</v>
      </c>
      <c r="P1054">
        <v>-0.15840803349567201</v>
      </c>
      <c r="Q1054">
        <v>0.87364905358857103</v>
      </c>
      <c r="R1054">
        <v>0.37202100906444302</v>
      </c>
      <c r="S1054" t="s">
        <v>3056</v>
      </c>
      <c r="T1054" t="s">
        <v>4002</v>
      </c>
      <c r="U1054" t="s">
        <v>4002</v>
      </c>
      <c r="V1054" t="s">
        <v>4002</v>
      </c>
      <c r="W1054" t="s">
        <v>5038</v>
      </c>
      <c r="X1054">
        <v>3</v>
      </c>
      <c r="Y1054" t="s">
        <v>6971</v>
      </c>
      <c r="Z1054" t="s">
        <v>8952</v>
      </c>
      <c r="AA1054">
        <v>0.91516658155016672</v>
      </c>
      <c r="AB1054" t="str">
        <f>HYPERLINK("Melting_Curves/meltCurve_P09871_C1S.pdf", "Melting_Curves/meltCurve_P09871_C1S.pdf")</f>
        <v>Melting_Curves/meltCurve_P09871_C1S.pdf</v>
      </c>
    </row>
    <row r="1055" spans="1:28" x14ac:dyDescent="0.25">
      <c r="A1055" t="s">
        <v>1059</v>
      </c>
      <c r="B1055">
        <v>1</v>
      </c>
      <c r="C1055">
        <v>0.94396758311184703</v>
      </c>
      <c r="D1055">
        <v>0.97233236024574099</v>
      </c>
      <c r="E1055">
        <v>1.02570694087404</v>
      </c>
      <c r="F1055">
        <v>0.95551392096205001</v>
      </c>
      <c r="G1055">
        <v>0.98636225001089295</v>
      </c>
      <c r="H1055">
        <v>0.93189839222691795</v>
      </c>
      <c r="I1055">
        <v>1.2428652346303</v>
      </c>
      <c r="J1055">
        <v>1.0541152890941601</v>
      </c>
      <c r="K1055">
        <v>1.08561718443641</v>
      </c>
      <c r="L1055">
        <v>15000</v>
      </c>
      <c r="M1055">
        <v>240.39831114175499</v>
      </c>
      <c r="O1055">
        <v>62.392109318113597</v>
      </c>
      <c r="P1055">
        <v>0.122766208661125</v>
      </c>
      <c r="Q1055">
        <v>1.12744922895477</v>
      </c>
      <c r="R1055">
        <v>0.58318851653498305</v>
      </c>
      <c r="S1055" t="s">
        <v>3057</v>
      </c>
      <c r="T1055" t="s">
        <v>4002</v>
      </c>
      <c r="U1055" t="s">
        <v>4002</v>
      </c>
      <c r="V1055" t="s">
        <v>4002</v>
      </c>
      <c r="W1055" t="s">
        <v>5039</v>
      </c>
      <c r="X1055">
        <v>11</v>
      </c>
      <c r="Y1055" t="s">
        <v>6972</v>
      </c>
      <c r="Z1055" t="s">
        <v>8953</v>
      </c>
      <c r="AA1055">
        <v>1.0322871470348729</v>
      </c>
      <c r="AB1055" t="str">
        <f>HYPERLINK("Melting_Curves/meltCurve_P09958_FURIN.pdf", "Melting_Curves/meltCurve_P09958_FURIN.pdf")</f>
        <v>Melting_Curves/meltCurve_P09958_FURIN.pdf</v>
      </c>
    </row>
    <row r="1056" spans="1:28" x14ac:dyDescent="0.25">
      <c r="A1056" t="s">
        <v>1060</v>
      </c>
      <c r="B1056">
        <v>1</v>
      </c>
      <c r="C1056">
        <v>1.0546042478136299</v>
      </c>
      <c r="D1056">
        <v>1.4379731020798101</v>
      </c>
      <c r="E1056">
        <v>2.0770926728889498</v>
      </c>
      <c r="F1056">
        <v>2.3361505107665201</v>
      </c>
      <c r="G1056">
        <v>3.2506430513706199</v>
      </c>
      <c r="H1056">
        <v>3.4871757183802501</v>
      </c>
      <c r="I1056">
        <v>5.5103990593077103</v>
      </c>
      <c r="J1056">
        <v>3.93731167781289</v>
      </c>
      <c r="K1056">
        <v>4.3911222165062096</v>
      </c>
      <c r="L1056">
        <v>2825.5359693423802</v>
      </c>
      <c r="M1056">
        <v>63.619938278454498</v>
      </c>
      <c r="O1056">
        <v>44.368927278787098</v>
      </c>
      <c r="P1056">
        <v>0.17923569520787799</v>
      </c>
      <c r="Q1056">
        <v>1.5</v>
      </c>
      <c r="R1056">
        <v>-0.85622508432690703</v>
      </c>
      <c r="S1056" t="s">
        <v>3058</v>
      </c>
      <c r="T1056" t="s">
        <v>4002</v>
      </c>
      <c r="U1056" t="s">
        <v>4002</v>
      </c>
      <c r="V1056" t="s">
        <v>4002</v>
      </c>
      <c r="W1056" t="s">
        <v>5040</v>
      </c>
      <c r="X1056">
        <v>28</v>
      </c>
      <c r="Y1056" t="s">
        <v>6973</v>
      </c>
      <c r="Z1056" t="s">
        <v>8954</v>
      </c>
      <c r="AA1056">
        <v>1.425842341575442</v>
      </c>
      <c r="AB1056" t="str">
        <f>HYPERLINK("Melting_Curves/meltCurve_P09960_LTA4H.pdf", "Melting_Curves/meltCurve_P09960_LTA4H.pdf")</f>
        <v>Melting_Curves/meltCurve_P09960_LTA4H.pdf</v>
      </c>
    </row>
    <row r="1057" spans="1:28" x14ac:dyDescent="0.25">
      <c r="A1057" t="s">
        <v>1061</v>
      </c>
      <c r="B1057">
        <v>1</v>
      </c>
      <c r="C1057">
        <v>0.929452634391841</v>
      </c>
      <c r="D1057">
        <v>1.0382131563710899</v>
      </c>
      <c r="E1057">
        <v>1.0973143900592299</v>
      </c>
      <c r="F1057">
        <v>1.05914577116644</v>
      </c>
      <c r="G1057">
        <v>1.2609896227675601</v>
      </c>
      <c r="H1057">
        <v>0.93448536943838201</v>
      </c>
      <c r="I1057">
        <v>1.4870173250790499</v>
      </c>
      <c r="J1057">
        <v>0.91292922994699999</v>
      </c>
      <c r="K1057">
        <v>1.0156326548790799</v>
      </c>
      <c r="L1057">
        <v>1932.35330769603</v>
      </c>
      <c r="M1057">
        <v>40.921286988468303</v>
      </c>
      <c r="O1057">
        <v>47.108899763182698</v>
      </c>
      <c r="P1057">
        <v>2.42474606602467E-2</v>
      </c>
      <c r="Q1057">
        <v>1.1116551814554201</v>
      </c>
      <c r="R1057">
        <v>0.11131270470332399</v>
      </c>
      <c r="S1057" t="s">
        <v>3059</v>
      </c>
      <c r="T1057" t="s">
        <v>4002</v>
      </c>
      <c r="U1057" t="s">
        <v>4002</v>
      </c>
      <c r="V1057" t="s">
        <v>4002</v>
      </c>
      <c r="W1057" t="s">
        <v>5041</v>
      </c>
      <c r="X1057">
        <v>22</v>
      </c>
      <c r="Y1057" t="s">
        <v>6974</v>
      </c>
      <c r="Z1057" t="s">
        <v>8955</v>
      </c>
      <c r="AA1057">
        <v>1.084428938919044</v>
      </c>
      <c r="AB1057" t="str">
        <f>HYPERLINK("Melting_Curves/meltCurve_P0C0L4_C4A.pdf", "Melting_Curves/meltCurve_P0C0L4_C4A.pdf")</f>
        <v>Melting_Curves/meltCurve_P0C0L4_C4A.pdf</v>
      </c>
    </row>
    <row r="1058" spans="1:28" x14ac:dyDescent="0.25">
      <c r="A1058" t="s">
        <v>1062</v>
      </c>
      <c r="B1058">
        <v>1</v>
      </c>
      <c r="C1058">
        <v>1.1942953665889799</v>
      </c>
      <c r="D1058">
        <v>1.3927601616455301</v>
      </c>
      <c r="E1058">
        <v>1.4051187752571199</v>
      </c>
      <c r="F1058">
        <v>1.12938057260151</v>
      </c>
      <c r="G1058">
        <v>1.3931664136500701</v>
      </c>
      <c r="H1058">
        <v>1.2354551091535</v>
      </c>
      <c r="I1058">
        <v>1.7182107806453</v>
      </c>
      <c r="J1058">
        <v>1.1035301161025499</v>
      </c>
      <c r="K1058">
        <v>0.86914409117150304</v>
      </c>
      <c r="L1058">
        <v>10690.3087880573</v>
      </c>
      <c r="M1058">
        <v>250</v>
      </c>
      <c r="O1058">
        <v>42.7584947913777</v>
      </c>
      <c r="P1058">
        <v>0.410511595300247</v>
      </c>
      <c r="Q1058">
        <v>1.28084575204204</v>
      </c>
      <c r="R1058">
        <v>0.137309030653359</v>
      </c>
      <c r="S1058" t="s">
        <v>3060</v>
      </c>
      <c r="T1058" t="s">
        <v>4002</v>
      </c>
      <c r="U1058" t="s">
        <v>4002</v>
      </c>
      <c r="V1058" t="s">
        <v>4002</v>
      </c>
      <c r="W1058" t="s">
        <v>5042</v>
      </c>
      <c r="X1058">
        <v>22</v>
      </c>
      <c r="Y1058" t="s">
        <v>6975</v>
      </c>
      <c r="Z1058" t="s">
        <v>8956</v>
      </c>
      <c r="AA1058">
        <v>1.2549753037467919</v>
      </c>
      <c r="AB1058" t="str">
        <f>HYPERLINK("Melting_Curves/meltCurve_P0C0L5_C4B.pdf", "Melting_Curves/meltCurve_P0C0L5_C4B.pdf")</f>
        <v>Melting_Curves/meltCurve_P0C0L5_C4B.pdf</v>
      </c>
    </row>
    <row r="1059" spans="1:28" x14ac:dyDescent="0.25">
      <c r="A1059" t="s">
        <v>1063</v>
      </c>
      <c r="B1059">
        <v>1</v>
      </c>
      <c r="C1059">
        <v>0.88096124908746898</v>
      </c>
      <c r="D1059">
        <v>0.95408292486703095</v>
      </c>
      <c r="E1059">
        <v>1.1341606948645</v>
      </c>
      <c r="F1059">
        <v>1.1748186111649099</v>
      </c>
      <c r="G1059">
        <v>1.3676792658035499</v>
      </c>
      <c r="H1059">
        <v>1.2058074224162301</v>
      </c>
      <c r="I1059">
        <v>1.7742584288076799</v>
      </c>
      <c r="J1059">
        <v>1.2551511449471799</v>
      </c>
      <c r="K1059">
        <v>1.4172613638056599</v>
      </c>
      <c r="L1059">
        <v>1094.6736138736601</v>
      </c>
      <c r="M1059">
        <v>20.465514600411201</v>
      </c>
      <c r="O1059">
        <v>52.985846761338102</v>
      </c>
      <c r="P1059">
        <v>4.1891874436594097E-2</v>
      </c>
      <c r="Q1059">
        <v>1.4338245120681301</v>
      </c>
      <c r="R1059">
        <v>0.64678701389021498</v>
      </c>
      <c r="S1059" t="s">
        <v>3061</v>
      </c>
      <c r="T1059" t="s">
        <v>4002</v>
      </c>
      <c r="U1059" t="s">
        <v>4002</v>
      </c>
      <c r="V1059" t="s">
        <v>4002</v>
      </c>
      <c r="W1059" t="s">
        <v>5043</v>
      </c>
      <c r="X1059">
        <v>7</v>
      </c>
      <c r="Y1059" t="s">
        <v>6976</v>
      </c>
      <c r="Z1059" t="s">
        <v>8957</v>
      </c>
      <c r="AA1059">
        <v>1.2330537436229729</v>
      </c>
      <c r="AB1059" t="str">
        <f>HYPERLINK("Melting_Curves/meltCurve_P0CG05_IGLC2.pdf", "Melting_Curves/meltCurve_P0CG05_IGLC2.pdf")</f>
        <v>Melting_Curves/meltCurve_P0CG05_IGLC2.pdf</v>
      </c>
    </row>
    <row r="1060" spans="1:28" x14ac:dyDescent="0.25">
      <c r="A1060" t="s">
        <v>1064</v>
      </c>
      <c r="B1060">
        <v>1</v>
      </c>
      <c r="C1060">
        <v>0.883323183110028</v>
      </c>
      <c r="D1060">
        <v>0.87857795371498204</v>
      </c>
      <c r="E1060">
        <v>1.03293747462444</v>
      </c>
      <c r="F1060">
        <v>1.04874644742184</v>
      </c>
      <c r="G1060">
        <v>1.11804709703613</v>
      </c>
      <c r="H1060">
        <v>1.25208079577751</v>
      </c>
      <c r="I1060">
        <v>1.33526187576127</v>
      </c>
      <c r="J1060">
        <v>1.2708079577750699</v>
      </c>
      <c r="K1060">
        <v>1.0975817092975999</v>
      </c>
      <c r="L1060">
        <v>2736.0036636687</v>
      </c>
      <c r="M1060">
        <v>48.127026989495498</v>
      </c>
      <c r="O1060">
        <v>56.751731959019303</v>
      </c>
      <c r="P1060">
        <v>5.0919930233238597E-2</v>
      </c>
      <c r="Q1060">
        <v>1.24018034574998</v>
      </c>
      <c r="R1060">
        <v>0.717770202541687</v>
      </c>
      <c r="S1060" t="s">
        <v>3062</v>
      </c>
      <c r="T1060" t="s">
        <v>4002</v>
      </c>
      <c r="U1060" t="s">
        <v>4002</v>
      </c>
      <c r="V1060" t="s">
        <v>4002</v>
      </c>
      <c r="W1060" t="s">
        <v>5044</v>
      </c>
      <c r="X1060">
        <v>8</v>
      </c>
      <c r="Y1060" t="s">
        <v>6977</v>
      </c>
      <c r="Z1060" t="s">
        <v>8958</v>
      </c>
      <c r="AA1060">
        <v>1.1046334345335611</v>
      </c>
      <c r="AB1060" t="str">
        <f>HYPERLINK("Melting_Curves/meltCurve_P0CG06_IGLC3.pdf", "Melting_Curves/meltCurve_P0CG06_IGLC3.pdf")</f>
        <v>Melting_Curves/meltCurve_P0CG06_IGLC3.pdf</v>
      </c>
    </row>
    <row r="1061" spans="1:28" x14ac:dyDescent="0.25">
      <c r="A1061" t="s">
        <v>1065</v>
      </c>
      <c r="B1061">
        <v>1</v>
      </c>
      <c r="C1061">
        <v>0.69158929546695802</v>
      </c>
      <c r="D1061">
        <v>0.96919716002184597</v>
      </c>
      <c r="E1061">
        <v>0.70496996176952498</v>
      </c>
      <c r="F1061">
        <v>0.829601310759148</v>
      </c>
      <c r="G1061">
        <v>0.79546695794647704</v>
      </c>
      <c r="H1061">
        <v>0.52405243036591997</v>
      </c>
      <c r="I1061">
        <v>0.77225559803386101</v>
      </c>
      <c r="J1061">
        <v>0.88716548334243595</v>
      </c>
      <c r="K1061">
        <v>0.71982523211359895</v>
      </c>
      <c r="L1061">
        <v>522.06777849169396</v>
      </c>
      <c r="M1061">
        <v>12.281154595620601</v>
      </c>
      <c r="O1061">
        <v>41.429712985073699</v>
      </c>
      <c r="P1061">
        <v>-1.9033311281787001E-2</v>
      </c>
      <c r="Q1061">
        <v>0.74322580656355697</v>
      </c>
      <c r="R1061">
        <v>0.20425747392867999</v>
      </c>
      <c r="S1061" t="s">
        <v>3063</v>
      </c>
      <c r="T1061" t="s">
        <v>4002</v>
      </c>
      <c r="U1061" t="s">
        <v>4002</v>
      </c>
      <c r="V1061" t="s">
        <v>4002</v>
      </c>
      <c r="W1061" t="s">
        <v>5045</v>
      </c>
      <c r="X1061">
        <v>1</v>
      </c>
      <c r="Y1061" t="s">
        <v>6978</v>
      </c>
      <c r="Z1061" t="s">
        <v>8959</v>
      </c>
      <c r="AA1061">
        <v>0.78125494241368076</v>
      </c>
      <c r="AB1061" t="str">
        <f>HYPERLINK("Melting_Curves/meltCurve_P0CG12_CHTF8.pdf", "Melting_Curves/meltCurve_P0CG12_CHTF8.pdf")</f>
        <v>Melting_Curves/meltCurve_P0CG12_CHTF8.pdf</v>
      </c>
    </row>
    <row r="1062" spans="1:28" x14ac:dyDescent="0.25">
      <c r="A1062" t="s">
        <v>1066</v>
      </c>
      <c r="B1062">
        <v>1</v>
      </c>
      <c r="C1062">
        <v>1.0591888093603901</v>
      </c>
      <c r="D1062">
        <v>1.1836944798509701</v>
      </c>
      <c r="E1062">
        <v>1.26304866490179</v>
      </c>
      <c r="F1062">
        <v>1.29940843873582</v>
      </c>
      <c r="G1062">
        <v>1.3087884433114401</v>
      </c>
      <c r="H1062">
        <v>1.1449815341373299</v>
      </c>
      <c r="I1062">
        <v>1.37711213517665</v>
      </c>
      <c r="J1062">
        <v>1.2308396247998199</v>
      </c>
      <c r="K1062">
        <v>1.15959080955649</v>
      </c>
      <c r="L1062">
        <v>1535.2117592879699</v>
      </c>
      <c r="M1062">
        <v>34.4615071642665</v>
      </c>
      <c r="O1062">
        <v>44.3993868370478</v>
      </c>
      <c r="P1062">
        <v>4.95096956892647E-2</v>
      </c>
      <c r="Q1062">
        <v>1.2551475021721501</v>
      </c>
      <c r="R1062">
        <v>0.65793352774321801</v>
      </c>
      <c r="S1062" t="s">
        <v>3064</v>
      </c>
      <c r="T1062" t="s">
        <v>4002</v>
      </c>
      <c r="U1062" t="s">
        <v>4002</v>
      </c>
      <c r="V1062" t="s">
        <v>4002</v>
      </c>
      <c r="W1062" t="s">
        <v>5046</v>
      </c>
      <c r="X1062">
        <v>5</v>
      </c>
      <c r="Y1062" t="s">
        <v>6979</v>
      </c>
      <c r="Z1062" t="s">
        <v>8960</v>
      </c>
      <c r="AA1062">
        <v>1.215234180799762</v>
      </c>
      <c r="AB1062" t="str">
        <f>HYPERLINK("Melting_Curves/meltCurve_P0DJI8_SAA1.pdf", "Melting_Curves/meltCurve_P0DJI8_SAA1.pdf")</f>
        <v>Melting_Curves/meltCurve_P0DJI8_SAA1.pdf</v>
      </c>
    </row>
    <row r="1063" spans="1:28" x14ac:dyDescent="0.25">
      <c r="A1063" t="s">
        <v>1067</v>
      </c>
      <c r="B1063">
        <v>1</v>
      </c>
      <c r="C1063">
        <v>0.96829268292682902</v>
      </c>
      <c r="D1063">
        <v>1.0629268292682901</v>
      </c>
      <c r="E1063">
        <v>1.07241192411924</v>
      </c>
      <c r="F1063">
        <v>1.1318699186991901</v>
      </c>
      <c r="G1063">
        <v>1.2439566395663999</v>
      </c>
      <c r="H1063">
        <v>1.14406504065041</v>
      </c>
      <c r="I1063">
        <v>1.3463956639566399</v>
      </c>
      <c r="J1063">
        <v>1.31154471544715</v>
      </c>
      <c r="K1063">
        <v>1.2022222222222201</v>
      </c>
      <c r="L1063">
        <v>810.79781669529496</v>
      </c>
      <c r="M1063">
        <v>15.3678382156005</v>
      </c>
      <c r="O1063">
        <v>51.890243149921602</v>
      </c>
      <c r="P1063">
        <v>2.0273628236434499E-2</v>
      </c>
      <c r="Q1063">
        <v>1.2737943576579001</v>
      </c>
      <c r="R1063">
        <v>0.80136373452979004</v>
      </c>
      <c r="S1063" t="s">
        <v>3065</v>
      </c>
      <c r="T1063" t="s">
        <v>4002</v>
      </c>
      <c r="U1063" t="s">
        <v>4002</v>
      </c>
      <c r="V1063" t="s">
        <v>4002</v>
      </c>
      <c r="W1063" t="s">
        <v>5047</v>
      </c>
      <c r="X1063">
        <v>6</v>
      </c>
      <c r="Y1063" t="s">
        <v>6980</v>
      </c>
      <c r="Z1063" t="s">
        <v>8961</v>
      </c>
      <c r="AA1063">
        <v>1.1515997783608189</v>
      </c>
      <c r="AB1063" t="str">
        <f>HYPERLINK("Melting_Curves/meltCurve_P10153_RNASE2.pdf", "Melting_Curves/meltCurve_P10153_RNASE2.pdf")</f>
        <v>Melting_Curves/meltCurve_P10153_RNASE2.pdf</v>
      </c>
    </row>
    <row r="1064" spans="1:28" x14ac:dyDescent="0.25">
      <c r="A1064" t="s">
        <v>1068</v>
      </c>
      <c r="B1064">
        <v>1</v>
      </c>
      <c r="C1064">
        <v>0.68916931543242099</v>
      </c>
      <c r="D1064">
        <v>0.62204089378053995</v>
      </c>
      <c r="E1064">
        <v>0.49651311732055597</v>
      </c>
      <c r="F1064">
        <v>0.70724417666872197</v>
      </c>
      <c r="G1064">
        <v>0.953935196166801</v>
      </c>
      <c r="H1064">
        <v>0.81080696427724297</v>
      </c>
      <c r="I1064">
        <v>0.83077944874045295</v>
      </c>
      <c r="J1064">
        <v>1.64509701598748</v>
      </c>
      <c r="K1064">
        <v>0.813700839698278</v>
      </c>
      <c r="L1064">
        <v>10231.7812986917</v>
      </c>
      <c r="M1064">
        <v>250</v>
      </c>
      <c r="O1064">
        <v>40.924512762595697</v>
      </c>
      <c r="P1064">
        <v>-0.24277623476472501</v>
      </c>
      <c r="Q1064">
        <v>0.841032039994837</v>
      </c>
      <c r="R1064">
        <v>2.5514173418201402E-2</v>
      </c>
      <c r="S1064" t="s">
        <v>3066</v>
      </c>
      <c r="T1064" t="s">
        <v>4002</v>
      </c>
      <c r="U1064" t="s">
        <v>4002</v>
      </c>
      <c r="V1064" t="s">
        <v>4002</v>
      </c>
      <c r="W1064" t="s">
        <v>5048</v>
      </c>
      <c r="X1064">
        <v>1</v>
      </c>
      <c r="Y1064" t="s">
        <v>6981</v>
      </c>
      <c r="Z1064" t="s">
        <v>8962</v>
      </c>
      <c r="AA1064">
        <v>0.84595873060918336</v>
      </c>
      <c r="AB1064" t="str">
        <f>HYPERLINK("Melting_Curves/meltCurve_P10155_2_TROVE2.pdf", "Melting_Curves/meltCurve_P10155_2_TROVE2.pdf")</f>
        <v>Melting_Curves/meltCurve_P10155_2_TROVE2.pdf</v>
      </c>
    </row>
    <row r="1065" spans="1:28" x14ac:dyDescent="0.25">
      <c r="A1065" t="s">
        <v>1069</v>
      </c>
      <c r="B1065">
        <v>1</v>
      </c>
      <c r="C1065">
        <v>0.99798831676273703</v>
      </c>
      <c r="D1065">
        <v>1.17459089326473</v>
      </c>
      <c r="E1065">
        <v>1.48353901504894</v>
      </c>
      <c r="F1065">
        <v>1.4285659019691299</v>
      </c>
      <c r="G1065">
        <v>1.63874811404697</v>
      </c>
      <c r="H1065">
        <v>1.4323184649309499</v>
      </c>
      <c r="I1065">
        <v>2.0560563271306398</v>
      </c>
      <c r="J1065">
        <v>1.68428179039808</v>
      </c>
      <c r="K1065">
        <v>1.65998684668653</v>
      </c>
      <c r="L1065">
        <v>2156.7610228445001</v>
      </c>
      <c r="M1065">
        <v>46.254481215612799</v>
      </c>
      <c r="O1065">
        <v>46.541234310299302</v>
      </c>
      <c r="P1065">
        <v>0.124229951910187</v>
      </c>
      <c r="Q1065">
        <v>1.5</v>
      </c>
      <c r="R1065">
        <v>0.59682902412124506</v>
      </c>
      <c r="S1065" t="s">
        <v>3067</v>
      </c>
      <c r="T1065" t="s">
        <v>4002</v>
      </c>
      <c r="U1065" t="s">
        <v>4002</v>
      </c>
      <c r="V1065" t="s">
        <v>4002</v>
      </c>
      <c r="W1065" t="s">
        <v>5049</v>
      </c>
      <c r="X1065">
        <v>8</v>
      </c>
      <c r="Y1065" t="s">
        <v>6982</v>
      </c>
      <c r="Z1065" t="s">
        <v>8963</v>
      </c>
      <c r="AA1065">
        <v>1.3883223640331841</v>
      </c>
      <c r="AB1065" t="str">
        <f>HYPERLINK("Melting_Curves/meltCurve_P10253_GAA.pdf", "Melting_Curves/meltCurve_P10253_GAA.pdf")</f>
        <v>Melting_Curves/meltCurve_P10253_GAA.pdf</v>
      </c>
    </row>
    <row r="1066" spans="1:28" x14ac:dyDescent="0.25">
      <c r="A1066" t="s">
        <v>1070</v>
      </c>
      <c r="B1066">
        <v>1</v>
      </c>
      <c r="C1066">
        <v>0.93478849102552497</v>
      </c>
      <c r="D1066">
        <v>0.99412439278949605</v>
      </c>
      <c r="E1066">
        <v>0.953974410184386</v>
      </c>
      <c r="F1066">
        <v>0.816477470396475</v>
      </c>
      <c r="G1066">
        <v>0.82179901815511103</v>
      </c>
      <c r="H1066">
        <v>0.73566210104498198</v>
      </c>
      <c r="I1066">
        <v>0.79349044569573102</v>
      </c>
      <c r="J1066">
        <v>1.36543442126557</v>
      </c>
      <c r="K1066">
        <v>0.69567962478578504</v>
      </c>
      <c r="L1066">
        <v>12529.2101982606</v>
      </c>
      <c r="M1066">
        <v>250</v>
      </c>
      <c r="O1066">
        <v>50.1136332775406</v>
      </c>
      <c r="P1066">
        <v>-0.16035575356749199</v>
      </c>
      <c r="Q1066">
        <v>0.871423848349409</v>
      </c>
      <c r="R1066">
        <v>6.7419809691968396E-2</v>
      </c>
      <c r="S1066" t="s">
        <v>3068</v>
      </c>
      <c r="T1066" t="s">
        <v>4002</v>
      </c>
      <c r="U1066" t="s">
        <v>4002</v>
      </c>
      <c r="V1066" t="s">
        <v>4002</v>
      </c>
      <c r="W1066" t="s">
        <v>5050</v>
      </c>
      <c r="X1066">
        <v>7</v>
      </c>
      <c r="Y1066" t="s">
        <v>6983</v>
      </c>
      <c r="Z1066" t="s">
        <v>8964</v>
      </c>
      <c r="AA1066">
        <v>0.91479463903939062</v>
      </c>
      <c r="AB1066" t="str">
        <f>HYPERLINK("Melting_Curves/meltCurve_P10412_HIST1H1E.pdf", "Melting_Curves/meltCurve_P10412_HIST1H1E.pdf")</f>
        <v>Melting_Curves/meltCurve_P10412_HIST1H1E.pdf</v>
      </c>
    </row>
    <row r="1067" spans="1:28" x14ac:dyDescent="0.25">
      <c r="A1067" t="s">
        <v>1071</v>
      </c>
      <c r="B1067">
        <v>1</v>
      </c>
      <c r="C1067">
        <v>0.87490003427396301</v>
      </c>
      <c r="D1067">
        <v>1.43567919570433</v>
      </c>
      <c r="E1067">
        <v>0.95424425911116195</v>
      </c>
      <c r="F1067">
        <v>1.2406317833885501</v>
      </c>
      <c r="G1067">
        <v>0.93839255112532804</v>
      </c>
      <c r="H1067">
        <v>1.27356334970867</v>
      </c>
      <c r="I1067">
        <v>1.1051353821546901</v>
      </c>
      <c r="J1067">
        <v>1.35042271221296</v>
      </c>
      <c r="K1067">
        <v>0.96566891351536599</v>
      </c>
      <c r="L1067">
        <v>11082.50113386</v>
      </c>
      <c r="M1067">
        <v>250</v>
      </c>
      <c r="O1067">
        <v>44.3271748086445</v>
      </c>
      <c r="P1067">
        <v>0.22272147914128201</v>
      </c>
      <c r="Q1067">
        <v>1.1579617976113501</v>
      </c>
      <c r="R1067">
        <v>0.200186421825052</v>
      </c>
      <c r="S1067" t="s">
        <v>3069</v>
      </c>
      <c r="T1067" t="s">
        <v>4002</v>
      </c>
      <c r="U1067" t="s">
        <v>4002</v>
      </c>
      <c r="V1067" t="s">
        <v>4002</v>
      </c>
      <c r="W1067" t="s">
        <v>5051</v>
      </c>
      <c r="X1067">
        <v>2</v>
      </c>
      <c r="Y1067" t="s">
        <v>6984</v>
      </c>
      <c r="Z1067" t="s">
        <v>8965</v>
      </c>
      <c r="AA1067">
        <v>1.1351503317560401</v>
      </c>
      <c r="AB1067" t="str">
        <f>HYPERLINK("Melting_Curves/meltCurve_P10451_5_SPP1.pdf", "Melting_Curves/meltCurve_P10451_5_SPP1.pdf")</f>
        <v>Melting_Curves/meltCurve_P10451_5_SPP1.pdf</v>
      </c>
    </row>
    <row r="1068" spans="1:28" x14ac:dyDescent="0.25">
      <c r="A1068" t="s">
        <v>1072</v>
      </c>
      <c r="B1068">
        <v>1</v>
      </c>
      <c r="C1068">
        <v>1.0987918215613399</v>
      </c>
      <c r="D1068">
        <v>1.1499999999999999</v>
      </c>
      <c r="E1068">
        <v>1.3236059479553901</v>
      </c>
      <c r="F1068">
        <v>1.24451672862454</v>
      </c>
      <c r="G1068">
        <v>1.31115241635688</v>
      </c>
      <c r="H1068">
        <v>1.3385687732342</v>
      </c>
      <c r="I1068">
        <v>1.57574349442379</v>
      </c>
      <c r="J1068">
        <v>1.39405204460967</v>
      </c>
      <c r="K1068">
        <v>1.3842936802974</v>
      </c>
      <c r="L1068">
        <v>481.81173249631303</v>
      </c>
      <c r="M1068">
        <v>9.8131526713913608</v>
      </c>
      <c r="O1068">
        <v>47.189910138018</v>
      </c>
      <c r="P1068">
        <v>2.3445516043623299E-2</v>
      </c>
      <c r="Q1068">
        <v>1.45074784138871</v>
      </c>
      <c r="R1068">
        <v>0.80887990445590696</v>
      </c>
      <c r="S1068" t="s">
        <v>3070</v>
      </c>
      <c r="T1068" t="s">
        <v>4002</v>
      </c>
      <c r="U1068" t="s">
        <v>4002</v>
      </c>
      <c r="V1068" t="s">
        <v>4002</v>
      </c>
      <c r="W1068" t="s">
        <v>5052</v>
      </c>
      <c r="X1068">
        <v>4</v>
      </c>
      <c r="Y1068" t="s">
        <v>6985</v>
      </c>
      <c r="Z1068" t="s">
        <v>8966</v>
      </c>
      <c r="AA1068">
        <v>1.2915435368305379</v>
      </c>
      <c r="AB1068" t="str">
        <f>HYPERLINK("Melting_Curves/meltCurve_P10586_2_PTPRF.pdf", "Melting_Curves/meltCurve_P10586_2_PTPRF.pdf")</f>
        <v>Melting_Curves/meltCurve_P10586_2_PTPRF.pdf</v>
      </c>
    </row>
    <row r="1069" spans="1:28" x14ac:dyDescent="0.25">
      <c r="A1069" t="s">
        <v>1073</v>
      </c>
      <c r="B1069">
        <v>1</v>
      </c>
      <c r="C1069">
        <v>0.98606459330143503</v>
      </c>
      <c r="D1069">
        <v>1.06067583732057</v>
      </c>
      <c r="E1069">
        <v>1.1061602870813401</v>
      </c>
      <c r="F1069">
        <v>1.02057416267943</v>
      </c>
      <c r="G1069">
        <v>1.1478767942583701</v>
      </c>
      <c r="H1069">
        <v>1.13008373205742</v>
      </c>
      <c r="I1069">
        <v>1.1032296650717699</v>
      </c>
      <c r="J1069">
        <v>1.19943181818182</v>
      </c>
      <c r="K1069">
        <v>1.0373504784689001</v>
      </c>
      <c r="L1069">
        <v>743.26732562049801</v>
      </c>
      <c r="M1069">
        <v>15.432581208086599</v>
      </c>
      <c r="O1069">
        <v>47.375271698128699</v>
      </c>
      <c r="P1069">
        <v>9.6992608166879997E-3</v>
      </c>
      <c r="Q1069">
        <v>1.11908922041396</v>
      </c>
      <c r="R1069">
        <v>0.47013618297820098</v>
      </c>
      <c r="S1069" t="s">
        <v>3071</v>
      </c>
      <c r="T1069" t="s">
        <v>4002</v>
      </c>
      <c r="U1069" t="s">
        <v>4002</v>
      </c>
      <c r="V1069" t="s">
        <v>4002</v>
      </c>
      <c r="W1069" t="s">
        <v>5053</v>
      </c>
      <c r="X1069">
        <v>8</v>
      </c>
      <c r="Y1069" t="s">
        <v>6986</v>
      </c>
      <c r="Z1069" t="s">
        <v>8967</v>
      </c>
      <c r="AA1069">
        <v>1.0838125281805671</v>
      </c>
      <c r="AB1069" t="str">
        <f>HYPERLINK("Melting_Curves/meltCurve_P10599_TXN.pdf", "Melting_Curves/meltCurve_P10599_TXN.pdf")</f>
        <v>Melting_Curves/meltCurve_P10599_TXN.pdf</v>
      </c>
    </row>
    <row r="1070" spans="1:28" x14ac:dyDescent="0.25">
      <c r="A1070" t="s">
        <v>1074</v>
      </c>
      <c r="B1070">
        <v>1</v>
      </c>
      <c r="C1070">
        <v>0.94285814018430603</v>
      </c>
      <c r="D1070">
        <v>0.95940379782183705</v>
      </c>
      <c r="E1070">
        <v>0.97451829098017295</v>
      </c>
      <c r="F1070">
        <v>0.96837475565484499</v>
      </c>
      <c r="G1070">
        <v>0.97804384250209397</v>
      </c>
      <c r="H1070">
        <v>0.94903658196034602</v>
      </c>
      <c r="I1070">
        <v>0.98097598436191003</v>
      </c>
      <c r="J1070">
        <v>1.64807316392069</v>
      </c>
      <c r="K1070">
        <v>0.84522479754258595</v>
      </c>
      <c r="L1070">
        <v>15000</v>
      </c>
      <c r="M1070">
        <v>230.55158369823801</v>
      </c>
      <c r="O1070">
        <v>65.056465523112294</v>
      </c>
      <c r="P1070">
        <v>0.21820525944612201</v>
      </c>
      <c r="Q1070">
        <v>1.2462904459636599</v>
      </c>
      <c r="R1070">
        <v>0.257022912713881</v>
      </c>
      <c r="S1070" t="s">
        <v>3072</v>
      </c>
      <c r="T1070" t="s">
        <v>4002</v>
      </c>
      <c r="U1070" t="s">
        <v>4002</v>
      </c>
      <c r="V1070" t="s">
        <v>4002</v>
      </c>
      <c r="W1070" t="s">
        <v>5054</v>
      </c>
      <c r="X1070">
        <v>4</v>
      </c>
      <c r="Y1070" t="s">
        <v>6987</v>
      </c>
      <c r="Z1070" t="s">
        <v>8968</v>
      </c>
      <c r="AA1070">
        <v>1.0405115793251889</v>
      </c>
      <c r="AB1070" t="str">
        <f>HYPERLINK("Melting_Curves/meltCurve_P10606_COX5B.pdf", "Melting_Curves/meltCurve_P10606_COX5B.pdf")</f>
        <v>Melting_Curves/meltCurve_P10606_COX5B.pdf</v>
      </c>
    </row>
    <row r="1071" spans="1:28" x14ac:dyDescent="0.25">
      <c r="A1071" t="s">
        <v>1075</v>
      </c>
      <c r="B1071">
        <v>1</v>
      </c>
      <c r="C1071">
        <v>0.99077410197619797</v>
      </c>
      <c r="D1071">
        <v>0.96361502347417805</v>
      </c>
      <c r="E1071">
        <v>1.21134949230265</v>
      </c>
      <c r="F1071">
        <v>1.2097936455945</v>
      </c>
      <c r="G1071">
        <v>1.2855934053936</v>
      </c>
      <c r="H1071">
        <v>1.0023201222840901</v>
      </c>
      <c r="I1071">
        <v>1.4816846817338101</v>
      </c>
      <c r="J1071">
        <v>1.1988754230811201</v>
      </c>
      <c r="K1071">
        <v>1.1758379735779001</v>
      </c>
      <c r="L1071">
        <v>12365.4586471779</v>
      </c>
      <c r="M1071">
        <v>250</v>
      </c>
      <c r="O1071">
        <v>49.458669372689798</v>
      </c>
      <c r="P1071">
        <v>0.28519294112219001</v>
      </c>
      <c r="Q1071">
        <v>1.2256842137928901</v>
      </c>
      <c r="R1071">
        <v>0.49052986152117101</v>
      </c>
      <c r="S1071" t="s">
        <v>3073</v>
      </c>
      <c r="T1071" t="s">
        <v>4002</v>
      </c>
      <c r="U1071" t="s">
        <v>4002</v>
      </c>
      <c r="V1071" t="s">
        <v>4002</v>
      </c>
      <c r="W1071" t="s">
        <v>5055</v>
      </c>
      <c r="X1071">
        <v>7</v>
      </c>
      <c r="Y1071" t="s">
        <v>6988</v>
      </c>
      <c r="Z1071" t="s">
        <v>8969</v>
      </c>
      <c r="AA1071">
        <v>1.154485066658095</v>
      </c>
      <c r="AB1071" t="str">
        <f>HYPERLINK("Melting_Curves/meltCurve_P10643_C7.pdf", "Melting_Curves/meltCurve_P10643_C7.pdf")</f>
        <v>Melting_Curves/meltCurve_P10643_C7.pdf</v>
      </c>
    </row>
    <row r="1072" spans="1:28" x14ac:dyDescent="0.25">
      <c r="A1072" t="s">
        <v>1076</v>
      </c>
      <c r="B1072">
        <v>1</v>
      </c>
      <c r="C1072">
        <v>0.95984763538025197</v>
      </c>
      <c r="D1072">
        <v>1.13859573906734</v>
      </c>
      <c r="E1072">
        <v>1.13104346678979</v>
      </c>
      <c r="F1072">
        <v>1.09110546797705</v>
      </c>
      <c r="G1072">
        <v>1.2034496405250299</v>
      </c>
      <c r="H1072">
        <v>1.0295165226568199</v>
      </c>
      <c r="I1072">
        <v>1.4880120044851901</v>
      </c>
      <c r="J1072">
        <v>1.3015467317459299</v>
      </c>
      <c r="K1072">
        <v>1.33348723698964</v>
      </c>
      <c r="L1072">
        <v>413.64431237446399</v>
      </c>
      <c r="M1072">
        <v>6.7180512503435601</v>
      </c>
      <c r="O1072">
        <v>56.804941329107699</v>
      </c>
      <c r="P1072">
        <v>1.48150070046001E-2</v>
      </c>
      <c r="Q1072">
        <v>1.5</v>
      </c>
      <c r="R1072">
        <v>0.57780181774431405</v>
      </c>
      <c r="S1072" t="s">
        <v>3074</v>
      </c>
      <c r="T1072" t="s">
        <v>4002</v>
      </c>
      <c r="U1072" t="s">
        <v>4002</v>
      </c>
      <c r="V1072" t="s">
        <v>4002</v>
      </c>
      <c r="W1072" t="s">
        <v>5056</v>
      </c>
      <c r="X1072">
        <v>9</v>
      </c>
      <c r="Y1072" t="s">
        <v>6989</v>
      </c>
      <c r="Z1072" t="s">
        <v>8970</v>
      </c>
      <c r="AA1072">
        <v>1.1632861529712539</v>
      </c>
      <c r="AB1072" t="str">
        <f>HYPERLINK("Melting_Curves/meltCurve_P10644_PRKAR1A.pdf", "Melting_Curves/meltCurve_P10644_PRKAR1A.pdf")</f>
        <v>Melting_Curves/meltCurve_P10644_PRKAR1A.pdf</v>
      </c>
    </row>
    <row r="1073" spans="1:28" x14ac:dyDescent="0.25">
      <c r="A1073" t="s">
        <v>1077</v>
      </c>
      <c r="B1073">
        <v>1</v>
      </c>
      <c r="C1073">
        <v>0.92588611185762504</v>
      </c>
      <c r="D1073">
        <v>0.80996745199916398</v>
      </c>
      <c r="E1073">
        <v>0.62886320881483504</v>
      </c>
      <c r="F1073">
        <v>0.48120278300337399</v>
      </c>
      <c r="G1073">
        <v>0.45044641524082502</v>
      </c>
      <c r="H1073">
        <v>0.31658156409567301</v>
      </c>
      <c r="I1073">
        <v>0.50001493027561295</v>
      </c>
      <c r="J1073">
        <v>0.93260473588342396</v>
      </c>
      <c r="K1073">
        <v>0.38003523545044599</v>
      </c>
      <c r="L1073">
        <v>1168.7676661640401</v>
      </c>
      <c r="M1073">
        <v>24.983539039761499</v>
      </c>
      <c r="O1073">
        <v>46.484886596958297</v>
      </c>
      <c r="P1073">
        <v>-6.5801790328931006E-2</v>
      </c>
      <c r="Q1073">
        <v>0.51027805369395796</v>
      </c>
      <c r="R1073">
        <v>0.580697808550381</v>
      </c>
      <c r="S1073" t="s">
        <v>3075</v>
      </c>
      <c r="T1073" t="s">
        <v>4002</v>
      </c>
      <c r="U1073" t="s">
        <v>4002</v>
      </c>
      <c r="V1073" t="s">
        <v>4002</v>
      </c>
      <c r="W1073" t="s">
        <v>5057</v>
      </c>
      <c r="X1073">
        <v>6</v>
      </c>
      <c r="Y1073" t="s">
        <v>6990</v>
      </c>
      <c r="Z1073" t="s">
        <v>8971</v>
      </c>
      <c r="AA1073">
        <v>0.62538016171079758</v>
      </c>
      <c r="AB1073" t="str">
        <f>HYPERLINK("Melting_Curves/meltCurve_P10809_HSPD1.pdf", "Melting_Curves/meltCurve_P10809_HSPD1.pdf")</f>
        <v>Melting_Curves/meltCurve_P10809_HSPD1.pdf</v>
      </c>
    </row>
    <row r="1074" spans="1:28" x14ac:dyDescent="0.25">
      <c r="A1074" t="s">
        <v>1078</v>
      </c>
      <c r="B1074">
        <v>1</v>
      </c>
      <c r="C1074">
        <v>0.88242805673370694</v>
      </c>
      <c r="D1074">
        <v>0.980298262416199</v>
      </c>
      <c r="E1074">
        <v>0.94955990331554696</v>
      </c>
      <c r="F1074">
        <v>0.79865006612851697</v>
      </c>
      <c r="G1074">
        <v>0.85848497286450498</v>
      </c>
      <c r="H1074">
        <v>0.774342135267022</v>
      </c>
      <c r="I1074">
        <v>1.04359921557897</v>
      </c>
      <c r="J1074">
        <v>0.83212477767136395</v>
      </c>
      <c r="K1074">
        <v>0.86614675970264998</v>
      </c>
      <c r="L1074">
        <v>560.92570934904802</v>
      </c>
      <c r="M1074">
        <v>12.509407439684001</v>
      </c>
      <c r="O1074">
        <v>43.740677227039299</v>
      </c>
      <c r="P1074">
        <v>-9.5003015869816899E-3</v>
      </c>
      <c r="Q1074">
        <v>0.86715137764954797</v>
      </c>
      <c r="R1074">
        <v>0.18084641113860001</v>
      </c>
      <c r="S1074" t="s">
        <v>3076</v>
      </c>
      <c r="T1074" t="s">
        <v>4002</v>
      </c>
      <c r="U1074" t="s">
        <v>4002</v>
      </c>
      <c r="V1074" t="s">
        <v>4002</v>
      </c>
      <c r="W1074" t="s">
        <v>5058</v>
      </c>
      <c r="X1074">
        <v>13</v>
      </c>
      <c r="Y1074" t="s">
        <v>6991</v>
      </c>
      <c r="Z1074" t="s">
        <v>8972</v>
      </c>
      <c r="AA1074">
        <v>0.89482530167023488</v>
      </c>
      <c r="AB1074" t="str">
        <f>HYPERLINK("Melting_Curves/meltCurve_P10909_4_CLU.pdf", "Melting_Curves/meltCurve_P10909_4_CLU.pdf")</f>
        <v>Melting_Curves/meltCurve_P10909_4_CLU.pdf</v>
      </c>
    </row>
    <row r="1075" spans="1:28" x14ac:dyDescent="0.25">
      <c r="A1075" t="s">
        <v>1079</v>
      </c>
      <c r="B1075">
        <v>1</v>
      </c>
      <c r="C1075">
        <v>0.95430521174817695</v>
      </c>
      <c r="D1075">
        <v>1.01563301442876</v>
      </c>
      <c r="E1075">
        <v>1.0022078008965001</v>
      </c>
      <c r="F1075">
        <v>0.902388439151669</v>
      </c>
      <c r="G1075">
        <v>1.01449566245177</v>
      </c>
      <c r="H1075">
        <v>0.94255257465266196</v>
      </c>
      <c r="I1075">
        <v>1.54856046921344</v>
      </c>
      <c r="J1075">
        <v>1.4809437791307101</v>
      </c>
      <c r="K1075">
        <v>1.3313039405900899</v>
      </c>
      <c r="L1075">
        <v>15000</v>
      </c>
      <c r="M1075">
        <v>240.380215644489</v>
      </c>
      <c r="O1075">
        <v>62.396806844451099</v>
      </c>
      <c r="P1075">
        <v>0.43707669788905101</v>
      </c>
      <c r="Q1075">
        <v>1.45381766921439</v>
      </c>
      <c r="R1075">
        <v>0.92134643314786502</v>
      </c>
      <c r="S1075" t="s">
        <v>3077</v>
      </c>
      <c r="T1075" t="s">
        <v>4002</v>
      </c>
      <c r="U1075" t="s">
        <v>4002</v>
      </c>
      <c r="V1075" t="s">
        <v>4002</v>
      </c>
      <c r="W1075" t="s">
        <v>5059</v>
      </c>
      <c r="X1075">
        <v>30</v>
      </c>
      <c r="Y1075" t="s">
        <v>6992</v>
      </c>
      <c r="Z1075" t="s">
        <v>8973</v>
      </c>
      <c r="AA1075">
        <v>1.1148961083578031</v>
      </c>
      <c r="AB1075" t="str">
        <f>HYPERLINK("Melting_Curves/meltCurve_P11021_HSPA5.pdf", "Melting_Curves/meltCurve_P11021_HSPA5.pdf")</f>
        <v>Melting_Curves/meltCurve_P11021_HSPA5.pdf</v>
      </c>
    </row>
    <row r="1076" spans="1:28" x14ac:dyDescent="0.25">
      <c r="A1076" t="s">
        <v>1080</v>
      </c>
      <c r="B1076">
        <v>1</v>
      </c>
      <c r="C1076">
        <v>0.86777553241100602</v>
      </c>
      <c r="D1076">
        <v>0.89336235038084899</v>
      </c>
      <c r="E1076">
        <v>0.91431680397948101</v>
      </c>
      <c r="F1076">
        <v>0.83441629099953396</v>
      </c>
      <c r="G1076">
        <v>0.90346650085496705</v>
      </c>
      <c r="H1076">
        <v>0.75445359863205397</v>
      </c>
      <c r="I1076">
        <v>0.94422508938286998</v>
      </c>
      <c r="J1076">
        <v>0.80230063733872203</v>
      </c>
      <c r="K1076">
        <v>0.79278719104616802</v>
      </c>
      <c r="L1076">
        <v>268.52358436026299</v>
      </c>
      <c r="M1076">
        <v>5.6676837315622404</v>
      </c>
      <c r="O1076">
        <v>42.469219680381897</v>
      </c>
      <c r="P1076">
        <v>-6.8907351871625401E-3</v>
      </c>
      <c r="Q1076">
        <v>0.79428012431629902</v>
      </c>
      <c r="R1076">
        <v>0.36493907277857002</v>
      </c>
      <c r="S1076" t="s">
        <v>3078</v>
      </c>
      <c r="T1076" t="s">
        <v>4002</v>
      </c>
      <c r="U1076" t="s">
        <v>4002</v>
      </c>
      <c r="V1076" t="s">
        <v>4002</v>
      </c>
      <c r="W1076" t="s">
        <v>5060</v>
      </c>
      <c r="X1076">
        <v>5</v>
      </c>
      <c r="Y1076" t="s">
        <v>6993</v>
      </c>
      <c r="Z1076" t="s">
        <v>8974</v>
      </c>
      <c r="AA1076">
        <v>0.86805622541032568</v>
      </c>
      <c r="AB1076" t="str">
        <f>HYPERLINK("Melting_Curves/meltCurve_P11047_LAMC1.pdf", "Melting_Curves/meltCurve_P11047_LAMC1.pdf")</f>
        <v>Melting_Curves/meltCurve_P11047_LAMC1.pdf</v>
      </c>
    </row>
    <row r="1077" spans="1:28" x14ac:dyDescent="0.25">
      <c r="A1077" t="s">
        <v>1081</v>
      </c>
      <c r="B1077">
        <v>1</v>
      </c>
      <c r="C1077">
        <v>0.96804611384355099</v>
      </c>
      <c r="D1077">
        <v>1.13878011340497</v>
      </c>
      <c r="E1077">
        <v>1.11926318097804</v>
      </c>
      <c r="F1077">
        <v>0.94022743648381901</v>
      </c>
      <c r="G1077">
        <v>1.06735377964349</v>
      </c>
      <c r="H1077">
        <v>1.053475768303</v>
      </c>
      <c r="I1077">
        <v>1.83578208702735</v>
      </c>
      <c r="J1077">
        <v>1.8587763541242399</v>
      </c>
      <c r="K1077">
        <v>1.6829673255850399</v>
      </c>
      <c r="L1077">
        <v>15000</v>
      </c>
      <c r="M1077">
        <v>243.785357596849</v>
      </c>
      <c r="O1077">
        <v>61.525395508729197</v>
      </c>
      <c r="P1077">
        <v>0.49529417074076099</v>
      </c>
      <c r="Q1077">
        <v>1.5</v>
      </c>
      <c r="R1077">
        <v>0.74344536113361004</v>
      </c>
      <c r="S1077" t="s">
        <v>3079</v>
      </c>
      <c r="T1077" t="s">
        <v>4002</v>
      </c>
      <c r="U1077" t="s">
        <v>4002</v>
      </c>
      <c r="V1077" t="s">
        <v>4002</v>
      </c>
      <c r="W1077" t="s">
        <v>5061</v>
      </c>
      <c r="X1077">
        <v>28</v>
      </c>
      <c r="Y1077" t="s">
        <v>6994</v>
      </c>
      <c r="Z1077" t="s">
        <v>8975</v>
      </c>
      <c r="AA1077">
        <v>1.1411176154943741</v>
      </c>
      <c r="AB1077" t="str">
        <f>HYPERLINK("Melting_Curves/meltCurve_P11142_HSPA8.pdf", "Melting_Curves/meltCurve_P11142_HSPA8.pdf")</f>
        <v>Melting_Curves/meltCurve_P11142_HSPA8.pdf</v>
      </c>
    </row>
    <row r="1078" spans="1:28" x14ac:dyDescent="0.25">
      <c r="A1078" t="s">
        <v>1082</v>
      </c>
      <c r="B1078">
        <v>1</v>
      </c>
      <c r="C1078">
        <v>0.80235352409265404</v>
      </c>
      <c r="D1078">
        <v>0.92518270779140299</v>
      </c>
      <c r="E1078">
        <v>0.90509104422147901</v>
      </c>
      <c r="F1078">
        <v>0.86473429951690794</v>
      </c>
      <c r="G1078">
        <v>0.92661959618481404</v>
      </c>
      <c r="H1078">
        <v>0.75047689830298503</v>
      </c>
      <c r="I1078">
        <v>0.93355629877368995</v>
      </c>
      <c r="J1078">
        <v>0.93667781493868496</v>
      </c>
      <c r="K1078">
        <v>0.83738387216648102</v>
      </c>
      <c r="L1078">
        <v>10238.499537079901</v>
      </c>
      <c r="M1078">
        <v>250</v>
      </c>
      <c r="O1078">
        <v>40.951368058650203</v>
      </c>
      <c r="P1078">
        <v>-0.18957504552681201</v>
      </c>
      <c r="Q1078">
        <v>0.87578625239430097</v>
      </c>
      <c r="R1078">
        <v>0.28048900828254603</v>
      </c>
      <c r="S1078" t="s">
        <v>3080</v>
      </c>
      <c r="T1078" t="s">
        <v>4002</v>
      </c>
      <c r="U1078" t="s">
        <v>4002</v>
      </c>
      <c r="V1078" t="s">
        <v>4002</v>
      </c>
      <c r="W1078" t="s">
        <v>5062</v>
      </c>
      <c r="X1078">
        <v>1</v>
      </c>
      <c r="Y1078" t="s">
        <v>6995</v>
      </c>
      <c r="Z1078" t="s">
        <v>8976</v>
      </c>
      <c r="AA1078">
        <v>0.87974681976382541</v>
      </c>
      <c r="AB1078" t="str">
        <f>HYPERLINK("Melting_Curves/meltCurve_P11171_6_EPB41.pdf", "Melting_Curves/meltCurve_P11171_6_EPB41.pdf")</f>
        <v>Melting_Curves/meltCurve_P11171_6_EPB41.pdf</v>
      </c>
    </row>
    <row r="1079" spans="1:28" x14ac:dyDescent="0.25">
      <c r="A1079" t="s">
        <v>1083</v>
      </c>
      <c r="B1079">
        <v>1</v>
      </c>
      <c r="C1079">
        <v>1.0998121512883099</v>
      </c>
      <c r="D1079">
        <v>1.18285810412987</v>
      </c>
      <c r="E1079">
        <v>1.25942748198615</v>
      </c>
      <c r="F1079">
        <v>1.0951299520565201</v>
      </c>
      <c r="G1079">
        <v>1.1393164549864001</v>
      </c>
      <c r="H1079">
        <v>0.33058569546078997</v>
      </c>
      <c r="I1079">
        <v>1.5443407070962001</v>
      </c>
      <c r="J1079">
        <v>2.5016401715871801</v>
      </c>
      <c r="K1079">
        <v>1.2599882244091201</v>
      </c>
      <c r="L1079">
        <v>15000</v>
      </c>
      <c r="M1079">
        <v>238.83115377499701</v>
      </c>
      <c r="O1079">
        <v>62.801472951756601</v>
      </c>
      <c r="P1079">
        <v>0.47536933266668902</v>
      </c>
      <c r="Q1079">
        <v>1.5</v>
      </c>
      <c r="R1079">
        <v>0.37066677313298801</v>
      </c>
      <c r="S1079" t="s">
        <v>3081</v>
      </c>
      <c r="T1079" t="s">
        <v>4002</v>
      </c>
      <c r="U1079" t="s">
        <v>4002</v>
      </c>
      <c r="V1079" t="s">
        <v>4002</v>
      </c>
      <c r="W1079" t="s">
        <v>5063</v>
      </c>
      <c r="X1079">
        <v>1</v>
      </c>
      <c r="Y1079" t="s">
        <v>6996</v>
      </c>
      <c r="Z1079" t="s">
        <v>8977</v>
      </c>
      <c r="AA1079">
        <v>1.119841666704926</v>
      </c>
      <c r="AB1079" t="str">
        <f>HYPERLINK("Melting_Curves/meltCurve_P11172_2_UMPS.pdf", "Melting_Curves/meltCurve_P11172_2_UMPS.pdf")</f>
        <v>Melting_Curves/meltCurve_P11172_2_UMPS.pdf</v>
      </c>
    </row>
    <row r="1080" spans="1:28" x14ac:dyDescent="0.25">
      <c r="A1080" t="s">
        <v>1084</v>
      </c>
      <c r="B1080">
        <v>1</v>
      </c>
      <c r="C1080">
        <v>0.84519334904758903</v>
      </c>
      <c r="D1080">
        <v>0.77314136459196003</v>
      </c>
      <c r="E1080">
        <v>0.63923042619608805</v>
      </c>
      <c r="F1080">
        <v>0.57933363063005705</v>
      </c>
      <c r="G1080">
        <v>0.67000063706440705</v>
      </c>
      <c r="H1080">
        <v>0.66566859909536902</v>
      </c>
      <c r="I1080">
        <v>0.68458941198955203</v>
      </c>
      <c r="J1080">
        <v>0.86385933617888799</v>
      </c>
      <c r="K1080">
        <v>0.63103777791934801</v>
      </c>
      <c r="L1080">
        <v>1252.21848127623</v>
      </c>
      <c r="M1080">
        <v>28.814785509820801</v>
      </c>
      <c r="O1080">
        <v>43.249811155496502</v>
      </c>
      <c r="P1080">
        <v>-5.3506641835262103E-2</v>
      </c>
      <c r="Q1080">
        <v>0.67875741533267298</v>
      </c>
      <c r="R1080">
        <v>0.66687278440017494</v>
      </c>
      <c r="S1080" t="s">
        <v>3082</v>
      </c>
      <c r="T1080" t="s">
        <v>4002</v>
      </c>
      <c r="U1080" t="s">
        <v>4002</v>
      </c>
      <c r="V1080" t="s">
        <v>4002</v>
      </c>
      <c r="W1080" t="s">
        <v>5064</v>
      </c>
      <c r="X1080">
        <v>3</v>
      </c>
      <c r="Y1080" t="s">
        <v>6997</v>
      </c>
      <c r="Z1080" t="s">
        <v>8978</v>
      </c>
      <c r="AA1080">
        <v>0.71867974105520127</v>
      </c>
      <c r="AB1080" t="str">
        <f>HYPERLINK("Melting_Curves/meltCurve_P11215_ITGAM.pdf", "Melting_Curves/meltCurve_P11215_ITGAM.pdf")</f>
        <v>Melting_Curves/meltCurve_P11215_ITGAM.pdf</v>
      </c>
    </row>
    <row r="1081" spans="1:28" x14ac:dyDescent="0.25">
      <c r="A1081" t="s">
        <v>1085</v>
      </c>
      <c r="B1081">
        <v>1</v>
      </c>
      <c r="C1081">
        <v>1.02565139764548</v>
      </c>
      <c r="D1081">
        <v>1.22589689226134</v>
      </c>
      <c r="E1081">
        <v>1.24313730960219</v>
      </c>
      <c r="F1081">
        <v>1.4021090219271299</v>
      </c>
      <c r="G1081">
        <v>1.5067232048206201</v>
      </c>
      <c r="H1081">
        <v>1.28354628131451</v>
      </c>
      <c r="I1081">
        <v>1.68024326284662</v>
      </c>
      <c r="J1081">
        <v>1.6551358589521801</v>
      </c>
      <c r="K1081">
        <v>1.31361937175696</v>
      </c>
      <c r="L1081">
        <v>720.37398659397002</v>
      </c>
      <c r="M1081">
        <v>14.855800813768999</v>
      </c>
      <c r="O1081">
        <v>47.637862123753898</v>
      </c>
      <c r="P1081">
        <v>3.8985160409809101E-2</v>
      </c>
      <c r="Q1081">
        <v>1.5</v>
      </c>
      <c r="R1081">
        <v>0.69504968073054296</v>
      </c>
      <c r="S1081" t="s">
        <v>3083</v>
      </c>
      <c r="T1081" t="s">
        <v>4002</v>
      </c>
      <c r="U1081" t="s">
        <v>4002</v>
      </c>
      <c r="V1081" t="s">
        <v>4002</v>
      </c>
      <c r="W1081" t="s">
        <v>5065</v>
      </c>
      <c r="X1081">
        <v>5</v>
      </c>
      <c r="Y1081" t="s">
        <v>6998</v>
      </c>
      <c r="Z1081" t="s">
        <v>8979</v>
      </c>
      <c r="AA1081">
        <v>1.3456551661892131</v>
      </c>
      <c r="AB1081" t="str">
        <f>HYPERLINK("Melting_Curves/meltCurve_P11216_PYGB.pdf", "Melting_Curves/meltCurve_P11216_PYGB.pdf")</f>
        <v>Melting_Curves/meltCurve_P11216_PYGB.pdf</v>
      </c>
    </row>
    <row r="1082" spans="1:28" x14ac:dyDescent="0.25">
      <c r="A1082" t="s">
        <v>1086</v>
      </c>
      <c r="B1082">
        <v>1</v>
      </c>
      <c r="C1082">
        <v>0.96289885945058395</v>
      </c>
      <c r="D1082">
        <v>1.08636222429326</v>
      </c>
      <c r="E1082">
        <v>1.16531309634758</v>
      </c>
      <c r="F1082">
        <v>1.1064660719833099</v>
      </c>
      <c r="G1082">
        <v>1.19846447432654</v>
      </c>
      <c r="H1082">
        <v>1.1305196822438199</v>
      </c>
      <c r="I1082">
        <v>1.12714685128478</v>
      </c>
      <c r="J1082">
        <v>1.1827985621089101</v>
      </c>
      <c r="K1082">
        <v>1.09790085652155</v>
      </c>
      <c r="L1082">
        <v>11481.4683336179</v>
      </c>
      <c r="M1082">
        <v>250</v>
      </c>
      <c r="O1082">
        <v>45.922935069905101</v>
      </c>
      <c r="P1082">
        <v>0.19609902892334899</v>
      </c>
      <c r="Q1082">
        <v>1.14408708523729</v>
      </c>
      <c r="R1082">
        <v>0.79870543289195095</v>
      </c>
      <c r="S1082" t="s">
        <v>3084</v>
      </c>
      <c r="T1082" t="s">
        <v>4002</v>
      </c>
      <c r="U1082" t="s">
        <v>4002</v>
      </c>
      <c r="V1082" t="s">
        <v>4002</v>
      </c>
      <c r="W1082" t="s">
        <v>5066</v>
      </c>
      <c r="X1082">
        <v>3</v>
      </c>
      <c r="Y1082" t="s">
        <v>6999</v>
      </c>
      <c r="Z1082" t="s">
        <v>8980</v>
      </c>
      <c r="AA1082">
        <v>1.115614078059523</v>
      </c>
      <c r="AB1082" t="str">
        <f>HYPERLINK("Melting_Curves/meltCurve_P11279_LAMP1.pdf", "Melting_Curves/meltCurve_P11279_LAMP1.pdf")</f>
        <v>Melting_Curves/meltCurve_P11279_LAMP1.pdf</v>
      </c>
    </row>
    <row r="1083" spans="1:28" x14ac:dyDescent="0.25">
      <c r="A1083" t="s">
        <v>1087</v>
      </c>
      <c r="B1083">
        <v>1</v>
      </c>
      <c r="C1083">
        <v>1.0326517637174899</v>
      </c>
      <c r="D1083">
        <v>1.2612254629261701</v>
      </c>
      <c r="E1083">
        <v>1.24283330116597</v>
      </c>
      <c r="F1083">
        <v>1.12108173158797</v>
      </c>
      <c r="G1083">
        <v>1.47137294081584</v>
      </c>
      <c r="H1083">
        <v>1.5684426834391101</v>
      </c>
      <c r="I1083">
        <v>3.9741828544180899</v>
      </c>
      <c r="J1083">
        <v>3.1665171830474201</v>
      </c>
      <c r="K1083">
        <v>3.8148976510257602</v>
      </c>
      <c r="L1083">
        <v>2530.08916836457</v>
      </c>
      <c r="M1083">
        <v>46.975404055340903</v>
      </c>
      <c r="O1083">
        <v>53.7625571486371</v>
      </c>
      <c r="P1083">
        <v>0.109219775824779</v>
      </c>
      <c r="Q1083">
        <v>1.5</v>
      </c>
      <c r="R1083">
        <v>-0.12115305738252299</v>
      </c>
      <c r="S1083" t="s">
        <v>3085</v>
      </c>
      <c r="T1083" t="s">
        <v>4002</v>
      </c>
      <c r="U1083" t="s">
        <v>4002</v>
      </c>
      <c r="V1083" t="s">
        <v>4002</v>
      </c>
      <c r="W1083" t="s">
        <v>5067</v>
      </c>
      <c r="X1083">
        <v>16</v>
      </c>
      <c r="Y1083" t="s">
        <v>7000</v>
      </c>
      <c r="Z1083" t="s">
        <v>8981</v>
      </c>
      <c r="AA1083">
        <v>1.2676560425652461</v>
      </c>
      <c r="AB1083" t="str">
        <f>HYPERLINK("Melting_Curves/meltCurve_P11413_G6PD.pdf", "Melting_Curves/meltCurve_P11413_G6PD.pdf")</f>
        <v>Melting_Curves/meltCurve_P11413_G6PD.pdf</v>
      </c>
    </row>
    <row r="1084" spans="1:28" x14ac:dyDescent="0.25">
      <c r="A1084" t="s">
        <v>1088</v>
      </c>
      <c r="B1084">
        <v>1</v>
      </c>
      <c r="C1084">
        <v>0.91675284384694899</v>
      </c>
      <c r="D1084">
        <v>0.94691485694588096</v>
      </c>
      <c r="E1084">
        <v>0.98638400551534</v>
      </c>
      <c r="F1084">
        <v>0.84299379524301998</v>
      </c>
      <c r="G1084">
        <v>0.82780075835918598</v>
      </c>
      <c r="H1084">
        <v>0.62435367114787998</v>
      </c>
      <c r="I1084">
        <v>0.82425887624956895</v>
      </c>
      <c r="J1084">
        <v>0.75473974491554596</v>
      </c>
      <c r="K1084">
        <v>0.70499827645639401</v>
      </c>
      <c r="L1084">
        <v>1229.02627426716</v>
      </c>
      <c r="M1084">
        <v>23.088212996179099</v>
      </c>
      <c r="O1084">
        <v>52.837248881788</v>
      </c>
      <c r="P1084">
        <v>-2.9444994157398999E-2</v>
      </c>
      <c r="Q1084">
        <v>0.73046614025235601</v>
      </c>
      <c r="R1084">
        <v>0.731129093474574</v>
      </c>
      <c r="S1084" t="s">
        <v>3086</v>
      </c>
      <c r="T1084" t="s">
        <v>4002</v>
      </c>
      <c r="U1084" t="s">
        <v>4002</v>
      </c>
      <c r="V1084" t="s">
        <v>4002</v>
      </c>
      <c r="W1084" t="s">
        <v>5068</v>
      </c>
      <c r="X1084">
        <v>4</v>
      </c>
      <c r="Y1084" t="s">
        <v>7001</v>
      </c>
      <c r="Z1084" t="s">
        <v>8982</v>
      </c>
      <c r="AA1084">
        <v>0.85222339085429677</v>
      </c>
      <c r="AB1084" t="str">
        <f>HYPERLINK("Melting_Curves/meltCurve_P11717_IGF2R.pdf", "Melting_Curves/meltCurve_P11717_IGF2R.pdf")</f>
        <v>Melting_Curves/meltCurve_P11717_IGF2R.pdf</v>
      </c>
    </row>
    <row r="1085" spans="1:28" x14ac:dyDescent="0.25">
      <c r="A1085" t="s">
        <v>1089</v>
      </c>
      <c r="B1085">
        <v>1</v>
      </c>
      <c r="C1085">
        <v>1.0204209471310399</v>
      </c>
      <c r="D1085">
        <v>1.1130355800551199</v>
      </c>
      <c r="E1085">
        <v>1.1094963668253599</v>
      </c>
      <c r="F1085">
        <v>1.1278814833375099</v>
      </c>
      <c r="G1085">
        <v>1.2130731646204</v>
      </c>
      <c r="H1085">
        <v>1.4108306188925099</v>
      </c>
      <c r="I1085">
        <v>1.42392257579554</v>
      </c>
      <c r="J1085">
        <v>1.9569343522926601</v>
      </c>
      <c r="K1085">
        <v>1.4378288649461299</v>
      </c>
      <c r="L1085">
        <v>1345.20167891455</v>
      </c>
      <c r="M1085">
        <v>23.812114193831501</v>
      </c>
      <c r="O1085">
        <v>56.098423954412603</v>
      </c>
      <c r="P1085">
        <v>5.3059651218555999E-2</v>
      </c>
      <c r="Q1085">
        <v>1.5</v>
      </c>
      <c r="R1085">
        <v>0.66527412705941502</v>
      </c>
      <c r="S1085" t="s">
        <v>3087</v>
      </c>
      <c r="T1085" t="s">
        <v>4002</v>
      </c>
      <c r="U1085" t="s">
        <v>4002</v>
      </c>
      <c r="V1085" t="s">
        <v>4002</v>
      </c>
      <c r="W1085" t="s">
        <v>5069</v>
      </c>
      <c r="X1085">
        <v>1</v>
      </c>
      <c r="Y1085" t="s">
        <v>7002</v>
      </c>
      <c r="Z1085" t="s">
        <v>8983</v>
      </c>
      <c r="AA1085">
        <v>1.2202094703566819</v>
      </c>
      <c r="AB1085" t="str">
        <f>HYPERLINK("Melting_Curves/meltCurve_P12004_PCNA.pdf", "Melting_Curves/meltCurve_P12004_PCNA.pdf")</f>
        <v>Melting_Curves/meltCurve_P12004_PCNA.pdf</v>
      </c>
    </row>
    <row r="1086" spans="1:28" x14ac:dyDescent="0.25">
      <c r="A1086" t="s">
        <v>1090</v>
      </c>
      <c r="B1086">
        <v>1</v>
      </c>
      <c r="C1086">
        <v>0.89849168406167901</v>
      </c>
      <c r="D1086">
        <v>1.0018853949229001</v>
      </c>
      <c r="E1086">
        <v>1.0147128139519199</v>
      </c>
      <c r="F1086">
        <v>0.91320449801360204</v>
      </c>
      <c r="G1086">
        <v>1.03491347384015</v>
      </c>
      <c r="H1086">
        <v>0.77550333310888198</v>
      </c>
      <c r="I1086">
        <v>1.1638273516934901</v>
      </c>
      <c r="J1086">
        <v>0.80277422395798304</v>
      </c>
      <c r="K1086">
        <v>0.867315332300855</v>
      </c>
      <c r="L1086">
        <v>392.885353461921</v>
      </c>
      <c r="M1086">
        <v>3.66826628597439</v>
      </c>
      <c r="Q1086">
        <v>0</v>
      </c>
      <c r="R1086">
        <v>7.9486455554844002E-2</v>
      </c>
      <c r="S1086" t="s">
        <v>3088</v>
      </c>
      <c r="T1086" t="s">
        <v>4002</v>
      </c>
      <c r="U1086" t="s">
        <v>4002</v>
      </c>
      <c r="V1086" t="s">
        <v>4002</v>
      </c>
      <c r="W1086" t="s">
        <v>5070</v>
      </c>
      <c r="X1086">
        <v>21</v>
      </c>
      <c r="Y1086" t="s">
        <v>7003</v>
      </c>
      <c r="Z1086" t="s">
        <v>8984</v>
      </c>
      <c r="AA1086">
        <v>0.95839731215712587</v>
      </c>
      <c r="AB1086" t="str">
        <f>HYPERLINK("Melting_Curves/meltCurve_P12109_COL6A1.pdf", "Melting_Curves/meltCurve_P12109_COL6A1.pdf")</f>
        <v>Melting_Curves/meltCurve_P12109_COL6A1.pdf</v>
      </c>
    </row>
    <row r="1087" spans="1:28" x14ac:dyDescent="0.25">
      <c r="A1087" t="s">
        <v>1091</v>
      </c>
      <c r="B1087">
        <v>1</v>
      </c>
      <c r="C1087">
        <v>0.93025612494287402</v>
      </c>
      <c r="D1087">
        <v>1.0568283426391401</v>
      </c>
      <c r="E1087">
        <v>1.1267709181950001</v>
      </c>
      <c r="F1087">
        <v>1.0782681264530001</v>
      </c>
      <c r="G1087">
        <v>1.12496274365649</v>
      </c>
      <c r="H1087">
        <v>0.96806882985276299</v>
      </c>
      <c r="I1087">
        <v>1.24571303673972</v>
      </c>
      <c r="J1087">
        <v>0.98823693047469596</v>
      </c>
      <c r="K1087">
        <v>0.99791364476324795</v>
      </c>
      <c r="L1087">
        <v>11449.3027784104</v>
      </c>
      <c r="M1087">
        <v>250</v>
      </c>
      <c r="O1087">
        <v>45.7942801744829</v>
      </c>
      <c r="P1087">
        <v>0.10332198018052199</v>
      </c>
      <c r="Q1087">
        <v>1.0757048916144301</v>
      </c>
      <c r="R1087">
        <v>0.20588183862585699</v>
      </c>
      <c r="S1087" t="s">
        <v>3089</v>
      </c>
      <c r="T1087" t="s">
        <v>4002</v>
      </c>
      <c r="U1087" t="s">
        <v>4002</v>
      </c>
      <c r="V1087" t="s">
        <v>4002</v>
      </c>
      <c r="W1087" t="s">
        <v>5071</v>
      </c>
      <c r="X1087">
        <v>12</v>
      </c>
      <c r="Y1087" t="s">
        <v>7004</v>
      </c>
      <c r="Z1087" t="s">
        <v>8985</v>
      </c>
      <c r="AA1087">
        <v>1.0610695656546369</v>
      </c>
      <c r="AB1087" t="str">
        <f>HYPERLINK("Melting_Curves/meltCurve_P12110_3_COL6A2.pdf", "Melting_Curves/meltCurve_P12110_3_COL6A2.pdf")</f>
        <v>Melting_Curves/meltCurve_P12110_3_COL6A2.pdf</v>
      </c>
    </row>
    <row r="1088" spans="1:28" x14ac:dyDescent="0.25">
      <c r="A1088" t="s">
        <v>1092</v>
      </c>
      <c r="B1088">
        <v>1</v>
      </c>
      <c r="C1088">
        <v>0.91057350336042397</v>
      </c>
      <c r="D1088">
        <v>1.0325088912628999</v>
      </c>
      <c r="E1088">
        <v>1.0832736074862399</v>
      </c>
      <c r="F1088">
        <v>0.963948126411446</v>
      </c>
      <c r="G1088">
        <v>1.0187832154593</v>
      </c>
      <c r="H1088">
        <v>1.1732139717913701</v>
      </c>
      <c r="I1088">
        <v>1.09668825812384</v>
      </c>
      <c r="J1088">
        <v>1.1692112131333801</v>
      </c>
      <c r="K1088">
        <v>1.0895617249726199</v>
      </c>
      <c r="L1088">
        <v>14352.4758899302</v>
      </c>
      <c r="M1088">
        <v>250</v>
      </c>
      <c r="O1088">
        <v>57.4062297189828</v>
      </c>
      <c r="P1088">
        <v>0.14389640023793801</v>
      </c>
      <c r="Q1088">
        <v>1.13216879674147</v>
      </c>
      <c r="R1088">
        <v>0.63818745293324797</v>
      </c>
      <c r="S1088" t="s">
        <v>3090</v>
      </c>
      <c r="T1088" t="s">
        <v>4002</v>
      </c>
      <c r="U1088" t="s">
        <v>4002</v>
      </c>
      <c r="V1088" t="s">
        <v>4002</v>
      </c>
      <c r="W1088" t="s">
        <v>5072</v>
      </c>
      <c r="X1088">
        <v>9</v>
      </c>
      <c r="Y1088" t="s">
        <v>7005</v>
      </c>
      <c r="Z1088" t="s">
        <v>8986</v>
      </c>
      <c r="AA1088">
        <v>1.055453946778514</v>
      </c>
      <c r="AB1088" t="str">
        <f>HYPERLINK("Melting_Curves/meltCurve_P12273_PIP.pdf", "Melting_Curves/meltCurve_P12273_PIP.pdf")</f>
        <v>Melting_Curves/meltCurve_P12273_PIP.pdf</v>
      </c>
    </row>
    <row r="1089" spans="1:28" x14ac:dyDescent="0.25">
      <c r="A1089" t="s">
        <v>1093</v>
      </c>
      <c r="B1089">
        <v>1</v>
      </c>
      <c r="C1089">
        <v>0.87809473959696405</v>
      </c>
      <c r="D1089">
        <v>0.83472912850039305</v>
      </c>
      <c r="E1089">
        <v>0.85672598796126698</v>
      </c>
      <c r="F1089">
        <v>0.758780423972782</v>
      </c>
      <c r="G1089">
        <v>0.77699555090290495</v>
      </c>
      <c r="H1089">
        <v>0.62067521591206498</v>
      </c>
      <c r="I1089">
        <v>0.96858152316147605</v>
      </c>
      <c r="J1089">
        <v>0.89947657681235305</v>
      </c>
      <c r="K1089">
        <v>0.74945040565297005</v>
      </c>
      <c r="L1089">
        <v>1712.5200652236399</v>
      </c>
      <c r="M1089">
        <v>40.2786233249413</v>
      </c>
      <c r="O1089">
        <v>42.4124498582812</v>
      </c>
      <c r="P1089">
        <v>-4.5955329458770899E-2</v>
      </c>
      <c r="Q1089">
        <v>0.80644083811030598</v>
      </c>
      <c r="R1089">
        <v>0.30710042592140202</v>
      </c>
      <c r="S1089" t="s">
        <v>3091</v>
      </c>
      <c r="T1089" t="s">
        <v>4002</v>
      </c>
      <c r="U1089" t="s">
        <v>4002</v>
      </c>
      <c r="V1089" t="s">
        <v>4002</v>
      </c>
      <c r="W1089" t="s">
        <v>5073</v>
      </c>
      <c r="X1089">
        <v>2</v>
      </c>
      <c r="Y1089" t="s">
        <v>7006</v>
      </c>
      <c r="Z1089" t="s">
        <v>8987</v>
      </c>
      <c r="AA1089">
        <v>0.82368015179964904</v>
      </c>
      <c r="AB1089" t="str">
        <f>HYPERLINK("Melting_Curves/meltCurve_P12645_BMP3.pdf", "Melting_Curves/meltCurve_P12645_BMP3.pdf")</f>
        <v>Melting_Curves/meltCurve_P12645_BMP3.pdf</v>
      </c>
    </row>
    <row r="1090" spans="1:28" x14ac:dyDescent="0.25">
      <c r="A1090" t="s">
        <v>1094</v>
      </c>
      <c r="B1090">
        <v>1</v>
      </c>
      <c r="C1090">
        <v>1.0700428922902701</v>
      </c>
      <c r="D1090">
        <v>1.0766835768251</v>
      </c>
      <c r="E1090">
        <v>1.0531690217509599</v>
      </c>
      <c r="F1090">
        <v>0.922837422978946</v>
      </c>
      <c r="G1090">
        <v>1.0742014849006101</v>
      </c>
      <c r="H1090">
        <v>0.757778310000218</v>
      </c>
      <c r="I1090">
        <v>1.1008077685122699</v>
      </c>
      <c r="J1090">
        <v>0.94254174922162504</v>
      </c>
      <c r="K1090">
        <v>0.88196999716954405</v>
      </c>
      <c r="L1090">
        <v>628.598213945054</v>
      </c>
      <c r="M1090">
        <v>6.7398840794702997</v>
      </c>
      <c r="Q1090">
        <v>0</v>
      </c>
      <c r="R1090">
        <v>0.13864221483470299</v>
      </c>
      <c r="S1090" t="s">
        <v>3092</v>
      </c>
      <c r="T1090" t="s">
        <v>4002</v>
      </c>
      <c r="U1090" t="s">
        <v>4002</v>
      </c>
      <c r="V1090" t="s">
        <v>4002</v>
      </c>
      <c r="W1090" t="s">
        <v>5074</v>
      </c>
      <c r="X1090">
        <v>2</v>
      </c>
      <c r="Y1090" t="s">
        <v>7007</v>
      </c>
      <c r="Z1090" t="s">
        <v>8988</v>
      </c>
      <c r="AA1090">
        <v>0.97829599306128856</v>
      </c>
      <c r="AB1090" t="str">
        <f>HYPERLINK("Melting_Curves/meltCurve_P12724_RNASE3.pdf", "Melting_Curves/meltCurve_P12724_RNASE3.pdf")</f>
        <v>Melting_Curves/meltCurve_P12724_RNASE3.pdf</v>
      </c>
    </row>
    <row r="1091" spans="1:28" x14ac:dyDescent="0.25">
      <c r="A1091" t="s">
        <v>1095</v>
      </c>
      <c r="B1091">
        <v>1</v>
      </c>
      <c r="C1091">
        <v>0.98818609819574799</v>
      </c>
      <c r="D1091">
        <v>1.0810304997514399</v>
      </c>
      <c r="E1091">
        <v>0.96733631605111603</v>
      </c>
      <c r="F1091">
        <v>0.762961663303799</v>
      </c>
      <c r="G1091">
        <v>0.70506184753048495</v>
      </c>
      <c r="H1091">
        <v>0.73500599467789596</v>
      </c>
      <c r="I1091">
        <v>0.73793022779775996</v>
      </c>
      <c r="J1091">
        <v>0.79033248530572897</v>
      </c>
      <c r="K1091">
        <v>0.62932420972599901</v>
      </c>
      <c r="L1091">
        <v>3345.8866867615702</v>
      </c>
      <c r="M1091">
        <v>64.851602626847296</v>
      </c>
      <c r="O1091">
        <v>51.543982918919198</v>
      </c>
      <c r="P1091">
        <v>-8.8215512749012001E-2</v>
      </c>
      <c r="Q1091">
        <v>0.71954574472249999</v>
      </c>
      <c r="R1091">
        <v>0.90350512107310599</v>
      </c>
      <c r="S1091" t="s">
        <v>3093</v>
      </c>
      <c r="T1091" t="s">
        <v>4002</v>
      </c>
      <c r="U1091" t="s">
        <v>4002</v>
      </c>
      <c r="V1091" t="s">
        <v>4002</v>
      </c>
      <c r="W1091" t="s">
        <v>5075</v>
      </c>
      <c r="X1091">
        <v>24</v>
      </c>
      <c r="Y1091" t="s">
        <v>7008</v>
      </c>
      <c r="Z1091" t="s">
        <v>8989</v>
      </c>
      <c r="AA1091">
        <v>0.82830085457217539</v>
      </c>
      <c r="AB1091" t="str">
        <f>HYPERLINK("Melting_Curves/meltCurve_P12814_2_ACTN1.pdf", "Melting_Curves/meltCurve_P12814_2_ACTN1.pdf")</f>
        <v>Melting_Curves/meltCurve_P12814_2_ACTN1.pdf</v>
      </c>
    </row>
    <row r="1092" spans="1:28" x14ac:dyDescent="0.25">
      <c r="A1092" t="s">
        <v>1096</v>
      </c>
      <c r="B1092">
        <v>1</v>
      </c>
      <c r="C1092">
        <v>0.881833677222571</v>
      </c>
      <c r="D1092">
        <v>0.95164618282946101</v>
      </c>
      <c r="E1092">
        <v>1.0739212344128499</v>
      </c>
      <c r="F1092">
        <v>1.0184803086032099</v>
      </c>
      <c r="G1092">
        <v>1.1564546514757299</v>
      </c>
      <c r="H1092">
        <v>1.14003767829909</v>
      </c>
      <c r="I1092">
        <v>1.33094106037499</v>
      </c>
      <c r="J1092">
        <v>1.1939535300977799</v>
      </c>
      <c r="K1092">
        <v>1.1989773033103099</v>
      </c>
      <c r="L1092">
        <v>1327.1929691452699</v>
      </c>
      <c r="M1092">
        <v>23.6912831312336</v>
      </c>
      <c r="O1092">
        <v>55.625751118561503</v>
      </c>
      <c r="P1092">
        <v>2.4545221190963602E-2</v>
      </c>
      <c r="Q1092">
        <v>1.23051915385971</v>
      </c>
      <c r="R1092">
        <v>0.75786106877713499</v>
      </c>
      <c r="S1092" t="s">
        <v>3094</v>
      </c>
      <c r="T1092" t="s">
        <v>4002</v>
      </c>
      <c r="U1092" t="s">
        <v>4002</v>
      </c>
      <c r="V1092" t="s">
        <v>4002</v>
      </c>
      <c r="W1092" t="s">
        <v>5076</v>
      </c>
      <c r="X1092">
        <v>11</v>
      </c>
      <c r="Y1092" t="s">
        <v>7009</v>
      </c>
      <c r="Z1092" t="s">
        <v>8990</v>
      </c>
      <c r="AA1092">
        <v>1.105110500943131</v>
      </c>
      <c r="AB1092" t="str">
        <f>HYPERLINK("Melting_Curves/meltCurve_P12830_CDH1.pdf", "Melting_Curves/meltCurve_P12830_CDH1.pdf")</f>
        <v>Melting_Curves/meltCurve_P12830_CDH1.pdf</v>
      </c>
    </row>
    <row r="1093" spans="1:28" x14ac:dyDescent="0.25">
      <c r="A1093" t="s">
        <v>1097</v>
      </c>
      <c r="B1093">
        <v>1</v>
      </c>
      <c r="C1093">
        <v>1.0895935463853601</v>
      </c>
      <c r="D1093">
        <v>1.24100527458889</v>
      </c>
      <c r="E1093">
        <v>1.2142351846106101</v>
      </c>
      <c r="F1093">
        <v>1.24505119453925</v>
      </c>
      <c r="G1093">
        <v>1.2574619919329799</v>
      </c>
      <c r="H1093">
        <v>1.0551411728203499</v>
      </c>
      <c r="I1093">
        <v>1.58796152652808</v>
      </c>
      <c r="J1093">
        <v>1.87514737821905</v>
      </c>
      <c r="K1093">
        <v>1.4032888613093399</v>
      </c>
      <c r="L1093">
        <v>460.490422907653</v>
      </c>
      <c r="M1093">
        <v>8.9142487575119898</v>
      </c>
      <c r="O1093">
        <v>49.2565165191658</v>
      </c>
      <c r="P1093">
        <v>2.2639038934822601E-2</v>
      </c>
      <c r="Q1093">
        <v>1.5</v>
      </c>
      <c r="R1093">
        <v>0.43391710713667297</v>
      </c>
      <c r="S1093" t="s">
        <v>3095</v>
      </c>
      <c r="T1093" t="s">
        <v>4002</v>
      </c>
      <c r="U1093" t="s">
        <v>4002</v>
      </c>
      <c r="V1093" t="s">
        <v>4002</v>
      </c>
      <c r="W1093" t="s">
        <v>5077</v>
      </c>
      <c r="X1093">
        <v>2</v>
      </c>
      <c r="Y1093" t="s">
        <v>7010</v>
      </c>
      <c r="Z1093" t="s">
        <v>8991</v>
      </c>
      <c r="AA1093">
        <v>1.2835102776134879</v>
      </c>
      <c r="AB1093" t="str">
        <f>HYPERLINK("Melting_Curves/meltCurve_P13010_XRCC5.pdf", "Melting_Curves/meltCurve_P13010_XRCC5.pdf")</f>
        <v>Melting_Curves/meltCurve_P13010_XRCC5.pdf</v>
      </c>
    </row>
    <row r="1094" spans="1:28" x14ac:dyDescent="0.25">
      <c r="A1094" t="s">
        <v>1098</v>
      </c>
      <c r="B1094">
        <v>1</v>
      </c>
      <c r="C1094">
        <v>0.85034523911005</v>
      </c>
      <c r="D1094">
        <v>1.00869491091979</v>
      </c>
      <c r="E1094">
        <v>1.16750490154292</v>
      </c>
      <c r="F1094">
        <v>1.1115846901372399</v>
      </c>
      <c r="G1094">
        <v>1.1055323501832801</v>
      </c>
      <c r="H1094">
        <v>1.0546415480351199</v>
      </c>
      <c r="I1094">
        <v>1.40652970761231</v>
      </c>
      <c r="J1094">
        <v>0.82465262978433196</v>
      </c>
      <c r="K1094">
        <v>1.03503537635325</v>
      </c>
      <c r="L1094">
        <v>11608.560301495399</v>
      </c>
      <c r="M1094">
        <v>250</v>
      </c>
      <c r="O1094">
        <v>46.431280208561297</v>
      </c>
      <c r="P1094">
        <v>0.135661578016707</v>
      </c>
      <c r="Q1094">
        <v>1.1007830290801199</v>
      </c>
      <c r="R1094">
        <v>0.162109573694355</v>
      </c>
      <c r="S1094" t="s">
        <v>3096</v>
      </c>
      <c r="T1094" t="s">
        <v>4002</v>
      </c>
      <c r="U1094" t="s">
        <v>4002</v>
      </c>
      <c r="V1094" t="s">
        <v>4002</v>
      </c>
      <c r="W1094" t="s">
        <v>5078</v>
      </c>
      <c r="X1094">
        <v>2</v>
      </c>
      <c r="Y1094" t="s">
        <v>7011</v>
      </c>
      <c r="Z1094" t="s">
        <v>8992</v>
      </c>
      <c r="AA1094">
        <v>1.0791594055139111</v>
      </c>
      <c r="AB1094" t="str">
        <f>HYPERLINK("Melting_Curves/meltCurve_P13284_IFI30.pdf", "Melting_Curves/meltCurve_P13284_IFI30.pdf")</f>
        <v>Melting_Curves/meltCurve_P13284_IFI30.pdf</v>
      </c>
    </row>
    <row r="1095" spans="1:28" x14ac:dyDescent="0.25">
      <c r="A1095" t="s">
        <v>1099</v>
      </c>
      <c r="B1095">
        <v>1</v>
      </c>
      <c r="C1095">
        <v>0.98624431666994505</v>
      </c>
      <c r="D1095">
        <v>1.1113759154066001</v>
      </c>
      <c r="E1095">
        <v>1.15911010331224</v>
      </c>
      <c r="F1095">
        <v>1.0354593518979101</v>
      </c>
      <c r="G1095">
        <v>1.1704478406238099</v>
      </c>
      <c r="H1095">
        <v>0.98476346934761705</v>
      </c>
      <c r="I1095">
        <v>1.37545264180848</v>
      </c>
      <c r="J1095">
        <v>1.5268924187558599</v>
      </c>
      <c r="K1095">
        <v>1.13867903791201</v>
      </c>
      <c r="L1095">
        <v>394.55502083506298</v>
      </c>
      <c r="M1095">
        <v>6.154365213098</v>
      </c>
      <c r="O1095">
        <v>58.332138523083003</v>
      </c>
      <c r="P1095">
        <v>1.3227189309989E-2</v>
      </c>
      <c r="Q1095">
        <v>1.5</v>
      </c>
      <c r="R1095">
        <v>0.38098629023165398</v>
      </c>
      <c r="S1095" t="s">
        <v>3097</v>
      </c>
      <c r="T1095" t="s">
        <v>4002</v>
      </c>
      <c r="U1095" t="s">
        <v>4002</v>
      </c>
      <c r="V1095" t="s">
        <v>4002</v>
      </c>
      <c r="W1095" t="s">
        <v>5079</v>
      </c>
      <c r="X1095">
        <v>10</v>
      </c>
      <c r="Y1095" t="s">
        <v>7012</v>
      </c>
      <c r="Z1095" t="s">
        <v>8993</v>
      </c>
      <c r="AA1095">
        <v>1.1433468377068221</v>
      </c>
      <c r="AB1095" t="str">
        <f>HYPERLINK("Melting_Curves/meltCurve_P13489_RNH1.pdf", "Melting_Curves/meltCurve_P13489_RNH1.pdf")</f>
        <v>Melting_Curves/meltCurve_P13489_RNH1.pdf</v>
      </c>
    </row>
    <row r="1096" spans="1:28" x14ac:dyDescent="0.25">
      <c r="A1096" t="s">
        <v>1100</v>
      </c>
      <c r="B1096">
        <v>1</v>
      </c>
      <c r="C1096">
        <v>0.87323704813317904</v>
      </c>
      <c r="D1096">
        <v>0.99892597721941201</v>
      </c>
      <c r="E1096">
        <v>1.0021197818037899</v>
      </c>
      <c r="F1096">
        <v>1.02043469658856</v>
      </c>
      <c r="G1096">
        <v>0.98586812130804702</v>
      </c>
      <c r="H1096">
        <v>0.77284418190554305</v>
      </c>
      <c r="I1096">
        <v>1.18589073231395</v>
      </c>
      <c r="J1096">
        <v>2.6583194369859502</v>
      </c>
      <c r="K1096">
        <v>0.94157881348746497</v>
      </c>
      <c r="L1096">
        <v>15000</v>
      </c>
      <c r="M1096">
        <v>233.852351085604</v>
      </c>
      <c r="O1096">
        <v>64.138346839727603</v>
      </c>
      <c r="P1096">
        <v>0.45575768342151302</v>
      </c>
      <c r="Q1096">
        <v>1.5</v>
      </c>
      <c r="R1096">
        <v>0.35002309903220302</v>
      </c>
      <c r="S1096" t="s">
        <v>3098</v>
      </c>
      <c r="T1096" t="s">
        <v>4002</v>
      </c>
      <c r="U1096" t="s">
        <v>4002</v>
      </c>
      <c r="V1096" t="s">
        <v>4002</v>
      </c>
      <c r="W1096" t="s">
        <v>5080</v>
      </c>
      <c r="X1096">
        <v>1</v>
      </c>
      <c r="Y1096" t="s">
        <v>7013</v>
      </c>
      <c r="Z1096" t="s">
        <v>8994</v>
      </c>
      <c r="AA1096">
        <v>1.0975517221577891</v>
      </c>
      <c r="AB1096" t="str">
        <f>HYPERLINK("Melting_Curves/meltCurve_P13498_CYBA.pdf", "Melting_Curves/meltCurve_P13498_CYBA.pdf")</f>
        <v>Melting_Curves/meltCurve_P13498_CYBA.pdf</v>
      </c>
    </row>
    <row r="1097" spans="1:28" x14ac:dyDescent="0.25">
      <c r="A1097" t="s">
        <v>1101</v>
      </c>
      <c r="B1097">
        <v>1</v>
      </c>
      <c r="C1097">
        <v>0.98716144917340798</v>
      </c>
      <c r="D1097">
        <v>1.05765036932817</v>
      </c>
      <c r="E1097">
        <v>1.1459373900809</v>
      </c>
      <c r="F1097">
        <v>1.16109743228983</v>
      </c>
      <c r="G1097">
        <v>1.50886387618713</v>
      </c>
      <c r="H1097">
        <v>1.5373549067886001</v>
      </c>
      <c r="I1097">
        <v>2.294231445656</v>
      </c>
      <c r="J1097">
        <v>6.2068237776996096</v>
      </c>
      <c r="K1097">
        <v>2.0366162504396801</v>
      </c>
      <c r="L1097">
        <v>2604.33848505587</v>
      </c>
      <c r="M1097">
        <v>48.626992792815997</v>
      </c>
      <c r="O1097">
        <v>53.467120871484397</v>
      </c>
      <c r="P1097">
        <v>0.113684443800472</v>
      </c>
      <c r="Q1097">
        <v>1.5</v>
      </c>
      <c r="R1097">
        <v>-2.7724926101186698E-2</v>
      </c>
      <c r="S1097" t="s">
        <v>3099</v>
      </c>
      <c r="T1097" t="s">
        <v>4002</v>
      </c>
      <c r="U1097" t="s">
        <v>4002</v>
      </c>
      <c r="V1097" t="s">
        <v>4002</v>
      </c>
      <c r="W1097" t="s">
        <v>5081</v>
      </c>
      <c r="X1097">
        <v>9</v>
      </c>
      <c r="Y1097" t="s">
        <v>7014</v>
      </c>
      <c r="Z1097" t="s">
        <v>8995</v>
      </c>
      <c r="AA1097">
        <v>1.272793333848063</v>
      </c>
      <c r="AB1097" t="str">
        <f>HYPERLINK("Melting_Curves/meltCurve_P13639_EEF2.pdf", "Melting_Curves/meltCurve_P13639_EEF2.pdf")</f>
        <v>Melting_Curves/meltCurve_P13639_EEF2.pdf</v>
      </c>
    </row>
    <row r="1098" spans="1:28" x14ac:dyDescent="0.25">
      <c r="A1098" t="s">
        <v>1102</v>
      </c>
      <c r="B1098">
        <v>1</v>
      </c>
      <c r="C1098">
        <v>0.95827170927530103</v>
      </c>
      <c r="D1098">
        <v>0.99841538136488495</v>
      </c>
      <c r="E1098">
        <v>0.99418973167124403</v>
      </c>
      <c r="F1098">
        <v>0.97834354532009304</v>
      </c>
      <c r="G1098">
        <v>1.0934924994717901</v>
      </c>
      <c r="H1098">
        <v>0.83747094865835603</v>
      </c>
      <c r="I1098">
        <v>1.8690576801183201</v>
      </c>
      <c r="J1098">
        <v>2.4642404394675701</v>
      </c>
      <c r="K1098">
        <v>1.95520811324741</v>
      </c>
      <c r="L1098">
        <v>8301.0700098785692</v>
      </c>
      <c r="M1098">
        <v>133.27346929202201</v>
      </c>
      <c r="O1098">
        <v>62.271968598352899</v>
      </c>
      <c r="P1098">
        <v>0.26752300148958202</v>
      </c>
      <c r="Q1098">
        <v>1.5</v>
      </c>
      <c r="R1098">
        <v>0.53423358338018401</v>
      </c>
      <c r="S1098" t="s">
        <v>3100</v>
      </c>
      <c r="T1098" t="s">
        <v>4002</v>
      </c>
      <c r="U1098" t="s">
        <v>4002</v>
      </c>
      <c r="V1098" t="s">
        <v>4002</v>
      </c>
      <c r="W1098" t="s">
        <v>5082</v>
      </c>
      <c r="X1098">
        <v>5</v>
      </c>
      <c r="Y1098" t="s">
        <v>7015</v>
      </c>
      <c r="Z1098" t="s">
        <v>8996</v>
      </c>
      <c r="AA1098">
        <v>1.128374405119497</v>
      </c>
      <c r="AB1098" t="str">
        <f>HYPERLINK("Melting_Curves/meltCurve_P13667_PDIA4.pdf", "Melting_Curves/meltCurve_P13667_PDIA4.pdf")</f>
        <v>Melting_Curves/meltCurve_P13667_PDIA4.pdf</v>
      </c>
    </row>
    <row r="1099" spans="1:28" x14ac:dyDescent="0.25">
      <c r="A1099" t="s">
        <v>1103</v>
      </c>
      <c r="B1099">
        <v>1</v>
      </c>
      <c r="C1099">
        <v>0.93049549982383695</v>
      </c>
      <c r="D1099">
        <v>0.96585631466000399</v>
      </c>
      <c r="E1099">
        <v>0.92887799878287003</v>
      </c>
      <c r="F1099">
        <v>0.89436597162166498</v>
      </c>
      <c r="G1099">
        <v>0.97411998334454397</v>
      </c>
      <c r="H1099">
        <v>0.72694660645078601</v>
      </c>
      <c r="I1099">
        <v>1.1053297460042899</v>
      </c>
      <c r="J1099">
        <v>0.76672752314147496</v>
      </c>
      <c r="K1099">
        <v>0.820281220973063</v>
      </c>
      <c r="L1099">
        <v>188.34552309812099</v>
      </c>
      <c r="M1099">
        <v>1.0390593964274699</v>
      </c>
      <c r="O1099">
        <v>66.903545127813302</v>
      </c>
      <c r="P1099">
        <v>-5.2101531437115803E-3</v>
      </c>
      <c r="Q1099">
        <v>0</v>
      </c>
      <c r="R1099">
        <v>0.174303503672182</v>
      </c>
      <c r="S1099" t="s">
        <v>3101</v>
      </c>
      <c r="T1099" t="s">
        <v>4002</v>
      </c>
      <c r="U1099" t="s">
        <v>4002</v>
      </c>
      <c r="V1099" t="s">
        <v>4002</v>
      </c>
      <c r="W1099" t="s">
        <v>5083</v>
      </c>
      <c r="X1099">
        <v>5</v>
      </c>
      <c r="Y1099" t="s">
        <v>7016</v>
      </c>
      <c r="Z1099" t="s">
        <v>8997</v>
      </c>
      <c r="AA1099">
        <v>0.91287662664452185</v>
      </c>
      <c r="AB1099" t="str">
        <f>HYPERLINK("Melting_Curves/meltCurve_P13671_C6.pdf", "Melting_Curves/meltCurve_P13671_C6.pdf")</f>
        <v>Melting_Curves/meltCurve_P13671_C6.pdf</v>
      </c>
    </row>
    <row r="1100" spans="1:28" x14ac:dyDescent="0.25">
      <c r="A1100" t="s">
        <v>1104</v>
      </c>
      <c r="B1100">
        <v>1</v>
      </c>
      <c r="C1100">
        <v>0.98311684737740102</v>
      </c>
      <c r="D1100">
        <v>1.1021932962738701</v>
      </c>
      <c r="E1100">
        <v>1.1484396499532199</v>
      </c>
      <c r="F1100">
        <v>1.0944328251417299</v>
      </c>
      <c r="G1100">
        <v>1.10050085310144</v>
      </c>
      <c r="H1100">
        <v>1.0988359293301799</v>
      </c>
      <c r="I1100">
        <v>1.20614783422313</v>
      </c>
      <c r="J1100">
        <v>1.0833425064670601</v>
      </c>
      <c r="K1100">
        <v>1.0171445869337901</v>
      </c>
      <c r="L1100">
        <v>11359.1730011319</v>
      </c>
      <c r="M1100">
        <v>250</v>
      </c>
      <c r="O1100">
        <v>45.433784364350799</v>
      </c>
      <c r="P1100">
        <v>0.147161637890041</v>
      </c>
      <c r="Q1100">
        <v>1.10697776182036</v>
      </c>
      <c r="R1100">
        <v>0.50286189239548995</v>
      </c>
      <c r="S1100" t="s">
        <v>3102</v>
      </c>
      <c r="T1100" t="s">
        <v>4002</v>
      </c>
      <c r="U1100" t="s">
        <v>4002</v>
      </c>
      <c r="V1100" t="s">
        <v>4002</v>
      </c>
      <c r="W1100" t="s">
        <v>5084</v>
      </c>
      <c r="X1100">
        <v>29</v>
      </c>
      <c r="Y1100" t="s">
        <v>7017</v>
      </c>
      <c r="Z1100" t="s">
        <v>8998</v>
      </c>
      <c r="AA1100">
        <v>1.087582393261737</v>
      </c>
      <c r="AB1100" t="str">
        <f>HYPERLINK("Melting_Curves/meltCurve_P13796_LCP1.pdf", "Melting_Curves/meltCurve_P13796_LCP1.pdf")</f>
        <v>Melting_Curves/meltCurve_P13796_LCP1.pdf</v>
      </c>
    </row>
    <row r="1101" spans="1:28" x14ac:dyDescent="0.25">
      <c r="A1101" t="s">
        <v>1105</v>
      </c>
      <c r="B1101">
        <v>1</v>
      </c>
      <c r="C1101">
        <v>1.0009414110089701</v>
      </c>
      <c r="D1101">
        <v>0.93476575479012103</v>
      </c>
      <c r="E1101">
        <v>0.86582124266253202</v>
      </c>
      <c r="F1101">
        <v>0.75999556983054595</v>
      </c>
      <c r="G1101">
        <v>0.73003654889799496</v>
      </c>
      <c r="H1101">
        <v>0.87152508583453303</v>
      </c>
      <c r="I1101">
        <v>0.76808062908406205</v>
      </c>
      <c r="J1101">
        <v>0.70362166352862998</v>
      </c>
      <c r="K1101">
        <v>0.79527079410787505</v>
      </c>
      <c r="L1101">
        <v>1243.2525006385299</v>
      </c>
      <c r="M1101">
        <v>25.707835496457701</v>
      </c>
      <c r="O1101">
        <v>48.0710672462235</v>
      </c>
      <c r="P1101">
        <v>-3.07691449986425E-2</v>
      </c>
      <c r="Q1101">
        <v>0.76986198630731095</v>
      </c>
      <c r="R1101">
        <v>0.81910808879963104</v>
      </c>
      <c r="S1101" t="s">
        <v>3103</v>
      </c>
      <c r="T1101" t="s">
        <v>4002</v>
      </c>
      <c r="U1101" t="s">
        <v>4002</v>
      </c>
      <c r="V1101" t="s">
        <v>4002</v>
      </c>
      <c r="W1101" t="s">
        <v>5085</v>
      </c>
      <c r="X1101">
        <v>1</v>
      </c>
      <c r="Y1101" t="s">
        <v>7018</v>
      </c>
      <c r="Z1101" t="s">
        <v>8999</v>
      </c>
      <c r="AA1101">
        <v>0.83591841366469899</v>
      </c>
      <c r="AB1101" t="str">
        <f>HYPERLINK("Melting_Curves/meltCurve_P14138_2_EDN3.pdf", "Melting_Curves/meltCurve_P14138_2_EDN3.pdf")</f>
        <v>Melting_Curves/meltCurve_P14138_2_EDN3.pdf</v>
      </c>
    </row>
    <row r="1102" spans="1:28" x14ac:dyDescent="0.25">
      <c r="A1102" t="s">
        <v>1106</v>
      </c>
      <c r="B1102">
        <v>1</v>
      </c>
      <c r="C1102">
        <v>0.85940663790826699</v>
      </c>
      <c r="D1102">
        <v>0.90277900049887005</v>
      </c>
      <c r="E1102">
        <v>0.97699327992487595</v>
      </c>
      <c r="F1102">
        <v>0.94670892390762096</v>
      </c>
      <c r="G1102">
        <v>1.0119141943246199</v>
      </c>
      <c r="H1102">
        <v>0.78877248584088999</v>
      </c>
      <c r="I1102">
        <v>1.13757079555125</v>
      </c>
      <c r="J1102">
        <v>0.97400005869061201</v>
      </c>
      <c r="K1102">
        <v>0.98876074771840206</v>
      </c>
      <c r="L1102">
        <v>95.0024623370673</v>
      </c>
      <c r="M1102">
        <v>18.721865782426899</v>
      </c>
      <c r="Q1102">
        <v>0.95869061203572403</v>
      </c>
      <c r="R1102">
        <v>-3.1399658428909999E-9</v>
      </c>
      <c r="S1102" t="s">
        <v>3104</v>
      </c>
      <c r="T1102" t="s">
        <v>4002</v>
      </c>
      <c r="U1102" t="s">
        <v>4002</v>
      </c>
      <c r="V1102" t="s">
        <v>4002</v>
      </c>
      <c r="W1102" t="s">
        <v>5086</v>
      </c>
      <c r="X1102">
        <v>2</v>
      </c>
      <c r="Y1102" t="s">
        <v>7019</v>
      </c>
      <c r="Z1102" t="s">
        <v>9000</v>
      </c>
      <c r="AA1102">
        <v>0.95869061391247101</v>
      </c>
      <c r="AB1102" t="str">
        <f>HYPERLINK("Melting_Curves/meltCurve_P14151_SELL.pdf", "Melting_Curves/meltCurve_P14151_SELL.pdf")</f>
        <v>Melting_Curves/meltCurve_P14151_SELL.pdf</v>
      </c>
    </row>
    <row r="1103" spans="1:28" x14ac:dyDescent="0.25">
      <c r="A1103" t="s">
        <v>1107</v>
      </c>
      <c r="B1103">
        <v>1</v>
      </c>
      <c r="C1103">
        <v>1.05475697745959</v>
      </c>
      <c r="D1103">
        <v>1.2731696403602</v>
      </c>
      <c r="E1103">
        <v>1.4883662397225801</v>
      </c>
      <c r="F1103">
        <v>1.28088819285195</v>
      </c>
      <c r="G1103">
        <v>1.3951842944236299</v>
      </c>
      <c r="H1103">
        <v>1.3595838693439199</v>
      </c>
      <c r="I1103">
        <v>1.46252586833716</v>
      </c>
      <c r="J1103">
        <v>1.40354605962302</v>
      </c>
      <c r="K1103">
        <v>1.2320040270708701</v>
      </c>
      <c r="L1103">
        <v>2011.24679887411</v>
      </c>
      <c r="M1103">
        <v>44.8812720878025</v>
      </c>
      <c r="O1103">
        <v>44.723912523051098</v>
      </c>
      <c r="P1103">
        <v>9.3811597570924193E-2</v>
      </c>
      <c r="Q1103">
        <v>1.3739302385399901</v>
      </c>
      <c r="R1103">
        <v>0.782967729683409</v>
      </c>
      <c r="S1103" t="s">
        <v>3105</v>
      </c>
      <c r="T1103" t="s">
        <v>4002</v>
      </c>
      <c r="U1103" t="s">
        <v>4002</v>
      </c>
      <c r="V1103" t="s">
        <v>4002</v>
      </c>
      <c r="W1103" t="s">
        <v>5087</v>
      </c>
      <c r="X1103">
        <v>2</v>
      </c>
      <c r="Y1103" t="s">
        <v>7020</v>
      </c>
      <c r="Z1103" t="s">
        <v>9001</v>
      </c>
      <c r="AA1103">
        <v>1.3129826446198689</v>
      </c>
      <c r="AB1103" t="str">
        <f>HYPERLINK("Melting_Curves/meltCurve_P14174_MIF.pdf", "Melting_Curves/meltCurve_P14174_MIF.pdf")</f>
        <v>Melting_Curves/meltCurve_P14174_MIF.pdf</v>
      </c>
    </row>
    <row r="1104" spans="1:28" x14ac:dyDescent="0.25">
      <c r="A1104" t="s">
        <v>1108</v>
      </c>
      <c r="B1104">
        <v>1</v>
      </c>
      <c r="C1104">
        <v>0.96808886854860499</v>
      </c>
      <c r="D1104">
        <v>1.12417049780533</v>
      </c>
      <c r="E1104">
        <v>1.1377961764889399</v>
      </c>
      <c r="F1104">
        <v>0.95704270766158395</v>
      </c>
      <c r="G1104">
        <v>0.98054960371117705</v>
      </c>
      <c r="H1104">
        <v>0.70732874290112502</v>
      </c>
      <c r="I1104">
        <v>1.00401489463502</v>
      </c>
      <c r="J1104">
        <v>0.67751867030018098</v>
      </c>
      <c r="K1104">
        <v>0.668844001580995</v>
      </c>
      <c r="L1104">
        <v>807.71164054377095</v>
      </c>
      <c r="M1104">
        <v>11.7336105561822</v>
      </c>
      <c r="O1104">
        <v>66.929217919228606</v>
      </c>
      <c r="P1104">
        <v>-2.6894415367219499E-2</v>
      </c>
      <c r="Q1104">
        <v>0.38653188859278798</v>
      </c>
      <c r="R1104">
        <v>0.60266069894546204</v>
      </c>
      <c r="S1104" t="s">
        <v>3106</v>
      </c>
      <c r="T1104" t="s">
        <v>4002</v>
      </c>
      <c r="U1104" t="s">
        <v>4002</v>
      </c>
      <c r="V1104" t="s">
        <v>4002</v>
      </c>
      <c r="W1104" t="s">
        <v>5088</v>
      </c>
      <c r="X1104">
        <v>22</v>
      </c>
      <c r="Y1104" t="s">
        <v>7021</v>
      </c>
      <c r="Z1104" t="s">
        <v>9002</v>
      </c>
      <c r="AA1104">
        <v>0.91768259374347649</v>
      </c>
      <c r="AB1104" t="str">
        <f>HYPERLINK("Melting_Curves/meltCurve_P14317_HCLS1.pdf", "Melting_Curves/meltCurve_P14317_HCLS1.pdf")</f>
        <v>Melting_Curves/meltCurve_P14317_HCLS1.pdf</v>
      </c>
    </row>
    <row r="1105" spans="1:28" x14ac:dyDescent="0.25">
      <c r="A1105" t="s">
        <v>1109</v>
      </c>
      <c r="B1105">
        <v>1</v>
      </c>
      <c r="C1105">
        <v>0.95164417269405699</v>
      </c>
      <c r="D1105">
        <v>1.0608082917008399</v>
      </c>
      <c r="E1105">
        <v>1.14066810826933</v>
      </c>
      <c r="F1105">
        <v>1.2558347625083901</v>
      </c>
      <c r="G1105">
        <v>1.4017597494594001</v>
      </c>
      <c r="H1105">
        <v>1.72772351055104</v>
      </c>
      <c r="I1105">
        <v>3.5594288270822498</v>
      </c>
      <c r="J1105">
        <v>3.5129371411527801</v>
      </c>
      <c r="K1105">
        <v>3.4412795466408199</v>
      </c>
      <c r="L1105">
        <v>1937.48140814002</v>
      </c>
      <c r="M1105">
        <v>36.942382114690503</v>
      </c>
      <c r="O1105">
        <v>52.293066090122203</v>
      </c>
      <c r="P1105">
        <v>8.8306376534144804E-2</v>
      </c>
      <c r="Q1105">
        <v>1.5</v>
      </c>
      <c r="R1105">
        <v>-6.3300136799003801E-2</v>
      </c>
      <c r="S1105" t="s">
        <v>3107</v>
      </c>
      <c r="T1105" t="s">
        <v>4002</v>
      </c>
      <c r="U1105" t="s">
        <v>4002</v>
      </c>
      <c r="V1105" t="s">
        <v>4002</v>
      </c>
      <c r="W1105" t="s">
        <v>5089</v>
      </c>
      <c r="X1105">
        <v>4</v>
      </c>
      <c r="Y1105" t="s">
        <v>7022</v>
      </c>
      <c r="Z1105" t="s">
        <v>9003</v>
      </c>
      <c r="AA1105">
        <v>1.290441326744669</v>
      </c>
      <c r="AB1105" t="str">
        <f>HYPERLINK("Melting_Curves/meltCurve_P14324_2_FDPS.pdf", "Melting_Curves/meltCurve_P14324_2_FDPS.pdf")</f>
        <v>Melting_Curves/meltCurve_P14324_2_FDPS.pdf</v>
      </c>
    </row>
    <row r="1106" spans="1:28" x14ac:dyDescent="0.25">
      <c r="A1106" t="s">
        <v>1110</v>
      </c>
      <c r="B1106">
        <v>1</v>
      </c>
      <c r="C1106">
        <v>1.0488870611216801</v>
      </c>
      <c r="D1106">
        <v>1.2020768004935001</v>
      </c>
      <c r="E1106">
        <v>1.1839819051046101</v>
      </c>
      <c r="F1106">
        <v>1.16321390016964</v>
      </c>
      <c r="G1106">
        <v>1.36914614712384</v>
      </c>
      <c r="H1106">
        <v>1.46193389194469</v>
      </c>
      <c r="I1106">
        <v>2.8556006785585799</v>
      </c>
      <c r="J1106">
        <v>3.3632344625507602</v>
      </c>
      <c r="K1106">
        <v>3.4697990027245198</v>
      </c>
      <c r="L1106">
        <v>1857.5630290735401</v>
      </c>
      <c r="M1106">
        <v>34.689849571294701</v>
      </c>
      <c r="O1106">
        <v>53.370732036586297</v>
      </c>
      <c r="P1106">
        <v>8.1247663607519199E-2</v>
      </c>
      <c r="Q1106">
        <v>1.5</v>
      </c>
      <c r="R1106">
        <v>-3.08134514278471E-2</v>
      </c>
      <c r="S1106" t="s">
        <v>3108</v>
      </c>
      <c r="T1106" t="s">
        <v>4002</v>
      </c>
      <c r="U1106" t="s">
        <v>4002</v>
      </c>
      <c r="V1106" t="s">
        <v>4002</v>
      </c>
      <c r="W1106" t="s">
        <v>5090</v>
      </c>
      <c r="X1106">
        <v>6</v>
      </c>
      <c r="Y1106" t="s">
        <v>7023</v>
      </c>
      <c r="Z1106" t="s">
        <v>9004</v>
      </c>
      <c r="AA1106">
        <v>1.271749334370937</v>
      </c>
      <c r="AB1106" t="str">
        <f>HYPERLINK("Melting_Curves/meltCurve_P14550_AKR1A1.pdf", "Melting_Curves/meltCurve_P14550_AKR1A1.pdf")</f>
        <v>Melting_Curves/meltCurve_P14550_AKR1A1.pdf</v>
      </c>
    </row>
    <row r="1107" spans="1:28" x14ac:dyDescent="0.25">
      <c r="A1107" t="s">
        <v>1111</v>
      </c>
      <c r="B1107">
        <v>1</v>
      </c>
      <c r="C1107">
        <v>0.96730230407225004</v>
      </c>
      <c r="D1107">
        <v>1.06365441636517</v>
      </c>
      <c r="E1107">
        <v>1.24224041783412</v>
      </c>
      <c r="F1107">
        <v>1.1143875302630499</v>
      </c>
      <c r="G1107">
        <v>1.06368161910721</v>
      </c>
      <c r="H1107">
        <v>0.91069339789450798</v>
      </c>
      <c r="I1107">
        <v>1.3352737955986</v>
      </c>
      <c r="J1107">
        <v>0.90076439705122302</v>
      </c>
      <c r="K1107">
        <v>1.11686297978836</v>
      </c>
      <c r="L1107">
        <v>11471.215460566</v>
      </c>
      <c r="M1107">
        <v>250</v>
      </c>
      <c r="O1107">
        <v>45.8819061024438</v>
      </c>
      <c r="P1107">
        <v>0.133086980927792</v>
      </c>
      <c r="Q1107">
        <v>1.0977005912951401</v>
      </c>
      <c r="R1107">
        <v>0.11378229375856801</v>
      </c>
      <c r="S1107" t="s">
        <v>3109</v>
      </c>
      <c r="T1107" t="s">
        <v>4002</v>
      </c>
      <c r="U1107" t="s">
        <v>4002</v>
      </c>
      <c r="V1107" t="s">
        <v>4002</v>
      </c>
      <c r="W1107" t="s">
        <v>5091</v>
      </c>
      <c r="X1107">
        <v>1</v>
      </c>
      <c r="Y1107" t="s">
        <v>7024</v>
      </c>
      <c r="Z1107" t="s">
        <v>9005</v>
      </c>
      <c r="AA1107">
        <v>1.0785275743489759</v>
      </c>
      <c r="AB1107" t="str">
        <f>HYPERLINK("Melting_Curves/meltCurve_P14555_PLA2G2A.pdf", "Melting_Curves/meltCurve_P14555_PLA2G2A.pdf")</f>
        <v>Melting_Curves/meltCurve_P14555_PLA2G2A.pdf</v>
      </c>
    </row>
    <row r="1108" spans="1:28" x14ac:dyDescent="0.25">
      <c r="A1108" t="s">
        <v>1112</v>
      </c>
      <c r="B1108">
        <v>1</v>
      </c>
      <c r="C1108">
        <v>1.0051963259779699</v>
      </c>
      <c r="D1108">
        <v>1.05796465034581</v>
      </c>
      <c r="E1108">
        <v>1.0551103304424201</v>
      </c>
      <c r="F1108">
        <v>0.96794379185420998</v>
      </c>
      <c r="G1108">
        <v>1.01690635635086</v>
      </c>
      <c r="H1108">
        <v>0.95187909393640002</v>
      </c>
      <c r="I1108">
        <v>1.24338566253156</v>
      </c>
      <c r="J1108">
        <v>1.41508398287408</v>
      </c>
      <c r="K1108">
        <v>1.1769312401654</v>
      </c>
      <c r="L1108">
        <v>15000</v>
      </c>
      <c r="M1108">
        <v>235.90621132045101</v>
      </c>
      <c r="O1108">
        <v>63.580021423228899</v>
      </c>
      <c r="P1108">
        <v>0.27457871842205001</v>
      </c>
      <c r="Q1108">
        <v>1.29601121059518</v>
      </c>
      <c r="R1108">
        <v>0.80159256493238495</v>
      </c>
      <c r="S1108" t="s">
        <v>3110</v>
      </c>
      <c r="T1108" t="s">
        <v>4002</v>
      </c>
      <c r="U1108" t="s">
        <v>4002</v>
      </c>
      <c r="V1108" t="s">
        <v>4002</v>
      </c>
      <c r="W1108" t="s">
        <v>5092</v>
      </c>
      <c r="X1108">
        <v>23</v>
      </c>
      <c r="Y1108" t="s">
        <v>7025</v>
      </c>
      <c r="Z1108" t="s">
        <v>9006</v>
      </c>
      <c r="AA1108">
        <v>1.0632640002121221</v>
      </c>
      <c r="AB1108" t="str">
        <f>HYPERLINK("Melting_Curves/meltCurve_P14618_PKM.pdf", "Melting_Curves/meltCurve_P14618_PKM.pdf")</f>
        <v>Melting_Curves/meltCurve_P14618_PKM.pdf</v>
      </c>
    </row>
    <row r="1109" spans="1:28" x14ac:dyDescent="0.25">
      <c r="A1109" t="s">
        <v>1113</v>
      </c>
      <c r="B1109">
        <v>1</v>
      </c>
      <c r="C1109">
        <v>1.10894308943089</v>
      </c>
      <c r="D1109">
        <v>1.1022841656988001</v>
      </c>
      <c r="E1109">
        <v>0.91753774680604006</v>
      </c>
      <c r="F1109">
        <v>0.81881533101045301</v>
      </c>
      <c r="G1109">
        <v>0.82098335269067002</v>
      </c>
      <c r="H1109">
        <v>0.71245838172667397</v>
      </c>
      <c r="I1109">
        <v>1.0426635694928399</v>
      </c>
      <c r="J1109">
        <v>0.95911730545876905</v>
      </c>
      <c r="K1109">
        <v>0.90135501355013503</v>
      </c>
      <c r="L1109">
        <v>12465.8345639911</v>
      </c>
      <c r="M1109">
        <v>250</v>
      </c>
      <c r="O1109">
        <v>49.860147394891698</v>
      </c>
      <c r="P1109">
        <v>-0.15556157488668901</v>
      </c>
      <c r="Q1109">
        <v>0.87589883145406999</v>
      </c>
      <c r="R1109">
        <v>0.40320892822542798</v>
      </c>
      <c r="S1109" t="s">
        <v>3111</v>
      </c>
      <c r="T1109" t="s">
        <v>4002</v>
      </c>
      <c r="U1109" t="s">
        <v>4002</v>
      </c>
      <c r="V1109" t="s">
        <v>4002</v>
      </c>
      <c r="W1109" t="s">
        <v>5093</v>
      </c>
      <c r="X1109">
        <v>22</v>
      </c>
      <c r="Y1109" t="s">
        <v>7025</v>
      </c>
      <c r="Z1109" t="s">
        <v>9007</v>
      </c>
      <c r="AA1109">
        <v>0.91671141824834046</v>
      </c>
      <c r="AB1109" t="str">
        <f>HYPERLINK("Melting_Curves/meltCurve_P14618_2_PKM.pdf", "Melting_Curves/meltCurve_P14618_2_PKM.pdf")</f>
        <v>Melting_Curves/meltCurve_P14618_2_PKM.pdf</v>
      </c>
    </row>
    <row r="1110" spans="1:28" x14ac:dyDescent="0.25">
      <c r="A1110" t="s">
        <v>1114</v>
      </c>
      <c r="B1110">
        <v>1</v>
      </c>
      <c r="C1110">
        <v>1.0426490556721399</v>
      </c>
      <c r="D1110">
        <v>1.1014072336748599</v>
      </c>
      <c r="E1110">
        <v>1.1597950870262901</v>
      </c>
      <c r="F1110">
        <v>1.05357363288483</v>
      </c>
      <c r="G1110">
        <v>1.2335514134057499</v>
      </c>
      <c r="H1110">
        <v>0.960869028514998</v>
      </c>
      <c r="I1110">
        <v>1.6282557708924801</v>
      </c>
      <c r="J1110">
        <v>1.9751882483644001</v>
      </c>
      <c r="K1110">
        <v>1.1888038513763699</v>
      </c>
      <c r="S1110" t="s">
        <v>3112</v>
      </c>
      <c r="T1110" t="s">
        <v>4002</v>
      </c>
      <c r="U1110" t="s">
        <v>4003</v>
      </c>
      <c r="V1110" t="s">
        <v>4002</v>
      </c>
      <c r="W1110" t="s">
        <v>5094</v>
      </c>
      <c r="X1110">
        <v>7</v>
      </c>
      <c r="Y1110" t="s">
        <v>7026</v>
      </c>
      <c r="Z1110" t="s">
        <v>9008</v>
      </c>
      <c r="AB1110" t="str">
        <f>HYPERLINK("Melting_Curves/meltCurve_P14625_HSP90B1.pdf", "Melting_Curves/meltCurve_P14625_HSP90B1.pdf")</f>
        <v>Melting_Curves/meltCurve_P14625_HSP90B1.pdf</v>
      </c>
    </row>
    <row r="1111" spans="1:28" x14ac:dyDescent="0.25">
      <c r="A1111" t="s">
        <v>1115</v>
      </c>
      <c r="B1111">
        <v>1</v>
      </c>
      <c r="C1111">
        <v>0.92035272365239695</v>
      </c>
      <c r="D1111">
        <v>0.98335940833451896</v>
      </c>
      <c r="E1111">
        <v>1.0290143649551999</v>
      </c>
      <c r="F1111">
        <v>0.98314606741572996</v>
      </c>
      <c r="G1111">
        <v>0.98919072678139697</v>
      </c>
      <c r="H1111">
        <v>0.82413596927890798</v>
      </c>
      <c r="I1111">
        <v>1.3956762907125599</v>
      </c>
      <c r="J1111">
        <v>0.97034561228843697</v>
      </c>
      <c r="K1111">
        <v>0.86218176646280797</v>
      </c>
      <c r="L1111">
        <v>15000</v>
      </c>
      <c r="M1111">
        <v>222.58547159323101</v>
      </c>
      <c r="O1111">
        <v>67.384404069911</v>
      </c>
      <c r="P1111">
        <v>-0.113839936678216</v>
      </c>
      <c r="Q1111">
        <v>0.86214668725834098</v>
      </c>
      <c r="R1111">
        <v>9.1567587932995201E-2</v>
      </c>
      <c r="S1111" t="s">
        <v>3113</v>
      </c>
      <c r="T1111" t="s">
        <v>4002</v>
      </c>
      <c r="U1111" t="s">
        <v>4002</v>
      </c>
      <c r="V1111" t="s">
        <v>4002</v>
      </c>
      <c r="W1111" t="s">
        <v>5095</v>
      </c>
      <c r="X1111">
        <v>4</v>
      </c>
      <c r="Y1111" t="s">
        <v>7027</v>
      </c>
      <c r="Z1111" t="s">
        <v>9009</v>
      </c>
      <c r="AA1111">
        <v>0.9880262322640484</v>
      </c>
      <c r="AB1111" t="str">
        <f>HYPERLINK("Melting_Curves/meltCurve_P14735_IDE.pdf", "Melting_Curves/meltCurve_P14735_IDE.pdf")</f>
        <v>Melting_Curves/meltCurve_P14735_IDE.pdf</v>
      </c>
    </row>
    <row r="1112" spans="1:28" x14ac:dyDescent="0.25">
      <c r="A1112" t="s">
        <v>1116</v>
      </c>
      <c r="B1112">
        <v>1</v>
      </c>
      <c r="C1112">
        <v>0.87553986146951002</v>
      </c>
      <c r="D1112">
        <v>0.99880483498573902</v>
      </c>
      <c r="E1112">
        <v>1.09933451038979</v>
      </c>
      <c r="F1112">
        <v>1.03973923672416</v>
      </c>
      <c r="G1112">
        <v>1.03020507945131</v>
      </c>
      <c r="H1112">
        <v>1.15338856444384</v>
      </c>
      <c r="I1112">
        <v>1.0957218525057699</v>
      </c>
      <c r="J1112">
        <v>1.11541491239984</v>
      </c>
      <c r="K1112">
        <v>0.95675675675675698</v>
      </c>
      <c r="L1112">
        <v>11904.8358915964</v>
      </c>
      <c r="M1112">
        <v>250</v>
      </c>
      <c r="O1112">
        <v>47.616296261204099</v>
      </c>
      <c r="P1112">
        <v>9.1985503835538399E-2</v>
      </c>
      <c r="Q1112">
        <v>1.0700801439308101</v>
      </c>
      <c r="R1112">
        <v>0.33745821487347899</v>
      </c>
      <c r="S1112" t="s">
        <v>3114</v>
      </c>
      <c r="T1112" t="s">
        <v>4002</v>
      </c>
      <c r="U1112" t="s">
        <v>4002</v>
      </c>
      <c r="V1112" t="s">
        <v>4002</v>
      </c>
      <c r="W1112" t="s">
        <v>5096</v>
      </c>
      <c r="X1112">
        <v>22</v>
      </c>
      <c r="Y1112" t="s">
        <v>7028</v>
      </c>
      <c r="Z1112" t="s">
        <v>9010</v>
      </c>
      <c r="AA1112">
        <v>1.0522754641222529</v>
      </c>
      <c r="AB1112" t="str">
        <f>HYPERLINK("Melting_Curves/meltCurve_P14780_MMP9.pdf", "Melting_Curves/meltCurve_P14780_MMP9.pdf")</f>
        <v>Melting_Curves/meltCurve_P14780_MMP9.pdf</v>
      </c>
    </row>
    <row r="1113" spans="1:28" x14ac:dyDescent="0.25">
      <c r="A1113" t="s">
        <v>1117</v>
      </c>
      <c r="B1113">
        <v>1</v>
      </c>
      <c r="C1113">
        <v>0.90737872498605998</v>
      </c>
      <c r="D1113">
        <v>0.92237160027259801</v>
      </c>
      <c r="E1113">
        <v>0.95012700576172504</v>
      </c>
      <c r="F1113">
        <v>0.902174586456849</v>
      </c>
      <c r="G1113">
        <v>0.96183631745245002</v>
      </c>
      <c r="H1113">
        <v>0.80056997707700905</v>
      </c>
      <c r="I1113">
        <v>1.07719472151663</v>
      </c>
      <c r="J1113">
        <v>1.0945418499473401</v>
      </c>
      <c r="K1113">
        <v>0.92683229044049298</v>
      </c>
      <c r="L1113">
        <v>10233.5907513538</v>
      </c>
      <c r="M1113">
        <v>250</v>
      </c>
      <c r="O1113">
        <v>40.931741852919401</v>
      </c>
      <c r="P1113">
        <v>-7.7529577823815907E-2</v>
      </c>
      <c r="Q1113">
        <v>0.94922526739555801</v>
      </c>
      <c r="R1113">
        <v>3.4496503065319303E-2</v>
      </c>
      <c r="S1113" t="s">
        <v>3115</v>
      </c>
      <c r="T1113" t="s">
        <v>4002</v>
      </c>
      <c r="U1113" t="s">
        <v>4002</v>
      </c>
      <c r="V1113" t="s">
        <v>4002</v>
      </c>
      <c r="W1113" t="s">
        <v>5097</v>
      </c>
      <c r="X1113">
        <v>2</v>
      </c>
      <c r="Y1113" t="s">
        <v>7029</v>
      </c>
      <c r="Z1113" t="s">
        <v>9011</v>
      </c>
      <c r="AA1113">
        <v>0.95081107891426475</v>
      </c>
      <c r="AB1113" t="str">
        <f>HYPERLINK("Melting_Curves/meltCurve_P14854_COX6B1.pdf", "Melting_Curves/meltCurve_P14854_COX6B1.pdf")</f>
        <v>Melting_Curves/meltCurve_P14854_COX6B1.pdf</v>
      </c>
    </row>
    <row r="1114" spans="1:28" x14ac:dyDescent="0.25">
      <c r="A1114" t="s">
        <v>1118</v>
      </c>
      <c r="B1114">
        <v>1</v>
      </c>
      <c r="C1114">
        <v>0.90216081612981003</v>
      </c>
      <c r="D1114">
        <v>1.0785605269499601</v>
      </c>
      <c r="E1114">
        <v>1.0131335850269101</v>
      </c>
      <c r="F1114">
        <v>1.3483010683589001</v>
      </c>
      <c r="G1114">
        <v>1.1747529922082101</v>
      </c>
      <c r="H1114">
        <v>1.4817656036629401</v>
      </c>
      <c r="I1114">
        <v>1.6080006426219</v>
      </c>
      <c r="J1114">
        <v>5.7839987147562102</v>
      </c>
      <c r="K1114">
        <v>0.93919190296409305</v>
      </c>
      <c r="L1114">
        <v>1622.48067686894</v>
      </c>
      <c r="M1114">
        <v>30.620124584499202</v>
      </c>
      <c r="O1114">
        <v>52.762937870673902</v>
      </c>
      <c r="P1114">
        <v>7.2542186757389202E-2</v>
      </c>
      <c r="Q1114">
        <v>1.5</v>
      </c>
      <c r="R1114">
        <v>4.3988099877015803E-2</v>
      </c>
      <c r="S1114" t="s">
        <v>3116</v>
      </c>
      <c r="T1114" t="s">
        <v>4002</v>
      </c>
      <c r="U1114" t="s">
        <v>4002</v>
      </c>
      <c r="V1114" t="s">
        <v>4002</v>
      </c>
      <c r="W1114" t="s">
        <v>4373</v>
      </c>
      <c r="X1114">
        <v>14</v>
      </c>
      <c r="Y1114" t="s">
        <v>6346</v>
      </c>
      <c r="Z1114" t="s">
        <v>9012</v>
      </c>
      <c r="AA1114">
        <v>1.280429052103621</v>
      </c>
      <c r="AB1114" t="str">
        <f>HYPERLINK("Melting_Curves/meltCurve_P14923_JUP.pdf", "Melting_Curves/meltCurve_P14923_JUP.pdf")</f>
        <v>Melting_Curves/meltCurve_P14923_JUP.pdf</v>
      </c>
    </row>
    <row r="1115" spans="1:28" x14ac:dyDescent="0.25">
      <c r="A1115" t="s">
        <v>1119</v>
      </c>
      <c r="B1115">
        <v>1</v>
      </c>
      <c r="C1115">
        <v>0.83743772910987901</v>
      </c>
      <c r="D1115">
        <v>1.1857317417050499</v>
      </c>
      <c r="E1115">
        <v>1.22502114860419</v>
      </c>
      <c r="F1115">
        <v>1.16693298242316</v>
      </c>
      <c r="G1115">
        <v>1.24316195131121</v>
      </c>
      <c r="H1115">
        <v>1.7819813892283101</v>
      </c>
      <c r="I1115">
        <v>1.71350690854404</v>
      </c>
      <c r="J1115">
        <v>6.1194661152363903</v>
      </c>
      <c r="K1115">
        <v>1.24353792649685</v>
      </c>
      <c r="L1115">
        <v>1741.1261571996299</v>
      </c>
      <c r="M1115">
        <v>32.414285200748203</v>
      </c>
      <c r="O1115">
        <v>53.511573252986999</v>
      </c>
      <c r="P1115">
        <v>7.57182950042391E-2</v>
      </c>
      <c r="Q1115">
        <v>1.5</v>
      </c>
      <c r="R1115">
        <v>1.1926163877420799E-2</v>
      </c>
      <c r="S1115" t="s">
        <v>3117</v>
      </c>
      <c r="T1115" t="s">
        <v>4002</v>
      </c>
      <c r="U1115" t="s">
        <v>4002</v>
      </c>
      <c r="V1115" t="s">
        <v>4002</v>
      </c>
      <c r="W1115" t="s">
        <v>5098</v>
      </c>
      <c r="X1115">
        <v>3</v>
      </c>
      <c r="Y1115" t="s">
        <v>7030</v>
      </c>
      <c r="Z1115" t="s">
        <v>9013</v>
      </c>
      <c r="AA1115">
        <v>1.26860613483239</v>
      </c>
      <c r="AB1115" t="str">
        <f>HYPERLINK("Melting_Curves/meltCurve_P15104_GLUL.pdf", "Melting_Curves/meltCurve_P15104_GLUL.pdf")</f>
        <v>Melting_Curves/meltCurve_P15104_GLUL.pdf</v>
      </c>
    </row>
    <row r="1116" spans="1:28" x14ac:dyDescent="0.25">
      <c r="A1116" t="s">
        <v>1120</v>
      </c>
      <c r="B1116">
        <v>1</v>
      </c>
      <c r="C1116">
        <v>0.90258890469416797</v>
      </c>
      <c r="D1116">
        <v>1.1278330962541501</v>
      </c>
      <c r="E1116">
        <v>1.0074917022285399</v>
      </c>
      <c r="F1116">
        <v>0.87694642010431501</v>
      </c>
      <c r="G1116">
        <v>0.98975817923186304</v>
      </c>
      <c r="H1116">
        <v>0.91026078710289204</v>
      </c>
      <c r="I1116">
        <v>1.0172593646277901</v>
      </c>
      <c r="J1116">
        <v>0.880417259364628</v>
      </c>
      <c r="K1116">
        <v>0.75358937885253696</v>
      </c>
      <c r="L1116">
        <v>1543.08038346793</v>
      </c>
      <c r="M1116">
        <v>20.923704619381201</v>
      </c>
      <c r="Q1116">
        <v>0</v>
      </c>
      <c r="R1116">
        <v>0.47537593632486103</v>
      </c>
      <c r="S1116" t="s">
        <v>3118</v>
      </c>
      <c r="T1116" t="s">
        <v>4002</v>
      </c>
      <c r="U1116" t="s">
        <v>4002</v>
      </c>
      <c r="V1116" t="s">
        <v>4002</v>
      </c>
      <c r="W1116" t="s">
        <v>5099</v>
      </c>
      <c r="X1116">
        <v>4</v>
      </c>
      <c r="Y1116" t="s">
        <v>7031</v>
      </c>
      <c r="Z1116" t="s">
        <v>9014</v>
      </c>
      <c r="AA1116">
        <v>0.97267859601195761</v>
      </c>
      <c r="AB1116" t="str">
        <f>HYPERLINK("Melting_Curves/meltCurve_P15144_ANPEP.pdf", "Melting_Curves/meltCurve_P15144_ANPEP.pdf")</f>
        <v>Melting_Curves/meltCurve_P15144_ANPEP.pdf</v>
      </c>
    </row>
    <row r="1117" spans="1:28" x14ac:dyDescent="0.25">
      <c r="A1117" t="s">
        <v>1121</v>
      </c>
      <c r="B1117">
        <v>1</v>
      </c>
      <c r="C1117">
        <v>0.88009270553793595</v>
      </c>
      <c r="D1117">
        <v>0.84035740424493799</v>
      </c>
      <c r="E1117">
        <v>0.87716516223469099</v>
      </c>
      <c r="F1117">
        <v>0.92489021712612796</v>
      </c>
      <c r="G1117">
        <v>1.15827030983167</v>
      </c>
      <c r="H1117">
        <v>1.12121858989998</v>
      </c>
      <c r="I1117">
        <v>1.2315808733837501</v>
      </c>
      <c r="J1117">
        <v>1.01915101244206</v>
      </c>
      <c r="K1117">
        <v>1.1559221761405201</v>
      </c>
      <c r="L1117">
        <v>5769.4484135886696</v>
      </c>
      <c r="M1117">
        <v>104.41932708813999</v>
      </c>
      <c r="O1117">
        <v>55.232422980160301</v>
      </c>
      <c r="P1117">
        <v>6.5194698428031495E-2</v>
      </c>
      <c r="Q1117">
        <v>1.1379385036701199</v>
      </c>
      <c r="R1117">
        <v>0.51241091175422204</v>
      </c>
      <c r="S1117" t="s">
        <v>3119</v>
      </c>
      <c r="T1117" t="s">
        <v>4002</v>
      </c>
      <c r="U1117" t="s">
        <v>4002</v>
      </c>
      <c r="V1117" t="s">
        <v>4002</v>
      </c>
      <c r="W1117" t="s">
        <v>5100</v>
      </c>
      <c r="X1117">
        <v>3</v>
      </c>
      <c r="Y1117" t="s">
        <v>7032</v>
      </c>
      <c r="Z1117" t="s">
        <v>9015</v>
      </c>
      <c r="AA1117">
        <v>1.067730657514238</v>
      </c>
      <c r="AB1117" t="str">
        <f>HYPERLINK("Melting_Curves/meltCurve_P15151_3_PVR.pdf", "Melting_Curves/meltCurve_P15151_3_PVR.pdf")</f>
        <v>Melting_Curves/meltCurve_P15151_3_PVR.pdf</v>
      </c>
    </row>
    <row r="1118" spans="1:28" x14ac:dyDescent="0.25">
      <c r="A1118" t="s">
        <v>1122</v>
      </c>
      <c r="B1118">
        <v>1</v>
      </c>
      <c r="C1118">
        <v>0.99457387110238504</v>
      </c>
      <c r="D1118">
        <v>1.1559509638721801</v>
      </c>
      <c r="E1118">
        <v>1.32372810611097</v>
      </c>
      <c r="F1118">
        <v>1.4569851747646401</v>
      </c>
      <c r="G1118">
        <v>1.99483667506609</v>
      </c>
      <c r="H1118">
        <v>1.8574056611065599</v>
      </c>
      <c r="I1118">
        <v>3.6385981727395</v>
      </c>
      <c r="J1118">
        <v>2.9100128310170499</v>
      </c>
      <c r="K1118">
        <v>3.4963748512065802</v>
      </c>
      <c r="L1118">
        <v>1512.55421635278</v>
      </c>
      <c r="M1118">
        <v>31.565149039515799</v>
      </c>
      <c r="O1118">
        <v>47.727405540341501</v>
      </c>
      <c r="P1118">
        <v>8.2670863617278698E-2</v>
      </c>
      <c r="Q1118">
        <v>1.5</v>
      </c>
      <c r="R1118">
        <v>-0.182529500256913</v>
      </c>
      <c r="S1118" t="s">
        <v>3120</v>
      </c>
      <c r="T1118" t="s">
        <v>4002</v>
      </c>
      <c r="U1118" t="s">
        <v>4002</v>
      </c>
      <c r="V1118" t="s">
        <v>4002</v>
      </c>
      <c r="W1118" t="s">
        <v>5101</v>
      </c>
      <c r="X1118">
        <v>9</v>
      </c>
      <c r="Y1118" t="s">
        <v>7033</v>
      </c>
      <c r="Z1118" t="s">
        <v>9016</v>
      </c>
      <c r="AA1118">
        <v>1.3653208465809059</v>
      </c>
      <c r="AB1118" t="str">
        <f>HYPERLINK("Melting_Curves/meltCurve_P15153_RAC2.pdf", "Melting_Curves/meltCurve_P15153_RAC2.pdf")</f>
        <v>Melting_Curves/meltCurve_P15153_RAC2.pdf</v>
      </c>
    </row>
    <row r="1119" spans="1:28" x14ac:dyDescent="0.25">
      <c r="A1119" t="s">
        <v>1123</v>
      </c>
      <c r="B1119">
        <v>1</v>
      </c>
      <c r="C1119">
        <v>1.1909843847186301</v>
      </c>
      <c r="D1119">
        <v>1.66085049268341</v>
      </c>
      <c r="E1119">
        <v>1.80770615772416</v>
      </c>
      <c r="F1119">
        <v>2.00815137329361</v>
      </c>
      <c r="G1119">
        <v>2.0397093004223001</v>
      </c>
      <c r="H1119">
        <v>1.5916783972239501</v>
      </c>
      <c r="I1119">
        <v>2.4382427079582301</v>
      </c>
      <c r="J1119">
        <v>1.6934232494189301</v>
      </c>
      <c r="K1119">
        <v>1.9349526958457499</v>
      </c>
      <c r="L1119">
        <v>10745.6434686433</v>
      </c>
      <c r="M1119">
        <v>250</v>
      </c>
      <c r="O1119">
        <v>42.979823222460602</v>
      </c>
      <c r="P1119">
        <v>0.72708535437016097</v>
      </c>
      <c r="Q1119">
        <v>1.5</v>
      </c>
      <c r="R1119">
        <v>-0.13630516059648901</v>
      </c>
      <c r="S1119" t="s">
        <v>3121</v>
      </c>
      <c r="T1119" t="s">
        <v>4002</v>
      </c>
      <c r="U1119" t="s">
        <v>4002</v>
      </c>
      <c r="V1119" t="s">
        <v>4002</v>
      </c>
      <c r="W1119" t="s">
        <v>5102</v>
      </c>
      <c r="X1119">
        <v>2</v>
      </c>
      <c r="Y1119" t="s">
        <v>7034</v>
      </c>
      <c r="Z1119" t="s">
        <v>9017</v>
      </c>
      <c r="AA1119">
        <v>1.450252718529923</v>
      </c>
      <c r="AB1119" t="str">
        <f>HYPERLINK("Melting_Curves/meltCurve_P15289_ARSA.pdf", "Melting_Curves/meltCurve_P15289_ARSA.pdf")</f>
        <v>Melting_Curves/meltCurve_P15289_ARSA.pdf</v>
      </c>
    </row>
    <row r="1120" spans="1:28" x14ac:dyDescent="0.25">
      <c r="A1120" t="s">
        <v>1124</v>
      </c>
      <c r="B1120">
        <v>1</v>
      </c>
      <c r="C1120">
        <v>0.91025179856115102</v>
      </c>
      <c r="D1120">
        <v>1.03863309352518</v>
      </c>
      <c r="E1120">
        <v>0.89395683453237396</v>
      </c>
      <c r="F1120">
        <v>0.90255395683453199</v>
      </c>
      <c r="G1120">
        <v>0.99269784172661901</v>
      </c>
      <c r="H1120">
        <v>0.95115107913669095</v>
      </c>
      <c r="I1120">
        <v>1.8739568345323701</v>
      </c>
      <c r="J1120">
        <v>1.33924460431655</v>
      </c>
      <c r="K1120">
        <v>1.8563669064748201</v>
      </c>
      <c r="L1120">
        <v>10466.604190649299</v>
      </c>
      <c r="M1120">
        <v>168.437817943814</v>
      </c>
      <c r="O1120">
        <v>62.130518538101697</v>
      </c>
      <c r="P1120">
        <v>0.33887899323468901</v>
      </c>
      <c r="Q1120">
        <v>1.5</v>
      </c>
      <c r="R1120">
        <v>0.75245015172058505</v>
      </c>
      <c r="S1120" t="s">
        <v>3122</v>
      </c>
      <c r="T1120" t="s">
        <v>4002</v>
      </c>
      <c r="U1120" t="s">
        <v>4002</v>
      </c>
      <c r="V1120" t="s">
        <v>4002</v>
      </c>
      <c r="W1120" t="s">
        <v>5103</v>
      </c>
      <c r="X1120">
        <v>2</v>
      </c>
      <c r="Y1120" t="s">
        <v>7035</v>
      </c>
      <c r="Z1120" t="s">
        <v>9018</v>
      </c>
      <c r="AA1120">
        <v>1.1308919030025431</v>
      </c>
      <c r="AB1120" t="str">
        <f>HYPERLINK("Melting_Curves/meltCurve_P15309_ACPP.pdf", "Melting_Curves/meltCurve_P15309_ACPP.pdf")</f>
        <v>Melting_Curves/meltCurve_P15309_ACPP.pdf</v>
      </c>
    </row>
    <row r="1121" spans="1:28" x14ac:dyDescent="0.25">
      <c r="A1121" t="s">
        <v>1125</v>
      </c>
      <c r="B1121">
        <v>1</v>
      </c>
      <c r="C1121">
        <v>0.98797836938435901</v>
      </c>
      <c r="D1121">
        <v>1.14284525790349</v>
      </c>
      <c r="E1121">
        <v>1.2749168053244599</v>
      </c>
      <c r="F1121">
        <v>1.42574875207987</v>
      </c>
      <c r="G1121">
        <v>1.61485024958403</v>
      </c>
      <c r="H1121">
        <v>1.1264143094841901</v>
      </c>
      <c r="I1121">
        <v>1.96143926788686</v>
      </c>
      <c r="J1121">
        <v>1.2549084858569099</v>
      </c>
      <c r="K1121">
        <v>1.30923460898502</v>
      </c>
      <c r="L1121">
        <v>1202.3642272049301</v>
      </c>
      <c r="M1121">
        <v>24.931143352705899</v>
      </c>
      <c r="O1121">
        <v>47.920308511760503</v>
      </c>
      <c r="P1121">
        <v>5.89719456360095E-2</v>
      </c>
      <c r="Q1121">
        <v>1.45339540014867</v>
      </c>
      <c r="R1121">
        <v>0.42432373089860498</v>
      </c>
      <c r="S1121" t="s">
        <v>3123</v>
      </c>
      <c r="T1121" t="s">
        <v>4002</v>
      </c>
      <c r="U1121" t="s">
        <v>4002</v>
      </c>
      <c r="V1121" t="s">
        <v>4002</v>
      </c>
      <c r="W1121" t="s">
        <v>5104</v>
      </c>
      <c r="X1121">
        <v>30</v>
      </c>
      <c r="Y1121" t="s">
        <v>7036</v>
      </c>
      <c r="Z1121" t="s">
        <v>9019</v>
      </c>
      <c r="AA1121">
        <v>1.3250233906700479</v>
      </c>
      <c r="AB1121" t="str">
        <f>HYPERLINK("Melting_Curves/meltCurve_P15311_EZR.pdf", "Melting_Curves/meltCurve_P15311_EZR.pdf")</f>
        <v>Melting_Curves/meltCurve_P15311_EZR.pdf</v>
      </c>
    </row>
    <row r="1122" spans="1:28" x14ac:dyDescent="0.25">
      <c r="A1122" t="s">
        <v>1126</v>
      </c>
      <c r="B1122">
        <v>1</v>
      </c>
      <c r="C1122">
        <v>0.89039002458417305</v>
      </c>
      <c r="D1122">
        <v>0.94660140417709504</v>
      </c>
      <c r="E1122">
        <v>0.93530597328962795</v>
      </c>
      <c r="F1122">
        <v>0.86215144736550697</v>
      </c>
      <c r="G1122">
        <v>0.94254833779982705</v>
      </c>
      <c r="H1122">
        <v>0.81637173041571598</v>
      </c>
      <c r="I1122">
        <v>1.00925782374698</v>
      </c>
      <c r="J1122">
        <v>0.89557263405018706</v>
      </c>
      <c r="K1122">
        <v>0.89820823459059596</v>
      </c>
      <c r="L1122">
        <v>10251.4802491436</v>
      </c>
      <c r="M1122">
        <v>250</v>
      </c>
      <c r="O1122">
        <v>41.003297199597803</v>
      </c>
      <c r="P1122">
        <v>-0.136099014033359</v>
      </c>
      <c r="Q1122">
        <v>0.91071186764387901</v>
      </c>
      <c r="R1122">
        <v>0.22527856779521399</v>
      </c>
      <c r="S1122" t="s">
        <v>3124</v>
      </c>
      <c r="T1122" t="s">
        <v>4002</v>
      </c>
      <c r="U1122" t="s">
        <v>4002</v>
      </c>
      <c r="V1122" t="s">
        <v>4002</v>
      </c>
      <c r="W1122" t="s">
        <v>5105</v>
      </c>
      <c r="X1122">
        <v>9</v>
      </c>
      <c r="Y1122" t="s">
        <v>7037</v>
      </c>
      <c r="Z1122" t="s">
        <v>9020</v>
      </c>
      <c r="AA1122">
        <v>0.91371304350526639</v>
      </c>
      <c r="AB1122" t="str">
        <f>HYPERLINK("Melting_Curves/meltCurve_P15328_FOLR1.pdf", "Melting_Curves/meltCurve_P15328_FOLR1.pdf")</f>
        <v>Melting_Curves/meltCurve_P15328_FOLR1.pdf</v>
      </c>
    </row>
    <row r="1123" spans="1:28" x14ac:dyDescent="0.25">
      <c r="A1123" t="s">
        <v>1127</v>
      </c>
      <c r="B1123">
        <v>1</v>
      </c>
      <c r="C1123">
        <v>0.99861160646048797</v>
      </c>
      <c r="D1123">
        <v>0.98700769348346695</v>
      </c>
      <c r="E1123">
        <v>1.04853008610587</v>
      </c>
      <c r="F1123">
        <v>0.92874611504560001</v>
      </c>
      <c r="G1123">
        <v>0.79646660212971898</v>
      </c>
      <c r="H1123">
        <v>0.84257655270800402</v>
      </c>
      <c r="I1123">
        <v>0.88545116421256398</v>
      </c>
      <c r="J1123">
        <v>0.82343200692923002</v>
      </c>
      <c r="K1123">
        <v>0.76901717022469096</v>
      </c>
      <c r="L1123">
        <v>13270.728837386099</v>
      </c>
      <c r="M1123">
        <v>250</v>
      </c>
      <c r="O1123">
        <v>53.079507740678302</v>
      </c>
      <c r="P1123">
        <v>-0.207956039922125</v>
      </c>
      <c r="Q1123">
        <v>0.82338869695305905</v>
      </c>
      <c r="R1123">
        <v>0.87986366752218204</v>
      </c>
      <c r="S1123" t="s">
        <v>3125</v>
      </c>
      <c r="T1123" t="s">
        <v>4002</v>
      </c>
      <c r="U1123" t="s">
        <v>4002</v>
      </c>
      <c r="V1123" t="s">
        <v>4002</v>
      </c>
      <c r="W1123" t="s">
        <v>5106</v>
      </c>
      <c r="X1123">
        <v>1</v>
      </c>
      <c r="Y1123" t="s">
        <v>7038</v>
      </c>
      <c r="Z1123" t="s">
        <v>9021</v>
      </c>
      <c r="AA1123">
        <v>0.9004248409252138</v>
      </c>
      <c r="AB1123" t="str">
        <f>HYPERLINK("Melting_Curves/meltCurve_P15515_HTN1.pdf", "Melting_Curves/meltCurve_P15515_HTN1.pdf")</f>
        <v>Melting_Curves/meltCurve_P15515_HTN1.pdf</v>
      </c>
    </row>
    <row r="1124" spans="1:28" x14ac:dyDescent="0.25">
      <c r="A1124" t="s">
        <v>1128</v>
      </c>
      <c r="B1124">
        <v>1</v>
      </c>
      <c r="C1124">
        <v>0.88546925790165298</v>
      </c>
      <c r="D1124">
        <v>0.92682758143716704</v>
      </c>
      <c r="E1124">
        <v>0.86617331765682304</v>
      </c>
      <c r="F1124">
        <v>0.79265509371325804</v>
      </c>
      <c r="G1124">
        <v>0.76056435438135395</v>
      </c>
      <c r="H1124">
        <v>0.50617608409986903</v>
      </c>
      <c r="I1124">
        <v>0.520312608064181</v>
      </c>
      <c r="J1124">
        <v>0.404440141088595</v>
      </c>
      <c r="K1124">
        <v>0.48409295248634099</v>
      </c>
      <c r="L1124">
        <v>480.55678141381702</v>
      </c>
      <c r="M1124">
        <v>8.1727455162202194</v>
      </c>
      <c r="N1124">
        <v>64.840830431686996</v>
      </c>
      <c r="O1124">
        <v>55.594082234776799</v>
      </c>
      <c r="P1124">
        <v>-2.69857219167563E-2</v>
      </c>
      <c r="Q1124">
        <v>0.26649771442849801</v>
      </c>
      <c r="R1124">
        <v>0.93773238291501604</v>
      </c>
      <c r="S1124" t="s">
        <v>3126</v>
      </c>
      <c r="T1124" t="s">
        <v>4002</v>
      </c>
      <c r="U1124" t="s">
        <v>4002</v>
      </c>
      <c r="V1124" t="s">
        <v>4002</v>
      </c>
      <c r="W1124" t="s">
        <v>5107</v>
      </c>
      <c r="X1124">
        <v>2</v>
      </c>
      <c r="Y1124" t="s">
        <v>7039</v>
      </c>
      <c r="Z1124" t="s">
        <v>9022</v>
      </c>
      <c r="AA1124">
        <v>0.72422552529887796</v>
      </c>
      <c r="AB1124" t="str">
        <f>HYPERLINK("Melting_Curves/meltCurve_P15516_HTN3.pdf", "Melting_Curves/meltCurve_P15516_HTN3.pdf")</f>
        <v>Melting_Curves/meltCurve_P15516_HTN3.pdf</v>
      </c>
    </row>
    <row r="1125" spans="1:28" x14ac:dyDescent="0.25">
      <c r="A1125" t="s">
        <v>1129</v>
      </c>
      <c r="B1125">
        <v>1</v>
      </c>
      <c r="C1125">
        <v>1.1480056860941501</v>
      </c>
      <c r="D1125">
        <v>1.78401204114056</v>
      </c>
      <c r="E1125">
        <v>1.7302450037628601</v>
      </c>
      <c r="F1125">
        <v>2.3435906012208401</v>
      </c>
      <c r="G1125">
        <v>2.00183961869722</v>
      </c>
      <c r="H1125">
        <v>1.9372021071996</v>
      </c>
      <c r="I1125">
        <v>2.5804833180031799</v>
      </c>
      <c r="J1125">
        <v>2.0744209382055399</v>
      </c>
      <c r="K1125">
        <v>2.0941550296847602</v>
      </c>
      <c r="L1125">
        <v>10762.1669731197</v>
      </c>
      <c r="M1125">
        <v>250</v>
      </c>
      <c r="O1125">
        <v>43.045913156012801</v>
      </c>
      <c r="P1125">
        <v>0.72596903661204804</v>
      </c>
      <c r="Q1125">
        <v>1.5</v>
      </c>
      <c r="R1125">
        <v>-0.461164921217462</v>
      </c>
      <c r="S1125" t="s">
        <v>3127</v>
      </c>
      <c r="T1125" t="s">
        <v>4002</v>
      </c>
      <c r="U1125" t="s">
        <v>4002</v>
      </c>
      <c r="V1125" t="s">
        <v>4002</v>
      </c>
      <c r="W1125" t="s">
        <v>5108</v>
      </c>
      <c r="X1125">
        <v>6</v>
      </c>
      <c r="Y1125" t="s">
        <v>7040</v>
      </c>
      <c r="Z1125" t="s">
        <v>9023</v>
      </c>
      <c r="AA1125">
        <v>1.44915109357455</v>
      </c>
      <c r="AB1125" t="str">
        <f>HYPERLINK("Melting_Curves/meltCurve_P15531_NME1.pdf", "Melting_Curves/meltCurve_P15531_NME1.pdf")</f>
        <v>Melting_Curves/meltCurve_P15531_NME1.pdf</v>
      </c>
    </row>
    <row r="1126" spans="1:28" x14ac:dyDescent="0.25">
      <c r="A1126" t="s">
        <v>1130</v>
      </c>
      <c r="B1126">
        <v>1</v>
      </c>
      <c r="C1126">
        <v>1.07901623789045</v>
      </c>
      <c r="D1126">
        <v>1.1847079169281201</v>
      </c>
      <c r="E1126">
        <v>1.3394652668309299</v>
      </c>
      <c r="F1126">
        <v>1.3708238318972801</v>
      </c>
      <c r="G1126">
        <v>1.5241425751059801</v>
      </c>
      <c r="H1126">
        <v>1.3804502532866001</v>
      </c>
      <c r="I1126">
        <v>1.71622717742306</v>
      </c>
      <c r="J1126">
        <v>1.49520209363187</v>
      </c>
      <c r="K1126">
        <v>1.4812139391806101</v>
      </c>
      <c r="L1126">
        <v>788.15623070945799</v>
      </c>
      <c r="M1126">
        <v>16.513805884674799</v>
      </c>
      <c r="O1126">
        <v>47.043703224719899</v>
      </c>
      <c r="P1126">
        <v>4.3881935097723902E-2</v>
      </c>
      <c r="Q1126">
        <v>1.5</v>
      </c>
      <c r="R1126">
        <v>0.84163196912059801</v>
      </c>
      <c r="S1126" t="s">
        <v>3128</v>
      </c>
      <c r="T1126" t="s">
        <v>4002</v>
      </c>
      <c r="U1126" t="s">
        <v>4002</v>
      </c>
      <c r="V1126" t="s">
        <v>4002</v>
      </c>
      <c r="W1126" t="s">
        <v>5109</v>
      </c>
      <c r="X1126">
        <v>4</v>
      </c>
      <c r="Y1126" t="s">
        <v>7041</v>
      </c>
      <c r="Z1126" t="s">
        <v>9024</v>
      </c>
      <c r="AA1126">
        <v>1.3604955330174049</v>
      </c>
      <c r="AB1126" t="str">
        <f>HYPERLINK("Melting_Curves/meltCurve_P15848_ARSB.pdf", "Melting_Curves/meltCurve_P15848_ARSB.pdf")</f>
        <v>Melting_Curves/meltCurve_P15848_ARSB.pdf</v>
      </c>
    </row>
    <row r="1127" spans="1:28" x14ac:dyDescent="0.25">
      <c r="A1127" t="s">
        <v>1131</v>
      </c>
      <c r="B1127">
        <v>1</v>
      </c>
      <c r="C1127">
        <v>0.92049348869088399</v>
      </c>
      <c r="D1127">
        <v>1.0251225813254601</v>
      </c>
      <c r="E1127">
        <v>1.0124953867243101</v>
      </c>
      <c r="F1127">
        <v>1.09284546844519</v>
      </c>
      <c r="G1127">
        <v>1.1337059102652001</v>
      </c>
      <c r="H1127">
        <v>1.13383771814204</v>
      </c>
      <c r="I1127">
        <v>1.3309695787420299</v>
      </c>
      <c r="J1127">
        <v>4.1690831444087104</v>
      </c>
      <c r="K1127">
        <v>0.89096852427901096</v>
      </c>
      <c r="L1127">
        <v>5247.4136149240003</v>
      </c>
      <c r="M1127">
        <v>84.811778754803399</v>
      </c>
      <c r="O1127">
        <v>61.836909270622499</v>
      </c>
      <c r="P1127">
        <v>0.171442485830579</v>
      </c>
      <c r="Q1127">
        <v>1.5</v>
      </c>
      <c r="R1127">
        <v>0.14562386392342999</v>
      </c>
      <c r="S1127" t="s">
        <v>3129</v>
      </c>
      <c r="T1127" t="s">
        <v>4002</v>
      </c>
      <c r="U1127" t="s">
        <v>4002</v>
      </c>
      <c r="V1127" t="s">
        <v>4002</v>
      </c>
      <c r="W1127" t="s">
        <v>5110</v>
      </c>
      <c r="X1127">
        <v>71</v>
      </c>
      <c r="Y1127" t="s">
        <v>7042</v>
      </c>
      <c r="Z1127" t="s">
        <v>9025</v>
      </c>
      <c r="AA1127">
        <v>1.135006908898256</v>
      </c>
      <c r="AB1127" t="str">
        <f>HYPERLINK("Melting_Curves/meltCurve_P15924_DSP.pdf", "Melting_Curves/meltCurve_P15924_DSP.pdf")</f>
        <v>Melting_Curves/meltCurve_P15924_DSP.pdf</v>
      </c>
    </row>
    <row r="1128" spans="1:28" x14ac:dyDescent="0.25">
      <c r="A1128" t="s">
        <v>1132</v>
      </c>
      <c r="B1128">
        <v>1</v>
      </c>
      <c r="C1128">
        <v>0.92596624931954297</v>
      </c>
      <c r="D1128">
        <v>0.93719379422972204</v>
      </c>
      <c r="E1128">
        <v>1.0349074578116499</v>
      </c>
      <c r="F1128">
        <v>0.94386227544910195</v>
      </c>
      <c r="G1128">
        <v>1.03055253130103</v>
      </c>
      <c r="H1128">
        <v>0.84710125204137199</v>
      </c>
      <c r="I1128">
        <v>1.16188078388677</v>
      </c>
      <c r="J1128">
        <v>0.88037561241154105</v>
      </c>
      <c r="K1128">
        <v>0.94005171475231397</v>
      </c>
      <c r="L1128">
        <v>29.1818659689988</v>
      </c>
      <c r="M1128">
        <v>1.0000000000000001E-5</v>
      </c>
      <c r="Q1128">
        <v>0.91873074563351498</v>
      </c>
      <c r="R1128">
        <v>4.3572244871181698E-4</v>
      </c>
      <c r="S1128" t="s">
        <v>3130</v>
      </c>
      <c r="T1128" t="s">
        <v>4002</v>
      </c>
      <c r="U1128" t="s">
        <v>4002</v>
      </c>
      <c r="V1128" t="s">
        <v>4002</v>
      </c>
      <c r="W1128" t="s">
        <v>5111</v>
      </c>
      <c r="X1128">
        <v>5</v>
      </c>
      <c r="Y1128" t="s">
        <v>7043</v>
      </c>
      <c r="Z1128" t="s">
        <v>9026</v>
      </c>
      <c r="AA1128">
        <v>0.97013986663879537</v>
      </c>
      <c r="AB1128" t="str">
        <f>HYPERLINK("Melting_Curves/meltCurve_P16035_TIMP2.pdf", "Melting_Curves/meltCurve_P16035_TIMP2.pdf")</f>
        <v>Melting_Curves/meltCurve_P16035_TIMP2.pdf</v>
      </c>
    </row>
    <row r="1129" spans="1:28" x14ac:dyDescent="0.25">
      <c r="A1129" t="s">
        <v>1133</v>
      </c>
      <c r="B1129">
        <v>1</v>
      </c>
      <c r="C1129">
        <v>0.80369866628773301</v>
      </c>
      <c r="D1129">
        <v>0.90369663628428198</v>
      </c>
      <c r="E1129">
        <v>1.0114492194636699</v>
      </c>
      <c r="F1129">
        <v>1.0718418221310999</v>
      </c>
      <c r="G1129">
        <v>1.3677757252187299</v>
      </c>
      <c r="H1129">
        <v>1.64040518868882</v>
      </c>
      <c r="I1129">
        <v>2.0736485252024899</v>
      </c>
      <c r="J1129">
        <v>4.5821237896104403</v>
      </c>
      <c r="K1129">
        <v>1.9217839670327399</v>
      </c>
      <c r="L1129">
        <v>2989.5825950444</v>
      </c>
      <c r="M1129">
        <v>53.769227014402603</v>
      </c>
      <c r="O1129">
        <v>55.523504079946399</v>
      </c>
      <c r="P1129">
        <v>0.12105067513684099</v>
      </c>
      <c r="Q1129">
        <v>1.5</v>
      </c>
      <c r="R1129">
        <v>0.113339641293306</v>
      </c>
      <c r="S1129" t="s">
        <v>3131</v>
      </c>
      <c r="T1129" t="s">
        <v>4002</v>
      </c>
      <c r="U1129" t="s">
        <v>4002</v>
      </c>
      <c r="V1129" t="s">
        <v>4002</v>
      </c>
      <c r="W1129" t="s">
        <v>5112</v>
      </c>
      <c r="X1129">
        <v>3</v>
      </c>
      <c r="Y1129" t="s">
        <v>7044</v>
      </c>
      <c r="Z1129" t="s">
        <v>9027</v>
      </c>
      <c r="AA1129">
        <v>1.2389366733061631</v>
      </c>
      <c r="AB1129" t="str">
        <f>HYPERLINK("Melting_Curves/meltCurve_P16152_CBR1.pdf", "Melting_Curves/meltCurve_P16152_CBR1.pdf")</f>
        <v>Melting_Curves/meltCurve_P16152_CBR1.pdf</v>
      </c>
    </row>
    <row r="1130" spans="1:28" x14ac:dyDescent="0.25">
      <c r="A1130" t="s">
        <v>1134</v>
      </c>
      <c r="B1130">
        <v>1</v>
      </c>
      <c r="C1130">
        <v>0.89132420091324205</v>
      </c>
      <c r="D1130">
        <v>1.05653798256538</v>
      </c>
      <c r="E1130">
        <v>0.96172685761726895</v>
      </c>
      <c r="F1130">
        <v>0.94927355749273601</v>
      </c>
      <c r="G1130">
        <v>1.00489829804898</v>
      </c>
      <c r="H1130">
        <v>0.84159402241593995</v>
      </c>
      <c r="I1130">
        <v>1.01760066417601</v>
      </c>
      <c r="J1130">
        <v>0.98455790784557895</v>
      </c>
      <c r="K1130">
        <v>0.95699460356994603</v>
      </c>
      <c r="L1130">
        <v>200.81449051603499</v>
      </c>
      <c r="M1130">
        <v>5.03034558529533</v>
      </c>
      <c r="Q1130">
        <v>0.95573984776291299</v>
      </c>
      <c r="R1130">
        <v>8.9881027215359399E-3</v>
      </c>
      <c r="S1130" t="s">
        <v>3132</v>
      </c>
      <c r="T1130" t="s">
        <v>4002</v>
      </c>
      <c r="U1130" t="s">
        <v>4002</v>
      </c>
      <c r="V1130" t="s">
        <v>4002</v>
      </c>
      <c r="W1130" t="s">
        <v>5113</v>
      </c>
      <c r="X1130">
        <v>3</v>
      </c>
      <c r="Y1130" t="s">
        <v>7045</v>
      </c>
      <c r="Z1130" t="s">
        <v>9028</v>
      </c>
      <c r="AA1130">
        <v>0.96606815411243752</v>
      </c>
      <c r="AB1130" t="str">
        <f>HYPERLINK("Melting_Curves/meltCurve_P16284_3_PECAM1.pdf", "Melting_Curves/meltCurve_P16284_3_PECAM1.pdf")</f>
        <v>Melting_Curves/meltCurve_P16284_3_PECAM1.pdf</v>
      </c>
    </row>
    <row r="1131" spans="1:28" x14ac:dyDescent="0.25">
      <c r="A1131" t="s">
        <v>1135</v>
      </c>
      <c r="B1131">
        <v>1</v>
      </c>
      <c r="C1131">
        <v>0.72769893563101895</v>
      </c>
      <c r="D1131">
        <v>1.1537421861801</v>
      </c>
      <c r="E1131">
        <v>1.0241594863997301</v>
      </c>
      <c r="F1131">
        <v>1.0734921439432299</v>
      </c>
      <c r="G1131">
        <v>1.0509376583882399</v>
      </c>
      <c r="H1131">
        <v>0.96312721743537799</v>
      </c>
      <c r="I1131">
        <v>1.1814495691839799</v>
      </c>
      <c r="J1131">
        <v>0.97077208988004704</v>
      </c>
      <c r="K1131">
        <v>0.98614630849805696</v>
      </c>
      <c r="L1131">
        <v>11122.060810189099</v>
      </c>
      <c r="M1131">
        <v>250</v>
      </c>
      <c r="O1131">
        <v>44.485396323017603</v>
      </c>
      <c r="P1131">
        <v>7.09148686067166E-2</v>
      </c>
      <c r="Q1131">
        <v>1.0504748164640501</v>
      </c>
      <c r="R1131">
        <v>0.13324269805866901</v>
      </c>
      <c r="S1131" t="s">
        <v>3133</v>
      </c>
      <c r="T1131" t="s">
        <v>4002</v>
      </c>
      <c r="U1131" t="s">
        <v>4002</v>
      </c>
      <c r="V1131" t="s">
        <v>4002</v>
      </c>
      <c r="W1131" t="s">
        <v>5114</v>
      </c>
      <c r="X1131">
        <v>2</v>
      </c>
      <c r="Y1131" t="s">
        <v>7046</v>
      </c>
      <c r="Z1131" t="s">
        <v>9029</v>
      </c>
      <c r="AA1131">
        <v>1.042919433789365</v>
      </c>
      <c r="AB1131" t="str">
        <f>HYPERLINK("Melting_Curves/meltCurve_P16298_PPP3CB.pdf", "Melting_Curves/meltCurve_P16298_PPP3CB.pdf")</f>
        <v>Melting_Curves/meltCurve_P16298_PPP3CB.pdf</v>
      </c>
    </row>
    <row r="1132" spans="1:28" x14ac:dyDescent="0.25">
      <c r="A1132" t="s">
        <v>1136</v>
      </c>
      <c r="B1132">
        <v>1</v>
      </c>
      <c r="C1132">
        <v>0.94946048306416997</v>
      </c>
      <c r="D1132">
        <v>0.93229241103329996</v>
      </c>
      <c r="E1132">
        <v>1.16412391024725</v>
      </c>
      <c r="F1132">
        <v>0.94896026868658001</v>
      </c>
      <c r="G1132">
        <v>1.13182435329427</v>
      </c>
      <c r="H1132">
        <v>1.01121909389738</v>
      </c>
      <c r="I1132">
        <v>1.0267971987994899</v>
      </c>
      <c r="J1132">
        <v>1.2364942118050599</v>
      </c>
      <c r="K1132">
        <v>1.0879662712591101</v>
      </c>
      <c r="L1132">
        <v>455.10449694983902</v>
      </c>
      <c r="M1132">
        <v>6.6721296472075498</v>
      </c>
      <c r="O1132">
        <v>62.864950329795697</v>
      </c>
      <c r="P1132">
        <v>6.4851867458887201E-3</v>
      </c>
      <c r="Q1132">
        <v>1.24387558633967</v>
      </c>
      <c r="R1132">
        <v>0.27284487351909198</v>
      </c>
      <c r="S1132" t="s">
        <v>3134</v>
      </c>
      <c r="T1132" t="s">
        <v>4002</v>
      </c>
      <c r="U1132" t="s">
        <v>4002</v>
      </c>
      <c r="V1132" t="s">
        <v>4002</v>
      </c>
      <c r="W1132" t="s">
        <v>5115</v>
      </c>
      <c r="X1132">
        <v>2</v>
      </c>
      <c r="Y1132" t="s">
        <v>7047</v>
      </c>
      <c r="Z1132" t="s">
        <v>9030</v>
      </c>
      <c r="AA1132">
        <v>1.0508694376228971</v>
      </c>
      <c r="AB1132" t="str">
        <f>HYPERLINK("Melting_Curves/meltCurve_P16333_NCK1.pdf", "Melting_Curves/meltCurve_P16333_NCK1.pdf")</f>
        <v>Melting_Curves/meltCurve_P16333_NCK1.pdf</v>
      </c>
    </row>
    <row r="1133" spans="1:28" x14ac:dyDescent="0.25">
      <c r="A1133" t="s">
        <v>1137</v>
      </c>
      <c r="B1133">
        <v>1</v>
      </c>
      <c r="C1133">
        <v>0.93383319162093203</v>
      </c>
      <c r="D1133">
        <v>0.99870526397155401</v>
      </c>
      <c r="E1133">
        <v>0.98394140836360799</v>
      </c>
      <c r="F1133">
        <v>0.88304862023653097</v>
      </c>
      <c r="G1133">
        <v>0.91419958259256395</v>
      </c>
      <c r="H1133">
        <v>0.83902759526938198</v>
      </c>
      <c r="I1133">
        <v>0.945621086805287</v>
      </c>
      <c r="J1133">
        <v>1.5742250908247699</v>
      </c>
      <c r="K1133">
        <v>0.87390817036407198</v>
      </c>
      <c r="L1133">
        <v>1199.86639684837</v>
      </c>
      <c r="M1133">
        <v>18.344905502163702</v>
      </c>
      <c r="O1133">
        <v>64.643635199715504</v>
      </c>
      <c r="P1133">
        <v>1.12836756205991E-2</v>
      </c>
      <c r="Q1133">
        <v>1.15903801134866</v>
      </c>
      <c r="R1133">
        <v>7.5815287197666503E-2</v>
      </c>
      <c r="S1133" t="s">
        <v>3135</v>
      </c>
      <c r="T1133" t="s">
        <v>4002</v>
      </c>
      <c r="U1133" t="s">
        <v>4002</v>
      </c>
      <c r="V1133" t="s">
        <v>4002</v>
      </c>
      <c r="W1133" t="s">
        <v>5116</v>
      </c>
      <c r="X1133">
        <v>7</v>
      </c>
      <c r="Y1133" t="s">
        <v>7048</v>
      </c>
      <c r="Z1133" t="s">
        <v>9031</v>
      </c>
      <c r="AA1133">
        <v>1.0273701280721921</v>
      </c>
      <c r="AB1133" t="str">
        <f>HYPERLINK("Melting_Curves/meltCurve_P16401_HIST1H1B.pdf", "Melting_Curves/meltCurve_P16401_HIST1H1B.pdf")</f>
        <v>Melting_Curves/meltCurve_P16401_HIST1H1B.pdf</v>
      </c>
    </row>
    <row r="1134" spans="1:28" x14ac:dyDescent="0.25">
      <c r="A1134" t="s">
        <v>1138</v>
      </c>
      <c r="B1134">
        <v>1</v>
      </c>
      <c r="C1134">
        <v>0.94458788480635503</v>
      </c>
      <c r="D1134">
        <v>1.04049431755489</v>
      </c>
      <c r="E1134">
        <v>1.32448416639082</v>
      </c>
      <c r="F1134">
        <v>1.27606752730884</v>
      </c>
      <c r="G1134">
        <v>1.2586119386516601</v>
      </c>
      <c r="H1134">
        <v>1.15409908418846</v>
      </c>
      <c r="I1134">
        <v>1.37874875868918</v>
      </c>
      <c r="J1134">
        <v>1.04828423259406</v>
      </c>
      <c r="K1134">
        <v>1.1568575526867499</v>
      </c>
      <c r="L1134">
        <v>11570.5421791973</v>
      </c>
      <c r="M1134">
        <v>250</v>
      </c>
      <c r="O1134">
        <v>46.279206977943403</v>
      </c>
      <c r="P1134">
        <v>0.30813615705856601</v>
      </c>
      <c r="Q1134">
        <v>1.22816475150704</v>
      </c>
      <c r="R1134">
        <v>0.58770420904276699</v>
      </c>
      <c r="S1134" t="s">
        <v>3136</v>
      </c>
      <c r="T1134" t="s">
        <v>4002</v>
      </c>
      <c r="U1134" t="s">
        <v>4002</v>
      </c>
      <c r="V1134" t="s">
        <v>4002</v>
      </c>
      <c r="W1134" t="s">
        <v>5117</v>
      </c>
      <c r="X1134">
        <v>3</v>
      </c>
      <c r="Y1134" t="s">
        <v>7049</v>
      </c>
      <c r="Z1134" t="s">
        <v>9032</v>
      </c>
      <c r="AA1134">
        <v>1.1803672368027069</v>
      </c>
      <c r="AB1134" t="str">
        <f>HYPERLINK("Melting_Curves/meltCurve_P16562_CRISP2.pdf", "Melting_Curves/meltCurve_P16562_CRISP2.pdf")</f>
        <v>Melting_Curves/meltCurve_P16562_CRISP2.pdf</v>
      </c>
    </row>
    <row r="1135" spans="1:28" x14ac:dyDescent="0.25">
      <c r="A1135" t="s">
        <v>1139</v>
      </c>
      <c r="B1135">
        <v>1</v>
      </c>
      <c r="C1135">
        <v>0.97825900146085798</v>
      </c>
      <c r="D1135">
        <v>1.00283578241815</v>
      </c>
      <c r="E1135">
        <v>1.0189052161209899</v>
      </c>
      <c r="F1135">
        <v>0.982727507089456</v>
      </c>
      <c r="G1135">
        <v>1.0656526596201801</v>
      </c>
      <c r="H1135">
        <v>1.14110165850305</v>
      </c>
      <c r="I1135">
        <v>1.76265360488098</v>
      </c>
      <c r="J1135">
        <v>1.3433015381971301</v>
      </c>
      <c r="K1135">
        <v>1.3957205465326099</v>
      </c>
      <c r="L1135">
        <v>15000</v>
      </c>
      <c r="M1135">
        <v>244.96840183641501</v>
      </c>
      <c r="O1135">
        <v>61.228310212891699</v>
      </c>
      <c r="P1135">
        <v>0.500112648376419</v>
      </c>
      <c r="Q1135">
        <v>1.5</v>
      </c>
      <c r="R1135">
        <v>0.81548486313547297</v>
      </c>
      <c r="S1135" t="s">
        <v>3137</v>
      </c>
      <c r="T1135" t="s">
        <v>4002</v>
      </c>
      <c r="U1135" t="s">
        <v>4002</v>
      </c>
      <c r="V1135" t="s">
        <v>4002</v>
      </c>
      <c r="W1135" t="s">
        <v>5118</v>
      </c>
      <c r="X1135">
        <v>15</v>
      </c>
      <c r="Y1135" t="s">
        <v>7050</v>
      </c>
      <c r="Z1135" t="s">
        <v>9033</v>
      </c>
      <c r="AA1135">
        <v>1.146070920876892</v>
      </c>
      <c r="AB1135" t="str">
        <f>HYPERLINK("Melting_Curves/meltCurve_P16870_2_CPE.pdf", "Melting_Curves/meltCurve_P16870_2_CPE.pdf")</f>
        <v>Melting_Curves/meltCurve_P16870_2_CPE.pdf</v>
      </c>
    </row>
    <row r="1136" spans="1:28" x14ac:dyDescent="0.25">
      <c r="A1136" t="s">
        <v>1140</v>
      </c>
      <c r="B1136">
        <v>1</v>
      </c>
      <c r="C1136">
        <v>0.92516578730819499</v>
      </c>
      <c r="D1136">
        <v>1.0051793407231699</v>
      </c>
      <c r="E1136">
        <v>1.0195072365555</v>
      </c>
      <c r="F1136">
        <v>0.9497071494264</v>
      </c>
      <c r="G1136">
        <v>0.97933104216080202</v>
      </c>
      <c r="H1136">
        <v>0.90260903238298096</v>
      </c>
      <c r="I1136">
        <v>1.04046662471562</v>
      </c>
      <c r="J1136">
        <v>0.92971586233602799</v>
      </c>
      <c r="K1136">
        <v>0.97386127111670495</v>
      </c>
      <c r="L1136">
        <v>83.930157381703395</v>
      </c>
      <c r="M1136">
        <v>1.0000000000000001E-5</v>
      </c>
      <c r="Q1136">
        <v>0.84368640591956201</v>
      </c>
      <c r="R1136">
        <v>2.09737824311357E-2</v>
      </c>
      <c r="S1136" t="s">
        <v>3138</v>
      </c>
      <c r="T1136" t="s">
        <v>4002</v>
      </c>
      <c r="U1136" t="s">
        <v>4002</v>
      </c>
      <c r="V1136" t="s">
        <v>4002</v>
      </c>
      <c r="W1136" t="s">
        <v>4248</v>
      </c>
      <c r="X1136">
        <v>9</v>
      </c>
      <c r="Y1136" t="s">
        <v>7051</v>
      </c>
      <c r="Z1136" t="s">
        <v>9034</v>
      </c>
      <c r="AA1136">
        <v>0.97251643671941124</v>
      </c>
      <c r="AB1136" t="str">
        <f>HYPERLINK("Melting_Curves/meltCurve_P16949_STMN1.pdf", "Melting_Curves/meltCurve_P16949_STMN1.pdf")</f>
        <v>Melting_Curves/meltCurve_P16949_STMN1.pdf</v>
      </c>
    </row>
    <row r="1137" spans="1:28" x14ac:dyDescent="0.25">
      <c r="A1137" t="s">
        <v>1141</v>
      </c>
      <c r="B1137">
        <v>1</v>
      </c>
      <c r="C1137">
        <v>0.94765210717276005</v>
      </c>
      <c r="D1137">
        <v>0.96274072006698297</v>
      </c>
      <c r="E1137">
        <v>1.16009628802679</v>
      </c>
      <c r="F1137">
        <v>1.01182668155177</v>
      </c>
      <c r="G1137">
        <v>0.98820820541445697</v>
      </c>
      <c r="H1137">
        <v>0.89287957019257602</v>
      </c>
      <c r="I1137">
        <v>1.02871197320681</v>
      </c>
      <c r="J1137">
        <v>1.03340427016467</v>
      </c>
      <c r="K1137">
        <v>0.84030491208484503</v>
      </c>
      <c r="L1137">
        <v>15000</v>
      </c>
      <c r="M1137">
        <v>212.625191757339</v>
      </c>
      <c r="Q1137">
        <v>0</v>
      </c>
      <c r="R1137">
        <v>0.352932340276291</v>
      </c>
      <c r="S1137" t="s">
        <v>3139</v>
      </c>
      <c r="T1137" t="s">
        <v>4002</v>
      </c>
      <c r="U1137" t="s">
        <v>4002</v>
      </c>
      <c r="V1137" t="s">
        <v>4002</v>
      </c>
      <c r="W1137" t="s">
        <v>5119</v>
      </c>
      <c r="X1137">
        <v>2</v>
      </c>
      <c r="Y1137" t="s">
        <v>7052</v>
      </c>
      <c r="Z1137" t="s">
        <v>9035</v>
      </c>
      <c r="AA1137">
        <v>0.9981236856838781</v>
      </c>
      <c r="AB1137" t="str">
        <f>HYPERLINK("Melting_Curves/meltCurve_P16989_2_YBX3.pdf", "Melting_Curves/meltCurve_P16989_2_YBX3.pdf")</f>
        <v>Melting_Curves/meltCurve_P16989_2_YBX3.pdf</v>
      </c>
    </row>
    <row r="1138" spans="1:28" x14ac:dyDescent="0.25">
      <c r="A1138" t="s">
        <v>1142</v>
      </c>
      <c r="B1138">
        <v>1</v>
      </c>
      <c r="C1138">
        <v>0.84876122514432295</v>
      </c>
      <c r="D1138">
        <v>0.98753207184092395</v>
      </c>
      <c r="E1138">
        <v>1.04417896087235</v>
      </c>
      <c r="F1138">
        <v>1.2166452854393801</v>
      </c>
      <c r="G1138">
        <v>1.27810295060936</v>
      </c>
      <c r="H1138">
        <v>1.5360607761385501</v>
      </c>
      <c r="I1138">
        <v>1.4946680564464401</v>
      </c>
      <c r="J1138">
        <v>1.4992783835792201</v>
      </c>
      <c r="K1138">
        <v>1.3651980436177</v>
      </c>
      <c r="L1138">
        <v>1291.7544423257</v>
      </c>
      <c r="M1138">
        <v>23.825472401481999</v>
      </c>
      <c r="O1138">
        <v>53.839737107646798</v>
      </c>
      <c r="P1138">
        <v>5.2280362947702302E-2</v>
      </c>
      <c r="Q1138">
        <v>1.4725557342950399</v>
      </c>
      <c r="R1138">
        <v>0.90073359191102498</v>
      </c>
      <c r="S1138" t="s">
        <v>3140</v>
      </c>
      <c r="T1138" t="s">
        <v>4002</v>
      </c>
      <c r="U1138" t="s">
        <v>4002</v>
      </c>
      <c r="V1138" t="s">
        <v>4002</v>
      </c>
      <c r="W1138" t="s">
        <v>5120</v>
      </c>
      <c r="X1138">
        <v>2</v>
      </c>
      <c r="Y1138" t="s">
        <v>7053</v>
      </c>
      <c r="Z1138" t="s">
        <v>9036</v>
      </c>
      <c r="AA1138">
        <v>1.243837811542905</v>
      </c>
      <c r="AB1138" t="str">
        <f>HYPERLINK("Melting_Curves/meltCurve_P17050_NAGA.pdf", "Melting_Curves/meltCurve_P17050_NAGA.pdf")</f>
        <v>Melting_Curves/meltCurve_P17050_NAGA.pdf</v>
      </c>
    </row>
    <row r="1139" spans="1:28" x14ac:dyDescent="0.25">
      <c r="A1139" t="s">
        <v>1143</v>
      </c>
      <c r="B1139">
        <v>1</v>
      </c>
      <c r="C1139">
        <v>0.90610428147520095</v>
      </c>
      <c r="D1139">
        <v>1.0150487494701099</v>
      </c>
      <c r="E1139">
        <v>1.08870284018652</v>
      </c>
      <c r="F1139">
        <v>1.1206019499788</v>
      </c>
      <c r="G1139">
        <v>1.1804260279779599</v>
      </c>
      <c r="H1139">
        <v>1.1662250953794</v>
      </c>
      <c r="I1139">
        <v>2.1818567189487101</v>
      </c>
      <c r="J1139">
        <v>1.88119966087325</v>
      </c>
      <c r="K1139">
        <v>2.1016320474777399</v>
      </c>
      <c r="L1139">
        <v>15000</v>
      </c>
      <c r="M1139">
        <v>245.20506345214301</v>
      </c>
      <c r="O1139">
        <v>61.169204408659901</v>
      </c>
      <c r="P1139">
        <v>0.50107935836030004</v>
      </c>
      <c r="Q1139">
        <v>1.5</v>
      </c>
      <c r="R1139">
        <v>0.518541200387999</v>
      </c>
      <c r="S1139" t="s">
        <v>3141</v>
      </c>
      <c r="T1139" t="s">
        <v>4002</v>
      </c>
      <c r="U1139" t="s">
        <v>4002</v>
      </c>
      <c r="V1139" t="s">
        <v>4002</v>
      </c>
      <c r="W1139" t="s">
        <v>5121</v>
      </c>
      <c r="X1139">
        <v>9</v>
      </c>
      <c r="Y1139" t="s">
        <v>7054</v>
      </c>
      <c r="Z1139" t="s">
        <v>9037</v>
      </c>
      <c r="AA1139">
        <v>1.147056064863591</v>
      </c>
      <c r="AB1139" t="str">
        <f>HYPERLINK("Melting_Curves/meltCurve_P17066_HSPA6.pdf", "Melting_Curves/meltCurve_P17066_HSPA6.pdf")</f>
        <v>Melting_Curves/meltCurve_P17066_HSPA6.pdf</v>
      </c>
    </row>
    <row r="1140" spans="1:28" x14ac:dyDescent="0.25">
      <c r="A1140" t="s">
        <v>1144</v>
      </c>
      <c r="B1140">
        <v>1</v>
      </c>
      <c r="C1140">
        <v>0.94947101608992701</v>
      </c>
      <c r="D1140">
        <v>0.986389684813754</v>
      </c>
      <c r="E1140">
        <v>1.01653074718977</v>
      </c>
      <c r="F1140">
        <v>0.95746087723165096</v>
      </c>
      <c r="G1140">
        <v>1.0020938946440401</v>
      </c>
      <c r="H1140">
        <v>0.64701344500771396</v>
      </c>
      <c r="I1140">
        <v>1.17048710601719</v>
      </c>
      <c r="J1140">
        <v>0.779424729997796</v>
      </c>
      <c r="K1140">
        <v>0.82455366982587597</v>
      </c>
      <c r="L1140">
        <v>359.71719922415798</v>
      </c>
      <c r="M1140">
        <v>3.5434549160184199</v>
      </c>
      <c r="Q1140">
        <v>0</v>
      </c>
      <c r="R1140">
        <v>0.15041029527116601</v>
      </c>
      <c r="S1140" t="s">
        <v>3142</v>
      </c>
      <c r="T1140" t="s">
        <v>4002</v>
      </c>
      <c r="U1140" t="s">
        <v>4002</v>
      </c>
      <c r="V1140" t="s">
        <v>4002</v>
      </c>
      <c r="W1140" t="s">
        <v>5122</v>
      </c>
      <c r="X1140">
        <v>4</v>
      </c>
      <c r="Y1140" t="s">
        <v>7055</v>
      </c>
      <c r="Z1140" t="s">
        <v>9038</v>
      </c>
      <c r="AA1140">
        <v>0.93892147361625178</v>
      </c>
      <c r="AB1140" t="str">
        <f>HYPERLINK("Melting_Curves/meltCurve_P17096_2_HMGA1.pdf", "Melting_Curves/meltCurve_P17096_2_HMGA1.pdf")</f>
        <v>Melting_Curves/meltCurve_P17096_2_HMGA1.pdf</v>
      </c>
    </row>
    <row r="1141" spans="1:28" x14ac:dyDescent="0.25">
      <c r="A1141" t="s">
        <v>1145</v>
      </c>
      <c r="B1141">
        <v>1</v>
      </c>
      <c r="C1141">
        <v>1.0052382391457599</v>
      </c>
      <c r="D1141">
        <v>1.2751586582048999</v>
      </c>
      <c r="E1141">
        <v>1.55716732144656</v>
      </c>
      <c r="F1141">
        <v>1.5903092575803399</v>
      </c>
      <c r="G1141">
        <v>1.73164097914778</v>
      </c>
      <c r="H1141">
        <v>1.82331016419865</v>
      </c>
      <c r="I1141">
        <v>1.9438903999194099</v>
      </c>
      <c r="J1141">
        <v>2.14299385514254</v>
      </c>
      <c r="K1141">
        <v>1.62491185655284</v>
      </c>
      <c r="S1141" t="s">
        <v>3143</v>
      </c>
      <c r="T1141" t="s">
        <v>4002</v>
      </c>
      <c r="U1141" t="s">
        <v>4003</v>
      </c>
      <c r="V1141" t="s">
        <v>4002</v>
      </c>
      <c r="W1141" t="s">
        <v>5123</v>
      </c>
      <c r="X1141">
        <v>6</v>
      </c>
      <c r="Y1141" t="s">
        <v>7056</v>
      </c>
      <c r="Z1141" t="s">
        <v>9039</v>
      </c>
      <c r="AB1141" t="str">
        <f>HYPERLINK("Melting_Curves/meltCurve_P17174_GOT1.pdf", "Melting_Curves/meltCurve_P17174_GOT1.pdf")</f>
        <v>Melting_Curves/meltCurve_P17174_GOT1.pdf</v>
      </c>
    </row>
    <row r="1142" spans="1:28" x14ac:dyDescent="0.25">
      <c r="A1142" t="s">
        <v>1146</v>
      </c>
      <c r="B1142">
        <v>1</v>
      </c>
      <c r="C1142">
        <v>0.91826047358834195</v>
      </c>
      <c r="D1142">
        <v>0.95777446597118698</v>
      </c>
      <c r="E1142">
        <v>0.98658718330849504</v>
      </c>
      <c r="F1142">
        <v>0.90130816360324595</v>
      </c>
      <c r="G1142">
        <v>0.91505216095380004</v>
      </c>
      <c r="H1142">
        <v>0.97122868024507403</v>
      </c>
      <c r="I1142">
        <v>1.13623944361649</v>
      </c>
      <c r="J1142">
        <v>1.29222553402881</v>
      </c>
      <c r="K1142">
        <v>1.0595090246729599</v>
      </c>
      <c r="L1142">
        <v>15000</v>
      </c>
      <c r="M1142">
        <v>235.60987904116101</v>
      </c>
      <c r="O1142">
        <v>63.659976357894998</v>
      </c>
      <c r="P1142">
        <v>0.16272402480727599</v>
      </c>
      <c r="Q1142">
        <v>1.1758671166767201</v>
      </c>
      <c r="R1142">
        <v>0.59469305373183501</v>
      </c>
      <c r="S1142" t="s">
        <v>3144</v>
      </c>
      <c r="T1142" t="s">
        <v>4002</v>
      </c>
      <c r="U1142" t="s">
        <v>4002</v>
      </c>
      <c r="V1142" t="s">
        <v>4002</v>
      </c>
      <c r="W1142" t="s">
        <v>5124</v>
      </c>
      <c r="X1142">
        <v>7</v>
      </c>
      <c r="Y1142" t="s">
        <v>7057</v>
      </c>
      <c r="Z1142" t="s">
        <v>9040</v>
      </c>
      <c r="AA1142">
        <v>1.037117710441398</v>
      </c>
      <c r="AB1142" t="str">
        <f>HYPERLINK("Melting_Curves/meltCurve_P17213_BPI.pdf", "Melting_Curves/meltCurve_P17213_BPI.pdf")</f>
        <v>Melting_Curves/meltCurve_P17213_BPI.pdf</v>
      </c>
    </row>
    <row r="1143" spans="1:28" x14ac:dyDescent="0.25">
      <c r="A1143" t="s">
        <v>1147</v>
      </c>
      <c r="B1143">
        <v>1</v>
      </c>
      <c r="C1143">
        <v>0.86696428571428596</v>
      </c>
      <c r="D1143">
        <v>1.0895647321428601</v>
      </c>
      <c r="E1143">
        <v>1.1753906249999999</v>
      </c>
      <c r="F1143">
        <v>1.2445870535714301</v>
      </c>
      <c r="G1143">
        <v>1.3726004464285699</v>
      </c>
      <c r="H1143">
        <v>1.0662388392857101</v>
      </c>
      <c r="I1143">
        <v>1.7104910714285699</v>
      </c>
      <c r="J1143">
        <v>3.6964285714285698</v>
      </c>
      <c r="K1143">
        <v>1.24162946428571</v>
      </c>
      <c r="L1143">
        <v>1231.5153862473801</v>
      </c>
      <c r="M1143">
        <v>23.417104271295401</v>
      </c>
      <c r="O1143">
        <v>52.211402913192302</v>
      </c>
      <c r="P1143">
        <v>5.6064172733208399E-2</v>
      </c>
      <c r="Q1143">
        <v>1.5</v>
      </c>
      <c r="R1143">
        <v>0.154958716374861</v>
      </c>
      <c r="S1143" t="s">
        <v>3145</v>
      </c>
      <c r="T1143" t="s">
        <v>4002</v>
      </c>
      <c r="U1143" t="s">
        <v>4002</v>
      </c>
      <c r="V1143" t="s">
        <v>4002</v>
      </c>
      <c r="W1143" t="s">
        <v>5125</v>
      </c>
      <c r="X1143">
        <v>2</v>
      </c>
      <c r="Y1143" t="s">
        <v>7058</v>
      </c>
      <c r="Z1143" t="s">
        <v>9041</v>
      </c>
      <c r="AA1143">
        <v>1.284970290347456</v>
      </c>
      <c r="AB1143" t="str">
        <f>HYPERLINK("Melting_Curves/meltCurve_P17858_PFKL.pdf", "Melting_Curves/meltCurve_P17858_PFKL.pdf")</f>
        <v>Melting_Curves/meltCurve_P17858_PFKL.pdf</v>
      </c>
    </row>
    <row r="1144" spans="1:28" x14ac:dyDescent="0.25">
      <c r="A1144" t="s">
        <v>1148</v>
      </c>
      <c r="B1144">
        <v>1</v>
      </c>
      <c r="C1144">
        <v>0.97607142857142903</v>
      </c>
      <c r="D1144">
        <v>1.1140476190476201</v>
      </c>
      <c r="E1144">
        <v>1.1683730158730199</v>
      </c>
      <c r="F1144">
        <v>1.09095238095238</v>
      </c>
      <c r="G1144">
        <v>1.1992460317460301</v>
      </c>
      <c r="H1144">
        <v>0.89829365079365098</v>
      </c>
      <c r="I1144">
        <v>1.3600793650793599</v>
      </c>
      <c r="J1144">
        <v>0.82924603174603195</v>
      </c>
      <c r="K1144">
        <v>0.85686507936507905</v>
      </c>
      <c r="L1144">
        <v>15000</v>
      </c>
      <c r="M1144">
        <v>227.551915915992</v>
      </c>
      <c r="O1144">
        <v>65.913932240533001</v>
      </c>
      <c r="P1144">
        <v>-0.136808366663005</v>
      </c>
      <c r="Q1144">
        <v>0.84148536382499495</v>
      </c>
      <c r="R1144">
        <v>9.6778515327583595E-2</v>
      </c>
      <c r="S1144" t="s">
        <v>3146</v>
      </c>
      <c r="T1144" t="s">
        <v>4002</v>
      </c>
      <c r="U1144" t="s">
        <v>4002</v>
      </c>
      <c r="V1144" t="s">
        <v>4002</v>
      </c>
      <c r="W1144" t="s">
        <v>5126</v>
      </c>
      <c r="X1144">
        <v>3</v>
      </c>
      <c r="Y1144" t="s">
        <v>7059</v>
      </c>
      <c r="Z1144" t="s">
        <v>9042</v>
      </c>
      <c r="AA1144">
        <v>0.97845898030946465</v>
      </c>
      <c r="AB1144" t="str">
        <f>HYPERLINK("Melting_Curves/meltCurve_P17900_GM2A.pdf", "Melting_Curves/meltCurve_P17900_GM2A.pdf")</f>
        <v>Melting_Curves/meltCurve_P17900_GM2A.pdf</v>
      </c>
    </row>
    <row r="1145" spans="1:28" x14ac:dyDescent="0.25">
      <c r="A1145" t="s">
        <v>1149</v>
      </c>
      <c r="B1145">
        <v>1</v>
      </c>
      <c r="C1145">
        <v>0.994072241886648</v>
      </c>
      <c r="D1145">
        <v>1.05970403855175</v>
      </c>
      <c r="E1145">
        <v>0.93317412256386201</v>
      </c>
      <c r="F1145">
        <v>0.76831989992465899</v>
      </c>
      <c r="G1145">
        <v>0.76505039305158695</v>
      </c>
      <c r="H1145">
        <v>0.73920707350704395</v>
      </c>
      <c r="I1145">
        <v>0.78212290502793302</v>
      </c>
      <c r="J1145">
        <v>1.04902838784881</v>
      </c>
      <c r="K1145">
        <v>0.64547173298079497</v>
      </c>
      <c r="L1145">
        <v>12537.560019603899</v>
      </c>
      <c r="M1145">
        <v>250</v>
      </c>
      <c r="O1145">
        <v>50.147030805377902</v>
      </c>
      <c r="P1145">
        <v>-0.25981926949943002</v>
      </c>
      <c r="Q1145">
        <v>0.79153336170192701</v>
      </c>
      <c r="R1145">
        <v>0.52534988401921201</v>
      </c>
      <c r="S1145" t="s">
        <v>3147</v>
      </c>
      <c r="T1145" t="s">
        <v>4002</v>
      </c>
      <c r="U1145" t="s">
        <v>4002</v>
      </c>
      <c r="V1145" t="s">
        <v>4002</v>
      </c>
      <c r="W1145" t="s">
        <v>5127</v>
      </c>
      <c r="X1145">
        <v>5</v>
      </c>
      <c r="Y1145" t="s">
        <v>7060</v>
      </c>
      <c r="Z1145" t="s">
        <v>9043</v>
      </c>
      <c r="AA1145">
        <v>0.8620845903556239</v>
      </c>
      <c r="AB1145" t="str">
        <f>HYPERLINK("Melting_Curves/meltCurve_P17931_LGALS3.pdf", "Melting_Curves/meltCurve_P17931_LGALS3.pdf")</f>
        <v>Melting_Curves/meltCurve_P17931_LGALS3.pdf</v>
      </c>
    </row>
    <row r="1146" spans="1:28" x14ac:dyDescent="0.25">
      <c r="A1146" t="s">
        <v>1150</v>
      </c>
      <c r="B1146">
        <v>1</v>
      </c>
      <c r="C1146">
        <v>0.96747374562427102</v>
      </c>
      <c r="D1146">
        <v>1.0045580513418899</v>
      </c>
      <c r="E1146">
        <v>1.13134480746791</v>
      </c>
      <c r="F1146">
        <v>1.06567240373396</v>
      </c>
      <c r="G1146">
        <v>1.1479725787631301</v>
      </c>
      <c r="H1146">
        <v>0.78934509918319695</v>
      </c>
      <c r="I1146">
        <v>1.43760939323221</v>
      </c>
      <c r="J1146">
        <v>0.96915110851808595</v>
      </c>
      <c r="K1146">
        <v>1.0103558926487699</v>
      </c>
      <c r="L1146">
        <v>11628.346554826599</v>
      </c>
      <c r="M1146">
        <v>250</v>
      </c>
      <c r="O1146">
        <v>46.510409688037001</v>
      </c>
      <c r="P1146">
        <v>0.10586172448202601</v>
      </c>
      <c r="Q1146">
        <v>1.0787787546940399</v>
      </c>
      <c r="R1146">
        <v>6.3210337041780904E-2</v>
      </c>
      <c r="S1146" t="s">
        <v>3148</v>
      </c>
      <c r="T1146" t="s">
        <v>4002</v>
      </c>
      <c r="U1146" t="s">
        <v>4002</v>
      </c>
      <c r="V1146" t="s">
        <v>4002</v>
      </c>
      <c r="W1146" t="s">
        <v>5128</v>
      </c>
      <c r="X1146">
        <v>3</v>
      </c>
      <c r="Y1146" t="s">
        <v>7061</v>
      </c>
      <c r="Z1146" t="s">
        <v>9044</v>
      </c>
      <c r="AA1146">
        <v>1.0616684421231679</v>
      </c>
      <c r="AB1146" t="str">
        <f>HYPERLINK("Melting_Curves/meltCurve_P17936_IGFBP3.pdf", "Melting_Curves/meltCurve_P17936_IGFBP3.pdf")</f>
        <v>Melting_Curves/meltCurve_P17936_IGFBP3.pdf</v>
      </c>
    </row>
    <row r="1147" spans="1:28" x14ac:dyDescent="0.25">
      <c r="A1147" t="s">
        <v>1151</v>
      </c>
      <c r="B1147">
        <v>1</v>
      </c>
      <c r="C1147">
        <v>0.98760074395536301</v>
      </c>
      <c r="D1147">
        <v>1.0959564648343301</v>
      </c>
      <c r="E1147">
        <v>1.1303299579802999</v>
      </c>
      <c r="F1147">
        <v>0.98711855066473797</v>
      </c>
      <c r="G1147">
        <v>0.91968037473307196</v>
      </c>
      <c r="H1147">
        <v>0.76289867052421301</v>
      </c>
      <c r="I1147">
        <v>0.829234690363023</v>
      </c>
      <c r="J1147">
        <v>4.95474271543707</v>
      </c>
      <c r="K1147">
        <v>0.75752565957153695</v>
      </c>
      <c r="L1147">
        <v>15000</v>
      </c>
      <c r="M1147">
        <v>230.62103372594501</v>
      </c>
      <c r="O1147">
        <v>65.036877251903903</v>
      </c>
      <c r="P1147">
        <v>0.443250509137259</v>
      </c>
      <c r="Q1147">
        <v>1.5</v>
      </c>
      <c r="R1147">
        <v>0.13869340564794599</v>
      </c>
      <c r="S1147" t="s">
        <v>3149</v>
      </c>
      <c r="T1147" t="s">
        <v>4002</v>
      </c>
      <c r="U1147" t="s">
        <v>4002</v>
      </c>
      <c r="V1147" t="s">
        <v>4002</v>
      </c>
      <c r="W1147" t="s">
        <v>5129</v>
      </c>
      <c r="X1147">
        <v>4</v>
      </c>
      <c r="Y1147" t="s">
        <v>7062</v>
      </c>
      <c r="Z1147" t="s">
        <v>9045</v>
      </c>
      <c r="AA1147">
        <v>1.082570112953225</v>
      </c>
      <c r="AB1147" t="str">
        <f>HYPERLINK("Melting_Curves/meltCurve_P17987_TCP1.pdf", "Melting_Curves/meltCurve_P17987_TCP1.pdf")</f>
        <v>Melting_Curves/meltCurve_P17987_TCP1.pdf</v>
      </c>
    </row>
    <row r="1148" spans="1:28" x14ac:dyDescent="0.25">
      <c r="A1148" t="s">
        <v>1152</v>
      </c>
      <c r="B1148">
        <v>1</v>
      </c>
      <c r="C1148">
        <v>0.92560463476688204</v>
      </c>
      <c r="D1148">
        <v>1.0221316249272001</v>
      </c>
      <c r="E1148">
        <v>0.997823621371425</v>
      </c>
      <c r="F1148">
        <v>0.94893173527879104</v>
      </c>
      <c r="G1148">
        <v>1.0321858811268101</v>
      </c>
      <c r="H1148">
        <v>0.86313337216074504</v>
      </c>
      <c r="I1148">
        <v>1.00327989455292</v>
      </c>
      <c r="J1148">
        <v>0.88716549673543199</v>
      </c>
      <c r="K1148">
        <v>0.96677190938908097</v>
      </c>
      <c r="L1148">
        <v>254.08677307874501</v>
      </c>
      <c r="M1148">
        <v>3.28995538858049</v>
      </c>
      <c r="O1148">
        <v>59.115842880875</v>
      </c>
      <c r="P1148">
        <v>-2.23137663962546E-3</v>
      </c>
      <c r="Q1148">
        <v>0.843313249350362</v>
      </c>
      <c r="R1148">
        <v>0.109386607704325</v>
      </c>
      <c r="S1148" t="s">
        <v>3150</v>
      </c>
      <c r="T1148" t="s">
        <v>4002</v>
      </c>
      <c r="U1148" t="s">
        <v>4002</v>
      </c>
      <c r="V1148" t="s">
        <v>4002</v>
      </c>
      <c r="W1148" t="s">
        <v>5130</v>
      </c>
      <c r="X1148">
        <v>6</v>
      </c>
      <c r="Y1148" t="s">
        <v>7063</v>
      </c>
      <c r="Z1148" t="s">
        <v>9046</v>
      </c>
      <c r="AA1148">
        <v>0.96614611115420823</v>
      </c>
      <c r="AB1148" t="str">
        <f>HYPERLINK("Melting_Curves/meltCurve_P18065_IGFBP2.pdf", "Melting_Curves/meltCurve_P18065_IGFBP2.pdf")</f>
        <v>Melting_Curves/meltCurve_P18065_IGFBP2.pdf</v>
      </c>
    </row>
    <row r="1149" spans="1:28" x14ac:dyDescent="0.25">
      <c r="A1149" t="s">
        <v>1153</v>
      </c>
      <c r="B1149">
        <v>1</v>
      </c>
      <c r="C1149">
        <v>0.94795110768060997</v>
      </c>
      <c r="D1149">
        <v>1.00481550176837</v>
      </c>
      <c r="E1149">
        <v>1.0327292835501101</v>
      </c>
      <c r="F1149">
        <v>0.98241996244369501</v>
      </c>
      <c r="G1149">
        <v>1.03702637005633</v>
      </c>
      <c r="H1149">
        <v>1.0104604679561799</v>
      </c>
      <c r="I1149">
        <v>1.1584853058074001</v>
      </c>
      <c r="J1149">
        <v>3.44561823900096</v>
      </c>
      <c r="K1149">
        <v>1.0274529682153799</v>
      </c>
      <c r="L1149">
        <v>15000</v>
      </c>
      <c r="M1149">
        <v>233.61218880063899</v>
      </c>
      <c r="O1149">
        <v>64.204269512750599</v>
      </c>
      <c r="P1149">
        <v>0.454822122136949</v>
      </c>
      <c r="Q1149">
        <v>1.5</v>
      </c>
      <c r="R1149">
        <v>0.24425162915343401</v>
      </c>
      <c r="S1149" t="s">
        <v>3151</v>
      </c>
      <c r="T1149" t="s">
        <v>4002</v>
      </c>
      <c r="U1149" t="s">
        <v>4002</v>
      </c>
      <c r="V1149" t="s">
        <v>4002</v>
      </c>
      <c r="W1149" t="s">
        <v>5131</v>
      </c>
      <c r="X1149">
        <v>4</v>
      </c>
      <c r="Y1149" t="s">
        <v>7064</v>
      </c>
      <c r="Z1149" t="s">
        <v>9047</v>
      </c>
      <c r="AA1149">
        <v>1.096452498516177</v>
      </c>
      <c r="AB1149" t="str">
        <f>HYPERLINK("Melting_Curves/meltCurve_P18124_RPL7.pdf", "Melting_Curves/meltCurve_P18124_RPL7.pdf")</f>
        <v>Melting_Curves/meltCurve_P18124_RPL7.pdf</v>
      </c>
    </row>
    <row r="1150" spans="1:28" x14ac:dyDescent="0.25">
      <c r="A1150" t="s">
        <v>1154</v>
      </c>
      <c r="B1150">
        <v>1</v>
      </c>
      <c r="C1150">
        <v>0.93335262345679004</v>
      </c>
      <c r="D1150">
        <v>0.95049672067901203</v>
      </c>
      <c r="E1150">
        <v>0.94309413580246904</v>
      </c>
      <c r="F1150">
        <v>0.86156925154320996</v>
      </c>
      <c r="G1150">
        <v>0.92783082561728403</v>
      </c>
      <c r="H1150">
        <v>0.76620370370370405</v>
      </c>
      <c r="I1150">
        <v>1.0134548611111101</v>
      </c>
      <c r="J1150">
        <v>0.84227912808642003</v>
      </c>
      <c r="K1150">
        <v>0.83232060185185197</v>
      </c>
      <c r="L1150">
        <v>396.445007901525</v>
      </c>
      <c r="M1150">
        <v>8.1632307124407895</v>
      </c>
      <c r="O1150">
        <v>45.911294759183299</v>
      </c>
      <c r="P1150">
        <v>-6.5621091298995E-3</v>
      </c>
      <c r="Q1150">
        <v>0.852529310981331</v>
      </c>
      <c r="R1150">
        <v>0.29536347575538302</v>
      </c>
      <c r="S1150" t="s">
        <v>3152</v>
      </c>
      <c r="T1150" t="s">
        <v>4002</v>
      </c>
      <c r="U1150" t="s">
        <v>4002</v>
      </c>
      <c r="V1150" t="s">
        <v>4002</v>
      </c>
      <c r="W1150" t="s">
        <v>5132</v>
      </c>
      <c r="X1150">
        <v>38</v>
      </c>
      <c r="Y1150" t="s">
        <v>7065</v>
      </c>
      <c r="Z1150" t="s">
        <v>9048</v>
      </c>
      <c r="AA1150">
        <v>0.9045307432183548</v>
      </c>
      <c r="AB1150" t="str">
        <f>HYPERLINK("Melting_Curves/meltCurve_P18206_2_VCL.pdf", "Melting_Curves/meltCurve_P18206_2_VCL.pdf")</f>
        <v>Melting_Curves/meltCurve_P18206_2_VCL.pdf</v>
      </c>
    </row>
    <row r="1151" spans="1:28" x14ac:dyDescent="0.25">
      <c r="A1151" t="s">
        <v>1155</v>
      </c>
      <c r="B1151">
        <v>1</v>
      </c>
      <c r="C1151">
        <v>0.842716172085759</v>
      </c>
      <c r="D1151">
        <v>0.95786596620758202</v>
      </c>
      <c r="E1151">
        <v>1.03475081641346</v>
      </c>
      <c r="F1151">
        <v>1.36972880874627</v>
      </c>
      <c r="G1151">
        <v>2.2643049836717299</v>
      </c>
      <c r="H1151">
        <v>2.0914383075393999</v>
      </c>
      <c r="I1151">
        <v>4.1780846230299602</v>
      </c>
      <c r="J1151">
        <v>2.4009654976572499</v>
      </c>
      <c r="K1151">
        <v>3.4284040891665502</v>
      </c>
      <c r="L1151">
        <v>6192.0325442580597</v>
      </c>
      <c r="M1151">
        <v>117.882658729781</v>
      </c>
      <c r="O1151">
        <v>52.511953213142498</v>
      </c>
      <c r="P1151">
        <v>0.28060900719996101</v>
      </c>
      <c r="Q1151">
        <v>1.5</v>
      </c>
      <c r="R1151">
        <v>-7.6983148836708801E-2</v>
      </c>
      <c r="S1151" t="s">
        <v>3153</v>
      </c>
      <c r="T1151" t="s">
        <v>4002</v>
      </c>
      <c r="U1151" t="s">
        <v>4002</v>
      </c>
      <c r="V1151" t="s">
        <v>4002</v>
      </c>
      <c r="W1151" t="s">
        <v>5133</v>
      </c>
      <c r="X1151">
        <v>6</v>
      </c>
      <c r="Y1151" t="s">
        <v>7066</v>
      </c>
      <c r="Z1151" t="s">
        <v>9049</v>
      </c>
      <c r="AA1151">
        <v>1.2910077703103351</v>
      </c>
      <c r="AB1151" t="str">
        <f>HYPERLINK("Melting_Curves/meltCurve_P18510_4_IL1RN.pdf", "Melting_Curves/meltCurve_P18510_4_IL1RN.pdf")</f>
        <v>Melting_Curves/meltCurve_P18510_4_IL1RN.pdf</v>
      </c>
    </row>
    <row r="1152" spans="1:28" x14ac:dyDescent="0.25">
      <c r="A1152" t="s">
        <v>1156</v>
      </c>
      <c r="B1152">
        <v>1</v>
      </c>
      <c r="C1152">
        <v>1.01686760314125</v>
      </c>
      <c r="D1152">
        <v>1.0951775246101101</v>
      </c>
      <c r="E1152">
        <v>1.1872580466762499</v>
      </c>
      <c r="F1152">
        <v>1.16054639973454</v>
      </c>
      <c r="G1152">
        <v>1.2914500608339801</v>
      </c>
      <c r="H1152">
        <v>1.5250525384360101</v>
      </c>
      <c r="I1152">
        <v>2.8015706227187298</v>
      </c>
      <c r="J1152">
        <v>2.4310916933967501</v>
      </c>
      <c r="K1152">
        <v>2.4188695940714502</v>
      </c>
      <c r="L1152">
        <v>1786.8667490509599</v>
      </c>
      <c r="M1152">
        <v>33.081388241551799</v>
      </c>
      <c r="O1152">
        <v>53.818033026788399</v>
      </c>
      <c r="P1152">
        <v>7.6836548978674896E-2</v>
      </c>
      <c r="Q1152">
        <v>1.5</v>
      </c>
      <c r="R1152">
        <v>0.179167508816721</v>
      </c>
      <c r="S1152" t="s">
        <v>3154</v>
      </c>
      <c r="T1152" t="s">
        <v>4002</v>
      </c>
      <c r="U1152" t="s">
        <v>4002</v>
      </c>
      <c r="V1152" t="s">
        <v>4002</v>
      </c>
      <c r="W1152" t="s">
        <v>5134</v>
      </c>
      <c r="X1152">
        <v>14</v>
      </c>
      <c r="Y1152" t="s">
        <v>7067</v>
      </c>
      <c r="Z1152" t="s">
        <v>9050</v>
      </c>
      <c r="AA1152">
        <v>1.2637134596407751</v>
      </c>
      <c r="AB1152" t="str">
        <f>HYPERLINK("Melting_Curves/meltCurve_P18669_PGAM1.pdf", "Melting_Curves/meltCurve_P18669_PGAM1.pdf")</f>
        <v>Melting_Curves/meltCurve_P18669_PGAM1.pdf</v>
      </c>
    </row>
    <row r="1153" spans="1:28" x14ac:dyDescent="0.25">
      <c r="A1153" t="s">
        <v>1157</v>
      </c>
      <c r="B1153">
        <v>1</v>
      </c>
      <c r="C1153">
        <v>0.89020194465220603</v>
      </c>
      <c r="D1153">
        <v>0.96245325355273004</v>
      </c>
      <c r="E1153">
        <v>1.0077786088257299</v>
      </c>
      <c r="F1153">
        <v>0.88362004487658896</v>
      </c>
      <c r="G1153">
        <v>0.94899027673896796</v>
      </c>
      <c r="H1153">
        <v>0.75602094240837703</v>
      </c>
      <c r="I1153">
        <v>1.02857142857143</v>
      </c>
      <c r="J1153">
        <v>0.82483171278982803</v>
      </c>
      <c r="K1153">
        <v>0.72698578908002998</v>
      </c>
      <c r="L1153">
        <v>280.15980982103503</v>
      </c>
      <c r="M1153">
        <v>2.6410432040974898</v>
      </c>
      <c r="Q1153">
        <v>0</v>
      </c>
      <c r="R1153">
        <v>0.34016631798302899</v>
      </c>
      <c r="S1153" t="s">
        <v>3155</v>
      </c>
      <c r="T1153" t="s">
        <v>4002</v>
      </c>
      <c r="U1153" t="s">
        <v>4002</v>
      </c>
      <c r="V1153" t="s">
        <v>4002</v>
      </c>
      <c r="W1153" t="s">
        <v>5135</v>
      </c>
      <c r="X1153">
        <v>11</v>
      </c>
      <c r="Y1153" t="s">
        <v>7068</v>
      </c>
      <c r="Z1153" t="s">
        <v>9051</v>
      </c>
      <c r="AA1153">
        <v>0.91074226380926682</v>
      </c>
      <c r="AB1153" t="str">
        <f>HYPERLINK("Melting_Curves/meltCurve_P19021_2_PAM.pdf", "Melting_Curves/meltCurve_P19021_2_PAM.pdf")</f>
        <v>Melting_Curves/meltCurve_P19021_2_PAM.pdf</v>
      </c>
    </row>
    <row r="1154" spans="1:28" x14ac:dyDescent="0.25">
      <c r="A1154" t="s">
        <v>1158</v>
      </c>
      <c r="B1154">
        <v>1</v>
      </c>
      <c r="C1154">
        <v>0.85781835376277604</v>
      </c>
      <c r="D1154">
        <v>0.878296293602008</v>
      </c>
      <c r="E1154">
        <v>0.77641581493471101</v>
      </c>
      <c r="F1154">
        <v>0.76532208198450502</v>
      </c>
      <c r="G1154">
        <v>0.84561524751755002</v>
      </c>
      <c r="H1154">
        <v>0.62135816389626397</v>
      </c>
      <c r="I1154">
        <v>0.93412868730222198</v>
      </c>
      <c r="J1154">
        <v>0.81637144000290995</v>
      </c>
      <c r="K1154">
        <v>0.74895427927108704</v>
      </c>
      <c r="L1154">
        <v>934.57473941607896</v>
      </c>
      <c r="M1154">
        <v>21.666200785194501</v>
      </c>
      <c r="O1154">
        <v>42.772732702153199</v>
      </c>
      <c r="P1154">
        <v>-2.6848821883460699E-2</v>
      </c>
      <c r="Q1154">
        <v>0.78798866782551902</v>
      </c>
      <c r="R1154">
        <v>0.39128803000895801</v>
      </c>
      <c r="S1154" t="s">
        <v>3156</v>
      </c>
      <c r="T1154" t="s">
        <v>4002</v>
      </c>
      <c r="U1154" t="s">
        <v>4002</v>
      </c>
      <c r="V1154" t="s">
        <v>4002</v>
      </c>
      <c r="W1154" t="s">
        <v>5136</v>
      </c>
      <c r="X1154">
        <v>2</v>
      </c>
      <c r="Y1154" t="s">
        <v>7069</v>
      </c>
      <c r="Z1154" t="s">
        <v>9052</v>
      </c>
      <c r="AA1154">
        <v>0.81421043220291622</v>
      </c>
      <c r="AB1154" t="str">
        <f>HYPERLINK("Melting_Curves/meltCurve_P19320_3_VCAM1.pdf", "Melting_Curves/meltCurve_P19320_3_VCAM1.pdf")</f>
        <v>Melting_Curves/meltCurve_P19320_3_VCAM1.pdf</v>
      </c>
    </row>
    <row r="1155" spans="1:28" x14ac:dyDescent="0.25">
      <c r="A1155" t="s">
        <v>1159</v>
      </c>
      <c r="B1155">
        <v>1</v>
      </c>
      <c r="C1155">
        <v>0.86770198545311605</v>
      </c>
      <c r="D1155">
        <v>0.98787759648777895</v>
      </c>
      <c r="E1155">
        <v>0.99754275604482001</v>
      </c>
      <c r="F1155">
        <v>0.93349059694646497</v>
      </c>
      <c r="G1155">
        <v>1.0095341065461001</v>
      </c>
      <c r="H1155">
        <v>1.0214271672891699</v>
      </c>
      <c r="I1155">
        <v>1.0111067426774101</v>
      </c>
      <c r="J1155">
        <v>2.7114212699036799</v>
      </c>
      <c r="K1155">
        <v>1.0635934735600501</v>
      </c>
      <c r="L1155">
        <v>15000</v>
      </c>
      <c r="M1155">
        <v>231.42062281706501</v>
      </c>
      <c r="O1155">
        <v>64.812201510177502</v>
      </c>
      <c r="P1155">
        <v>0.44632920471074</v>
      </c>
      <c r="Q1155">
        <v>1.5</v>
      </c>
      <c r="R1155">
        <v>0.376911492212336</v>
      </c>
      <c r="S1155" t="s">
        <v>3157</v>
      </c>
      <c r="T1155" t="s">
        <v>4002</v>
      </c>
      <c r="U1155" t="s">
        <v>4002</v>
      </c>
      <c r="V1155" t="s">
        <v>4002</v>
      </c>
      <c r="W1155" t="s">
        <v>5137</v>
      </c>
      <c r="X1155">
        <v>5</v>
      </c>
      <c r="Y1155" t="s">
        <v>7070</v>
      </c>
      <c r="Z1155" t="s">
        <v>9053</v>
      </c>
      <c r="AA1155">
        <v>1.086316271969979</v>
      </c>
      <c r="AB1155" t="str">
        <f>HYPERLINK("Melting_Curves/meltCurve_P19338_NCL.pdf", "Melting_Curves/meltCurve_P19338_NCL.pdf")</f>
        <v>Melting_Curves/meltCurve_P19338_NCL.pdf</v>
      </c>
    </row>
    <row r="1156" spans="1:28" x14ac:dyDescent="0.25">
      <c r="A1156" t="s">
        <v>1160</v>
      </c>
      <c r="B1156">
        <v>1</v>
      </c>
      <c r="C1156">
        <v>1.03061940691349</v>
      </c>
      <c r="D1156">
        <v>1.14686787155641</v>
      </c>
      <c r="E1156">
        <v>1.0346552026671301</v>
      </c>
      <c r="F1156">
        <v>1.2236357255658901</v>
      </c>
      <c r="G1156">
        <v>1.3759431479206901</v>
      </c>
      <c r="H1156">
        <v>1.2752237234602599</v>
      </c>
      <c r="I1156">
        <v>1.1909106860852801</v>
      </c>
      <c r="J1156">
        <v>3.3186523951570499</v>
      </c>
      <c r="K1156">
        <v>1.2823302333742801</v>
      </c>
      <c r="L1156">
        <v>1365.5419528433899</v>
      </c>
      <c r="M1156">
        <v>25.309000879475001</v>
      </c>
      <c r="O1156">
        <v>53.621328086050497</v>
      </c>
      <c r="P1156">
        <v>5.9000133587170503E-2</v>
      </c>
      <c r="Q1156">
        <v>1.5</v>
      </c>
      <c r="R1156">
        <v>0.177398571842076</v>
      </c>
      <c r="S1156" t="s">
        <v>3158</v>
      </c>
      <c r="T1156" t="s">
        <v>4002</v>
      </c>
      <c r="U1156" t="s">
        <v>4002</v>
      </c>
      <c r="V1156" t="s">
        <v>4002</v>
      </c>
      <c r="W1156" t="s">
        <v>5138</v>
      </c>
      <c r="X1156">
        <v>1</v>
      </c>
      <c r="Y1156" t="s">
        <v>7071</v>
      </c>
      <c r="Z1156" t="s">
        <v>9054</v>
      </c>
      <c r="AA1156">
        <v>1.2628965707400379</v>
      </c>
      <c r="AB1156" t="str">
        <f>HYPERLINK("Melting_Curves/meltCurve_P19447_ERCC3.pdf", "Melting_Curves/meltCurve_P19447_ERCC3.pdf")</f>
        <v>Melting_Curves/meltCurve_P19447_ERCC3.pdf</v>
      </c>
    </row>
    <row r="1157" spans="1:28" x14ac:dyDescent="0.25">
      <c r="A1157" t="s">
        <v>1161</v>
      </c>
      <c r="B1157">
        <v>1</v>
      </c>
      <c r="C1157">
        <v>0.89574958460631404</v>
      </c>
      <c r="D1157">
        <v>1.05000803987779</v>
      </c>
      <c r="E1157">
        <v>0.98601061263868806</v>
      </c>
      <c r="F1157">
        <v>1.1014900573511299</v>
      </c>
      <c r="G1157">
        <v>1.1663986707402001</v>
      </c>
      <c r="H1157">
        <v>0.63496274856622203</v>
      </c>
      <c r="I1157">
        <v>1.22755534115881</v>
      </c>
      <c r="J1157">
        <v>0.667095460149006</v>
      </c>
      <c r="K1157">
        <v>0.93873613121080601</v>
      </c>
      <c r="L1157">
        <v>14724.4514316677</v>
      </c>
      <c r="M1157">
        <v>250</v>
      </c>
      <c r="O1157">
        <v>58.894029935165101</v>
      </c>
      <c r="P1157">
        <v>-0.14103506441202199</v>
      </c>
      <c r="Q1157">
        <v>0.86710201207243398</v>
      </c>
      <c r="R1157">
        <v>0.17527629847854501</v>
      </c>
      <c r="S1157" t="s">
        <v>3159</v>
      </c>
      <c r="T1157" t="s">
        <v>4002</v>
      </c>
      <c r="U1157" t="s">
        <v>4002</v>
      </c>
      <c r="V1157" t="s">
        <v>4002</v>
      </c>
      <c r="W1157" t="s">
        <v>5139</v>
      </c>
      <c r="X1157">
        <v>2</v>
      </c>
      <c r="Y1157" t="s">
        <v>7072</v>
      </c>
      <c r="Z1157" t="s">
        <v>9055</v>
      </c>
      <c r="AA1157">
        <v>0.95083176094813915</v>
      </c>
      <c r="AB1157" t="str">
        <f>HYPERLINK("Melting_Curves/meltCurve_P19525_2_EIF2AK2.pdf", "Melting_Curves/meltCurve_P19525_2_EIF2AK2.pdf")</f>
        <v>Melting_Curves/meltCurve_P19525_2_EIF2AK2.pdf</v>
      </c>
    </row>
    <row r="1158" spans="1:28" x14ac:dyDescent="0.25">
      <c r="A1158" t="s">
        <v>1162</v>
      </c>
      <c r="B1158">
        <v>1</v>
      </c>
      <c r="C1158">
        <v>0.96049086421989305</v>
      </c>
      <c r="D1158">
        <v>1.20639844227591</v>
      </c>
      <c r="E1158">
        <v>1.6396630968822901</v>
      </c>
      <c r="F1158">
        <v>1.7995562297643</v>
      </c>
      <c r="G1158">
        <v>1.8933140127244299</v>
      </c>
      <c r="H1158">
        <v>1.7490434034460101</v>
      </c>
      <c r="I1158">
        <v>2.2137342359680301</v>
      </c>
      <c r="J1158">
        <v>1.89671021350782</v>
      </c>
      <c r="K1158">
        <v>1.8386804627889599</v>
      </c>
      <c r="L1158">
        <v>11516.2110954048</v>
      </c>
      <c r="M1158">
        <v>250</v>
      </c>
      <c r="O1158">
        <v>46.061895907897998</v>
      </c>
      <c r="P1158">
        <v>0.67843494050124598</v>
      </c>
      <c r="Q1158">
        <v>1.5</v>
      </c>
      <c r="R1158">
        <v>0.30307687237125402</v>
      </c>
      <c r="S1158" t="s">
        <v>3160</v>
      </c>
      <c r="T1158" t="s">
        <v>4002</v>
      </c>
      <c r="U1158" t="s">
        <v>4002</v>
      </c>
      <c r="V1158" t="s">
        <v>4002</v>
      </c>
      <c r="W1158" t="s">
        <v>5140</v>
      </c>
      <c r="X1158">
        <v>5</v>
      </c>
      <c r="Y1158" t="s">
        <v>7073</v>
      </c>
      <c r="Z1158" t="s">
        <v>9056</v>
      </c>
      <c r="AA1158">
        <v>1.398878838763866</v>
      </c>
      <c r="AB1158" t="str">
        <f>HYPERLINK("Melting_Curves/meltCurve_P19652_ORM2.pdf", "Melting_Curves/meltCurve_P19652_ORM2.pdf")</f>
        <v>Melting_Curves/meltCurve_P19652_ORM2.pdf</v>
      </c>
    </row>
    <row r="1159" spans="1:28" x14ac:dyDescent="0.25">
      <c r="A1159" t="s">
        <v>1163</v>
      </c>
      <c r="B1159">
        <v>1</v>
      </c>
      <c r="C1159">
        <v>1.0140836581347701</v>
      </c>
      <c r="D1159">
        <v>1.1209667697994901</v>
      </c>
      <c r="E1159">
        <v>1.1809378390324301</v>
      </c>
      <c r="F1159">
        <v>1.1158436131313501</v>
      </c>
      <c r="G1159">
        <v>1.45849238558283</v>
      </c>
      <c r="H1159">
        <v>1.40344356491341</v>
      </c>
      <c r="I1159">
        <v>2.2200345561939998</v>
      </c>
      <c r="J1159">
        <v>1.5934021778438501</v>
      </c>
      <c r="K1159">
        <v>1.79792662836019</v>
      </c>
      <c r="L1159">
        <v>1899.5125394598999</v>
      </c>
      <c r="M1159">
        <v>35.205602033851598</v>
      </c>
      <c r="O1159">
        <v>53.781643283854599</v>
      </c>
      <c r="P1159">
        <v>8.1825606720183297E-2</v>
      </c>
      <c r="Q1159">
        <v>1.5</v>
      </c>
      <c r="R1159">
        <v>0.51793007132816604</v>
      </c>
      <c r="S1159" t="s">
        <v>3161</v>
      </c>
      <c r="T1159" t="s">
        <v>4002</v>
      </c>
      <c r="U1159" t="s">
        <v>4002</v>
      </c>
      <c r="V1159" t="s">
        <v>4002</v>
      </c>
      <c r="W1159" t="s">
        <v>5141</v>
      </c>
      <c r="X1159">
        <v>12</v>
      </c>
      <c r="Y1159" t="s">
        <v>7074</v>
      </c>
      <c r="Z1159" t="s">
        <v>9057</v>
      </c>
      <c r="AA1159">
        <v>1.26501966953803</v>
      </c>
      <c r="AB1159" t="str">
        <f>HYPERLINK("Melting_Curves/meltCurve_P19827_ITIH1.pdf", "Melting_Curves/meltCurve_P19827_ITIH1.pdf")</f>
        <v>Melting_Curves/meltCurve_P19827_ITIH1.pdf</v>
      </c>
    </row>
    <row r="1160" spans="1:28" x14ac:dyDescent="0.25">
      <c r="A1160" t="s">
        <v>1164</v>
      </c>
      <c r="B1160">
        <v>1</v>
      </c>
      <c r="C1160">
        <v>1.1656013257575799</v>
      </c>
      <c r="D1160">
        <v>1.03861268939394</v>
      </c>
      <c r="E1160">
        <v>1.49204545454545</v>
      </c>
      <c r="F1160">
        <v>1.15648674242424</v>
      </c>
      <c r="G1160">
        <v>1.3141808712121199</v>
      </c>
      <c r="H1160">
        <v>1.10632102272727</v>
      </c>
      <c r="I1160">
        <v>1.12137784090909</v>
      </c>
      <c r="J1160">
        <v>1.1115056818181801</v>
      </c>
      <c r="K1160">
        <v>1.1030776515151499</v>
      </c>
      <c r="L1160">
        <v>4086.56368924043</v>
      </c>
      <c r="M1160">
        <v>97.626901811579302</v>
      </c>
      <c r="O1160">
        <v>41.8414368582268</v>
      </c>
      <c r="P1160">
        <v>0.105297305109739</v>
      </c>
      <c r="Q1160">
        <v>1.1805154186706699</v>
      </c>
      <c r="R1160">
        <v>0.15715180478568999</v>
      </c>
      <c r="S1160" t="s">
        <v>3162</v>
      </c>
      <c r="T1160" t="s">
        <v>4002</v>
      </c>
      <c r="U1160" t="s">
        <v>4002</v>
      </c>
      <c r="V1160" t="s">
        <v>4002</v>
      </c>
      <c r="W1160" t="s">
        <v>5142</v>
      </c>
      <c r="X1160">
        <v>1</v>
      </c>
      <c r="Y1160" t="s">
        <v>7075</v>
      </c>
      <c r="Z1160" t="s">
        <v>9058</v>
      </c>
      <c r="AA1160">
        <v>1.16921785830464</v>
      </c>
      <c r="AB1160" t="str">
        <f>HYPERLINK("Melting_Curves/meltCurve_P19835_CEL.pdf", "Melting_Curves/meltCurve_P19835_CEL.pdf")</f>
        <v>Melting_Curves/meltCurve_P19835_CEL.pdf</v>
      </c>
    </row>
    <row r="1161" spans="1:28" x14ac:dyDescent="0.25">
      <c r="A1161" t="s">
        <v>1165</v>
      </c>
      <c r="B1161">
        <v>1</v>
      </c>
      <c r="C1161">
        <v>0.96994147516997997</v>
      </c>
      <c r="D1161">
        <v>1.08034254238747</v>
      </c>
      <c r="E1161">
        <v>1.11584473706859</v>
      </c>
      <c r="F1161">
        <v>1.0584710388157299</v>
      </c>
      <c r="G1161">
        <v>1.1638264910921801</v>
      </c>
      <c r="H1161">
        <v>0.82103666408468901</v>
      </c>
      <c r="I1161">
        <v>1.40147603063947</v>
      </c>
      <c r="J1161">
        <v>0.91881831482915899</v>
      </c>
      <c r="K1161">
        <v>1.0582451157586701</v>
      </c>
      <c r="L1161">
        <v>11151.0615318447</v>
      </c>
      <c r="M1161">
        <v>250</v>
      </c>
      <c r="O1161">
        <v>44.601391763535602</v>
      </c>
      <c r="P1161">
        <v>0.10826780349410001</v>
      </c>
      <c r="Q1161">
        <v>1.07726231539284</v>
      </c>
      <c r="R1161">
        <v>5.9979184181116599E-2</v>
      </c>
      <c r="S1161" t="s">
        <v>3163</v>
      </c>
      <c r="T1161" t="s">
        <v>4002</v>
      </c>
      <c r="U1161" t="s">
        <v>4002</v>
      </c>
      <c r="V1161" t="s">
        <v>4002</v>
      </c>
      <c r="W1161" t="s">
        <v>5143</v>
      </c>
      <c r="X1161">
        <v>12</v>
      </c>
      <c r="Y1161" t="s">
        <v>7076</v>
      </c>
      <c r="Z1161" t="s">
        <v>9059</v>
      </c>
      <c r="AA1161">
        <v>1.065398443436181</v>
      </c>
      <c r="AB1161" t="str">
        <f>HYPERLINK("Melting_Curves/meltCurve_P19878_3_NCF2.pdf", "Melting_Curves/meltCurve_P19878_3_NCF2.pdf")</f>
        <v>Melting_Curves/meltCurve_P19878_3_NCF2.pdf</v>
      </c>
    </row>
    <row r="1162" spans="1:28" x14ac:dyDescent="0.25">
      <c r="A1162" t="s">
        <v>1166</v>
      </c>
      <c r="B1162">
        <v>1</v>
      </c>
      <c r="C1162">
        <v>0.90603954721306801</v>
      </c>
      <c r="D1162">
        <v>1.12326264507809</v>
      </c>
      <c r="E1162">
        <v>1.0124301475856099</v>
      </c>
      <c r="F1162">
        <v>0.82189425419114504</v>
      </c>
      <c r="G1162">
        <v>0.90668433873047705</v>
      </c>
      <c r="H1162">
        <v>0.41073219658976901</v>
      </c>
      <c r="I1162">
        <v>0.87347757558389405</v>
      </c>
      <c r="J1162">
        <v>0.53657400773749797</v>
      </c>
      <c r="K1162">
        <v>0.498101447198739</v>
      </c>
      <c r="L1162">
        <v>1044.75733187131</v>
      </c>
      <c r="M1162">
        <v>18.224054888626</v>
      </c>
      <c r="O1162">
        <v>56.6515621463885</v>
      </c>
      <c r="P1162">
        <v>-3.6702264936452803E-2</v>
      </c>
      <c r="Q1162">
        <v>0.54364866498219</v>
      </c>
      <c r="R1162">
        <v>0.640560139952844</v>
      </c>
      <c r="S1162" t="s">
        <v>3164</v>
      </c>
      <c r="T1162" t="s">
        <v>4002</v>
      </c>
      <c r="U1162" t="s">
        <v>4002</v>
      </c>
      <c r="V1162" t="s">
        <v>4002</v>
      </c>
      <c r="W1162" t="s">
        <v>5144</v>
      </c>
      <c r="X1162">
        <v>7</v>
      </c>
      <c r="Y1162" t="s">
        <v>7077</v>
      </c>
      <c r="Z1162" t="s">
        <v>9060</v>
      </c>
      <c r="AA1162">
        <v>0.8132547345075144</v>
      </c>
      <c r="AB1162" t="str">
        <f>HYPERLINK("Melting_Curves/meltCurve_P19957_PI3.pdf", "Melting_Curves/meltCurve_P19957_PI3.pdf")</f>
        <v>Melting_Curves/meltCurve_P19957_PI3.pdf</v>
      </c>
    </row>
    <row r="1163" spans="1:28" x14ac:dyDescent="0.25">
      <c r="A1163" t="s">
        <v>1167</v>
      </c>
      <c r="B1163">
        <v>1</v>
      </c>
      <c r="C1163">
        <v>1.36451970523661</v>
      </c>
      <c r="D1163">
        <v>1.83864095819838</v>
      </c>
      <c r="E1163">
        <v>1.94800339108319</v>
      </c>
      <c r="F1163">
        <v>2.2411581853357401</v>
      </c>
      <c r="G1163">
        <v>2.6867812968719398</v>
      </c>
      <c r="H1163">
        <v>1.3823228919853101</v>
      </c>
      <c r="I1163">
        <v>4.8696824120166102</v>
      </c>
      <c r="J1163">
        <v>1.80099123970176</v>
      </c>
      <c r="K1163">
        <v>2.8785079233962998</v>
      </c>
      <c r="S1163" t="s">
        <v>3165</v>
      </c>
      <c r="T1163" t="s">
        <v>4002</v>
      </c>
      <c r="U1163" t="s">
        <v>4003</v>
      </c>
      <c r="V1163" t="s">
        <v>4002</v>
      </c>
      <c r="W1163" t="s">
        <v>5145</v>
      </c>
      <c r="X1163">
        <v>35</v>
      </c>
      <c r="Y1163" t="s">
        <v>7078</v>
      </c>
      <c r="Z1163" t="s">
        <v>9061</v>
      </c>
      <c r="AB1163" t="str">
        <f>HYPERLINK("Melting_Curves/meltCurve_P19961_AMY2B.pdf", "Melting_Curves/meltCurve_P19961_AMY2B.pdf")</f>
        <v>Melting_Curves/meltCurve_P19961_AMY2B.pdf</v>
      </c>
    </row>
    <row r="1164" spans="1:28" x14ac:dyDescent="0.25">
      <c r="A1164" t="s">
        <v>1168</v>
      </c>
      <c r="B1164">
        <v>1</v>
      </c>
      <c r="C1164">
        <v>0.83372683395666602</v>
      </c>
      <c r="D1164">
        <v>0.97369465744551897</v>
      </c>
      <c r="E1164">
        <v>1.1963602933494899</v>
      </c>
      <c r="F1164">
        <v>1.15156390380477</v>
      </c>
      <c r="G1164">
        <v>1.28904536052318</v>
      </c>
      <c r="H1164">
        <v>1.3295585131944601</v>
      </c>
      <c r="I1164">
        <v>1.36326027454504</v>
      </c>
      <c r="J1164">
        <v>1.29543887507574</v>
      </c>
      <c r="K1164">
        <v>1.2251728965128199</v>
      </c>
      <c r="L1164">
        <v>1266.7234456512001</v>
      </c>
      <c r="M1164">
        <v>24.993601349807999</v>
      </c>
      <c r="O1164">
        <v>50.3607947943349</v>
      </c>
      <c r="P1164">
        <v>3.7125649171975299E-2</v>
      </c>
      <c r="Q1164">
        <v>1.29922094505453</v>
      </c>
      <c r="R1164">
        <v>0.81058461160878803</v>
      </c>
      <c r="S1164" t="s">
        <v>3166</v>
      </c>
      <c r="T1164" t="s">
        <v>4002</v>
      </c>
      <c r="U1164" t="s">
        <v>4002</v>
      </c>
      <c r="V1164" t="s">
        <v>4002</v>
      </c>
      <c r="W1164" t="s">
        <v>5146</v>
      </c>
      <c r="X1164">
        <v>12</v>
      </c>
      <c r="Y1164" t="s">
        <v>7079</v>
      </c>
      <c r="Z1164" t="s">
        <v>9062</v>
      </c>
      <c r="AA1164">
        <v>1.189984098778599</v>
      </c>
      <c r="AB1164" t="str">
        <f>HYPERLINK("Melting_Curves/meltCurve_P20061_TCN1.pdf", "Melting_Curves/meltCurve_P20061_TCN1.pdf")</f>
        <v>Melting_Curves/meltCurve_P20061_TCN1.pdf</v>
      </c>
    </row>
    <row r="1165" spans="1:28" x14ac:dyDescent="0.25">
      <c r="A1165" t="s">
        <v>1169</v>
      </c>
      <c r="B1165">
        <v>1</v>
      </c>
      <c r="C1165">
        <v>0.96434169278996895</v>
      </c>
      <c r="D1165">
        <v>1.6377351097178701</v>
      </c>
      <c r="E1165">
        <v>1.8562565308254999</v>
      </c>
      <c r="F1165">
        <v>1.8764367816092</v>
      </c>
      <c r="G1165">
        <v>1.93449582027168</v>
      </c>
      <c r="H1165">
        <v>1.9205198537095101</v>
      </c>
      <c r="I1165">
        <v>2.4439002089864199</v>
      </c>
      <c r="J1165">
        <v>1.7381792058516199</v>
      </c>
      <c r="K1165">
        <v>2.11520376175549</v>
      </c>
      <c r="L1165">
        <v>11070.576529665799</v>
      </c>
      <c r="M1165">
        <v>250</v>
      </c>
      <c r="O1165">
        <v>44.279452808846997</v>
      </c>
      <c r="P1165">
        <v>0.70574463259531095</v>
      </c>
      <c r="Q1165">
        <v>1.5</v>
      </c>
      <c r="R1165">
        <v>-4.3691967215735199E-2</v>
      </c>
      <c r="S1165" t="s">
        <v>3167</v>
      </c>
      <c r="T1165" t="s">
        <v>4002</v>
      </c>
      <c r="U1165" t="s">
        <v>4002</v>
      </c>
      <c r="V1165" t="s">
        <v>4002</v>
      </c>
      <c r="W1165" t="s">
        <v>5147</v>
      </c>
      <c r="X1165">
        <v>4</v>
      </c>
      <c r="Y1165" t="s">
        <v>7080</v>
      </c>
      <c r="Z1165" t="s">
        <v>9063</v>
      </c>
      <c r="AA1165">
        <v>1.4285893739765809</v>
      </c>
      <c r="AB1165" t="str">
        <f>HYPERLINK("Melting_Curves/meltCurve_P20160_AZU1.pdf", "Melting_Curves/meltCurve_P20160_AZU1.pdf")</f>
        <v>Melting_Curves/meltCurve_P20160_AZU1.pdf</v>
      </c>
    </row>
    <row r="1166" spans="1:28" x14ac:dyDescent="0.25">
      <c r="A1166" t="s">
        <v>1170</v>
      </c>
      <c r="B1166">
        <v>1</v>
      </c>
      <c r="C1166">
        <v>0.98792035225811503</v>
      </c>
      <c r="D1166">
        <v>0.91450726727194798</v>
      </c>
      <c r="E1166">
        <v>1.1573861200950799</v>
      </c>
      <c r="F1166">
        <v>1.3009390951954201</v>
      </c>
      <c r="G1166">
        <v>1.5463897439894001</v>
      </c>
      <c r="H1166">
        <v>1.0171453064723499</v>
      </c>
      <c r="I1166">
        <v>2.3669095585083602</v>
      </c>
      <c r="J1166">
        <v>1.7774227487043599</v>
      </c>
      <c r="K1166">
        <v>1.7654989673849499</v>
      </c>
      <c r="L1166">
        <v>1638.0267527963799</v>
      </c>
      <c r="M1166">
        <v>31.603165168469701</v>
      </c>
      <c r="O1166">
        <v>51.624901248529</v>
      </c>
      <c r="P1166">
        <v>7.6521547381581803E-2</v>
      </c>
      <c r="Q1166">
        <v>1.5</v>
      </c>
      <c r="R1166">
        <v>0.42927084450939501</v>
      </c>
      <c r="S1166" t="s">
        <v>3168</v>
      </c>
      <c r="T1166" t="s">
        <v>4002</v>
      </c>
      <c r="U1166" t="s">
        <v>4002</v>
      </c>
      <c r="V1166" t="s">
        <v>4002</v>
      </c>
      <c r="W1166" t="s">
        <v>5148</v>
      </c>
      <c r="X1166">
        <v>1</v>
      </c>
      <c r="Y1166" t="s">
        <v>7081</v>
      </c>
      <c r="Z1166" t="s">
        <v>9064</v>
      </c>
      <c r="AA1166">
        <v>1.2999425209207649</v>
      </c>
      <c r="AB1166" t="str">
        <f>HYPERLINK("Melting_Curves/meltCurve_P20618_PSMB1.pdf", "Melting_Curves/meltCurve_P20618_PSMB1.pdf")</f>
        <v>Melting_Curves/meltCurve_P20618_PSMB1.pdf</v>
      </c>
    </row>
    <row r="1167" spans="1:28" x14ac:dyDescent="0.25">
      <c r="A1167" t="s">
        <v>1171</v>
      </c>
      <c r="B1167">
        <v>1</v>
      </c>
      <c r="C1167">
        <v>0.95833395962662904</v>
      </c>
      <c r="D1167">
        <v>1.0655653925355899</v>
      </c>
      <c r="E1167">
        <v>1.05113559500368</v>
      </c>
      <c r="F1167">
        <v>1.00199912819973</v>
      </c>
      <c r="G1167">
        <v>1.0550737272467601</v>
      </c>
      <c r="H1167">
        <v>0.82308466984322604</v>
      </c>
      <c r="I1167">
        <v>1.1497542425107801</v>
      </c>
      <c r="J1167">
        <v>1.2593756106359599</v>
      </c>
      <c r="K1167">
        <v>0.834974221767951</v>
      </c>
      <c r="L1167">
        <v>11104.131204159299</v>
      </c>
      <c r="M1167">
        <v>250</v>
      </c>
      <c r="O1167">
        <v>44.413682469393002</v>
      </c>
      <c r="P1167">
        <v>4.2384809173389403E-2</v>
      </c>
      <c r="Q1167">
        <v>1.03011944725247</v>
      </c>
      <c r="R1167">
        <v>2.10658215538727E-2</v>
      </c>
      <c r="S1167" t="s">
        <v>3169</v>
      </c>
      <c r="T1167" t="s">
        <v>4002</v>
      </c>
      <c r="U1167" t="s">
        <v>4002</v>
      </c>
      <c r="V1167" t="s">
        <v>4002</v>
      </c>
      <c r="W1167" t="s">
        <v>5149</v>
      </c>
      <c r="X1167">
        <v>6</v>
      </c>
      <c r="Y1167" t="s">
        <v>7082</v>
      </c>
      <c r="Z1167" t="s">
        <v>9065</v>
      </c>
      <c r="AA1167">
        <v>1.0256829898904281</v>
      </c>
      <c r="AB1167" t="str">
        <f>HYPERLINK("Melting_Curves/meltCurve_P20700_LMNB1.pdf", "Melting_Curves/meltCurve_P20700_LMNB1.pdf")</f>
        <v>Melting_Curves/meltCurve_P20700_LMNB1.pdf</v>
      </c>
    </row>
    <row r="1168" spans="1:28" x14ac:dyDescent="0.25">
      <c r="A1168" t="s">
        <v>1172</v>
      </c>
      <c r="B1168">
        <v>1</v>
      </c>
      <c r="C1168">
        <v>1.0965698630137</v>
      </c>
      <c r="D1168">
        <v>1.01277808219178</v>
      </c>
      <c r="E1168">
        <v>1.1884493150684901</v>
      </c>
      <c r="F1168">
        <v>1.08653150684932</v>
      </c>
      <c r="G1168">
        <v>1.1224547945205501</v>
      </c>
      <c r="H1168">
        <v>0.87833424657534298</v>
      </c>
      <c r="I1168">
        <v>1.3806904109589</v>
      </c>
      <c r="J1168">
        <v>0.93369863013698595</v>
      </c>
      <c r="K1168">
        <v>0.93380821917808199</v>
      </c>
      <c r="L1168">
        <v>10244.5350769424</v>
      </c>
      <c r="M1168">
        <v>250</v>
      </c>
      <c r="O1168">
        <v>40.975516449583303</v>
      </c>
      <c r="P1168">
        <v>0.107332947669465</v>
      </c>
      <c r="Q1168">
        <v>1.0703683699498701</v>
      </c>
      <c r="R1168">
        <v>2.27508215673526E-2</v>
      </c>
      <c r="S1168" t="s">
        <v>3170</v>
      </c>
      <c r="T1168" t="s">
        <v>4002</v>
      </c>
      <c r="U1168" t="s">
        <v>4002</v>
      </c>
      <c r="V1168" t="s">
        <v>4002</v>
      </c>
      <c r="W1168" t="s">
        <v>5150</v>
      </c>
      <c r="X1168">
        <v>2</v>
      </c>
      <c r="Y1168" t="s">
        <v>7083</v>
      </c>
      <c r="Z1168" t="s">
        <v>9066</v>
      </c>
      <c r="AA1168">
        <v>1.0680681677871471</v>
      </c>
      <c r="AB1168" t="str">
        <f>HYPERLINK("Melting_Curves/meltCurve_P20827_EFNA1.pdf", "Melting_Curves/meltCurve_P20827_EFNA1.pdf")</f>
        <v>Melting_Curves/meltCurve_P20827_EFNA1.pdf</v>
      </c>
    </row>
    <row r="1169" spans="1:28" x14ac:dyDescent="0.25">
      <c r="A1169" t="s">
        <v>1173</v>
      </c>
      <c r="B1169">
        <v>1</v>
      </c>
      <c r="C1169">
        <v>0.82607514097425105</v>
      </c>
      <c r="D1169">
        <v>0.86928459813846004</v>
      </c>
      <c r="E1169">
        <v>1.1315306746382201</v>
      </c>
      <c r="F1169">
        <v>1.13010394727903</v>
      </c>
      <c r="G1169">
        <v>1.2201915891025199</v>
      </c>
      <c r="H1169">
        <v>1.06821115564916</v>
      </c>
      <c r="I1169">
        <v>1.5565595488824</v>
      </c>
      <c r="J1169">
        <v>1.13968340240505</v>
      </c>
      <c r="K1169">
        <v>1.12215503770637</v>
      </c>
      <c r="L1169">
        <v>1697.6150467444199</v>
      </c>
      <c r="M1169">
        <v>33.443288157127803</v>
      </c>
      <c r="O1169">
        <v>50.5805431831146</v>
      </c>
      <c r="P1169">
        <v>3.6067954779159001E-2</v>
      </c>
      <c r="Q1169">
        <v>1.21819972233037</v>
      </c>
      <c r="R1169">
        <v>0.43639541421897998</v>
      </c>
      <c r="S1169" t="s">
        <v>3171</v>
      </c>
      <c r="T1169" t="s">
        <v>4002</v>
      </c>
      <c r="U1169" t="s">
        <v>4002</v>
      </c>
      <c r="V1169" t="s">
        <v>4002</v>
      </c>
      <c r="W1169" t="s">
        <v>5151</v>
      </c>
      <c r="X1169">
        <v>2</v>
      </c>
      <c r="Y1169" t="s">
        <v>7084</v>
      </c>
      <c r="Z1169" t="s">
        <v>9067</v>
      </c>
      <c r="AA1169">
        <v>1.1388331518330039</v>
      </c>
      <c r="AB1169" t="str">
        <f>HYPERLINK("Melting_Curves/meltCurve_P20933_AGA.pdf", "Melting_Curves/meltCurve_P20933_AGA.pdf")</f>
        <v>Melting_Curves/meltCurve_P20933_AGA.pdf</v>
      </c>
    </row>
    <row r="1170" spans="1:28" x14ac:dyDescent="0.25">
      <c r="A1170" t="s">
        <v>1174</v>
      </c>
      <c r="B1170">
        <v>1</v>
      </c>
      <c r="C1170">
        <v>0.970906968989663</v>
      </c>
      <c r="D1170">
        <v>1.1152050683561201</v>
      </c>
      <c r="E1170">
        <v>1.5106702234078</v>
      </c>
      <c r="F1170">
        <v>2.01492164054685</v>
      </c>
      <c r="G1170">
        <v>2.3864621540513502</v>
      </c>
      <c r="H1170">
        <v>2.13412804268089</v>
      </c>
      <c r="I1170">
        <v>2.9235578526175399</v>
      </c>
      <c r="J1170">
        <v>2.49608202734245</v>
      </c>
      <c r="K1170">
        <v>2.3180226742247401</v>
      </c>
      <c r="L1170">
        <v>11555.4762336406</v>
      </c>
      <c r="M1170">
        <v>250</v>
      </c>
      <c r="O1170">
        <v>46.218936706794203</v>
      </c>
      <c r="P1170">
        <v>0.67612963976996199</v>
      </c>
      <c r="Q1170">
        <v>1.5</v>
      </c>
      <c r="R1170">
        <v>-0.18986819527589299</v>
      </c>
      <c r="S1170" t="s">
        <v>3172</v>
      </c>
      <c r="T1170" t="s">
        <v>4002</v>
      </c>
      <c r="U1170" t="s">
        <v>4002</v>
      </c>
      <c r="V1170" t="s">
        <v>4002</v>
      </c>
      <c r="W1170" t="s">
        <v>5152</v>
      </c>
      <c r="X1170">
        <v>11</v>
      </c>
      <c r="Y1170" t="s">
        <v>7085</v>
      </c>
      <c r="Z1170" t="s">
        <v>9068</v>
      </c>
      <c r="AA1170">
        <v>1.396261025062066</v>
      </c>
      <c r="AB1170" t="str">
        <f>HYPERLINK("Melting_Curves/meltCurve_P21128_3_ENDOU.pdf", "Melting_Curves/meltCurve_P21128_3_ENDOU.pdf")</f>
        <v>Melting_Curves/meltCurve_P21128_3_ENDOU.pdf</v>
      </c>
    </row>
    <row r="1171" spans="1:28" x14ac:dyDescent="0.25">
      <c r="A1171" t="s">
        <v>1175</v>
      </c>
      <c r="B1171">
        <v>1</v>
      </c>
      <c r="C1171">
        <v>1.0411234542024701</v>
      </c>
      <c r="D1171">
        <v>1.123035003144</v>
      </c>
      <c r="E1171">
        <v>1.1128903793753899</v>
      </c>
      <c r="F1171">
        <v>0.96243974009641597</v>
      </c>
      <c r="G1171">
        <v>0.97673443722490005</v>
      </c>
      <c r="H1171">
        <v>0.93003563194298899</v>
      </c>
      <c r="I1171">
        <v>1.1884300985118399</v>
      </c>
      <c r="J1171">
        <v>2.3298260322783499</v>
      </c>
      <c r="K1171">
        <v>1.0464892056172701</v>
      </c>
      <c r="L1171">
        <v>15000</v>
      </c>
      <c r="M1171">
        <v>233.87346347698701</v>
      </c>
      <c r="O1171">
        <v>64.132560112330296</v>
      </c>
      <c r="P1171">
        <v>0.45583997349342598</v>
      </c>
      <c r="Q1171">
        <v>1.5</v>
      </c>
      <c r="R1171">
        <v>0.399432744386988</v>
      </c>
      <c r="S1171" t="s">
        <v>3173</v>
      </c>
      <c r="T1171" t="s">
        <v>4002</v>
      </c>
      <c r="U1171" t="s">
        <v>4002</v>
      </c>
      <c r="V1171" t="s">
        <v>4002</v>
      </c>
      <c r="W1171" t="s">
        <v>5153</v>
      </c>
      <c r="X1171">
        <v>4</v>
      </c>
      <c r="Y1171" t="s">
        <v>7086</v>
      </c>
      <c r="Z1171" t="s">
        <v>9069</v>
      </c>
      <c r="AA1171">
        <v>1.09764824567651</v>
      </c>
      <c r="AB1171" t="str">
        <f>HYPERLINK("Melting_Curves/meltCurve_P21281_ATP6V1B2.pdf", "Melting_Curves/meltCurve_P21281_ATP6V1B2.pdf")</f>
        <v>Melting_Curves/meltCurve_P21281_ATP6V1B2.pdf</v>
      </c>
    </row>
    <row r="1172" spans="1:28" x14ac:dyDescent="0.25">
      <c r="A1172" t="s">
        <v>1176</v>
      </c>
      <c r="B1172">
        <v>1</v>
      </c>
      <c r="C1172">
        <v>0.96393276206968603</v>
      </c>
      <c r="D1172">
        <v>1.0821664228346199</v>
      </c>
      <c r="E1172">
        <v>1.11214283581644</v>
      </c>
      <c r="F1172">
        <v>1.03917236437465</v>
      </c>
      <c r="G1172">
        <v>1.0817484250440399</v>
      </c>
      <c r="H1172">
        <v>0.97739826232347105</v>
      </c>
      <c r="I1172">
        <v>1.2685934374346901</v>
      </c>
      <c r="J1172">
        <v>1.1830830322754</v>
      </c>
      <c r="K1172">
        <v>1.0303346968023199</v>
      </c>
      <c r="L1172">
        <v>475.63521206143901</v>
      </c>
      <c r="M1172">
        <v>9.4545302405678697</v>
      </c>
      <c r="O1172">
        <v>48.211133391251003</v>
      </c>
      <c r="P1172">
        <v>6.2433460474289803E-3</v>
      </c>
      <c r="Q1172">
        <v>1.12726917945472</v>
      </c>
      <c r="R1172">
        <v>0.224270979679736</v>
      </c>
      <c r="S1172" t="s">
        <v>3174</v>
      </c>
      <c r="T1172" t="s">
        <v>4002</v>
      </c>
      <c r="U1172" t="s">
        <v>4002</v>
      </c>
      <c r="V1172" t="s">
        <v>4002</v>
      </c>
      <c r="W1172" t="s">
        <v>5154</v>
      </c>
      <c r="X1172">
        <v>44</v>
      </c>
      <c r="Y1172" t="s">
        <v>7087</v>
      </c>
      <c r="Z1172" t="s">
        <v>9070</v>
      </c>
      <c r="AA1172">
        <v>1.0775066869610459</v>
      </c>
      <c r="AB1172" t="str">
        <f>HYPERLINK("Melting_Curves/meltCurve_P21333_2_FLNA.pdf", "Melting_Curves/meltCurve_P21333_2_FLNA.pdf")</f>
        <v>Melting_Curves/meltCurve_P21333_2_FLNA.pdf</v>
      </c>
    </row>
    <row r="1173" spans="1:28" x14ac:dyDescent="0.25">
      <c r="A1173" t="s">
        <v>1177</v>
      </c>
      <c r="B1173">
        <v>1</v>
      </c>
      <c r="C1173">
        <v>0.92635598096134697</v>
      </c>
      <c r="D1173">
        <v>1.16909880223861</v>
      </c>
      <c r="E1173">
        <v>0.949422040901721</v>
      </c>
      <c r="F1173">
        <v>1.0532454626287999</v>
      </c>
      <c r="G1173">
        <v>1.2522621476018601</v>
      </c>
      <c r="H1173">
        <v>1.0754746587164601</v>
      </c>
      <c r="I1173">
        <v>1.6746691772582201</v>
      </c>
      <c r="J1173">
        <v>1.4451592656519701</v>
      </c>
      <c r="K1173">
        <v>1.09874993462001</v>
      </c>
      <c r="L1173">
        <v>1502.02700065922</v>
      </c>
      <c r="M1173">
        <v>26.650821434590799</v>
      </c>
      <c r="O1173">
        <v>56.045062575811798</v>
      </c>
      <c r="P1173">
        <v>4.1517913276503601E-2</v>
      </c>
      <c r="Q1173">
        <v>1.3492348969911401</v>
      </c>
      <c r="R1173">
        <v>0.43814340233011101</v>
      </c>
      <c r="S1173" t="s">
        <v>3175</v>
      </c>
      <c r="T1173" t="s">
        <v>4002</v>
      </c>
      <c r="U1173" t="s">
        <v>4002</v>
      </c>
      <c r="V1173" t="s">
        <v>4002</v>
      </c>
      <c r="W1173" t="s">
        <v>5155</v>
      </c>
      <c r="X1173">
        <v>2</v>
      </c>
      <c r="Y1173" t="s">
        <v>7088</v>
      </c>
      <c r="Z1173" t="s">
        <v>9071</v>
      </c>
      <c r="AA1173">
        <v>1.1559235546760971</v>
      </c>
      <c r="AB1173" t="str">
        <f>HYPERLINK("Melting_Curves/meltCurve_P21709_EPHA1.pdf", "Melting_Curves/meltCurve_P21709_EPHA1.pdf")</f>
        <v>Melting_Curves/meltCurve_P21709_EPHA1.pdf</v>
      </c>
    </row>
    <row r="1174" spans="1:28" x14ac:dyDescent="0.25">
      <c r="A1174" t="s">
        <v>1178</v>
      </c>
      <c r="B1174">
        <v>1</v>
      </c>
      <c r="C1174">
        <v>1.0868811494611901</v>
      </c>
      <c r="D1174">
        <v>1.028392940809</v>
      </c>
      <c r="E1174">
        <v>1.17638606903014</v>
      </c>
      <c r="F1174">
        <v>1.092956426675</v>
      </c>
      <c r="G1174">
        <v>1.07085741058879</v>
      </c>
      <c r="H1174">
        <v>0.90541933468686597</v>
      </c>
      <c r="I1174">
        <v>1.13898172731532</v>
      </c>
      <c r="J1174">
        <v>1.08817741683586</v>
      </c>
      <c r="K1174">
        <v>1.00982352022489</v>
      </c>
      <c r="L1174">
        <v>10247.368162307601</v>
      </c>
      <c r="M1174">
        <v>250</v>
      </c>
      <c r="O1174">
        <v>40.9868495908527</v>
      </c>
      <c r="P1174">
        <v>0.101298816422042</v>
      </c>
      <c r="Q1174">
        <v>1.06643070956737</v>
      </c>
      <c r="R1174">
        <v>7.4214909815233002E-2</v>
      </c>
      <c r="S1174" t="s">
        <v>3176</v>
      </c>
      <c r="T1174" t="s">
        <v>4002</v>
      </c>
      <c r="U1174" t="s">
        <v>4002</v>
      </c>
      <c r="V1174" t="s">
        <v>4002</v>
      </c>
      <c r="W1174" t="s">
        <v>5156</v>
      </c>
      <c r="X1174">
        <v>1</v>
      </c>
      <c r="Y1174" t="s">
        <v>7089</v>
      </c>
      <c r="Z1174" t="s">
        <v>9072</v>
      </c>
      <c r="AA1174">
        <v>1.0642341785384291</v>
      </c>
      <c r="AB1174" t="str">
        <f>HYPERLINK("Melting_Curves/meltCurve_P21964_2_COMT.pdf", "Melting_Curves/meltCurve_P21964_2_COMT.pdf")</f>
        <v>Melting_Curves/meltCurve_P21964_2_COMT.pdf</v>
      </c>
    </row>
    <row r="1175" spans="1:28" x14ac:dyDescent="0.25">
      <c r="A1175" t="s">
        <v>1179</v>
      </c>
      <c r="B1175">
        <v>1</v>
      </c>
      <c r="C1175">
        <v>0.95416948008102598</v>
      </c>
      <c r="D1175">
        <v>1.1004951609272999</v>
      </c>
      <c r="E1175">
        <v>1.17842673869007</v>
      </c>
      <c r="F1175">
        <v>1.12030159801936</v>
      </c>
      <c r="G1175">
        <v>1.21742066171506</v>
      </c>
      <c r="H1175">
        <v>1.2163796984019799</v>
      </c>
      <c r="I1175">
        <v>1.4390051766824199</v>
      </c>
      <c r="J1175">
        <v>1.2965901417960799</v>
      </c>
      <c r="K1175">
        <v>1.3067184334908799</v>
      </c>
      <c r="L1175">
        <v>520.81874072705602</v>
      </c>
      <c r="M1175">
        <v>9.6274963192649903</v>
      </c>
      <c r="O1175">
        <v>51.917569912989201</v>
      </c>
      <c r="P1175">
        <v>1.7364041416290801E-2</v>
      </c>
      <c r="Q1175">
        <v>1.3743412634457699</v>
      </c>
      <c r="R1175">
        <v>0.80664678474583895</v>
      </c>
      <c r="S1175" t="s">
        <v>3177</v>
      </c>
      <c r="T1175" t="s">
        <v>4002</v>
      </c>
      <c r="U1175" t="s">
        <v>4002</v>
      </c>
      <c r="V1175" t="s">
        <v>4002</v>
      </c>
      <c r="W1175" t="s">
        <v>5157</v>
      </c>
      <c r="X1175">
        <v>25</v>
      </c>
      <c r="Y1175" t="s">
        <v>6639</v>
      </c>
      <c r="Z1175" t="s">
        <v>9073</v>
      </c>
      <c r="AA1175">
        <v>1.187011034842282</v>
      </c>
      <c r="AB1175" t="str">
        <f>HYPERLINK("Melting_Curves/meltCurve_P22079_LPO.pdf", "Melting_Curves/meltCurve_P22079_LPO.pdf")</f>
        <v>Melting_Curves/meltCurve_P22079_LPO.pdf</v>
      </c>
    </row>
    <row r="1176" spans="1:28" x14ac:dyDescent="0.25">
      <c r="A1176" t="s">
        <v>1180</v>
      </c>
      <c r="B1176">
        <v>1</v>
      </c>
      <c r="C1176">
        <v>1.08922801502052</v>
      </c>
      <c r="D1176">
        <v>1.18266963583966</v>
      </c>
      <c r="E1176">
        <v>1.29322766570605</v>
      </c>
      <c r="F1176">
        <v>1.36588507553925</v>
      </c>
      <c r="G1176">
        <v>1.41834774255524</v>
      </c>
      <c r="H1176">
        <v>1.7820496026547901</v>
      </c>
      <c r="I1176">
        <v>2.9663348179198299</v>
      </c>
      <c r="J1176">
        <v>3.2374901755305201</v>
      </c>
      <c r="K1176">
        <v>2.7419002707187099</v>
      </c>
      <c r="L1176">
        <v>1130.00731044999</v>
      </c>
      <c r="M1176">
        <v>23.522647022407501</v>
      </c>
      <c r="O1176">
        <v>47.695965642021797</v>
      </c>
      <c r="P1176">
        <v>6.1648424929272201E-2</v>
      </c>
      <c r="Q1176">
        <v>1.5</v>
      </c>
      <c r="R1176">
        <v>-6.0907825026915101E-2</v>
      </c>
      <c r="S1176" t="s">
        <v>3178</v>
      </c>
      <c r="T1176" t="s">
        <v>4002</v>
      </c>
      <c r="U1176" t="s">
        <v>4002</v>
      </c>
      <c r="V1176" t="s">
        <v>4002</v>
      </c>
      <c r="W1176" t="s">
        <v>5158</v>
      </c>
      <c r="X1176">
        <v>4</v>
      </c>
      <c r="Y1176" t="s">
        <v>7090</v>
      </c>
      <c r="Z1176" t="s">
        <v>9074</v>
      </c>
      <c r="AA1176">
        <v>1.3609853035013399</v>
      </c>
      <c r="AB1176" t="str">
        <f>HYPERLINK("Melting_Curves/meltCurve_P22102_GART.pdf", "Melting_Curves/meltCurve_P22102_GART.pdf")</f>
        <v>Melting_Curves/meltCurve_P22102_GART.pdf</v>
      </c>
    </row>
    <row r="1177" spans="1:28" x14ac:dyDescent="0.25">
      <c r="A1177" t="s">
        <v>1181</v>
      </c>
      <c r="B1177">
        <v>1</v>
      </c>
      <c r="C1177">
        <v>1.0145869947275901</v>
      </c>
      <c r="D1177">
        <v>1.0578207381370801</v>
      </c>
      <c r="E1177">
        <v>0.98181019332161701</v>
      </c>
      <c r="F1177">
        <v>0.78275043936731103</v>
      </c>
      <c r="G1177">
        <v>0.73623901581722295</v>
      </c>
      <c r="H1177">
        <v>0.66998242530755703</v>
      </c>
      <c r="I1177">
        <v>0.891915641476274</v>
      </c>
      <c r="J1177">
        <v>1.13760984182777</v>
      </c>
      <c r="K1177">
        <v>0.89420035149384902</v>
      </c>
      <c r="L1177">
        <v>12598.207117996901</v>
      </c>
      <c r="M1177">
        <v>250</v>
      </c>
      <c r="O1177">
        <v>50.389622475781302</v>
      </c>
      <c r="P1177">
        <v>-0.18342538209485601</v>
      </c>
      <c r="Q1177">
        <v>0.85211628295722397</v>
      </c>
      <c r="R1177">
        <v>0.30768843142198399</v>
      </c>
      <c r="S1177" t="s">
        <v>3179</v>
      </c>
      <c r="T1177" t="s">
        <v>4002</v>
      </c>
      <c r="U1177" t="s">
        <v>4002</v>
      </c>
      <c r="V1177" t="s">
        <v>4002</v>
      </c>
      <c r="W1177" t="s">
        <v>5159</v>
      </c>
      <c r="X1177">
        <v>17</v>
      </c>
      <c r="Y1177" t="s">
        <v>7091</v>
      </c>
      <c r="Z1177" t="s">
        <v>9075</v>
      </c>
      <c r="AA1177">
        <v>0.90336036509136242</v>
      </c>
      <c r="AB1177" t="str">
        <f>HYPERLINK("Melting_Curves/meltCurve_P22314_UBA1.pdf", "Melting_Curves/meltCurve_P22314_UBA1.pdf")</f>
        <v>Melting_Curves/meltCurve_P22314_UBA1.pdf</v>
      </c>
    </row>
    <row r="1178" spans="1:28" x14ac:dyDescent="0.25">
      <c r="A1178" t="s">
        <v>1182</v>
      </c>
      <c r="B1178">
        <v>1</v>
      </c>
      <c r="C1178">
        <v>1.05787559568598</v>
      </c>
      <c r="D1178">
        <v>1.45297215951843</v>
      </c>
      <c r="E1178">
        <v>1.8997993478806099</v>
      </c>
      <c r="F1178">
        <v>2.0711060948081301</v>
      </c>
      <c r="G1178">
        <v>2.40701028342112</v>
      </c>
      <c r="H1178">
        <v>2.6760095309756702</v>
      </c>
      <c r="I1178">
        <v>2.7049786807123199</v>
      </c>
      <c r="J1178">
        <v>2.85120391271633</v>
      </c>
      <c r="K1178">
        <v>2.4048783546526198</v>
      </c>
      <c r="L1178">
        <v>2886.31374156725</v>
      </c>
      <c r="M1178">
        <v>65.189856695277001</v>
      </c>
      <c r="O1178">
        <v>44.233903764078804</v>
      </c>
      <c r="P1178">
        <v>0.18421923875375801</v>
      </c>
      <c r="Q1178">
        <v>1.5</v>
      </c>
      <c r="R1178">
        <v>-0.62311098776983398</v>
      </c>
      <c r="S1178" t="s">
        <v>3180</v>
      </c>
      <c r="T1178" t="s">
        <v>4002</v>
      </c>
      <c r="U1178" t="s">
        <v>4002</v>
      </c>
      <c r="V1178" t="s">
        <v>4002</v>
      </c>
      <c r="W1178" t="s">
        <v>5160</v>
      </c>
      <c r="X1178">
        <v>3</v>
      </c>
      <c r="Y1178" t="s">
        <v>7092</v>
      </c>
      <c r="Z1178" t="s">
        <v>9076</v>
      </c>
      <c r="AA1178">
        <v>1.428160014525552</v>
      </c>
      <c r="AB1178" t="str">
        <f>HYPERLINK("Melting_Curves/meltCurve_P22352_GPX3.pdf", "Melting_Curves/meltCurve_P22352_GPX3.pdf")</f>
        <v>Melting_Curves/meltCurve_P22352_GPX3.pdf</v>
      </c>
    </row>
    <row r="1179" spans="1:28" x14ac:dyDescent="0.25">
      <c r="A1179" t="s">
        <v>1183</v>
      </c>
      <c r="B1179">
        <v>1</v>
      </c>
      <c r="C1179">
        <v>0.92475647111769199</v>
      </c>
      <c r="D1179">
        <v>1.0456426113845201</v>
      </c>
      <c r="E1179">
        <v>1.0637312544459401</v>
      </c>
      <c r="F1179">
        <v>0.96181931681256605</v>
      </c>
      <c r="G1179">
        <v>1.04469898233236</v>
      </c>
      <c r="H1179">
        <v>0.94778101999041897</v>
      </c>
      <c r="I1179">
        <v>1.0557321835576301</v>
      </c>
      <c r="J1179">
        <v>1.0897318641754901</v>
      </c>
      <c r="K1179">
        <v>0.97521884935325098</v>
      </c>
      <c r="L1179">
        <v>11126.5104740764</v>
      </c>
      <c r="M1179">
        <v>250</v>
      </c>
      <c r="O1179">
        <v>44.503190025619702</v>
      </c>
      <c r="P1179">
        <v>3.23624475086133E-2</v>
      </c>
      <c r="Q1179">
        <v>1.0230437163511901</v>
      </c>
      <c r="R1179">
        <v>0.107006483852709</v>
      </c>
      <c r="S1179" t="s">
        <v>3181</v>
      </c>
      <c r="T1179" t="s">
        <v>4002</v>
      </c>
      <c r="U1179" t="s">
        <v>4002</v>
      </c>
      <c r="V1179" t="s">
        <v>4002</v>
      </c>
      <c r="W1179" t="s">
        <v>5161</v>
      </c>
      <c r="X1179">
        <v>10</v>
      </c>
      <c r="Y1179" t="s">
        <v>7093</v>
      </c>
      <c r="Z1179" t="s">
        <v>9077</v>
      </c>
      <c r="AA1179">
        <v>1.019580718088668</v>
      </c>
      <c r="AB1179" t="str">
        <f>HYPERLINK("Melting_Curves/meltCurve_P22528_SPRR1B.pdf", "Melting_Curves/meltCurve_P22528_SPRR1B.pdf")</f>
        <v>Melting_Curves/meltCurve_P22528_SPRR1B.pdf</v>
      </c>
    </row>
    <row r="1180" spans="1:28" x14ac:dyDescent="0.25">
      <c r="A1180" t="s">
        <v>1184</v>
      </c>
      <c r="B1180">
        <v>1</v>
      </c>
      <c r="C1180">
        <v>0.96444052014769599</v>
      </c>
      <c r="D1180">
        <v>1.0097929041579701</v>
      </c>
      <c r="E1180">
        <v>1.0569112217049299</v>
      </c>
      <c r="F1180">
        <v>1.0421415957617599</v>
      </c>
      <c r="G1180">
        <v>1.1648739765612499</v>
      </c>
      <c r="H1180">
        <v>0.96476159897254798</v>
      </c>
      <c r="I1180">
        <v>1.33753411462514</v>
      </c>
      <c r="J1180">
        <v>1.5549847487558199</v>
      </c>
      <c r="K1180">
        <v>1.0838818429924499</v>
      </c>
      <c r="L1180">
        <v>14982.9195844194</v>
      </c>
      <c r="M1180">
        <v>239.345871671916</v>
      </c>
      <c r="O1180">
        <v>62.595091188630903</v>
      </c>
      <c r="P1180">
        <v>0.31162832431117399</v>
      </c>
      <c r="Q1180">
        <v>1.32599516579442</v>
      </c>
      <c r="R1180">
        <v>0.55011492664835204</v>
      </c>
      <c r="S1180" t="s">
        <v>3182</v>
      </c>
      <c r="T1180" t="s">
        <v>4002</v>
      </c>
      <c r="U1180" t="s">
        <v>4002</v>
      </c>
      <c r="V1180" t="s">
        <v>4002</v>
      </c>
      <c r="W1180" t="s">
        <v>5162</v>
      </c>
      <c r="X1180">
        <v>7</v>
      </c>
      <c r="Y1180" t="s">
        <v>7094</v>
      </c>
      <c r="Z1180" t="s">
        <v>9078</v>
      </c>
      <c r="AA1180">
        <v>1.0803790586467259</v>
      </c>
      <c r="AB1180" t="str">
        <f>HYPERLINK("Melting_Curves/meltCurve_P22531_SPRR2E.pdf", "Melting_Curves/meltCurve_P22531_SPRR2E.pdf")</f>
        <v>Melting_Curves/meltCurve_P22531_SPRR2E.pdf</v>
      </c>
    </row>
    <row r="1181" spans="1:28" x14ac:dyDescent="0.25">
      <c r="A1181" t="s">
        <v>1185</v>
      </c>
      <c r="B1181">
        <v>1</v>
      </c>
      <c r="C1181">
        <v>0.93886579459212105</v>
      </c>
      <c r="D1181">
        <v>1.01723809160596</v>
      </c>
      <c r="E1181">
        <v>1.1007207963083001</v>
      </c>
      <c r="F1181">
        <v>1.0724991419091601</v>
      </c>
      <c r="G1181">
        <v>1.1212768391747101</v>
      </c>
      <c r="H1181">
        <v>0.85866290377941301</v>
      </c>
      <c r="I1181">
        <v>1.05034132946875</v>
      </c>
      <c r="J1181">
        <v>1.3017810152168099</v>
      </c>
      <c r="K1181">
        <v>0.94748484039510295</v>
      </c>
      <c r="L1181">
        <v>11546.5706374317</v>
      </c>
      <c r="M1181">
        <v>250</v>
      </c>
      <c r="O1181">
        <v>46.183326945991404</v>
      </c>
      <c r="P1181">
        <v>8.7532916835574306E-2</v>
      </c>
      <c r="Q1181">
        <v>1.0646809809754301</v>
      </c>
      <c r="R1181">
        <v>9.6175661917753993E-2</v>
      </c>
      <c r="S1181" t="s">
        <v>3183</v>
      </c>
      <c r="T1181" t="s">
        <v>4002</v>
      </c>
      <c r="U1181" t="s">
        <v>4002</v>
      </c>
      <c r="V1181" t="s">
        <v>4002</v>
      </c>
      <c r="W1181" t="s">
        <v>5163</v>
      </c>
      <c r="X1181">
        <v>7</v>
      </c>
      <c r="Y1181" t="s">
        <v>7095</v>
      </c>
      <c r="Z1181" t="s">
        <v>9079</v>
      </c>
      <c r="AA1181">
        <v>1.0513379107168599</v>
      </c>
      <c r="AB1181" t="str">
        <f>HYPERLINK("Melting_Curves/meltCurve_P22532_SPRR2D.pdf", "Melting_Curves/meltCurve_P22532_SPRR2D.pdf")</f>
        <v>Melting_Curves/meltCurve_P22532_SPRR2D.pdf</v>
      </c>
    </row>
    <row r="1182" spans="1:28" x14ac:dyDescent="0.25">
      <c r="A1182" t="s">
        <v>1186</v>
      </c>
      <c r="B1182">
        <v>1</v>
      </c>
      <c r="C1182">
        <v>0.95211369460296502</v>
      </c>
      <c r="D1182">
        <v>1.02702447766825</v>
      </c>
      <c r="E1182">
        <v>1.10630571145593</v>
      </c>
      <c r="F1182">
        <v>1.0146520146520099</v>
      </c>
      <c r="G1182">
        <v>1.12606706598123</v>
      </c>
      <c r="H1182">
        <v>1.25532550425254</v>
      </c>
      <c r="I1182">
        <v>1.44014211825371</v>
      </c>
      <c r="J1182">
        <v>1.85979971387697</v>
      </c>
      <c r="K1182">
        <v>1.4072851326070199</v>
      </c>
      <c r="L1182">
        <v>2460.64380739024</v>
      </c>
      <c r="M1182">
        <v>40.762871895196596</v>
      </c>
      <c r="O1182">
        <v>60.220093927300802</v>
      </c>
      <c r="P1182">
        <v>8.4612435556770199E-2</v>
      </c>
      <c r="Q1182">
        <v>1.5</v>
      </c>
      <c r="R1182">
        <v>0.76502897544510795</v>
      </c>
      <c r="S1182" t="s">
        <v>3184</v>
      </c>
      <c r="T1182" t="s">
        <v>4002</v>
      </c>
      <c r="U1182" t="s">
        <v>4002</v>
      </c>
      <c r="V1182" t="s">
        <v>4002</v>
      </c>
      <c r="W1182" t="s">
        <v>5164</v>
      </c>
      <c r="X1182">
        <v>10</v>
      </c>
      <c r="Y1182" t="s">
        <v>7096</v>
      </c>
      <c r="Z1182" t="s">
        <v>9080</v>
      </c>
      <c r="AA1182">
        <v>1.158706081133301</v>
      </c>
      <c r="AB1182" t="str">
        <f>HYPERLINK("Melting_Curves/meltCurve_P22626_HNRNPA2B1.pdf", "Melting_Curves/meltCurve_P22626_HNRNPA2B1.pdf")</f>
        <v>Melting_Curves/meltCurve_P22626_HNRNPA2B1.pdf</v>
      </c>
    </row>
    <row r="1183" spans="1:28" x14ac:dyDescent="0.25">
      <c r="A1183" t="s">
        <v>1187</v>
      </c>
      <c r="B1183">
        <v>1</v>
      </c>
      <c r="C1183">
        <v>1.0642108605906599</v>
      </c>
      <c r="D1183">
        <v>1.2261035249285499</v>
      </c>
      <c r="E1183">
        <v>1.3131787869164799</v>
      </c>
      <c r="F1183">
        <v>1.5325500158780601</v>
      </c>
      <c r="G1183">
        <v>1.6390600190536699</v>
      </c>
      <c r="H1183">
        <v>1.61708478882185</v>
      </c>
      <c r="I1183">
        <v>2.06706891076532</v>
      </c>
      <c r="J1183">
        <v>2.74614163226421</v>
      </c>
      <c r="K1183">
        <v>2.1120990790727201</v>
      </c>
      <c r="L1183">
        <v>1164.52093729019</v>
      </c>
      <c r="M1183">
        <v>24.8939700165575</v>
      </c>
      <c r="O1183">
        <v>46.480511795828399</v>
      </c>
      <c r="P1183">
        <v>6.6948259907583393E-2</v>
      </c>
      <c r="Q1183">
        <v>1.5</v>
      </c>
      <c r="R1183">
        <v>0.134873729634026</v>
      </c>
      <c r="S1183" t="s">
        <v>3185</v>
      </c>
      <c r="T1183" t="s">
        <v>4002</v>
      </c>
      <c r="U1183" t="s">
        <v>4002</v>
      </c>
      <c r="V1183" t="s">
        <v>4002</v>
      </c>
      <c r="W1183" t="s">
        <v>5165</v>
      </c>
      <c r="X1183">
        <v>2</v>
      </c>
      <c r="Y1183" t="s">
        <v>7097</v>
      </c>
      <c r="Z1183" t="s">
        <v>9081</v>
      </c>
      <c r="AA1183">
        <v>1.3824837024715719</v>
      </c>
      <c r="AB1183" t="str">
        <f>HYPERLINK("Melting_Curves/meltCurve_P22694_10_PRKACB.pdf", "Melting_Curves/meltCurve_P22694_10_PRKACB.pdf")</f>
        <v>Melting_Curves/meltCurve_P22694_10_PRKACB.pdf</v>
      </c>
    </row>
    <row r="1184" spans="1:28" x14ac:dyDescent="0.25">
      <c r="A1184" t="s">
        <v>1188</v>
      </c>
      <c r="B1184">
        <v>1</v>
      </c>
      <c r="C1184">
        <v>0.89265473941549101</v>
      </c>
      <c r="D1184">
        <v>1.2099245595189601</v>
      </c>
      <c r="E1184">
        <v>1.26878295119211</v>
      </c>
      <c r="F1184">
        <v>1.3887962860070899</v>
      </c>
      <c r="G1184">
        <v>1.3410131989974201</v>
      </c>
      <c r="H1184">
        <v>1.62437801731057</v>
      </c>
      <c r="I1184">
        <v>1.4583101826128799</v>
      </c>
      <c r="J1184">
        <v>3.92413971922806</v>
      </c>
      <c r="K1184">
        <v>1.3233569162005701</v>
      </c>
      <c r="L1184">
        <v>1096.9731338645499</v>
      </c>
      <c r="M1184">
        <v>22.421834263603898</v>
      </c>
      <c r="O1184">
        <v>48.540160394691902</v>
      </c>
      <c r="P1184">
        <v>5.7741630996367498E-2</v>
      </c>
      <c r="Q1184">
        <v>1.5</v>
      </c>
      <c r="R1184">
        <v>0.10706497886002</v>
      </c>
      <c r="S1184" t="s">
        <v>3186</v>
      </c>
      <c r="T1184" t="s">
        <v>4002</v>
      </c>
      <c r="U1184" t="s">
        <v>4002</v>
      </c>
      <c r="V1184" t="s">
        <v>4002</v>
      </c>
      <c r="W1184" t="s">
        <v>5166</v>
      </c>
      <c r="X1184">
        <v>4</v>
      </c>
      <c r="Y1184" t="s">
        <v>7098</v>
      </c>
      <c r="Z1184" t="s">
        <v>9082</v>
      </c>
      <c r="AA1184">
        <v>1.345717305982955</v>
      </c>
      <c r="AB1184" t="str">
        <f>HYPERLINK("Melting_Curves/meltCurve_P22735_TGM1.pdf", "Melting_Curves/meltCurve_P22735_TGM1.pdf")</f>
        <v>Melting_Curves/meltCurve_P22735_TGM1.pdf</v>
      </c>
    </row>
    <row r="1185" spans="1:28" x14ac:dyDescent="0.25">
      <c r="A1185" t="s">
        <v>1189</v>
      </c>
      <c r="B1185">
        <v>1</v>
      </c>
      <c r="C1185">
        <v>0.86289493794302896</v>
      </c>
      <c r="D1185">
        <v>0.87828401275395895</v>
      </c>
      <c r="E1185">
        <v>1.06242588737516</v>
      </c>
      <c r="F1185">
        <v>1.26232575298427</v>
      </c>
      <c r="G1185">
        <v>1.3343434609607601</v>
      </c>
      <c r="H1185">
        <v>1.5641782392157899</v>
      </c>
      <c r="I1185">
        <v>2.0194735039131499</v>
      </c>
      <c r="J1185">
        <v>1.54973780600279</v>
      </c>
      <c r="K1185">
        <v>1.65703971119134</v>
      </c>
      <c r="L1185">
        <v>1678.91354097012</v>
      </c>
      <c r="M1185">
        <v>31.540848510975401</v>
      </c>
      <c r="O1185">
        <v>53.017211944175401</v>
      </c>
      <c r="P1185">
        <v>7.4365040623992601E-2</v>
      </c>
      <c r="Q1185">
        <v>1.5</v>
      </c>
      <c r="R1185">
        <v>0.72694785159908004</v>
      </c>
      <c r="S1185" t="s">
        <v>3187</v>
      </c>
      <c r="T1185" t="s">
        <v>4002</v>
      </c>
      <c r="U1185" t="s">
        <v>4002</v>
      </c>
      <c r="V1185" t="s">
        <v>4002</v>
      </c>
      <c r="W1185" t="s">
        <v>5167</v>
      </c>
      <c r="X1185">
        <v>2</v>
      </c>
      <c r="Y1185" t="s">
        <v>7099</v>
      </c>
      <c r="Z1185" t="s">
        <v>9083</v>
      </c>
      <c r="AA1185">
        <v>1.276554553608211</v>
      </c>
      <c r="AB1185" t="str">
        <f>HYPERLINK("Melting_Curves/meltCurve_P22748_CA4.pdf", "Melting_Curves/meltCurve_P22748_CA4.pdf")</f>
        <v>Melting_Curves/meltCurve_P22748_CA4.pdf</v>
      </c>
    </row>
    <row r="1186" spans="1:28" x14ac:dyDescent="0.25">
      <c r="A1186" t="s">
        <v>1190</v>
      </c>
      <c r="B1186">
        <v>1</v>
      </c>
      <c r="C1186">
        <v>1.02538503211826</v>
      </c>
      <c r="D1186">
        <v>1.3140623790728301</v>
      </c>
      <c r="E1186">
        <v>1.1407011841188801</v>
      </c>
      <c r="F1186">
        <v>1.3191703428527199</v>
      </c>
      <c r="G1186">
        <v>1.2817119418001699</v>
      </c>
      <c r="H1186">
        <v>1.56086990171039</v>
      </c>
      <c r="I1186">
        <v>2.3680055723241198</v>
      </c>
      <c r="J1186">
        <v>1.5840105255011201</v>
      </c>
      <c r="K1186">
        <v>1.5401284730283999</v>
      </c>
      <c r="L1186">
        <v>812.54614735189796</v>
      </c>
      <c r="M1186">
        <v>16.441212637203101</v>
      </c>
      <c r="O1186">
        <v>48.707523576666901</v>
      </c>
      <c r="P1186">
        <v>4.2196693446485301E-2</v>
      </c>
      <c r="Q1186">
        <v>1.5</v>
      </c>
      <c r="R1186">
        <v>0.37595438324885</v>
      </c>
      <c r="S1186" t="s">
        <v>3188</v>
      </c>
      <c r="T1186" t="s">
        <v>4002</v>
      </c>
      <c r="U1186" t="s">
        <v>4002</v>
      </c>
      <c r="V1186" t="s">
        <v>4002</v>
      </c>
      <c r="W1186" t="s">
        <v>5168</v>
      </c>
      <c r="X1186">
        <v>2</v>
      </c>
      <c r="Y1186" t="s">
        <v>7100</v>
      </c>
      <c r="Z1186" t="s">
        <v>9084</v>
      </c>
      <c r="AA1186">
        <v>1.3327391906278181</v>
      </c>
      <c r="AB1186" t="str">
        <f>HYPERLINK("Melting_Curves/meltCurve_P22792_CPN2.pdf", "Melting_Curves/meltCurve_P22792_CPN2.pdf")</f>
        <v>Melting_Curves/meltCurve_P22792_CPN2.pdf</v>
      </c>
    </row>
    <row r="1187" spans="1:28" x14ac:dyDescent="0.25">
      <c r="A1187" t="s">
        <v>1191</v>
      </c>
      <c r="B1187">
        <v>1</v>
      </c>
      <c r="C1187">
        <v>0.83112884036671597</v>
      </c>
      <c r="D1187">
        <v>1.0783819721464101</v>
      </c>
      <c r="E1187">
        <v>1.0458394569249101</v>
      </c>
      <c r="F1187">
        <v>0.97228637413394903</v>
      </c>
      <c r="G1187">
        <v>1.2062425642102299</v>
      </c>
      <c r="H1187">
        <v>1.5111974245923401</v>
      </c>
      <c r="I1187">
        <v>3.7822800755826198</v>
      </c>
      <c r="J1187">
        <v>3.8550633354328498</v>
      </c>
      <c r="K1187">
        <v>3.5989222478829901</v>
      </c>
      <c r="L1187">
        <v>14270.160978256499</v>
      </c>
      <c r="M1187">
        <v>250</v>
      </c>
      <c r="O1187">
        <v>57.076991165813503</v>
      </c>
      <c r="P1187">
        <v>0.54750608638815201</v>
      </c>
      <c r="Q1187">
        <v>1.5</v>
      </c>
      <c r="R1187">
        <v>-6.4782926480326797E-3</v>
      </c>
      <c r="S1187" t="s">
        <v>3189</v>
      </c>
      <c r="T1187" t="s">
        <v>4002</v>
      </c>
      <c r="U1187" t="s">
        <v>4002</v>
      </c>
      <c r="V1187" t="s">
        <v>4002</v>
      </c>
      <c r="W1187" t="s">
        <v>5169</v>
      </c>
      <c r="X1187">
        <v>1</v>
      </c>
      <c r="Y1187" t="s">
        <v>7101</v>
      </c>
      <c r="Z1187" t="s">
        <v>9085</v>
      </c>
      <c r="AA1187">
        <v>1.215272513628719</v>
      </c>
      <c r="AB1187" t="str">
        <f>HYPERLINK("Melting_Curves/meltCurve_P22891_PROZ.pdf", "Melting_Curves/meltCurve_P22891_PROZ.pdf")</f>
        <v>Melting_Curves/meltCurve_P22891_PROZ.pdf</v>
      </c>
    </row>
    <row r="1188" spans="1:28" x14ac:dyDescent="0.25">
      <c r="A1188" t="s">
        <v>1192</v>
      </c>
      <c r="B1188">
        <v>1</v>
      </c>
      <c r="C1188">
        <v>0.95523356401384096</v>
      </c>
      <c r="D1188">
        <v>1.07684544405998</v>
      </c>
      <c r="E1188">
        <v>1.21518166089965</v>
      </c>
      <c r="F1188">
        <v>1.1333621683967701</v>
      </c>
      <c r="G1188">
        <v>1.15664648212226</v>
      </c>
      <c r="H1188">
        <v>1.10748269896194</v>
      </c>
      <c r="I1188">
        <v>1.1955738177624</v>
      </c>
      <c r="J1188">
        <v>1.15412341407151</v>
      </c>
      <c r="K1188">
        <v>1.0829008073817801</v>
      </c>
      <c r="L1188">
        <v>11497.3090289917</v>
      </c>
      <c r="M1188">
        <v>250</v>
      </c>
      <c r="O1188">
        <v>45.986293133266003</v>
      </c>
      <c r="P1188">
        <v>0.20294693509504499</v>
      </c>
      <c r="Q1188">
        <v>1.1493244357135399</v>
      </c>
      <c r="R1188">
        <v>0.75409706955051203</v>
      </c>
      <c r="S1188" t="s">
        <v>3190</v>
      </c>
      <c r="T1188" t="s">
        <v>4002</v>
      </c>
      <c r="U1188" t="s">
        <v>4002</v>
      </c>
      <c r="V1188" t="s">
        <v>4002</v>
      </c>
      <c r="W1188" t="s">
        <v>5170</v>
      </c>
      <c r="X1188">
        <v>13</v>
      </c>
      <c r="Y1188" t="s">
        <v>7102</v>
      </c>
      <c r="Z1188" t="s">
        <v>9086</v>
      </c>
      <c r="AA1188">
        <v>1.119501073567158</v>
      </c>
      <c r="AB1188" t="str">
        <f>HYPERLINK("Melting_Curves/meltCurve_P22894_MMP8.pdf", "Melting_Curves/meltCurve_P22894_MMP8.pdf")</f>
        <v>Melting_Curves/meltCurve_P22894_MMP8.pdf</v>
      </c>
    </row>
    <row r="1189" spans="1:28" x14ac:dyDescent="0.25">
      <c r="A1189" t="s">
        <v>1193</v>
      </c>
      <c r="B1189">
        <v>1</v>
      </c>
      <c r="C1189">
        <v>0.99253900067827305</v>
      </c>
      <c r="D1189">
        <v>1.15645489486774</v>
      </c>
      <c r="E1189">
        <v>1.3746326023061299</v>
      </c>
      <c r="F1189">
        <v>1.3319014243726</v>
      </c>
      <c r="G1189">
        <v>1.33212751526113</v>
      </c>
      <c r="H1189">
        <v>1.5676388574873801</v>
      </c>
      <c r="I1189">
        <v>1.65566357675786</v>
      </c>
      <c r="J1189">
        <v>1.64948375913784</v>
      </c>
      <c r="K1189">
        <v>1.4323611425126199</v>
      </c>
      <c r="L1189">
        <v>834.75345299672097</v>
      </c>
      <c r="M1189">
        <v>17.1814070874502</v>
      </c>
      <c r="O1189">
        <v>47.9408613270177</v>
      </c>
      <c r="P1189">
        <v>4.4801098086145498E-2</v>
      </c>
      <c r="Q1189">
        <v>1.5</v>
      </c>
      <c r="R1189">
        <v>0.82629317353899501</v>
      </c>
      <c r="S1189" t="s">
        <v>3191</v>
      </c>
      <c r="T1189" t="s">
        <v>4002</v>
      </c>
      <c r="U1189" t="s">
        <v>4002</v>
      </c>
      <c r="V1189" t="s">
        <v>4002</v>
      </c>
      <c r="W1189" t="s">
        <v>5171</v>
      </c>
      <c r="X1189">
        <v>2</v>
      </c>
      <c r="Z1189" t="s">
        <v>9087</v>
      </c>
      <c r="AA1189">
        <v>1.3473239731844751</v>
      </c>
      <c r="AB1189" t="str">
        <f>HYPERLINK("Melting_Curves/meltCurve_P23083_.pdf", "Melting_Curves/meltCurve_P23083_.pdf")</f>
        <v>Melting_Curves/meltCurve_P23083_.pdf</v>
      </c>
    </row>
    <row r="1190" spans="1:28" x14ac:dyDescent="0.25">
      <c r="A1190" t="s">
        <v>1194</v>
      </c>
      <c r="B1190">
        <v>1</v>
      </c>
      <c r="C1190">
        <v>1.00365796362172</v>
      </c>
      <c r="D1190">
        <v>1.1127928048862299</v>
      </c>
      <c r="E1190">
        <v>1.3262299483186799</v>
      </c>
      <c r="F1190">
        <v>1.5054701657829399</v>
      </c>
      <c r="G1190">
        <v>1.8258272367273001</v>
      </c>
      <c r="H1190">
        <v>1.67309886569568</v>
      </c>
      <c r="I1190">
        <v>2.1582656554131101</v>
      </c>
      <c r="J1190">
        <v>1.91697429357675</v>
      </c>
      <c r="K1190">
        <v>1.8232096113833101</v>
      </c>
      <c r="L1190">
        <v>1625.8742696391801</v>
      </c>
      <c r="M1190">
        <v>33.592209178384799</v>
      </c>
      <c r="O1190">
        <v>48.229784402317499</v>
      </c>
      <c r="P1190">
        <v>8.7063298214377999E-2</v>
      </c>
      <c r="Q1190">
        <v>1.5</v>
      </c>
      <c r="R1190">
        <v>0.43473179950207202</v>
      </c>
      <c r="S1190" t="s">
        <v>3192</v>
      </c>
      <c r="T1190" t="s">
        <v>4002</v>
      </c>
      <c r="U1190" t="s">
        <v>4002</v>
      </c>
      <c r="V1190" t="s">
        <v>4002</v>
      </c>
      <c r="W1190" t="s">
        <v>5172</v>
      </c>
      <c r="X1190">
        <v>8</v>
      </c>
      <c r="Y1190" t="s">
        <v>7103</v>
      </c>
      <c r="Z1190" t="s">
        <v>9088</v>
      </c>
      <c r="AA1190">
        <v>1.357601178927988</v>
      </c>
      <c r="AB1190" t="str">
        <f>HYPERLINK("Melting_Curves/meltCurve_P23141_3_CES1.pdf", "Melting_Curves/meltCurve_P23141_3_CES1.pdf")</f>
        <v>Melting_Curves/meltCurve_P23141_3_CES1.pdf</v>
      </c>
    </row>
    <row r="1191" spans="1:28" x14ac:dyDescent="0.25">
      <c r="A1191" t="s">
        <v>1195</v>
      </c>
      <c r="B1191">
        <v>1</v>
      </c>
      <c r="C1191">
        <v>0.93698227669037903</v>
      </c>
      <c r="D1191">
        <v>1.0653436526612201</v>
      </c>
      <c r="E1191">
        <v>1.1838436322583299</v>
      </c>
      <c r="F1191">
        <v>1.17030971585577</v>
      </c>
      <c r="G1191">
        <v>1.31689767271046</v>
      </c>
      <c r="H1191">
        <v>0.97992355717569601</v>
      </c>
      <c r="I1191">
        <v>1.4471089106217401</v>
      </c>
      <c r="J1191">
        <v>1.0493477876467301</v>
      </c>
      <c r="K1191">
        <v>1.12829336634067</v>
      </c>
      <c r="L1191">
        <v>11526.757368479501</v>
      </c>
      <c r="M1191">
        <v>250</v>
      </c>
      <c r="O1191">
        <v>46.1040792665572</v>
      </c>
      <c r="P1191">
        <v>0.24705837049016799</v>
      </c>
      <c r="Q1191">
        <v>1.1822463776002801</v>
      </c>
      <c r="R1191">
        <v>0.32298491568070098</v>
      </c>
      <c r="S1191" t="s">
        <v>3193</v>
      </c>
      <c r="T1191" t="s">
        <v>4002</v>
      </c>
      <c r="U1191" t="s">
        <v>4002</v>
      </c>
      <c r="V1191" t="s">
        <v>4002</v>
      </c>
      <c r="W1191" t="s">
        <v>5173</v>
      </c>
      <c r="X1191">
        <v>12</v>
      </c>
      <c r="Y1191" t="s">
        <v>7104</v>
      </c>
      <c r="Z1191" t="s">
        <v>9089</v>
      </c>
      <c r="AA1191">
        <v>1.1451321640977741</v>
      </c>
      <c r="AB1191" t="str">
        <f>HYPERLINK("Melting_Curves/meltCurve_P23142_FBLN1.pdf", "Melting_Curves/meltCurve_P23142_FBLN1.pdf")</f>
        <v>Melting_Curves/meltCurve_P23142_FBLN1.pdf</v>
      </c>
    </row>
    <row r="1192" spans="1:28" x14ac:dyDescent="0.25">
      <c r="A1192" t="s">
        <v>1196</v>
      </c>
      <c r="B1192">
        <v>1</v>
      </c>
      <c r="C1192">
        <v>0.91076603016568802</v>
      </c>
      <c r="D1192">
        <v>1.02072962330039</v>
      </c>
      <c r="E1192">
        <v>0.94546400178319301</v>
      </c>
      <c r="F1192">
        <v>0.90021546920276396</v>
      </c>
      <c r="G1192">
        <v>0.93840552789954701</v>
      </c>
      <c r="H1192">
        <v>0.77769522252767698</v>
      </c>
      <c r="I1192">
        <v>0.803180028233896</v>
      </c>
      <c r="J1192">
        <v>1.0016345939519999</v>
      </c>
      <c r="K1192">
        <v>0.867300690987443</v>
      </c>
      <c r="L1192">
        <v>1180.8108980765101</v>
      </c>
      <c r="M1192">
        <v>23.193135525176</v>
      </c>
      <c r="O1192">
        <v>50.538122743713799</v>
      </c>
      <c r="P1192">
        <v>-1.45751067713188E-2</v>
      </c>
      <c r="Q1192">
        <v>0.87296495238322003</v>
      </c>
      <c r="R1192">
        <v>0.299610955780717</v>
      </c>
      <c r="S1192" t="s">
        <v>3194</v>
      </c>
      <c r="T1192" t="s">
        <v>4002</v>
      </c>
      <c r="U1192" t="s">
        <v>4002</v>
      </c>
      <c r="V1192" t="s">
        <v>4002</v>
      </c>
      <c r="W1192" t="s">
        <v>5174</v>
      </c>
      <c r="X1192">
        <v>3</v>
      </c>
      <c r="Y1192" t="s">
        <v>7105</v>
      </c>
      <c r="Z1192" t="s">
        <v>9090</v>
      </c>
      <c r="AA1192">
        <v>0.920500313626058</v>
      </c>
      <c r="AB1192" t="str">
        <f>HYPERLINK("Melting_Curves/meltCurve_P23246_SFPQ.pdf", "Melting_Curves/meltCurve_P23246_SFPQ.pdf")</f>
        <v>Melting_Curves/meltCurve_P23246_SFPQ.pdf</v>
      </c>
    </row>
    <row r="1193" spans="1:28" x14ac:dyDescent="0.25">
      <c r="A1193" t="s">
        <v>1197</v>
      </c>
      <c r="B1193">
        <v>1</v>
      </c>
      <c r="C1193">
        <v>0.97949152542372897</v>
      </c>
      <c r="D1193">
        <v>1.1571286141575301</v>
      </c>
      <c r="E1193">
        <v>1.37826520438684</v>
      </c>
      <c r="F1193">
        <v>1.62911266201396</v>
      </c>
      <c r="G1193">
        <v>2.5716849451645101</v>
      </c>
      <c r="H1193">
        <v>3.1211365902293098</v>
      </c>
      <c r="I1193">
        <v>4.2031904287138602</v>
      </c>
      <c r="J1193">
        <v>3.53838484546361</v>
      </c>
      <c r="K1193">
        <v>3.7624127617148599</v>
      </c>
      <c r="L1193">
        <v>1893.9387240840599</v>
      </c>
      <c r="M1193">
        <v>40.195805102264302</v>
      </c>
      <c r="O1193">
        <v>47.001645511649699</v>
      </c>
      <c r="P1193">
        <v>0.106900201947549</v>
      </c>
      <c r="Q1193">
        <v>1.5</v>
      </c>
      <c r="R1193">
        <v>-0.44871346659954198</v>
      </c>
      <c r="S1193" t="s">
        <v>3195</v>
      </c>
      <c r="T1193" t="s">
        <v>4002</v>
      </c>
      <c r="U1193" t="s">
        <v>4002</v>
      </c>
      <c r="V1193" t="s">
        <v>4002</v>
      </c>
      <c r="W1193" t="s">
        <v>5175</v>
      </c>
      <c r="X1193">
        <v>5</v>
      </c>
      <c r="Y1193" t="s">
        <v>6429</v>
      </c>
      <c r="Z1193" t="s">
        <v>9091</v>
      </c>
      <c r="AA1193">
        <v>1.3797462155725539</v>
      </c>
      <c r="AB1193" t="str">
        <f>HYPERLINK("Melting_Curves/meltCurve_P23280_2_CA6.pdf", "Melting_Curves/meltCurve_P23280_2_CA6.pdf")</f>
        <v>Melting_Curves/meltCurve_P23280_2_CA6.pdf</v>
      </c>
    </row>
    <row r="1194" spans="1:28" x14ac:dyDescent="0.25">
      <c r="A1194" t="s">
        <v>1198</v>
      </c>
      <c r="B1194">
        <v>1</v>
      </c>
      <c r="C1194">
        <v>1.1365771514668099</v>
      </c>
      <c r="D1194">
        <v>1.29407072587078</v>
      </c>
      <c r="E1194">
        <v>1.33395373570859</v>
      </c>
      <c r="F1194">
        <v>1.2693432597713401</v>
      </c>
      <c r="G1194">
        <v>1.3705574758486201</v>
      </c>
      <c r="H1194">
        <v>2.0243729504564398</v>
      </c>
      <c r="I1194">
        <v>2.5779491270052302</v>
      </c>
      <c r="J1194">
        <v>2.59656119826287</v>
      </c>
      <c r="K1194">
        <v>2.4141628999379598</v>
      </c>
      <c r="L1194">
        <v>900.73825364720699</v>
      </c>
      <c r="M1194">
        <v>19.608399282456901</v>
      </c>
      <c r="O1194">
        <v>45.466586533358303</v>
      </c>
      <c r="P1194">
        <v>5.3910725470542299E-2</v>
      </c>
      <c r="Q1194">
        <v>1.5</v>
      </c>
      <c r="R1194">
        <v>1.1201062187803401E-2</v>
      </c>
      <c r="S1194" t="s">
        <v>3196</v>
      </c>
      <c r="T1194" t="s">
        <v>4002</v>
      </c>
      <c r="U1194" t="s">
        <v>4002</v>
      </c>
      <c r="V1194" t="s">
        <v>4002</v>
      </c>
      <c r="W1194" t="s">
        <v>5176</v>
      </c>
      <c r="X1194">
        <v>12</v>
      </c>
      <c r="Y1194" t="s">
        <v>7106</v>
      </c>
      <c r="Z1194" t="s">
        <v>9092</v>
      </c>
      <c r="AA1194">
        <v>1.3929362433508341</v>
      </c>
      <c r="AB1194" t="str">
        <f>HYPERLINK("Melting_Curves/meltCurve_P23284_PPIB.pdf", "Melting_Curves/meltCurve_P23284_PPIB.pdf")</f>
        <v>Melting_Curves/meltCurve_P23284_PPIB.pdf</v>
      </c>
    </row>
    <row r="1195" spans="1:28" x14ac:dyDescent="0.25">
      <c r="A1195" t="s">
        <v>1199</v>
      </c>
      <c r="B1195">
        <v>1</v>
      </c>
      <c r="C1195">
        <v>1.2543760341374199</v>
      </c>
      <c r="D1195">
        <v>1.3782112688321899</v>
      </c>
      <c r="E1195">
        <v>1.6295393189932901</v>
      </c>
      <c r="F1195">
        <v>1.82417486719498</v>
      </c>
      <c r="G1195">
        <v>2.0240355307846398</v>
      </c>
      <c r="H1195">
        <v>1.5964469215361801</v>
      </c>
      <c r="I1195">
        <v>2.5174605939214501</v>
      </c>
      <c r="J1195">
        <v>2.4010276060262998</v>
      </c>
      <c r="K1195">
        <v>1.9845859096055001</v>
      </c>
      <c r="L1195">
        <v>1485.6189394568501</v>
      </c>
      <c r="M1195">
        <v>34.452120390876203</v>
      </c>
      <c r="O1195">
        <v>42.976760308090597</v>
      </c>
      <c r="P1195">
        <v>0.100206056593444</v>
      </c>
      <c r="Q1195">
        <v>1.5</v>
      </c>
      <c r="R1195">
        <v>-0.170935715963312</v>
      </c>
      <c r="S1195" t="s">
        <v>3197</v>
      </c>
      <c r="T1195" t="s">
        <v>4002</v>
      </c>
      <c r="U1195" t="s">
        <v>4002</v>
      </c>
      <c r="V1195" t="s">
        <v>4002</v>
      </c>
      <c r="W1195" t="s">
        <v>5177</v>
      </c>
      <c r="X1195">
        <v>1</v>
      </c>
      <c r="Y1195" t="s">
        <v>7107</v>
      </c>
      <c r="Z1195" t="s">
        <v>9093</v>
      </c>
      <c r="AA1195">
        <v>1.4448423578248</v>
      </c>
      <c r="AB1195" t="str">
        <f>HYPERLINK("Melting_Curves/meltCurve_P23368_ME2.pdf", "Melting_Curves/meltCurve_P23368_ME2.pdf")</f>
        <v>Melting_Curves/meltCurve_P23368_ME2.pdf</v>
      </c>
    </row>
    <row r="1196" spans="1:28" x14ac:dyDescent="0.25">
      <c r="A1196" t="s">
        <v>1200</v>
      </c>
      <c r="B1196">
        <v>1</v>
      </c>
      <c r="C1196">
        <v>0.88379465652192901</v>
      </c>
      <c r="D1196">
        <v>1.0243233197778701</v>
      </c>
      <c r="E1196">
        <v>1.09755564301019</v>
      </c>
      <c r="F1196">
        <v>0.98626962263325901</v>
      </c>
      <c r="G1196">
        <v>1.1568061568061601</v>
      </c>
      <c r="H1196">
        <v>0.87622983077528505</v>
      </c>
      <c r="I1196">
        <v>1.27246490882855</v>
      </c>
      <c r="J1196">
        <v>0.93376404740041097</v>
      </c>
      <c r="K1196">
        <v>1.0508658008658001</v>
      </c>
      <c r="L1196">
        <v>11508.2463070993</v>
      </c>
      <c r="M1196">
        <v>250</v>
      </c>
      <c r="O1196">
        <v>46.030039175664299</v>
      </c>
      <c r="P1196">
        <v>7.2537260521659597E-2</v>
      </c>
      <c r="Q1196">
        <v>1.0534222873201999</v>
      </c>
      <c r="R1196">
        <v>9.20877419178978E-2</v>
      </c>
      <c r="S1196" t="s">
        <v>3198</v>
      </c>
      <c r="T1196" t="s">
        <v>4002</v>
      </c>
      <c r="U1196" t="s">
        <v>4002</v>
      </c>
      <c r="V1196" t="s">
        <v>4002</v>
      </c>
      <c r="W1196" t="s">
        <v>5178</v>
      </c>
      <c r="X1196">
        <v>6</v>
      </c>
      <c r="Y1196" t="s">
        <v>7108</v>
      </c>
      <c r="Z1196" t="s">
        <v>9094</v>
      </c>
      <c r="AA1196">
        <v>1.042674775808986</v>
      </c>
      <c r="AB1196" t="str">
        <f>HYPERLINK("Melting_Curves/meltCurve_P23381_WARS.pdf", "Melting_Curves/meltCurve_P23381_WARS.pdf")</f>
        <v>Melting_Curves/meltCurve_P23381_WARS.pdf</v>
      </c>
    </row>
    <row r="1197" spans="1:28" x14ac:dyDescent="0.25">
      <c r="A1197" t="s">
        <v>1201</v>
      </c>
      <c r="B1197">
        <v>1</v>
      </c>
      <c r="C1197">
        <v>1.07842760528743</v>
      </c>
      <c r="D1197">
        <v>1.25737780510298</v>
      </c>
      <c r="E1197">
        <v>1.3403396864432799</v>
      </c>
      <c r="F1197">
        <v>1.2729019366738401</v>
      </c>
      <c r="G1197">
        <v>1.3667383953273899</v>
      </c>
      <c r="H1197">
        <v>0.96691515524131599</v>
      </c>
      <c r="I1197">
        <v>1.41388718106363</v>
      </c>
      <c r="J1197">
        <v>6.21849062403935</v>
      </c>
      <c r="K1197">
        <v>1.1665770058407601</v>
      </c>
      <c r="L1197">
        <v>885.98789325690905</v>
      </c>
      <c r="M1197">
        <v>18.7483626279178</v>
      </c>
      <c r="O1197">
        <v>46.729024706998402</v>
      </c>
      <c r="P1197">
        <v>5.0153920643742501E-2</v>
      </c>
      <c r="Q1197">
        <v>1.5</v>
      </c>
      <c r="R1197">
        <v>3.9740298826641497E-3</v>
      </c>
      <c r="S1197" t="s">
        <v>3199</v>
      </c>
      <c r="T1197" t="s">
        <v>4002</v>
      </c>
      <c r="U1197" t="s">
        <v>4002</v>
      </c>
      <c r="V1197" t="s">
        <v>4002</v>
      </c>
      <c r="W1197" t="s">
        <v>5179</v>
      </c>
      <c r="X1197">
        <v>3</v>
      </c>
      <c r="Y1197" t="s">
        <v>7109</v>
      </c>
      <c r="Z1197" t="s">
        <v>9095</v>
      </c>
      <c r="AA1197">
        <v>1.3707062171846911</v>
      </c>
      <c r="AB1197" t="str">
        <f>HYPERLINK("Melting_Curves/meltCurve_P23396_RPS3.pdf", "Melting_Curves/meltCurve_P23396_RPS3.pdf")</f>
        <v>Melting_Curves/meltCurve_P23396_RPS3.pdf</v>
      </c>
    </row>
    <row r="1198" spans="1:28" x14ac:dyDescent="0.25">
      <c r="A1198" t="s">
        <v>1202</v>
      </c>
      <c r="B1198">
        <v>1</v>
      </c>
      <c r="C1198">
        <v>0.98402418936299796</v>
      </c>
      <c r="D1198">
        <v>1.1212175914434599</v>
      </c>
      <c r="E1198">
        <v>1.3733104677663199</v>
      </c>
      <c r="F1198">
        <v>1.4269693345668699</v>
      </c>
      <c r="G1198">
        <v>1.43039916961888</v>
      </c>
      <c r="H1198">
        <v>1.37369406773924</v>
      </c>
      <c r="I1198">
        <v>1.4338515693751801</v>
      </c>
      <c r="J1198">
        <v>1.6071484983189299</v>
      </c>
      <c r="K1198">
        <v>1.3339124940767699</v>
      </c>
      <c r="L1198">
        <v>1674.1204134960401</v>
      </c>
      <c r="M1198">
        <v>35.367381842092001</v>
      </c>
      <c r="O1198">
        <v>47.184600120018402</v>
      </c>
      <c r="P1198">
        <v>8.1631073861617998E-2</v>
      </c>
      <c r="Q1198">
        <v>1.4356234601592801</v>
      </c>
      <c r="R1198">
        <v>0.88268027518606795</v>
      </c>
      <c r="S1198" t="s">
        <v>3200</v>
      </c>
      <c r="T1198" t="s">
        <v>4002</v>
      </c>
      <c r="U1198" t="s">
        <v>4002</v>
      </c>
      <c r="V1198" t="s">
        <v>4002</v>
      </c>
      <c r="W1198" t="s">
        <v>5180</v>
      </c>
      <c r="X1198">
        <v>1</v>
      </c>
      <c r="Y1198" t="s">
        <v>7110</v>
      </c>
      <c r="Z1198" t="s">
        <v>9096</v>
      </c>
      <c r="AA1198">
        <v>1.327263323416833</v>
      </c>
      <c r="AB1198" t="str">
        <f>HYPERLINK("Melting_Curves/meltCurve_P23470_2_PTPRG.pdf", "Melting_Curves/meltCurve_P23470_2_PTPRG.pdf")</f>
        <v>Melting_Curves/meltCurve_P23470_2_PTPRG.pdf</v>
      </c>
    </row>
    <row r="1199" spans="1:28" x14ac:dyDescent="0.25">
      <c r="A1199" t="s">
        <v>1203</v>
      </c>
      <c r="B1199">
        <v>1</v>
      </c>
      <c r="C1199">
        <v>0.93695562007465805</v>
      </c>
      <c r="D1199">
        <v>1.04967970874234</v>
      </c>
      <c r="E1199">
        <v>1.1741094059634101</v>
      </c>
      <c r="F1199">
        <v>1.14908521130006</v>
      </c>
      <c r="G1199">
        <v>1.4816811834646799</v>
      </c>
      <c r="H1199">
        <v>1.35725148624361</v>
      </c>
      <c r="I1199">
        <v>2.1075625604866599</v>
      </c>
      <c r="J1199">
        <v>3.2737914189594002</v>
      </c>
      <c r="K1199">
        <v>1.87686068482419</v>
      </c>
      <c r="L1199">
        <v>1911.13767085934</v>
      </c>
      <c r="M1199">
        <v>35.711951489325202</v>
      </c>
      <c r="O1199">
        <v>53.348380624086403</v>
      </c>
      <c r="P1199">
        <v>8.3676553792258301E-2</v>
      </c>
      <c r="Q1199">
        <v>1.5</v>
      </c>
      <c r="R1199">
        <v>0.20428319745769899</v>
      </c>
      <c r="S1199" t="s">
        <v>3201</v>
      </c>
      <c r="T1199" t="s">
        <v>4002</v>
      </c>
      <c r="U1199" t="s">
        <v>4002</v>
      </c>
      <c r="V1199" t="s">
        <v>4002</v>
      </c>
      <c r="W1199" t="s">
        <v>5181</v>
      </c>
      <c r="X1199">
        <v>6</v>
      </c>
      <c r="Y1199" t="s">
        <v>7111</v>
      </c>
      <c r="Z1199" t="s">
        <v>9097</v>
      </c>
      <c r="AA1199">
        <v>1.272427983678287</v>
      </c>
      <c r="AB1199" t="str">
        <f>HYPERLINK("Melting_Curves/meltCurve_P23526_AHCY.pdf", "Melting_Curves/meltCurve_P23526_AHCY.pdf")</f>
        <v>Melting_Curves/meltCurve_P23526_AHCY.pdf</v>
      </c>
    </row>
    <row r="1200" spans="1:28" x14ac:dyDescent="0.25">
      <c r="A1200" t="s">
        <v>1204</v>
      </c>
      <c r="B1200">
        <v>1</v>
      </c>
      <c r="C1200">
        <v>0.94708310746007296</v>
      </c>
      <c r="D1200">
        <v>0.961928193152913</v>
      </c>
      <c r="E1200">
        <v>0.99541303531962799</v>
      </c>
      <c r="F1200">
        <v>1.0007088945415099</v>
      </c>
      <c r="G1200">
        <v>1.1976981777240301</v>
      </c>
      <c r="H1200">
        <v>0.949251490763521</v>
      </c>
      <c r="I1200">
        <v>1.63608690213085</v>
      </c>
      <c r="J1200">
        <v>1.16613152078729</v>
      </c>
      <c r="K1200">
        <v>1.40607147324966</v>
      </c>
      <c r="L1200">
        <v>15000</v>
      </c>
      <c r="M1200">
        <v>240.882068872215</v>
      </c>
      <c r="O1200">
        <v>62.266843435542697</v>
      </c>
      <c r="P1200">
        <v>0.389495089351519</v>
      </c>
      <c r="Q1200">
        <v>1.40273034551025</v>
      </c>
      <c r="R1200">
        <v>0.67587824454589096</v>
      </c>
      <c r="S1200" t="s">
        <v>3202</v>
      </c>
      <c r="T1200" t="s">
        <v>4002</v>
      </c>
      <c r="U1200" t="s">
        <v>4002</v>
      </c>
      <c r="V1200" t="s">
        <v>4002</v>
      </c>
      <c r="W1200" t="s">
        <v>5182</v>
      </c>
      <c r="X1200">
        <v>11</v>
      </c>
      <c r="Y1200" t="s">
        <v>7112</v>
      </c>
      <c r="Z1200" t="s">
        <v>9098</v>
      </c>
      <c r="AA1200">
        <v>1.1037075314400411</v>
      </c>
      <c r="AB1200" t="str">
        <f>HYPERLINK("Melting_Curves/meltCurve_P23528_CFL1.pdf", "Melting_Curves/meltCurve_P23528_CFL1.pdf")</f>
        <v>Melting_Curves/meltCurve_P23528_CFL1.pdf</v>
      </c>
    </row>
    <row r="1201" spans="1:28" x14ac:dyDescent="0.25">
      <c r="A1201" t="s">
        <v>1205</v>
      </c>
      <c r="B1201">
        <v>1</v>
      </c>
      <c r="C1201">
        <v>0.88546958920017405</v>
      </c>
      <c r="D1201">
        <v>0.90778777761648999</v>
      </c>
      <c r="E1201">
        <v>0.92361010306285396</v>
      </c>
      <c r="F1201">
        <v>0.83277689069531102</v>
      </c>
      <c r="G1201">
        <v>0.86874002032225295</v>
      </c>
      <c r="H1201">
        <v>0.79841050950791104</v>
      </c>
      <c r="I1201">
        <v>0.99085498620989998</v>
      </c>
      <c r="J1201">
        <v>0.87574393961387698</v>
      </c>
      <c r="K1201">
        <v>0.897263753810422</v>
      </c>
      <c r="L1201">
        <v>10292.518966104801</v>
      </c>
      <c r="M1201">
        <v>250</v>
      </c>
      <c r="O1201">
        <v>41.167451756143898</v>
      </c>
      <c r="P1201">
        <v>-0.171951398106092</v>
      </c>
      <c r="Q1201">
        <v>0.88673921474024797</v>
      </c>
      <c r="R1201">
        <v>0.32559112278137398</v>
      </c>
      <c r="S1201" t="s">
        <v>3203</v>
      </c>
      <c r="T1201" t="s">
        <v>4002</v>
      </c>
      <c r="U1201" t="s">
        <v>4002</v>
      </c>
      <c r="V1201" t="s">
        <v>4002</v>
      </c>
      <c r="W1201" t="s">
        <v>5183</v>
      </c>
      <c r="X1201">
        <v>1</v>
      </c>
      <c r="Y1201" t="s">
        <v>7113</v>
      </c>
      <c r="Z1201" t="s">
        <v>9099</v>
      </c>
      <c r="AA1201">
        <v>0.89116524341390679</v>
      </c>
      <c r="AB1201" t="str">
        <f>HYPERLINK("Melting_Curves/meltCurve_P23786_CPT2.pdf", "Melting_Curves/meltCurve_P23786_CPT2.pdf")</f>
        <v>Melting_Curves/meltCurve_P23786_CPT2.pdf</v>
      </c>
    </row>
    <row r="1202" spans="1:28" x14ac:dyDescent="0.25">
      <c r="A1202" t="s">
        <v>1206</v>
      </c>
      <c r="B1202">
        <v>1</v>
      </c>
      <c r="C1202">
        <v>0.83955069790490899</v>
      </c>
      <c r="D1202">
        <v>0.81910910442419405</v>
      </c>
      <c r="E1202">
        <v>0.70831153814387604</v>
      </c>
      <c r="F1202">
        <v>0.48388073672328802</v>
      </c>
      <c r="G1202">
        <v>0.60134074828620998</v>
      </c>
      <c r="H1202">
        <v>0.525383365911406</v>
      </c>
      <c r="I1202">
        <v>0.47123034991603102</v>
      </c>
      <c r="J1202">
        <v>0.65075847259312303</v>
      </c>
      <c r="K1202">
        <v>0.43923960025328301</v>
      </c>
      <c r="L1202">
        <v>678.84352477503501</v>
      </c>
      <c r="M1202">
        <v>14.4722676904117</v>
      </c>
      <c r="O1202">
        <v>46.038197696500802</v>
      </c>
      <c r="P1202">
        <v>-3.8293863095878802E-2</v>
      </c>
      <c r="Q1202">
        <v>0.51278527229592796</v>
      </c>
      <c r="R1202">
        <v>0.84300244145606096</v>
      </c>
      <c r="S1202" t="s">
        <v>3204</v>
      </c>
      <c r="T1202" t="s">
        <v>4002</v>
      </c>
      <c r="U1202" t="s">
        <v>4002</v>
      </c>
      <c r="V1202" t="s">
        <v>4002</v>
      </c>
      <c r="W1202" t="s">
        <v>5184</v>
      </c>
      <c r="X1202">
        <v>1</v>
      </c>
      <c r="Y1202" t="s">
        <v>7114</v>
      </c>
      <c r="Z1202" t="s">
        <v>9100</v>
      </c>
      <c r="AA1202">
        <v>0.63927969208088686</v>
      </c>
      <c r="AB1202" t="str">
        <f>HYPERLINK("Melting_Curves/meltCurve_P24071_9_FCAR.pdf", "Melting_Curves/meltCurve_P24071_9_FCAR.pdf")</f>
        <v>Melting_Curves/meltCurve_P24071_9_FCAR.pdf</v>
      </c>
    </row>
    <row r="1203" spans="1:28" x14ac:dyDescent="0.25">
      <c r="A1203" t="s">
        <v>1207</v>
      </c>
      <c r="B1203">
        <v>1</v>
      </c>
      <c r="C1203">
        <v>1.0300745509996601</v>
      </c>
      <c r="D1203">
        <v>1.1125042358522499</v>
      </c>
      <c r="E1203">
        <v>1.30472721111488</v>
      </c>
      <c r="F1203">
        <v>1.4968654693324299</v>
      </c>
      <c r="G1203">
        <v>1.8940189766180999</v>
      </c>
      <c r="H1203">
        <v>2.0073703829210401</v>
      </c>
      <c r="I1203">
        <v>2.41189427312775</v>
      </c>
      <c r="J1203">
        <v>2.56226702812606</v>
      </c>
      <c r="K1203">
        <v>2.3414944086750298</v>
      </c>
      <c r="L1203">
        <v>1704.9448157275001</v>
      </c>
      <c r="M1203">
        <v>34.993660848632103</v>
      </c>
      <c r="O1203">
        <v>48.5632460965424</v>
      </c>
      <c r="P1203">
        <v>9.0072707187164203E-2</v>
      </c>
      <c r="Q1203">
        <v>1.5</v>
      </c>
      <c r="R1203">
        <v>5.55641574393438E-2</v>
      </c>
      <c r="S1203" t="s">
        <v>3205</v>
      </c>
      <c r="T1203" t="s">
        <v>4002</v>
      </c>
      <c r="U1203" t="s">
        <v>4002</v>
      </c>
      <c r="V1203" t="s">
        <v>4002</v>
      </c>
      <c r="W1203" t="s">
        <v>5185</v>
      </c>
      <c r="X1203">
        <v>2</v>
      </c>
      <c r="Y1203" t="s">
        <v>7115</v>
      </c>
      <c r="Z1203" t="s">
        <v>9101</v>
      </c>
      <c r="AA1203">
        <v>1.352428260662383</v>
      </c>
      <c r="AB1203" t="str">
        <f>HYPERLINK("Melting_Curves/meltCurve_P24158_PRTN3.pdf", "Melting_Curves/meltCurve_P24158_PRTN3.pdf")</f>
        <v>Melting_Curves/meltCurve_P24158_PRTN3.pdf</v>
      </c>
    </row>
    <row r="1204" spans="1:28" x14ac:dyDescent="0.25">
      <c r="A1204" t="s">
        <v>1208</v>
      </c>
      <c r="B1204">
        <v>1</v>
      </c>
      <c r="C1204">
        <v>1.02478398369788</v>
      </c>
      <c r="D1204">
        <v>0.97528217749725399</v>
      </c>
      <c r="E1204">
        <v>1.1188916676590801</v>
      </c>
      <c r="F1204">
        <v>1.17606817249547</v>
      </c>
      <c r="G1204">
        <v>1.2056025300041</v>
      </c>
      <c r="H1204">
        <v>1.21936405859235</v>
      </c>
      <c r="I1204">
        <v>1.4652058274780699</v>
      </c>
      <c r="J1204">
        <v>2.3274185224881898</v>
      </c>
      <c r="K1204">
        <v>1.3204451325208699</v>
      </c>
      <c r="L1204">
        <v>1326.47472740487</v>
      </c>
      <c r="M1204">
        <v>23.263201007208799</v>
      </c>
      <c r="O1204">
        <v>56.603945152577701</v>
      </c>
      <c r="P1204">
        <v>5.13736467424653E-2</v>
      </c>
      <c r="Q1204">
        <v>1.5</v>
      </c>
      <c r="R1204">
        <v>0.43464344105923802</v>
      </c>
      <c r="S1204" t="s">
        <v>3206</v>
      </c>
      <c r="T1204" t="s">
        <v>4002</v>
      </c>
      <c r="U1204" t="s">
        <v>4002</v>
      </c>
      <c r="V1204" t="s">
        <v>4002</v>
      </c>
      <c r="W1204" t="s">
        <v>5186</v>
      </c>
      <c r="X1204">
        <v>2</v>
      </c>
      <c r="Y1204" t="s">
        <v>7116</v>
      </c>
      <c r="Z1204" t="s">
        <v>9102</v>
      </c>
      <c r="AA1204">
        <v>1.211316216690709</v>
      </c>
      <c r="AB1204" t="str">
        <f>HYPERLINK("Melting_Curves/meltCurve_P24534_EEF1B2.pdf", "Melting_Curves/meltCurve_P24534_EEF1B2.pdf")</f>
        <v>Melting_Curves/meltCurve_P24534_EEF1B2.pdf</v>
      </c>
    </row>
    <row r="1205" spans="1:28" x14ac:dyDescent="0.25">
      <c r="A1205" t="s">
        <v>1209</v>
      </c>
      <c r="B1205">
        <v>1</v>
      </c>
      <c r="C1205">
        <v>0.95541838134430701</v>
      </c>
      <c r="D1205">
        <v>0.957681755829904</v>
      </c>
      <c r="E1205">
        <v>0.97688614540466401</v>
      </c>
      <c r="F1205">
        <v>1.0034293552812099</v>
      </c>
      <c r="G1205">
        <v>1.06879286694102</v>
      </c>
      <c r="H1205">
        <v>0.90754458161865603</v>
      </c>
      <c r="I1205">
        <v>1.18827160493827</v>
      </c>
      <c r="J1205">
        <v>0.83004115226337405</v>
      </c>
      <c r="K1205">
        <v>0.94012345679012299</v>
      </c>
      <c r="L1205">
        <v>3967.69654929238</v>
      </c>
      <c r="M1205">
        <v>59.9276488306418</v>
      </c>
      <c r="O1205">
        <v>66.134486171132707</v>
      </c>
      <c r="P1205">
        <v>-2.3991754826728901E-2</v>
      </c>
      <c r="Q1205">
        <v>0.89409347687020702</v>
      </c>
      <c r="R1205">
        <v>0.16283751363797599</v>
      </c>
      <c r="S1205" t="s">
        <v>3207</v>
      </c>
      <c r="T1205" t="s">
        <v>4002</v>
      </c>
      <c r="U1205" t="s">
        <v>4002</v>
      </c>
      <c r="V1205" t="s">
        <v>4002</v>
      </c>
      <c r="W1205" t="s">
        <v>5187</v>
      </c>
      <c r="X1205">
        <v>4</v>
      </c>
      <c r="Y1205" t="s">
        <v>7117</v>
      </c>
      <c r="Z1205" t="s">
        <v>9103</v>
      </c>
      <c r="AA1205">
        <v>0.98665602780916828</v>
      </c>
      <c r="AB1205" t="str">
        <f>HYPERLINK("Melting_Curves/meltCurve_P24593_IGFBP5.pdf", "Melting_Curves/meltCurve_P24593_IGFBP5.pdf")</f>
        <v>Melting_Curves/meltCurve_P24593_IGFBP5.pdf</v>
      </c>
    </row>
    <row r="1206" spans="1:28" x14ac:dyDescent="0.25">
      <c r="A1206" t="s">
        <v>1210</v>
      </c>
      <c r="B1206">
        <v>1</v>
      </c>
      <c r="C1206">
        <v>1.00533105874827</v>
      </c>
      <c r="D1206">
        <v>1.1476703273270099</v>
      </c>
      <c r="E1206">
        <v>1.22774282972598</v>
      </c>
      <c r="F1206">
        <v>1.2953051142623599</v>
      </c>
      <c r="G1206">
        <v>1.3463055762874501</v>
      </c>
      <c r="H1206">
        <v>1.10480861499094</v>
      </c>
      <c r="I1206">
        <v>1.62472900451363</v>
      </c>
      <c r="J1206">
        <v>1.4128016490741699</v>
      </c>
      <c r="K1206">
        <v>1.2730568290862601</v>
      </c>
      <c r="L1206">
        <v>728.41178683645103</v>
      </c>
      <c r="M1206">
        <v>15.048527586103299</v>
      </c>
      <c r="O1206">
        <v>47.573556960833201</v>
      </c>
      <c r="P1206">
        <v>2.9134768944104099E-2</v>
      </c>
      <c r="Q1206">
        <v>1.3683832449883</v>
      </c>
      <c r="R1206">
        <v>0.56129150416739504</v>
      </c>
      <c r="S1206" t="s">
        <v>3208</v>
      </c>
      <c r="T1206" t="s">
        <v>4002</v>
      </c>
      <c r="U1206" t="s">
        <v>4002</v>
      </c>
      <c r="V1206" t="s">
        <v>4002</v>
      </c>
      <c r="W1206" t="s">
        <v>5188</v>
      </c>
      <c r="X1206">
        <v>1</v>
      </c>
      <c r="Y1206" t="s">
        <v>7118</v>
      </c>
      <c r="Z1206" t="s">
        <v>9104</v>
      </c>
      <c r="AA1206">
        <v>1.255932939738843</v>
      </c>
      <c r="AB1206" t="str">
        <f>HYPERLINK("Melting_Curves/meltCurve_P24855_DNASE1.pdf", "Melting_Curves/meltCurve_P24855_DNASE1.pdf")</f>
        <v>Melting_Curves/meltCurve_P24855_DNASE1.pdf</v>
      </c>
    </row>
    <row r="1207" spans="1:28" x14ac:dyDescent="0.25">
      <c r="A1207" t="s">
        <v>1211</v>
      </c>
      <c r="B1207">
        <v>1</v>
      </c>
      <c r="C1207">
        <v>0.99881563363600501</v>
      </c>
      <c r="D1207">
        <v>1.15387989647761</v>
      </c>
      <c r="E1207">
        <v>1.19949993420187</v>
      </c>
      <c r="F1207">
        <v>1.07401193139448</v>
      </c>
      <c r="G1207">
        <v>1.12449006448217</v>
      </c>
      <c r="H1207">
        <v>1.00159012150722</v>
      </c>
      <c r="I1207">
        <v>1.3297802342413501</v>
      </c>
      <c r="J1207">
        <v>1.21254989691626</v>
      </c>
      <c r="K1207">
        <v>1.16002105540203</v>
      </c>
      <c r="L1207">
        <v>11326.4939632188</v>
      </c>
      <c r="M1207">
        <v>250</v>
      </c>
      <c r="O1207">
        <v>45.303079938246803</v>
      </c>
      <c r="P1207">
        <v>0.217176846901007</v>
      </c>
      <c r="Q1207">
        <v>1.1574204690224299</v>
      </c>
      <c r="R1207">
        <v>0.37280284938026198</v>
      </c>
      <c r="S1207" t="s">
        <v>3209</v>
      </c>
      <c r="T1207" t="s">
        <v>4002</v>
      </c>
      <c r="U1207" t="s">
        <v>4002</v>
      </c>
      <c r="V1207" t="s">
        <v>4002</v>
      </c>
      <c r="W1207" t="s">
        <v>5189</v>
      </c>
      <c r="X1207">
        <v>1</v>
      </c>
      <c r="Y1207" t="s">
        <v>7119</v>
      </c>
      <c r="Z1207" t="s">
        <v>9105</v>
      </c>
      <c r="AA1207">
        <v>1.129565645406335</v>
      </c>
      <c r="AB1207" t="str">
        <f>HYPERLINK("Melting_Curves/meltCurve_P25098_ADRBK1.pdf", "Melting_Curves/meltCurve_P25098_ADRBK1.pdf")</f>
        <v>Melting_Curves/meltCurve_P25098_ADRBK1.pdf</v>
      </c>
    </row>
    <row r="1208" spans="1:28" x14ac:dyDescent="0.25">
      <c r="A1208" t="s">
        <v>1212</v>
      </c>
      <c r="B1208">
        <v>1</v>
      </c>
      <c r="C1208">
        <v>0.48916194492027898</v>
      </c>
      <c r="D1208">
        <v>0.29228159177757301</v>
      </c>
      <c r="E1208">
        <v>0.28506720252997803</v>
      </c>
      <c r="F1208">
        <v>0.26106865199631002</v>
      </c>
      <c r="G1208">
        <v>0.26905718803531398</v>
      </c>
      <c r="H1208">
        <v>0.33443141388852299</v>
      </c>
      <c r="I1208">
        <v>0.326755830807748</v>
      </c>
      <c r="J1208">
        <v>0.35114969034128302</v>
      </c>
      <c r="K1208">
        <v>0.273949136908684</v>
      </c>
      <c r="L1208">
        <v>10682.5575451983</v>
      </c>
      <c r="M1208">
        <v>250</v>
      </c>
      <c r="N1208">
        <v>42.886748909302497</v>
      </c>
      <c r="O1208">
        <v>42.727495737364997</v>
      </c>
      <c r="P1208">
        <v>-1.02507165202064</v>
      </c>
      <c r="Q1208">
        <v>0.29922008667536198</v>
      </c>
      <c r="R1208">
        <v>0.98256361358428401</v>
      </c>
      <c r="S1208" t="s">
        <v>3210</v>
      </c>
      <c r="T1208" t="s">
        <v>4002</v>
      </c>
      <c r="U1208" t="s">
        <v>4002</v>
      </c>
      <c r="V1208" t="s">
        <v>4002</v>
      </c>
      <c r="W1208" t="s">
        <v>4184</v>
      </c>
      <c r="X1208">
        <v>28</v>
      </c>
      <c r="Y1208" t="s">
        <v>6157</v>
      </c>
      <c r="Z1208" t="s">
        <v>9106</v>
      </c>
      <c r="AA1208">
        <v>0.36304898790063039</v>
      </c>
      <c r="AB1208" t="str">
        <f>HYPERLINK("Melting_Curves/meltCurve_P25311_AZGP1.pdf", "Melting_Curves/meltCurve_P25311_AZGP1.pdf")</f>
        <v>Melting_Curves/meltCurve_P25311_AZGP1.pdf</v>
      </c>
    </row>
    <row r="1209" spans="1:28" x14ac:dyDescent="0.25">
      <c r="A1209" t="s">
        <v>1213</v>
      </c>
      <c r="B1209">
        <v>1</v>
      </c>
      <c r="C1209">
        <v>0.93666768199817196</v>
      </c>
      <c r="D1209">
        <v>1.0904416692050001</v>
      </c>
      <c r="E1209">
        <v>1.1414681693573001</v>
      </c>
      <c r="F1209">
        <v>1.23667377398721</v>
      </c>
      <c r="G1209">
        <v>1.39713676515382</v>
      </c>
      <c r="H1209">
        <v>1.38312519037466</v>
      </c>
      <c r="I1209">
        <v>1.49107523606458</v>
      </c>
      <c r="J1209">
        <v>2.0499543100822399</v>
      </c>
      <c r="K1209">
        <v>1.50557416996649</v>
      </c>
      <c r="L1209">
        <v>1110.5786755061899</v>
      </c>
      <c r="M1209">
        <v>21.0390056844494</v>
      </c>
      <c r="O1209">
        <v>52.316685096821402</v>
      </c>
      <c r="P1209">
        <v>5.0269720869179399E-2</v>
      </c>
      <c r="Q1209">
        <v>1.5</v>
      </c>
      <c r="R1209">
        <v>0.65435800912877196</v>
      </c>
      <c r="S1209" t="s">
        <v>3211</v>
      </c>
      <c r="T1209" t="s">
        <v>4002</v>
      </c>
      <c r="U1209" t="s">
        <v>4002</v>
      </c>
      <c r="V1209" t="s">
        <v>4002</v>
      </c>
      <c r="W1209" t="s">
        <v>5190</v>
      </c>
      <c r="X1209">
        <v>2</v>
      </c>
      <c r="Y1209" t="s">
        <v>7120</v>
      </c>
      <c r="Z1209" t="s">
        <v>9107</v>
      </c>
      <c r="AA1209">
        <v>1.2805840251460141</v>
      </c>
      <c r="AB1209" t="str">
        <f>HYPERLINK("Melting_Curves/meltCurve_P25325_MPST.pdf", "Melting_Curves/meltCurve_P25325_MPST.pdf")</f>
        <v>Melting_Curves/meltCurve_P25325_MPST.pdf</v>
      </c>
    </row>
    <row r="1210" spans="1:28" x14ac:dyDescent="0.25">
      <c r="A1210" t="s">
        <v>1214</v>
      </c>
      <c r="B1210">
        <v>1</v>
      </c>
      <c r="C1210">
        <v>0.94807260479041899</v>
      </c>
      <c r="D1210">
        <v>1.05726047904192</v>
      </c>
      <c r="E1210">
        <v>1.0140344311377201</v>
      </c>
      <c r="F1210">
        <v>1.05660553892216</v>
      </c>
      <c r="G1210">
        <v>1.04126122754491</v>
      </c>
      <c r="H1210">
        <v>0.87326908682634696</v>
      </c>
      <c r="I1210">
        <v>1.18207335329341</v>
      </c>
      <c r="J1210">
        <v>1.9311377245509</v>
      </c>
      <c r="K1210">
        <v>0.945359281437126</v>
      </c>
      <c r="L1210">
        <v>15000</v>
      </c>
      <c r="M1210">
        <v>234.03432309533801</v>
      </c>
      <c r="O1210">
        <v>64.088482778451606</v>
      </c>
      <c r="P1210">
        <v>0.400076464320967</v>
      </c>
      <c r="Q1210">
        <v>1.4382313364550099</v>
      </c>
      <c r="R1210">
        <v>0.37452680089457602</v>
      </c>
      <c r="S1210" t="s">
        <v>3212</v>
      </c>
      <c r="T1210" t="s">
        <v>4002</v>
      </c>
      <c r="U1210" t="s">
        <v>4002</v>
      </c>
      <c r="V1210" t="s">
        <v>4002</v>
      </c>
      <c r="W1210" t="s">
        <v>5191</v>
      </c>
      <c r="X1210">
        <v>3</v>
      </c>
      <c r="Y1210" t="s">
        <v>7121</v>
      </c>
      <c r="Z1210" t="s">
        <v>9108</v>
      </c>
      <c r="AA1210">
        <v>1.0862291201671479</v>
      </c>
      <c r="AB1210" t="str">
        <f>HYPERLINK("Melting_Curves/meltCurve_P25398_RPS12.pdf", "Melting_Curves/meltCurve_P25398_RPS12.pdf")</f>
        <v>Melting_Curves/meltCurve_P25398_RPS12.pdf</v>
      </c>
    </row>
    <row r="1211" spans="1:28" x14ac:dyDescent="0.25">
      <c r="A1211" t="s">
        <v>1215</v>
      </c>
      <c r="B1211">
        <v>1</v>
      </c>
      <c r="C1211">
        <v>0.94554984583761603</v>
      </c>
      <c r="D1211">
        <v>1.00460431654676</v>
      </c>
      <c r="E1211">
        <v>1.03107913669065</v>
      </c>
      <c r="F1211">
        <v>1.02437821171634</v>
      </c>
      <c r="G1211">
        <v>1.0006783144912601</v>
      </c>
      <c r="H1211">
        <v>0.95874614594039098</v>
      </c>
      <c r="I1211">
        <v>1.11738951695786</v>
      </c>
      <c r="J1211">
        <v>1.44853031860226</v>
      </c>
      <c r="K1211">
        <v>0.94378211716341198</v>
      </c>
      <c r="L1211">
        <v>15000</v>
      </c>
      <c r="M1211">
        <v>234.77444253101001</v>
      </c>
      <c r="O1211">
        <v>63.886455531436198</v>
      </c>
      <c r="P1211">
        <v>0.180206685776543</v>
      </c>
      <c r="Q1211">
        <v>1.1961503103247899</v>
      </c>
      <c r="R1211">
        <v>0.33788210454515499</v>
      </c>
      <c r="S1211" t="s">
        <v>3213</v>
      </c>
      <c r="T1211" t="s">
        <v>4002</v>
      </c>
      <c r="U1211" t="s">
        <v>4002</v>
      </c>
      <c r="V1211" t="s">
        <v>4002</v>
      </c>
      <c r="W1211" t="s">
        <v>5192</v>
      </c>
      <c r="X1211">
        <v>6</v>
      </c>
      <c r="Y1211" t="s">
        <v>7122</v>
      </c>
      <c r="Z1211" t="s">
        <v>9109</v>
      </c>
      <c r="AA1211">
        <v>1.039917075016163</v>
      </c>
      <c r="AB1211" t="str">
        <f>HYPERLINK("Melting_Curves/meltCurve_P25685_DNAJB1.pdf", "Melting_Curves/meltCurve_P25685_DNAJB1.pdf")</f>
        <v>Melting_Curves/meltCurve_P25685_DNAJB1.pdf</v>
      </c>
    </row>
    <row r="1212" spans="1:28" x14ac:dyDescent="0.25">
      <c r="A1212" t="s">
        <v>1216</v>
      </c>
      <c r="B1212">
        <v>1</v>
      </c>
      <c r="C1212">
        <v>1.0630267037493999</v>
      </c>
      <c r="D1212">
        <v>1.1580686309362</v>
      </c>
      <c r="E1212">
        <v>1.04041111645511</v>
      </c>
      <c r="F1212">
        <v>0.97336944020409399</v>
      </c>
      <c r="G1212">
        <v>0.98478701825557802</v>
      </c>
      <c r="H1212">
        <v>0.98776688065912499</v>
      </c>
      <c r="I1212">
        <v>1.03672026933774</v>
      </c>
      <c r="J1212">
        <v>4.2453106375859999</v>
      </c>
      <c r="K1212">
        <v>0.90920306978105803</v>
      </c>
      <c r="L1212">
        <v>15000</v>
      </c>
      <c r="M1212">
        <v>232.08030403930201</v>
      </c>
      <c r="O1212">
        <v>64.627997110630005</v>
      </c>
      <c r="P1212">
        <v>0.44887722850898898</v>
      </c>
      <c r="Q1212">
        <v>1.5</v>
      </c>
      <c r="R1212">
        <v>0.15925873961140599</v>
      </c>
      <c r="S1212" t="s">
        <v>3214</v>
      </c>
      <c r="T1212" t="s">
        <v>4002</v>
      </c>
      <c r="U1212" t="s">
        <v>4002</v>
      </c>
      <c r="V1212" t="s">
        <v>4002</v>
      </c>
      <c r="W1212" t="s">
        <v>5193</v>
      </c>
      <c r="X1212">
        <v>6</v>
      </c>
      <c r="Y1212" t="s">
        <v>7123</v>
      </c>
      <c r="Z1212" t="s">
        <v>9110</v>
      </c>
      <c r="AA1212">
        <v>1.0893875109346609</v>
      </c>
      <c r="AB1212" t="str">
        <f>HYPERLINK("Melting_Curves/meltCurve_P25705_2_ATP5A1.pdf", "Melting_Curves/meltCurve_P25705_2_ATP5A1.pdf")</f>
        <v>Melting_Curves/meltCurve_P25705_2_ATP5A1.pdf</v>
      </c>
    </row>
    <row r="1213" spans="1:28" x14ac:dyDescent="0.25">
      <c r="A1213" t="s">
        <v>1217</v>
      </c>
      <c r="B1213">
        <v>1</v>
      </c>
      <c r="C1213">
        <v>1.07999252271943</v>
      </c>
      <c r="D1213">
        <v>1.2284165420453199</v>
      </c>
      <c r="E1213">
        <v>1.5201886575405501</v>
      </c>
      <c r="F1213">
        <v>1.5884907396756001</v>
      </c>
      <c r="G1213">
        <v>1.74220637294375</v>
      </c>
      <c r="H1213">
        <v>1.7153169216611099</v>
      </c>
      <c r="I1213">
        <v>2.1436788220407199</v>
      </c>
      <c r="J1213">
        <v>1.9696882549177499</v>
      </c>
      <c r="K1213">
        <v>1.7554354077993799</v>
      </c>
      <c r="L1213">
        <v>1899.76774632206</v>
      </c>
      <c r="M1213">
        <v>41.266631172663899</v>
      </c>
      <c r="O1213">
        <v>45.928721743177498</v>
      </c>
      <c r="P1213">
        <v>0.112311868678193</v>
      </c>
      <c r="Q1213">
        <v>1.5</v>
      </c>
      <c r="R1213">
        <v>0.34951707188145198</v>
      </c>
      <c r="S1213" t="s">
        <v>3215</v>
      </c>
      <c r="T1213" t="s">
        <v>4002</v>
      </c>
      <c r="U1213" t="s">
        <v>4002</v>
      </c>
      <c r="V1213" t="s">
        <v>4002</v>
      </c>
      <c r="W1213" t="s">
        <v>5194</v>
      </c>
      <c r="X1213">
        <v>7</v>
      </c>
      <c r="Y1213" t="s">
        <v>7124</v>
      </c>
      <c r="Z1213" t="s">
        <v>9111</v>
      </c>
      <c r="AA1213">
        <v>1.3978719987780881</v>
      </c>
      <c r="AB1213" t="str">
        <f>HYPERLINK("Melting_Curves/meltCurve_P25774_CTSS.pdf", "Melting_Curves/meltCurve_P25774_CTSS.pdf")</f>
        <v>Melting_Curves/meltCurve_P25774_CTSS.pdf</v>
      </c>
    </row>
    <row r="1214" spans="1:28" x14ac:dyDescent="0.25">
      <c r="A1214" t="s">
        <v>1218</v>
      </c>
      <c r="B1214">
        <v>1</v>
      </c>
      <c r="C1214">
        <v>0.97838801711840195</v>
      </c>
      <c r="D1214">
        <v>1.0035663338088401</v>
      </c>
      <c r="E1214">
        <v>0.793437945791726</v>
      </c>
      <c r="F1214">
        <v>0.54197574893010003</v>
      </c>
      <c r="G1214">
        <v>0.48651925820256797</v>
      </c>
      <c r="H1214">
        <v>0.28987874465049901</v>
      </c>
      <c r="I1214">
        <v>0.42332382310984301</v>
      </c>
      <c r="J1214">
        <v>0.77246790299571999</v>
      </c>
      <c r="K1214">
        <v>0.254539942938659</v>
      </c>
      <c r="L1214">
        <v>1850.0230631261099</v>
      </c>
      <c r="M1214">
        <v>36.447180083882401</v>
      </c>
      <c r="N1214">
        <v>53.972336390885999</v>
      </c>
      <c r="O1214">
        <v>50.606937958702602</v>
      </c>
      <c r="P1214">
        <v>-0.100304864577288</v>
      </c>
      <c r="Q1214">
        <v>0.44290814564555198</v>
      </c>
      <c r="R1214">
        <v>0.77814835813965999</v>
      </c>
      <c r="S1214" t="s">
        <v>3216</v>
      </c>
      <c r="T1214" t="s">
        <v>4002</v>
      </c>
      <c r="U1214" t="s">
        <v>4002</v>
      </c>
      <c r="V1214" t="s">
        <v>4002</v>
      </c>
      <c r="W1214" t="s">
        <v>5195</v>
      </c>
      <c r="X1214">
        <v>6</v>
      </c>
      <c r="Y1214" t="s">
        <v>7125</v>
      </c>
      <c r="Z1214" t="s">
        <v>9112</v>
      </c>
      <c r="AA1214">
        <v>0.64505790213622649</v>
      </c>
      <c r="AB1214" t="str">
        <f>HYPERLINK("Melting_Curves/meltCurve_P25786_PSMA1.pdf", "Melting_Curves/meltCurve_P25786_PSMA1.pdf")</f>
        <v>Melting_Curves/meltCurve_P25786_PSMA1.pdf</v>
      </c>
    </row>
    <row r="1215" spans="1:28" x14ac:dyDescent="0.25">
      <c r="A1215" t="s">
        <v>1219</v>
      </c>
      <c r="B1215">
        <v>1</v>
      </c>
      <c r="C1215">
        <v>0.97678164004831602</v>
      </c>
      <c r="D1215">
        <v>1.07757348006979</v>
      </c>
      <c r="E1215">
        <v>1.04865118776003</v>
      </c>
      <c r="F1215">
        <v>0.783451885652932</v>
      </c>
      <c r="G1215">
        <v>0.94853039860421395</v>
      </c>
      <c r="H1215">
        <v>0.67178902160783804</v>
      </c>
      <c r="I1215">
        <v>0.542531203865253</v>
      </c>
      <c r="J1215">
        <v>4.0907931821232104</v>
      </c>
      <c r="K1215">
        <v>0.53779358475372396</v>
      </c>
      <c r="L1215">
        <v>4840.0769245639904</v>
      </c>
      <c r="M1215">
        <v>74.975645010613704</v>
      </c>
      <c r="O1215">
        <v>64.509443077930996</v>
      </c>
      <c r="P1215">
        <v>0.145280397514024</v>
      </c>
      <c r="Q1215">
        <v>1.5</v>
      </c>
      <c r="R1215">
        <v>0.15219993727075301</v>
      </c>
      <c r="S1215" t="s">
        <v>3217</v>
      </c>
      <c r="T1215" t="s">
        <v>4002</v>
      </c>
      <c r="U1215" t="s">
        <v>4002</v>
      </c>
      <c r="V1215" t="s">
        <v>4002</v>
      </c>
      <c r="W1215" t="s">
        <v>5196</v>
      </c>
      <c r="X1215">
        <v>1</v>
      </c>
      <c r="Y1215" t="s">
        <v>7126</v>
      </c>
      <c r="Z1215" t="s">
        <v>9113</v>
      </c>
      <c r="AA1215">
        <v>1.0901643087463719</v>
      </c>
      <c r="AB1215" t="str">
        <f>HYPERLINK("Melting_Curves/meltCurve_P25788_2_PSMA3.pdf", "Melting_Curves/meltCurve_P25788_2_PSMA3.pdf")</f>
        <v>Melting_Curves/meltCurve_P25788_2_PSMA3.pdf</v>
      </c>
    </row>
    <row r="1216" spans="1:28" x14ac:dyDescent="0.25">
      <c r="A1216" t="s">
        <v>1220</v>
      </c>
      <c r="B1216">
        <v>1</v>
      </c>
      <c r="C1216">
        <v>0.90104916683809899</v>
      </c>
      <c r="D1216">
        <v>1.0735102516629</v>
      </c>
      <c r="E1216">
        <v>1.19858739628334</v>
      </c>
      <c r="F1216">
        <v>1.12649431987017</v>
      </c>
      <c r="G1216">
        <v>1.1603465222062199</v>
      </c>
      <c r="H1216">
        <v>1.2721890786075101</v>
      </c>
      <c r="I1216">
        <v>1.1544492445541601</v>
      </c>
      <c r="J1216">
        <v>1.21127340053487</v>
      </c>
      <c r="K1216">
        <v>1.0727559487074001</v>
      </c>
      <c r="L1216">
        <v>11512.925851149599</v>
      </c>
      <c r="M1216">
        <v>250</v>
      </c>
      <c r="O1216">
        <v>46.048756261164499</v>
      </c>
      <c r="P1216">
        <v>0.23191566138203101</v>
      </c>
      <c r="Q1216">
        <v>1.1708708445447999</v>
      </c>
      <c r="R1216">
        <v>0.67870763430598002</v>
      </c>
      <c r="S1216" t="s">
        <v>3218</v>
      </c>
      <c r="T1216" t="s">
        <v>4002</v>
      </c>
      <c r="U1216" t="s">
        <v>4002</v>
      </c>
      <c r="V1216" t="s">
        <v>4002</v>
      </c>
      <c r="W1216" t="s">
        <v>5197</v>
      </c>
      <c r="X1216">
        <v>6</v>
      </c>
      <c r="Y1216" t="s">
        <v>7127</v>
      </c>
      <c r="Z1216" t="s">
        <v>9114</v>
      </c>
      <c r="AA1216">
        <v>1.136388379036644</v>
      </c>
      <c r="AB1216" t="str">
        <f>HYPERLINK("Melting_Curves/meltCurve_P25815_S100P.pdf", "Melting_Curves/meltCurve_P25815_S100P.pdf")</f>
        <v>Melting_Curves/meltCurve_P25815_S100P.pdf</v>
      </c>
    </row>
    <row r="1217" spans="1:28" x14ac:dyDescent="0.25">
      <c r="A1217" t="s">
        <v>1221</v>
      </c>
      <c r="B1217">
        <v>1</v>
      </c>
      <c r="C1217">
        <v>0.99268543916299201</v>
      </c>
      <c r="D1217">
        <v>1.15956621876555</v>
      </c>
      <c r="E1217">
        <v>2.1625406525236399</v>
      </c>
      <c r="F1217">
        <v>2.40477761188848</v>
      </c>
      <c r="G1217">
        <v>2.79029663321875</v>
      </c>
      <c r="H1217">
        <v>2.0808305267178202</v>
      </c>
      <c r="I1217">
        <v>3.3672441929099701</v>
      </c>
      <c r="J1217">
        <v>2.2599909725356802</v>
      </c>
      <c r="K1217">
        <v>2.57641517076953</v>
      </c>
      <c r="L1217">
        <v>11534.857030205299</v>
      </c>
      <c r="M1217">
        <v>250</v>
      </c>
      <c r="O1217">
        <v>46.136475568910299</v>
      </c>
      <c r="P1217">
        <v>0.67733825992595798</v>
      </c>
      <c r="Q1217">
        <v>1.5</v>
      </c>
      <c r="R1217">
        <v>-0.47564463245233501</v>
      </c>
      <c r="S1217" t="s">
        <v>3219</v>
      </c>
      <c r="T1217" t="s">
        <v>4002</v>
      </c>
      <c r="U1217" t="s">
        <v>4002</v>
      </c>
      <c r="V1217" t="s">
        <v>4002</v>
      </c>
      <c r="W1217" t="s">
        <v>5198</v>
      </c>
      <c r="X1217">
        <v>46</v>
      </c>
      <c r="Y1217" t="s">
        <v>7128</v>
      </c>
      <c r="Z1217" t="s">
        <v>9115</v>
      </c>
      <c r="AA1217">
        <v>1.397635710997182</v>
      </c>
      <c r="AB1217" t="str">
        <f>HYPERLINK("Melting_Curves/meltCurve_P26038_MSN.pdf", "Melting_Curves/meltCurve_P26038_MSN.pdf")</f>
        <v>Melting_Curves/meltCurve_P26038_MSN.pdf</v>
      </c>
    </row>
    <row r="1218" spans="1:28" x14ac:dyDescent="0.25">
      <c r="A1218" t="s">
        <v>1222</v>
      </c>
      <c r="B1218">
        <v>1</v>
      </c>
      <c r="C1218">
        <v>0.90732719725681299</v>
      </c>
      <c r="D1218">
        <v>1.0351019671539401</v>
      </c>
      <c r="E1218">
        <v>1.1838115863562499</v>
      </c>
      <c r="F1218">
        <v>1.0843710521566501</v>
      </c>
      <c r="G1218">
        <v>1.1086446489803301</v>
      </c>
      <c r="H1218">
        <v>1.22306442880347</v>
      </c>
      <c r="I1218">
        <v>1.1845334777115999</v>
      </c>
      <c r="J1218">
        <v>1.14365637971485</v>
      </c>
      <c r="K1218">
        <v>1.0587439090416899</v>
      </c>
      <c r="L1218">
        <v>11550.783268703801</v>
      </c>
      <c r="M1218">
        <v>250</v>
      </c>
      <c r="O1218">
        <v>46.200193444583498</v>
      </c>
      <c r="P1218">
        <v>0.190712298024448</v>
      </c>
      <c r="Q1218">
        <v>1.1409750690423099</v>
      </c>
      <c r="R1218">
        <v>0.64225722238209304</v>
      </c>
      <c r="S1218" t="s">
        <v>3220</v>
      </c>
      <c r="T1218" t="s">
        <v>4002</v>
      </c>
      <c r="U1218" t="s">
        <v>4002</v>
      </c>
      <c r="V1218" t="s">
        <v>4002</v>
      </c>
      <c r="W1218" t="s">
        <v>5199</v>
      </c>
      <c r="X1218">
        <v>7</v>
      </c>
      <c r="Y1218" t="s">
        <v>7129</v>
      </c>
      <c r="Z1218" t="s">
        <v>9116</v>
      </c>
      <c r="AA1218">
        <v>1.1118140675189281</v>
      </c>
      <c r="AB1218" t="str">
        <f>HYPERLINK("Melting_Curves/meltCurve_P26447_S100A4.pdf", "Melting_Curves/meltCurve_P26447_S100A4.pdf")</f>
        <v>Melting_Curves/meltCurve_P26447_S100A4.pdf</v>
      </c>
    </row>
    <row r="1219" spans="1:28" x14ac:dyDescent="0.25">
      <c r="A1219" t="s">
        <v>1223</v>
      </c>
      <c r="B1219">
        <v>1</v>
      </c>
      <c r="C1219">
        <v>0.91016347501167705</v>
      </c>
      <c r="D1219">
        <v>0.95693601120971505</v>
      </c>
      <c r="E1219">
        <v>1.0379262027090099</v>
      </c>
      <c r="F1219">
        <v>1.0563288183091999</v>
      </c>
      <c r="G1219">
        <v>1.3827183559084499</v>
      </c>
      <c r="H1219">
        <v>1.39187295656235</v>
      </c>
      <c r="I1219">
        <v>1.9314339093881401</v>
      </c>
      <c r="J1219">
        <v>1.64184960298926</v>
      </c>
      <c r="K1219">
        <v>1.5856141989724399</v>
      </c>
      <c r="L1219">
        <v>2431.8053505972898</v>
      </c>
      <c r="M1219">
        <v>43.830628445900899</v>
      </c>
      <c r="O1219">
        <v>55.366753734096498</v>
      </c>
      <c r="P1219">
        <v>9.8955351229658206E-2</v>
      </c>
      <c r="Q1219">
        <v>1.5</v>
      </c>
      <c r="R1219">
        <v>0.78547029148006398</v>
      </c>
      <c r="S1219" t="s">
        <v>3221</v>
      </c>
      <c r="T1219" t="s">
        <v>4002</v>
      </c>
      <c r="U1219" t="s">
        <v>4002</v>
      </c>
      <c r="V1219" t="s">
        <v>4002</v>
      </c>
      <c r="W1219" t="s">
        <v>5200</v>
      </c>
      <c r="X1219">
        <v>2</v>
      </c>
      <c r="Y1219" t="s">
        <v>7130</v>
      </c>
      <c r="Z1219" t="s">
        <v>9117</v>
      </c>
      <c r="AA1219">
        <v>1.2403777136431551</v>
      </c>
      <c r="AB1219" t="str">
        <f>HYPERLINK("Melting_Curves/meltCurve_P26572_MGAT1.pdf", "Melting_Curves/meltCurve_P26572_MGAT1.pdf")</f>
        <v>Melting_Curves/meltCurve_P26572_MGAT1.pdf</v>
      </c>
    </row>
    <row r="1220" spans="1:28" x14ac:dyDescent="0.25">
      <c r="A1220" t="s">
        <v>1224</v>
      </c>
      <c r="B1220">
        <v>1</v>
      </c>
      <c r="C1220">
        <v>1.0306519122831299</v>
      </c>
      <c r="D1220">
        <v>1.05815129988391</v>
      </c>
      <c r="E1220">
        <v>1.1603633923721699</v>
      </c>
      <c r="F1220">
        <v>1.22447892814161</v>
      </c>
      <c r="G1220">
        <v>1.2984993556495199</v>
      </c>
      <c r="H1220">
        <v>1.09603484817825</v>
      </c>
      <c r="I1220">
        <v>2.3718488066202998</v>
      </c>
      <c r="J1220">
        <v>2.20240060494393</v>
      </c>
      <c r="K1220">
        <v>2.4023090113214001</v>
      </c>
      <c r="L1220">
        <v>1314.31803262926</v>
      </c>
      <c r="M1220">
        <v>24.620162658169601</v>
      </c>
      <c r="O1220">
        <v>53.035371174000502</v>
      </c>
      <c r="P1220">
        <v>5.8028542605332502E-2</v>
      </c>
      <c r="Q1220">
        <v>1.5</v>
      </c>
      <c r="R1220">
        <v>0.27754336309824101</v>
      </c>
      <c r="S1220" t="s">
        <v>3222</v>
      </c>
      <c r="T1220" t="s">
        <v>4002</v>
      </c>
      <c r="U1220" t="s">
        <v>4002</v>
      </c>
      <c r="V1220" t="s">
        <v>4002</v>
      </c>
      <c r="W1220" t="s">
        <v>5201</v>
      </c>
      <c r="X1220">
        <v>6</v>
      </c>
      <c r="Y1220" t="s">
        <v>7131</v>
      </c>
      <c r="Z1220" t="s">
        <v>9118</v>
      </c>
      <c r="AA1220">
        <v>1.2721889836125799</v>
      </c>
      <c r="AB1220" t="str">
        <f>HYPERLINK("Melting_Curves/meltCurve_P26583_HMGB2.pdf", "Melting_Curves/meltCurve_P26583_HMGB2.pdf")</f>
        <v>Melting_Curves/meltCurve_P26583_HMGB2.pdf</v>
      </c>
    </row>
    <row r="1221" spans="1:28" x14ac:dyDescent="0.25">
      <c r="A1221" t="s">
        <v>1225</v>
      </c>
      <c r="B1221">
        <v>1</v>
      </c>
      <c r="C1221">
        <v>0.93391979301423</v>
      </c>
      <c r="D1221">
        <v>1.19834411384217</v>
      </c>
      <c r="E1221">
        <v>1.1143596377749001</v>
      </c>
      <c r="F1221">
        <v>0.83777490297542001</v>
      </c>
      <c r="G1221">
        <v>1.0762742561448899</v>
      </c>
      <c r="H1221">
        <v>0.37143078913324701</v>
      </c>
      <c r="I1221">
        <v>0.94416558861578304</v>
      </c>
      <c r="J1221">
        <v>0.33857179818887501</v>
      </c>
      <c r="K1221">
        <v>0.50320827943078905</v>
      </c>
      <c r="L1221">
        <v>6432.34093117463</v>
      </c>
      <c r="M1221">
        <v>109.469224109943</v>
      </c>
      <c r="O1221">
        <v>58.739752007796397</v>
      </c>
      <c r="P1221">
        <v>-0.21501313092003099</v>
      </c>
      <c r="Q1221">
        <v>0.53850709761451399</v>
      </c>
      <c r="R1221">
        <v>0.63096383612724305</v>
      </c>
      <c r="S1221" t="s">
        <v>3223</v>
      </c>
      <c r="T1221" t="s">
        <v>4002</v>
      </c>
      <c r="U1221" t="s">
        <v>4002</v>
      </c>
      <c r="V1221" t="s">
        <v>4002</v>
      </c>
      <c r="W1221" t="s">
        <v>5202</v>
      </c>
      <c r="X1221">
        <v>2</v>
      </c>
      <c r="Y1221" t="s">
        <v>7132</v>
      </c>
      <c r="Z1221" t="s">
        <v>9119</v>
      </c>
      <c r="AA1221">
        <v>0.82733249777856122</v>
      </c>
      <c r="AB1221" t="str">
        <f>HYPERLINK("Melting_Curves/meltCurve_P26639_TARS.pdf", "Melting_Curves/meltCurve_P26639_TARS.pdf")</f>
        <v>Melting_Curves/meltCurve_P26639_TARS.pdf</v>
      </c>
    </row>
    <row r="1222" spans="1:28" x14ac:dyDescent="0.25">
      <c r="A1222" t="s">
        <v>1226</v>
      </c>
      <c r="B1222">
        <v>1</v>
      </c>
      <c r="C1222">
        <v>1.00372614128919</v>
      </c>
      <c r="D1222">
        <v>1.1699323211071999</v>
      </c>
      <c r="E1222">
        <v>1.2332767230235</v>
      </c>
      <c r="F1222">
        <v>1.1764213834883801</v>
      </c>
      <c r="G1222">
        <v>1.2458999771868899</v>
      </c>
      <c r="H1222">
        <v>1.35606195026742</v>
      </c>
      <c r="I1222">
        <v>1.5664495196573001</v>
      </c>
      <c r="J1222">
        <v>2.91424805454868</v>
      </c>
      <c r="K1222">
        <v>1.36024435375529</v>
      </c>
      <c r="L1222">
        <v>1023.32051473584</v>
      </c>
      <c r="M1222">
        <v>19.368215369929398</v>
      </c>
      <c r="O1222">
        <v>52.281474191790501</v>
      </c>
      <c r="P1222">
        <v>4.6309260249562501E-2</v>
      </c>
      <c r="Q1222">
        <v>1.5</v>
      </c>
      <c r="R1222">
        <v>0.24031421734341599</v>
      </c>
      <c r="S1222" t="s">
        <v>3224</v>
      </c>
      <c r="T1222" t="s">
        <v>4002</v>
      </c>
      <c r="U1222" t="s">
        <v>4002</v>
      </c>
      <c r="V1222" t="s">
        <v>4002</v>
      </c>
      <c r="W1222" t="s">
        <v>5203</v>
      </c>
      <c r="X1222">
        <v>4</v>
      </c>
      <c r="Y1222" t="s">
        <v>7133</v>
      </c>
      <c r="Z1222" t="s">
        <v>9120</v>
      </c>
      <c r="AA1222">
        <v>1.2788087254299421</v>
      </c>
      <c r="AB1222" t="str">
        <f>HYPERLINK("Melting_Curves/meltCurve_P26641_EEF1G.pdf", "Melting_Curves/meltCurve_P26641_EEF1G.pdf")</f>
        <v>Melting_Curves/meltCurve_P26641_EEF1G.pdf</v>
      </c>
    </row>
    <row r="1223" spans="1:28" x14ac:dyDescent="0.25">
      <c r="A1223" t="s">
        <v>1227</v>
      </c>
      <c r="B1223">
        <v>1</v>
      </c>
      <c r="C1223">
        <v>1.0469269497482701</v>
      </c>
      <c r="D1223">
        <v>1.1362844748424701</v>
      </c>
      <c r="E1223">
        <v>1.16069788797062</v>
      </c>
      <c r="F1223">
        <v>1.1870745068237201</v>
      </c>
      <c r="G1223">
        <v>1.2671543016370601</v>
      </c>
      <c r="H1223">
        <v>1.1350812197207201</v>
      </c>
      <c r="I1223">
        <v>1.4104049903422899</v>
      </c>
      <c r="J1223">
        <v>1.33270004116399</v>
      </c>
      <c r="K1223">
        <v>1.2473955859535799</v>
      </c>
      <c r="L1223">
        <v>453.57299984619601</v>
      </c>
      <c r="M1223">
        <v>9.0432578591057808</v>
      </c>
      <c r="O1223">
        <v>47.885641984943398</v>
      </c>
      <c r="P1223">
        <v>1.53261055305051E-2</v>
      </c>
      <c r="Q1223">
        <v>1.3243863628026999</v>
      </c>
      <c r="R1223">
        <v>0.70500542611946404</v>
      </c>
      <c r="S1223" t="s">
        <v>3225</v>
      </c>
      <c r="T1223" t="s">
        <v>4002</v>
      </c>
      <c r="U1223" t="s">
        <v>4002</v>
      </c>
      <c r="V1223" t="s">
        <v>4002</v>
      </c>
      <c r="W1223" t="s">
        <v>5204</v>
      </c>
      <c r="X1223">
        <v>3</v>
      </c>
      <c r="Y1223" t="s">
        <v>7134</v>
      </c>
      <c r="Z1223" t="s">
        <v>9121</v>
      </c>
      <c r="AA1223">
        <v>1.1980845182933619</v>
      </c>
      <c r="AB1223" t="str">
        <f>HYPERLINK("Melting_Curves/meltCurve_P26885_FKBP2.pdf", "Melting_Curves/meltCurve_P26885_FKBP2.pdf")</f>
        <v>Melting_Curves/meltCurve_P26885_FKBP2.pdf</v>
      </c>
    </row>
    <row r="1224" spans="1:28" x14ac:dyDescent="0.25">
      <c r="A1224" t="s">
        <v>1228</v>
      </c>
      <c r="B1224">
        <v>1</v>
      </c>
      <c r="C1224">
        <v>0.885523678276121</v>
      </c>
      <c r="D1224">
        <v>1.00598220997244</v>
      </c>
      <c r="E1224">
        <v>0.96191430719117998</v>
      </c>
      <c r="F1224">
        <v>0.90794913555499901</v>
      </c>
      <c r="G1224">
        <v>0.95715359559007795</v>
      </c>
      <c r="H1224">
        <v>0.78204084189426204</v>
      </c>
      <c r="I1224">
        <v>1.00056376847908</v>
      </c>
      <c r="J1224">
        <v>0.806690052618391</v>
      </c>
      <c r="K1224">
        <v>0.868109496366825</v>
      </c>
      <c r="L1224">
        <v>176.645313230825</v>
      </c>
      <c r="M1224">
        <v>0.75612057786036002</v>
      </c>
      <c r="O1224">
        <v>65.857047610291104</v>
      </c>
      <c r="P1224">
        <v>-4.5210443987246402E-3</v>
      </c>
      <c r="Q1224">
        <v>0</v>
      </c>
      <c r="R1224">
        <v>0.26777682634488098</v>
      </c>
      <c r="S1224" t="s">
        <v>3226</v>
      </c>
      <c r="T1224" t="s">
        <v>4002</v>
      </c>
      <c r="U1224" t="s">
        <v>4002</v>
      </c>
      <c r="V1224" t="s">
        <v>4002</v>
      </c>
      <c r="W1224" t="s">
        <v>5205</v>
      </c>
      <c r="X1224">
        <v>3</v>
      </c>
      <c r="Y1224" t="s">
        <v>7135</v>
      </c>
      <c r="Z1224" t="s">
        <v>9122</v>
      </c>
      <c r="AA1224">
        <v>0.91886179682991243</v>
      </c>
      <c r="AB1224" t="str">
        <f>HYPERLINK("Melting_Curves/meltCurve_P27105_STOM.pdf", "Melting_Curves/meltCurve_P27105_STOM.pdf")</f>
        <v>Melting_Curves/meltCurve_P27105_STOM.pdf</v>
      </c>
    </row>
    <row r="1225" spans="1:28" x14ac:dyDescent="0.25">
      <c r="A1225" t="s">
        <v>1229</v>
      </c>
      <c r="B1225">
        <v>1</v>
      </c>
      <c r="C1225">
        <v>0.93976174421218295</v>
      </c>
      <c r="D1225">
        <v>1.23443470442796</v>
      </c>
      <c r="E1225">
        <v>1.54366774056592</v>
      </c>
      <c r="F1225">
        <v>1.6102494942683701</v>
      </c>
      <c r="G1225">
        <v>1.87065757598462</v>
      </c>
      <c r="H1225">
        <v>1.8315226892435299</v>
      </c>
      <c r="I1225">
        <v>2.0140855622986402</v>
      </c>
      <c r="J1225">
        <v>1.73751904298094</v>
      </c>
      <c r="K1225">
        <v>1.7046777053520099</v>
      </c>
      <c r="L1225">
        <v>11505.735448568401</v>
      </c>
      <c r="M1225">
        <v>250</v>
      </c>
      <c r="O1225">
        <v>46.019996426364997</v>
      </c>
      <c r="P1225">
        <v>0.67905263633570301</v>
      </c>
      <c r="Q1225">
        <v>1.5</v>
      </c>
      <c r="R1225">
        <v>0.491702405543751</v>
      </c>
      <c r="S1225" t="s">
        <v>3227</v>
      </c>
      <c r="T1225" t="s">
        <v>4002</v>
      </c>
      <c r="U1225" t="s">
        <v>4002</v>
      </c>
      <c r="V1225" t="s">
        <v>4002</v>
      </c>
      <c r="W1225" t="s">
        <v>5206</v>
      </c>
      <c r="X1225">
        <v>3</v>
      </c>
      <c r="Y1225" t="s">
        <v>7136</v>
      </c>
      <c r="Z1225" t="s">
        <v>9123</v>
      </c>
      <c r="AA1225">
        <v>1.3995772519888201</v>
      </c>
      <c r="AB1225" t="str">
        <f>HYPERLINK("Melting_Curves/meltCurve_P27169_PON1.pdf", "Melting_Curves/meltCurve_P27169_PON1.pdf")</f>
        <v>Melting_Curves/meltCurve_P27169_PON1.pdf</v>
      </c>
    </row>
    <row r="1226" spans="1:28" x14ac:dyDescent="0.25">
      <c r="A1226" t="s">
        <v>1230</v>
      </c>
      <c r="B1226">
        <v>1</v>
      </c>
      <c r="C1226">
        <v>0.92314606741573002</v>
      </c>
      <c r="D1226">
        <v>0.96226762002042898</v>
      </c>
      <c r="E1226">
        <v>0.98326864147088899</v>
      </c>
      <c r="F1226">
        <v>1.02565883554648</v>
      </c>
      <c r="G1226">
        <v>1.0828600612870301</v>
      </c>
      <c r="H1226">
        <v>0.91066394279877405</v>
      </c>
      <c r="I1226">
        <v>1.3745454545454501</v>
      </c>
      <c r="J1226">
        <v>1.5318896833503599</v>
      </c>
      <c r="K1226">
        <v>1.10508682328907</v>
      </c>
      <c r="L1226">
        <v>15000</v>
      </c>
      <c r="M1226">
        <v>239.71177289629799</v>
      </c>
      <c r="O1226">
        <v>62.570797245263897</v>
      </c>
      <c r="P1226">
        <v>0.32333082190618401</v>
      </c>
      <c r="Q1226">
        <v>1.3375898639788599</v>
      </c>
      <c r="R1226">
        <v>0.69043945828140596</v>
      </c>
      <c r="S1226" t="s">
        <v>3228</v>
      </c>
      <c r="T1226" t="s">
        <v>4002</v>
      </c>
      <c r="U1226" t="s">
        <v>4002</v>
      </c>
      <c r="V1226" t="s">
        <v>4002</v>
      </c>
      <c r="W1226" t="s">
        <v>5207</v>
      </c>
      <c r="X1226">
        <v>7</v>
      </c>
      <c r="Y1226" t="s">
        <v>7137</v>
      </c>
      <c r="Z1226" t="s">
        <v>9124</v>
      </c>
      <c r="AA1226">
        <v>1.0835114852367409</v>
      </c>
      <c r="AB1226" t="str">
        <f>HYPERLINK("Melting_Curves/meltCurve_P27348_YWHAQ.pdf", "Melting_Curves/meltCurve_P27348_YWHAQ.pdf")</f>
        <v>Melting_Curves/meltCurve_P27348_YWHAQ.pdf</v>
      </c>
    </row>
    <row r="1227" spans="1:28" x14ac:dyDescent="0.25">
      <c r="A1227" t="s">
        <v>1231</v>
      </c>
      <c r="B1227">
        <v>1</v>
      </c>
      <c r="C1227">
        <v>0.86438025516564598</v>
      </c>
      <c r="D1227">
        <v>0.93230948781199396</v>
      </c>
      <c r="E1227">
        <v>0.94806503806265097</v>
      </c>
      <c r="F1227">
        <v>0.97395294554521095</v>
      </c>
      <c r="G1227">
        <v>0.80801570250125998</v>
      </c>
      <c r="H1227">
        <v>0.82451393862231803</v>
      </c>
      <c r="I1227">
        <v>0.97331635765629598</v>
      </c>
      <c r="J1227">
        <v>0.94716320522002095</v>
      </c>
      <c r="K1227">
        <v>0.83371793851622</v>
      </c>
      <c r="L1227">
        <v>305.544885922893</v>
      </c>
      <c r="M1227">
        <v>7.1200504726636904</v>
      </c>
      <c r="Q1227">
        <v>0.88108223064598501</v>
      </c>
      <c r="R1227">
        <v>0.11961957054073501</v>
      </c>
      <c r="S1227" t="s">
        <v>3229</v>
      </c>
      <c r="T1227" t="s">
        <v>4002</v>
      </c>
      <c r="U1227" t="s">
        <v>4002</v>
      </c>
      <c r="V1227" t="s">
        <v>4002</v>
      </c>
      <c r="W1227" t="s">
        <v>5208</v>
      </c>
      <c r="X1227">
        <v>1</v>
      </c>
      <c r="Y1227" t="s">
        <v>7138</v>
      </c>
      <c r="Z1227" t="s">
        <v>9125</v>
      </c>
      <c r="AA1227">
        <v>0.90848016041209223</v>
      </c>
      <c r="AB1227" t="str">
        <f>HYPERLINK("Melting_Curves/meltCurve_P27469_G0S2.pdf", "Melting_Curves/meltCurve_P27469_G0S2.pdf")</f>
        <v>Melting_Curves/meltCurve_P27469_G0S2.pdf</v>
      </c>
    </row>
    <row r="1228" spans="1:28" x14ac:dyDescent="0.25">
      <c r="A1228" t="s">
        <v>1232</v>
      </c>
      <c r="B1228">
        <v>1</v>
      </c>
      <c r="C1228">
        <v>0.90011004224202196</v>
      </c>
      <c r="D1228">
        <v>0.98867629832096804</v>
      </c>
      <c r="E1228">
        <v>1.00046146746654</v>
      </c>
      <c r="F1228">
        <v>0.93752440452948105</v>
      </c>
      <c r="G1228">
        <v>0.89776720741187699</v>
      </c>
      <c r="H1228">
        <v>0.79556991232118102</v>
      </c>
      <c r="I1228">
        <v>0.81033687125057696</v>
      </c>
      <c r="J1228">
        <v>0.91228568385928799</v>
      </c>
      <c r="K1228">
        <v>0.69663838699371705</v>
      </c>
      <c r="L1228">
        <v>318.23731715465198</v>
      </c>
      <c r="M1228">
        <v>3.4050700498080899</v>
      </c>
      <c r="Q1228">
        <v>0</v>
      </c>
      <c r="R1228">
        <v>0.64234855975968796</v>
      </c>
      <c r="S1228" t="s">
        <v>3230</v>
      </c>
      <c r="T1228" t="s">
        <v>4002</v>
      </c>
      <c r="U1228" t="s">
        <v>4002</v>
      </c>
      <c r="V1228" t="s">
        <v>4002</v>
      </c>
      <c r="W1228" t="s">
        <v>5209</v>
      </c>
      <c r="X1228">
        <v>7</v>
      </c>
      <c r="Y1228" t="s">
        <v>7139</v>
      </c>
      <c r="Z1228" t="s">
        <v>9126</v>
      </c>
      <c r="AA1228">
        <v>0.9008315295041136</v>
      </c>
      <c r="AB1228" t="str">
        <f>HYPERLINK("Melting_Curves/meltCurve_P27482_CALML3.pdf", "Melting_Curves/meltCurve_P27482_CALML3.pdf")</f>
        <v>Melting_Curves/meltCurve_P27482_CALML3.pdf</v>
      </c>
    </row>
    <row r="1229" spans="1:28" x14ac:dyDescent="0.25">
      <c r="A1229" t="s">
        <v>1233</v>
      </c>
      <c r="B1229">
        <v>1</v>
      </c>
      <c r="C1229">
        <v>0.91439698367812705</v>
      </c>
      <c r="D1229">
        <v>0.841593491094905</v>
      </c>
      <c r="E1229">
        <v>0.72830778389641304</v>
      </c>
      <c r="F1229">
        <v>0.96668651088951696</v>
      </c>
      <c r="G1229">
        <v>1.2955796993600199</v>
      </c>
      <c r="H1229">
        <v>1.7218088009128301</v>
      </c>
      <c r="I1229">
        <v>2.3478444212928502</v>
      </c>
      <c r="J1229">
        <v>2.1791189165054301</v>
      </c>
      <c r="K1229">
        <v>1.95956739594186</v>
      </c>
      <c r="L1229">
        <v>14228.980639636</v>
      </c>
      <c r="M1229">
        <v>250</v>
      </c>
      <c r="O1229">
        <v>56.912281076635999</v>
      </c>
      <c r="P1229">
        <v>0.54909063320736395</v>
      </c>
      <c r="Q1229">
        <v>1.5</v>
      </c>
      <c r="R1229">
        <v>0.52802204101991301</v>
      </c>
      <c r="S1229" t="s">
        <v>3231</v>
      </c>
      <c r="T1229" t="s">
        <v>4002</v>
      </c>
      <c r="U1229" t="s">
        <v>4002</v>
      </c>
      <c r="V1229" t="s">
        <v>4002</v>
      </c>
      <c r="W1229" t="s">
        <v>5210</v>
      </c>
      <c r="X1229">
        <v>2</v>
      </c>
      <c r="Y1229" t="s">
        <v>7140</v>
      </c>
      <c r="Z1229" t="s">
        <v>9127</v>
      </c>
      <c r="AA1229">
        <v>1.2180180140784591</v>
      </c>
      <c r="AB1229" t="str">
        <f>HYPERLINK("Melting_Curves/meltCurve_P27487_DPP4.pdf", "Melting_Curves/meltCurve_P27487_DPP4.pdf")</f>
        <v>Melting_Curves/meltCurve_P27487_DPP4.pdf</v>
      </c>
    </row>
    <row r="1230" spans="1:28" x14ac:dyDescent="0.25">
      <c r="A1230" t="s">
        <v>1234</v>
      </c>
      <c r="B1230">
        <v>1</v>
      </c>
      <c r="C1230">
        <v>0.93543324739378997</v>
      </c>
      <c r="D1230">
        <v>1.08121909601564</v>
      </c>
      <c r="E1230">
        <v>1.1894780106864</v>
      </c>
      <c r="F1230">
        <v>1.17855497017026</v>
      </c>
      <c r="G1230">
        <v>1.28361294822454</v>
      </c>
      <c r="H1230">
        <v>1.20220702711455</v>
      </c>
      <c r="I1230">
        <v>2.9377623335699798</v>
      </c>
      <c r="J1230">
        <v>3.4255003798776902</v>
      </c>
      <c r="K1230">
        <v>2.92804742866395</v>
      </c>
      <c r="L1230">
        <v>1679.7256604337001</v>
      </c>
      <c r="M1230">
        <v>31.1742022026651</v>
      </c>
      <c r="O1230">
        <v>53.661648966372503</v>
      </c>
      <c r="P1230">
        <v>7.2617916497731402E-2</v>
      </c>
      <c r="Q1230">
        <v>1.5</v>
      </c>
      <c r="R1230">
        <v>5.4955111365553401E-2</v>
      </c>
      <c r="S1230" t="s">
        <v>3232</v>
      </c>
      <c r="T1230" t="s">
        <v>4002</v>
      </c>
      <c r="U1230" t="s">
        <v>4002</v>
      </c>
      <c r="V1230" t="s">
        <v>4002</v>
      </c>
      <c r="W1230" t="s">
        <v>5211</v>
      </c>
      <c r="X1230">
        <v>8</v>
      </c>
      <c r="Y1230" t="s">
        <v>7141</v>
      </c>
      <c r="Z1230" t="s">
        <v>9128</v>
      </c>
      <c r="AA1230">
        <v>1.2655903794906991</v>
      </c>
      <c r="AB1230" t="str">
        <f>HYPERLINK("Melting_Curves/meltCurve_P27797_CALR.pdf", "Melting_Curves/meltCurve_P27797_CALR.pdf")</f>
        <v>Melting_Curves/meltCurve_P27797_CALR.pdf</v>
      </c>
    </row>
    <row r="1231" spans="1:28" x14ac:dyDescent="0.25">
      <c r="A1231" t="s">
        <v>1235</v>
      </c>
      <c r="B1231">
        <v>1</v>
      </c>
      <c r="C1231">
        <v>0.96962402204554798</v>
      </c>
      <c r="D1231">
        <v>1.0536568369706401</v>
      </c>
      <c r="E1231">
        <v>1.1752557727027999</v>
      </c>
      <c r="F1231">
        <v>1.0769693706249399</v>
      </c>
      <c r="G1231">
        <v>1.1236577872097799</v>
      </c>
      <c r="H1231">
        <v>0.95556048272148497</v>
      </c>
      <c r="I1231">
        <v>1.32919451395268</v>
      </c>
      <c r="J1231">
        <v>1.16575338126762</v>
      </c>
      <c r="K1231">
        <v>1.0598967406797399</v>
      </c>
      <c r="L1231">
        <v>11514.1332289356</v>
      </c>
      <c r="M1231">
        <v>250</v>
      </c>
      <c r="O1231">
        <v>46.053585506928499</v>
      </c>
      <c r="P1231">
        <v>0.17182779723063199</v>
      </c>
      <c r="Q1231">
        <v>1.12661257855171</v>
      </c>
      <c r="R1231">
        <v>0.28287595705437002</v>
      </c>
      <c r="S1231" t="s">
        <v>3233</v>
      </c>
      <c r="T1231" t="s">
        <v>4002</v>
      </c>
      <c r="U1231" t="s">
        <v>4002</v>
      </c>
      <c r="V1231" t="s">
        <v>4002</v>
      </c>
      <c r="W1231" t="s">
        <v>5212</v>
      </c>
      <c r="X1231">
        <v>5</v>
      </c>
      <c r="Y1231" t="s">
        <v>7142</v>
      </c>
      <c r="Z1231" t="s">
        <v>9129</v>
      </c>
      <c r="AA1231">
        <v>1.101041236328917</v>
      </c>
      <c r="AB1231" t="str">
        <f>HYPERLINK("Melting_Curves/meltCurve_P27824_CANX.pdf", "Melting_Curves/meltCurve_P27824_CANX.pdf")</f>
        <v>Melting_Curves/meltCurve_P27824_CANX.pdf</v>
      </c>
    </row>
    <row r="1232" spans="1:28" x14ac:dyDescent="0.25">
      <c r="A1232" t="s">
        <v>1236</v>
      </c>
      <c r="B1232">
        <v>1</v>
      </c>
      <c r="C1232">
        <v>1.0179391581563699</v>
      </c>
      <c r="D1232">
        <v>0.99783865564381002</v>
      </c>
      <c r="E1232">
        <v>1.13124763602961</v>
      </c>
      <c r="F1232">
        <v>1.04041713946074</v>
      </c>
      <c r="G1232">
        <v>0.93570000540336096</v>
      </c>
      <c r="H1232">
        <v>0.673150699735235</v>
      </c>
      <c r="I1232">
        <v>1.0501431890635999</v>
      </c>
      <c r="J1232">
        <v>0.88069379153833705</v>
      </c>
      <c r="K1232">
        <v>0.82795698924731198</v>
      </c>
      <c r="L1232">
        <v>14260.799899310199</v>
      </c>
      <c r="M1232">
        <v>250</v>
      </c>
      <c r="O1232">
        <v>57.039538648627399</v>
      </c>
      <c r="P1232">
        <v>-0.15560894450359899</v>
      </c>
      <c r="Q1232">
        <v>0.85798617532768195</v>
      </c>
      <c r="R1232">
        <v>0.41486978690202098</v>
      </c>
      <c r="S1232" t="s">
        <v>3234</v>
      </c>
      <c r="T1232" t="s">
        <v>4002</v>
      </c>
      <c r="U1232" t="s">
        <v>4002</v>
      </c>
      <c r="V1232" t="s">
        <v>4002</v>
      </c>
      <c r="W1232" t="s">
        <v>5213</v>
      </c>
      <c r="X1232">
        <v>3</v>
      </c>
      <c r="Y1232" t="s">
        <v>7143</v>
      </c>
      <c r="Z1232" t="s">
        <v>9130</v>
      </c>
      <c r="AA1232">
        <v>0.93867939096997044</v>
      </c>
      <c r="AB1232" t="str">
        <f>HYPERLINK("Melting_Curves/meltCurve_P27918_CFP.pdf", "Melting_Curves/meltCurve_P27918_CFP.pdf")</f>
        <v>Melting_Curves/meltCurve_P27918_CFP.pdf</v>
      </c>
    </row>
    <row r="1233" spans="1:28" x14ac:dyDescent="0.25">
      <c r="A1233" t="s">
        <v>1237</v>
      </c>
      <c r="B1233">
        <v>1</v>
      </c>
      <c r="C1233">
        <v>0.95079614886132202</v>
      </c>
      <c r="D1233">
        <v>0.95639696352527304</v>
      </c>
      <c r="E1233">
        <v>0.90946121088687304</v>
      </c>
      <c r="F1233">
        <v>0.691353453064247</v>
      </c>
      <c r="G1233">
        <v>0.61493241992223702</v>
      </c>
      <c r="H1233">
        <v>0.48560451768191099</v>
      </c>
      <c r="I1233">
        <v>0.56151638585447095</v>
      </c>
      <c r="J1233">
        <v>1.0087483799296399</v>
      </c>
      <c r="K1233">
        <v>0.50032401407146798</v>
      </c>
      <c r="L1233">
        <v>2484.1833769364598</v>
      </c>
      <c r="M1233">
        <v>48.586176824882102</v>
      </c>
      <c r="O1233">
        <v>51.0430162154532</v>
      </c>
      <c r="P1233">
        <v>-8.7092561198218205E-2</v>
      </c>
      <c r="Q1233">
        <v>0.634014070496973</v>
      </c>
      <c r="R1233">
        <v>0.55129353751974097</v>
      </c>
      <c r="S1233" t="s">
        <v>3235</v>
      </c>
      <c r="T1233" t="s">
        <v>4002</v>
      </c>
      <c r="U1233" t="s">
        <v>4002</v>
      </c>
      <c r="V1233" t="s">
        <v>4002</v>
      </c>
      <c r="W1233" t="s">
        <v>5214</v>
      </c>
      <c r="X1233">
        <v>3</v>
      </c>
      <c r="Y1233" t="s">
        <v>7144</v>
      </c>
      <c r="Z1233" t="s">
        <v>9131</v>
      </c>
      <c r="AA1233">
        <v>0.7706622688963205</v>
      </c>
      <c r="AB1233" t="str">
        <f>HYPERLINK("Melting_Curves/meltCurve_P28066_PSMA5.pdf", "Melting_Curves/meltCurve_P28066_PSMA5.pdf")</f>
        <v>Melting_Curves/meltCurve_P28066_PSMA5.pdf</v>
      </c>
    </row>
    <row r="1234" spans="1:28" x14ac:dyDescent="0.25">
      <c r="A1234" t="s">
        <v>1238</v>
      </c>
      <c r="B1234">
        <v>1</v>
      </c>
      <c r="C1234">
        <v>0.96044734648513497</v>
      </c>
      <c r="D1234">
        <v>1.1060294526257299</v>
      </c>
      <c r="E1234">
        <v>0.98909419283134203</v>
      </c>
      <c r="F1234">
        <v>0.82979994442900795</v>
      </c>
      <c r="G1234">
        <v>0.922325646012781</v>
      </c>
      <c r="H1234">
        <v>0.73280077799388699</v>
      </c>
      <c r="I1234">
        <v>0.75133370380661302</v>
      </c>
      <c r="J1234">
        <v>2.08641289247013</v>
      </c>
      <c r="K1234">
        <v>0.71762989719366499</v>
      </c>
      <c r="L1234">
        <v>2684.3003785018</v>
      </c>
      <c r="M1234">
        <v>41.552895860392603</v>
      </c>
      <c r="O1234">
        <v>64.450521124731694</v>
      </c>
      <c r="P1234">
        <v>4.5121541215053101E-2</v>
      </c>
      <c r="Q1234">
        <v>1.27994213695856</v>
      </c>
      <c r="R1234">
        <v>9.5342968122321195E-2</v>
      </c>
      <c r="S1234" t="s">
        <v>3236</v>
      </c>
      <c r="T1234" t="s">
        <v>4002</v>
      </c>
      <c r="U1234" t="s">
        <v>4002</v>
      </c>
      <c r="V1234" t="s">
        <v>4002</v>
      </c>
      <c r="W1234" t="s">
        <v>5215</v>
      </c>
      <c r="X1234">
        <v>2</v>
      </c>
      <c r="Y1234" t="s">
        <v>7145</v>
      </c>
      <c r="Z1234" t="s">
        <v>9132</v>
      </c>
      <c r="AA1234">
        <v>1.0499509354139569</v>
      </c>
      <c r="AB1234" t="str">
        <f>HYPERLINK("Melting_Curves/meltCurve_P28070_PSMB4.pdf", "Melting_Curves/meltCurve_P28070_PSMB4.pdf")</f>
        <v>Melting_Curves/meltCurve_P28070_PSMB4.pdf</v>
      </c>
    </row>
    <row r="1235" spans="1:28" x14ac:dyDescent="0.25">
      <c r="A1235" t="s">
        <v>1239</v>
      </c>
      <c r="B1235">
        <v>1</v>
      </c>
      <c r="C1235">
        <v>0.97880547577618904</v>
      </c>
      <c r="D1235">
        <v>1.05679126223769</v>
      </c>
      <c r="E1235">
        <v>0.87954130940651098</v>
      </c>
      <c r="F1235">
        <v>0.56699020984884996</v>
      </c>
      <c r="G1235">
        <v>0.52126789794763195</v>
      </c>
      <c r="H1235">
        <v>0.376218527913461</v>
      </c>
      <c r="I1235">
        <v>0.34370348630007802</v>
      </c>
      <c r="J1235">
        <v>0.92660531225760501</v>
      </c>
      <c r="K1235">
        <v>0.30496216012242899</v>
      </c>
      <c r="L1235">
        <v>2634.4494842960999</v>
      </c>
      <c r="M1235">
        <v>51.502545558346398</v>
      </c>
      <c r="N1235">
        <v>55.973885768640102</v>
      </c>
      <c r="O1235">
        <v>51.0748868481177</v>
      </c>
      <c r="P1235">
        <v>-0.12753826230246401</v>
      </c>
      <c r="Q1235">
        <v>0.494083462778732</v>
      </c>
      <c r="R1235">
        <v>0.67661302628103304</v>
      </c>
      <c r="S1235" t="s">
        <v>3237</v>
      </c>
      <c r="T1235" t="s">
        <v>4002</v>
      </c>
      <c r="U1235" t="s">
        <v>4002</v>
      </c>
      <c r="V1235" t="s">
        <v>4002</v>
      </c>
      <c r="W1235" t="s">
        <v>5216</v>
      </c>
      <c r="X1235">
        <v>3</v>
      </c>
      <c r="Y1235" t="s">
        <v>7146</v>
      </c>
      <c r="Z1235" t="s">
        <v>9133</v>
      </c>
      <c r="AA1235">
        <v>0.68322215279511056</v>
      </c>
      <c r="AB1235" t="str">
        <f>HYPERLINK("Melting_Curves/meltCurve_P28072_PSMB6.pdf", "Melting_Curves/meltCurve_P28072_PSMB6.pdf")</f>
        <v>Melting_Curves/meltCurve_P28072_PSMB6.pdf</v>
      </c>
    </row>
    <row r="1236" spans="1:28" x14ac:dyDescent="0.25">
      <c r="A1236" t="s">
        <v>1240</v>
      </c>
      <c r="B1236">
        <v>1</v>
      </c>
      <c r="C1236">
        <v>0.91754164147105699</v>
      </c>
      <c r="D1236">
        <v>1.08218349733385</v>
      </c>
      <c r="E1236">
        <v>1.18463342678614</v>
      </c>
      <c r="F1236">
        <v>1.1329228739486601</v>
      </c>
      <c r="G1236">
        <v>1.1387682553643701</v>
      </c>
      <c r="H1236">
        <v>1.1678668938852499</v>
      </c>
      <c r="I1236">
        <v>1.27898411302292</v>
      </c>
      <c r="J1236">
        <v>1.14241474721932</v>
      </c>
      <c r="K1236">
        <v>1.1058215601121399</v>
      </c>
      <c r="L1236">
        <v>11500.067355528199</v>
      </c>
      <c r="M1236">
        <v>250</v>
      </c>
      <c r="O1236">
        <v>45.997325714690199</v>
      </c>
      <c r="P1236">
        <v>0.22350132310430501</v>
      </c>
      <c r="Q1236">
        <v>1.16448741029425</v>
      </c>
      <c r="R1236">
        <v>0.71062653339887005</v>
      </c>
      <c r="S1236" t="s">
        <v>3238</v>
      </c>
      <c r="T1236" t="s">
        <v>4002</v>
      </c>
      <c r="U1236" t="s">
        <v>4002</v>
      </c>
      <c r="V1236" t="s">
        <v>4002</v>
      </c>
      <c r="W1236" t="s">
        <v>5217</v>
      </c>
      <c r="X1236">
        <v>7</v>
      </c>
      <c r="Y1236" t="s">
        <v>7147</v>
      </c>
      <c r="Z1236" t="s">
        <v>9134</v>
      </c>
      <c r="AA1236">
        <v>1.1315751719885649</v>
      </c>
      <c r="AB1236" t="str">
        <f>HYPERLINK("Melting_Curves/meltCurve_P28325_CST5.pdf", "Melting_Curves/meltCurve_P28325_CST5.pdf")</f>
        <v>Melting_Curves/meltCurve_P28325_CST5.pdf</v>
      </c>
    </row>
    <row r="1237" spans="1:28" x14ac:dyDescent="0.25">
      <c r="A1237" t="s">
        <v>1241</v>
      </c>
      <c r="B1237">
        <v>1</v>
      </c>
      <c r="C1237">
        <v>0.88659435673756104</v>
      </c>
      <c r="D1237">
        <v>0.93534565947427295</v>
      </c>
      <c r="E1237">
        <v>0.97552784961593397</v>
      </c>
      <c r="F1237">
        <v>0.89126490909792699</v>
      </c>
      <c r="G1237">
        <v>0.93646504805650999</v>
      </c>
      <c r="H1237">
        <v>0.73285212490832596</v>
      </c>
      <c r="I1237">
        <v>0.91461767089975698</v>
      </c>
      <c r="J1237">
        <v>0.68467981626587404</v>
      </c>
      <c r="K1237">
        <v>0.75037634616126903</v>
      </c>
      <c r="L1237">
        <v>269.29961164553998</v>
      </c>
      <c r="M1237">
        <v>2.82887169230382</v>
      </c>
      <c r="O1237">
        <v>68.248611947555105</v>
      </c>
      <c r="P1237">
        <v>-1.0740665090691499E-2</v>
      </c>
      <c r="Q1237">
        <v>0</v>
      </c>
      <c r="R1237">
        <v>0.58524853111901098</v>
      </c>
      <c r="S1237" t="s">
        <v>3239</v>
      </c>
      <c r="T1237" t="s">
        <v>4002</v>
      </c>
      <c r="U1237" t="s">
        <v>4002</v>
      </c>
      <c r="V1237" t="s">
        <v>4002</v>
      </c>
      <c r="W1237" t="s">
        <v>5218</v>
      </c>
      <c r="X1237">
        <v>17</v>
      </c>
      <c r="Y1237" t="s">
        <v>7148</v>
      </c>
      <c r="Z1237" t="s">
        <v>9135</v>
      </c>
      <c r="AA1237">
        <v>0.87730049364405249</v>
      </c>
      <c r="AB1237" t="str">
        <f>HYPERLINK("Melting_Curves/meltCurve_P28799_GRN.pdf", "Melting_Curves/meltCurve_P28799_GRN.pdf")</f>
        <v>Melting_Curves/meltCurve_P28799_GRN.pdf</v>
      </c>
    </row>
    <row r="1238" spans="1:28" x14ac:dyDescent="0.25">
      <c r="A1238" t="s">
        <v>1242</v>
      </c>
      <c r="B1238">
        <v>1</v>
      </c>
      <c r="C1238">
        <v>0.84438309289574998</v>
      </c>
      <c r="D1238">
        <v>0.96496480927013295</v>
      </c>
      <c r="E1238">
        <v>1.0539720807248101</v>
      </c>
      <c r="F1238">
        <v>0.96827001594276196</v>
      </c>
      <c r="G1238">
        <v>1.1563168332231599</v>
      </c>
      <c r="H1238">
        <v>0.75374266049694705</v>
      </c>
      <c r="I1238">
        <v>1.32624334098067</v>
      </c>
      <c r="J1238">
        <v>1.1267643970914201</v>
      </c>
      <c r="K1238">
        <v>0.88186802504180095</v>
      </c>
      <c r="L1238">
        <v>3639.5835490816498</v>
      </c>
      <c r="M1238">
        <v>66.891562270521405</v>
      </c>
      <c r="O1238">
        <v>54.361636415110397</v>
      </c>
      <c r="P1238">
        <v>1.4571239758625801E-2</v>
      </c>
      <c r="Q1238">
        <v>1.0473671831098701</v>
      </c>
      <c r="R1238">
        <v>4.18516857377524E-2</v>
      </c>
      <c r="S1238" t="s">
        <v>3240</v>
      </c>
      <c r="T1238" t="s">
        <v>4002</v>
      </c>
      <c r="U1238" t="s">
        <v>4002</v>
      </c>
      <c r="V1238" t="s">
        <v>4002</v>
      </c>
      <c r="W1238" t="s">
        <v>5219</v>
      </c>
      <c r="X1238">
        <v>2</v>
      </c>
      <c r="Y1238" t="s">
        <v>7149</v>
      </c>
      <c r="Z1238" t="s">
        <v>9136</v>
      </c>
      <c r="AA1238">
        <v>1.024551463959998</v>
      </c>
      <c r="AB1238" t="str">
        <f>HYPERLINK("Melting_Curves/meltCurve_P28838_2_LAP3.pdf", "Melting_Curves/meltCurve_P28838_2_LAP3.pdf")</f>
        <v>Melting_Curves/meltCurve_P28838_2_LAP3.pdf</v>
      </c>
    </row>
    <row r="1239" spans="1:28" x14ac:dyDescent="0.25">
      <c r="A1239" t="s">
        <v>1243</v>
      </c>
      <c r="B1239">
        <v>1</v>
      </c>
      <c r="C1239">
        <v>1.0040828307626599</v>
      </c>
      <c r="D1239">
        <v>1.0616694241340701</v>
      </c>
      <c r="E1239">
        <v>0.97195388802903304</v>
      </c>
      <c r="F1239">
        <v>1.1103431712654099</v>
      </c>
      <c r="G1239">
        <v>1.1233922186048999</v>
      </c>
      <c r="H1239">
        <v>0.82136948284143696</v>
      </c>
      <c r="I1239">
        <v>0.91706249666435402</v>
      </c>
      <c r="J1239">
        <v>1.0336233121631</v>
      </c>
      <c r="K1239">
        <v>0.85776805251641097</v>
      </c>
      <c r="L1239">
        <v>831.06830585173304</v>
      </c>
      <c r="M1239">
        <v>9.7997506451014296</v>
      </c>
      <c r="Q1239">
        <v>0</v>
      </c>
      <c r="R1239">
        <v>0.20205381719012599</v>
      </c>
      <c r="S1239" t="s">
        <v>3241</v>
      </c>
      <c r="T1239" t="s">
        <v>4002</v>
      </c>
      <c r="U1239" t="s">
        <v>4002</v>
      </c>
      <c r="V1239" t="s">
        <v>4002</v>
      </c>
      <c r="W1239" t="s">
        <v>5220</v>
      </c>
      <c r="X1239">
        <v>1</v>
      </c>
      <c r="Y1239" t="s">
        <v>7150</v>
      </c>
      <c r="Z1239" t="s">
        <v>9137</v>
      </c>
      <c r="AA1239">
        <v>0.97996092570123394</v>
      </c>
      <c r="AB1239" t="str">
        <f>HYPERLINK("Melting_Curves/meltCurve_P28908_2_TNFRSF8.pdf", "Melting_Curves/meltCurve_P28908_2_TNFRSF8.pdf")</f>
        <v>Melting_Curves/meltCurve_P28908_2_TNFRSF8.pdf</v>
      </c>
    </row>
    <row r="1240" spans="1:28" x14ac:dyDescent="0.25">
      <c r="A1240" t="s">
        <v>1244</v>
      </c>
      <c r="B1240">
        <v>1</v>
      </c>
      <c r="C1240">
        <v>0.93251605920139302</v>
      </c>
      <c r="D1240">
        <v>1.1558977858302499</v>
      </c>
      <c r="E1240">
        <v>1.17591002141227</v>
      </c>
      <c r="F1240">
        <v>0.91370385185533798</v>
      </c>
      <c r="G1240">
        <v>0.99262335584366701</v>
      </c>
      <c r="H1240">
        <v>0.67199228217134499</v>
      </c>
      <c r="I1240">
        <v>0.91691569213393298</v>
      </c>
      <c r="J1240">
        <v>0.58276665333302002</v>
      </c>
      <c r="K1240">
        <v>0.428821854631874</v>
      </c>
      <c r="L1240">
        <v>952.88525933055803</v>
      </c>
      <c r="M1240">
        <v>13.7989544673653</v>
      </c>
      <c r="N1240">
        <v>69.054888321100904</v>
      </c>
      <c r="O1240">
        <v>67.653066271815604</v>
      </c>
      <c r="P1240">
        <v>-5.09987475948099E-2</v>
      </c>
      <c r="Q1240">
        <v>0</v>
      </c>
      <c r="R1240">
        <v>0.74757042075601599</v>
      </c>
      <c r="S1240" t="s">
        <v>3242</v>
      </c>
      <c r="T1240" t="s">
        <v>4002</v>
      </c>
      <c r="U1240" t="s">
        <v>4002</v>
      </c>
      <c r="V1240" t="s">
        <v>4002</v>
      </c>
      <c r="W1240" t="s">
        <v>5221</v>
      </c>
      <c r="X1240">
        <v>3</v>
      </c>
      <c r="Y1240" t="s">
        <v>7151</v>
      </c>
      <c r="Z1240" t="s">
        <v>9138</v>
      </c>
      <c r="AA1240">
        <v>0.88410088661455744</v>
      </c>
      <c r="AB1240" t="str">
        <f>HYPERLINK("Melting_Curves/meltCurve_P29034_S100A2.pdf", "Melting_Curves/meltCurve_P29034_S100A2.pdf")</f>
        <v>Melting_Curves/meltCurve_P29034_S100A2.pdf</v>
      </c>
    </row>
    <row r="1241" spans="1:28" x14ac:dyDescent="0.25">
      <c r="A1241" t="s">
        <v>1245</v>
      </c>
      <c r="B1241">
        <v>1</v>
      </c>
      <c r="C1241">
        <v>0.98644062816764799</v>
      </c>
      <c r="D1241">
        <v>1.0863510158511001</v>
      </c>
      <c r="E1241">
        <v>1.2128659781698501</v>
      </c>
      <c r="F1241">
        <v>1.1604207371714801</v>
      </c>
      <c r="G1241">
        <v>1.25798063786341</v>
      </c>
      <c r="H1241">
        <v>1.0741431740388701</v>
      </c>
      <c r="I1241">
        <v>1.5073966887514501</v>
      </c>
      <c r="J1241">
        <v>1.2022006434458099</v>
      </c>
      <c r="K1241">
        <v>1.2684109238882899</v>
      </c>
      <c r="L1241">
        <v>714.54415242505797</v>
      </c>
      <c r="M1241">
        <v>14.6072353153411</v>
      </c>
      <c r="O1241">
        <v>48.027771800343402</v>
      </c>
      <c r="P1241">
        <v>2.0801062433816901E-2</v>
      </c>
      <c r="Q1241">
        <v>1.2735402113891501</v>
      </c>
      <c r="R1241">
        <v>0.50695881605736604</v>
      </c>
      <c r="S1241" t="s">
        <v>3243</v>
      </c>
      <c r="T1241" t="s">
        <v>4002</v>
      </c>
      <c r="U1241" t="s">
        <v>4002</v>
      </c>
      <c r="V1241" t="s">
        <v>4002</v>
      </c>
      <c r="W1241" t="s">
        <v>5222</v>
      </c>
      <c r="X1241">
        <v>6</v>
      </c>
      <c r="Y1241" t="s">
        <v>7152</v>
      </c>
      <c r="Z1241" t="s">
        <v>9139</v>
      </c>
      <c r="AA1241">
        <v>1.185115304422909</v>
      </c>
      <c r="AB1241" t="str">
        <f>HYPERLINK("Melting_Curves/meltCurve_P29218_IMPA1.pdf", "Melting_Curves/meltCurve_P29218_IMPA1.pdf")</f>
        <v>Melting_Curves/meltCurve_P29218_IMPA1.pdf</v>
      </c>
    </row>
    <row r="1242" spans="1:28" x14ac:dyDescent="0.25">
      <c r="A1242" t="s">
        <v>1246</v>
      </c>
      <c r="B1242">
        <v>1</v>
      </c>
      <c r="C1242">
        <v>0.94420632037776997</v>
      </c>
      <c r="D1242">
        <v>0.90728659644024701</v>
      </c>
      <c r="E1242">
        <v>1.0468289139121001</v>
      </c>
      <c r="F1242">
        <v>0.922513621503814</v>
      </c>
      <c r="G1242">
        <v>0.95049763893933903</v>
      </c>
      <c r="H1242">
        <v>0.99646930621140595</v>
      </c>
      <c r="I1242">
        <v>0.91751543770432298</v>
      </c>
      <c r="J1242">
        <v>0.90849255357791503</v>
      </c>
      <c r="K1242">
        <v>0.87439157282963997</v>
      </c>
      <c r="L1242">
        <v>203.68678508951101</v>
      </c>
      <c r="M1242">
        <v>0.69633738428132397</v>
      </c>
      <c r="Q1242">
        <v>0</v>
      </c>
      <c r="R1242">
        <v>0.245612425981315</v>
      </c>
      <c r="S1242" t="s">
        <v>3244</v>
      </c>
      <c r="T1242" t="s">
        <v>4002</v>
      </c>
      <c r="U1242" t="s">
        <v>4002</v>
      </c>
      <c r="V1242" t="s">
        <v>4002</v>
      </c>
      <c r="W1242" t="s">
        <v>5223</v>
      </c>
      <c r="X1242">
        <v>2</v>
      </c>
      <c r="Y1242" t="s">
        <v>7153</v>
      </c>
      <c r="Z1242" t="s">
        <v>9140</v>
      </c>
      <c r="AA1242">
        <v>0.95012270847042024</v>
      </c>
      <c r="AB1242" t="str">
        <f>HYPERLINK("Melting_Curves/meltCurve_P29279_2_CTGF.pdf", "Melting_Curves/meltCurve_P29279_2_CTGF.pdf")</f>
        <v>Melting_Curves/meltCurve_P29279_2_CTGF.pdf</v>
      </c>
    </row>
    <row r="1243" spans="1:28" x14ac:dyDescent="0.25">
      <c r="A1243" t="s">
        <v>1247</v>
      </c>
      <c r="B1243">
        <v>1</v>
      </c>
      <c r="C1243">
        <v>0.96199685696915505</v>
      </c>
      <c r="D1243">
        <v>0.82026222512818803</v>
      </c>
      <c r="E1243">
        <v>1.1396698670520899</v>
      </c>
      <c r="F1243">
        <v>1.4032370923523401</v>
      </c>
      <c r="G1243">
        <v>1.3344115993897501</v>
      </c>
      <c r="H1243">
        <v>0.75833075237734704</v>
      </c>
      <c r="I1243">
        <v>1.35333860995446</v>
      </c>
      <c r="J1243">
        <v>1.0168278330293501</v>
      </c>
      <c r="K1243">
        <v>0.96744554182869302</v>
      </c>
      <c r="L1243">
        <v>12114.705758890999</v>
      </c>
      <c r="M1243">
        <v>250</v>
      </c>
      <c r="O1243">
        <v>48.455721999977897</v>
      </c>
      <c r="P1243">
        <v>0.179346958620448</v>
      </c>
      <c r="Q1243">
        <v>1.1390461817102799</v>
      </c>
      <c r="R1243">
        <v>0.17187584417337101</v>
      </c>
      <c r="S1243" t="s">
        <v>3245</v>
      </c>
      <c r="T1243" t="s">
        <v>4002</v>
      </c>
      <c r="U1243" t="s">
        <v>4002</v>
      </c>
      <c r="V1243" t="s">
        <v>4002</v>
      </c>
      <c r="W1243" t="s">
        <v>5224</v>
      </c>
      <c r="X1243">
        <v>1</v>
      </c>
      <c r="Y1243" t="s">
        <v>7154</v>
      </c>
      <c r="Z1243" t="s">
        <v>9141</v>
      </c>
      <c r="AA1243">
        <v>1.0998287884380891</v>
      </c>
      <c r="AB1243" t="str">
        <f>HYPERLINK("Melting_Curves/meltCurve_P29317_EPHA2.pdf", "Melting_Curves/meltCurve_P29317_EPHA2.pdf")</f>
        <v>Melting_Curves/meltCurve_P29317_EPHA2.pdf</v>
      </c>
    </row>
    <row r="1244" spans="1:28" x14ac:dyDescent="0.25">
      <c r="A1244" t="s">
        <v>1248</v>
      </c>
      <c r="B1244">
        <v>1</v>
      </c>
      <c r="C1244">
        <v>0.94737906721377796</v>
      </c>
      <c r="D1244">
        <v>1.02602149916199</v>
      </c>
      <c r="E1244">
        <v>0.95898110154308502</v>
      </c>
      <c r="F1244">
        <v>0.90120210368144205</v>
      </c>
      <c r="G1244">
        <v>0.87123620181471395</v>
      </c>
      <c r="H1244">
        <v>0.68719297231693899</v>
      </c>
      <c r="I1244">
        <v>0.992544645437207</v>
      </c>
      <c r="J1244">
        <v>0.71932612841703703</v>
      </c>
      <c r="K1244">
        <v>0.83280356007628698</v>
      </c>
      <c r="L1244">
        <v>1351.9245700454001</v>
      </c>
      <c r="M1244">
        <v>25.542027187838901</v>
      </c>
      <c r="O1244">
        <v>52.608171740604902</v>
      </c>
      <c r="P1244">
        <v>-2.27470492181528E-2</v>
      </c>
      <c r="Q1244">
        <v>0.81259657501340798</v>
      </c>
      <c r="R1244">
        <v>0.48889454277489902</v>
      </c>
      <c r="S1244" t="s">
        <v>3246</v>
      </c>
      <c r="T1244" t="s">
        <v>4002</v>
      </c>
      <c r="U1244" t="s">
        <v>4002</v>
      </c>
      <c r="V1244" t="s">
        <v>4002</v>
      </c>
      <c r="W1244" t="s">
        <v>5225</v>
      </c>
      <c r="X1244">
        <v>10</v>
      </c>
      <c r="Y1244" t="s">
        <v>7155</v>
      </c>
      <c r="Z1244" t="s">
        <v>9142</v>
      </c>
      <c r="AA1244">
        <v>0.89501997391035415</v>
      </c>
      <c r="AB1244" t="str">
        <f>HYPERLINK("Melting_Curves/meltCurve_P29350_PTPN6.pdf", "Melting_Curves/meltCurve_P29350_PTPN6.pdf")</f>
        <v>Melting_Curves/meltCurve_P29350_PTPN6.pdf</v>
      </c>
    </row>
    <row r="1245" spans="1:28" x14ac:dyDescent="0.25">
      <c r="A1245" t="s">
        <v>1249</v>
      </c>
      <c r="B1245">
        <v>1</v>
      </c>
      <c r="C1245">
        <v>0.91286287687855905</v>
      </c>
      <c r="D1245">
        <v>1.1047325679081501</v>
      </c>
      <c r="E1245">
        <v>1.0532997293008499</v>
      </c>
      <c r="F1245">
        <v>1.0984318118174199</v>
      </c>
      <c r="G1245">
        <v>1.20820498459815</v>
      </c>
      <c r="H1245">
        <v>1.0581536451040801</v>
      </c>
      <c r="I1245">
        <v>1.3098105105946001</v>
      </c>
      <c r="J1245">
        <v>1.4037617847474999</v>
      </c>
      <c r="K1245">
        <v>1.15378512088117</v>
      </c>
      <c r="L1245">
        <v>599.16183582275505</v>
      </c>
      <c r="M1245">
        <v>10.6575290610011</v>
      </c>
      <c r="O1245">
        <v>54.348599689939803</v>
      </c>
      <c r="P1245">
        <v>1.47708720842468E-2</v>
      </c>
      <c r="Q1245">
        <v>1.3011844252024201</v>
      </c>
      <c r="R1245">
        <v>0.57142497226626399</v>
      </c>
      <c r="S1245" t="s">
        <v>3247</v>
      </c>
      <c r="T1245" t="s">
        <v>4002</v>
      </c>
      <c r="U1245" t="s">
        <v>4002</v>
      </c>
      <c r="V1245" t="s">
        <v>4002</v>
      </c>
      <c r="W1245" t="s">
        <v>5226</v>
      </c>
      <c r="X1245">
        <v>1</v>
      </c>
      <c r="Y1245" t="s">
        <v>7156</v>
      </c>
      <c r="Z1245" t="s">
        <v>9143</v>
      </c>
      <c r="AA1245">
        <v>1.1323096349357711</v>
      </c>
      <c r="AB1245" t="str">
        <f>HYPERLINK("Melting_Curves/meltCurve_P29353_5_SHC1.pdf", "Melting_Curves/meltCurve_P29353_5_SHC1.pdf")</f>
        <v>Melting_Curves/meltCurve_P29353_5_SHC1.pdf</v>
      </c>
    </row>
    <row r="1246" spans="1:28" x14ac:dyDescent="0.25">
      <c r="A1246" t="s">
        <v>1250</v>
      </c>
      <c r="B1246">
        <v>1</v>
      </c>
      <c r="C1246">
        <v>0.97887941032447601</v>
      </c>
      <c r="D1246">
        <v>0.99090229633256899</v>
      </c>
      <c r="E1246">
        <v>1.0344707610628601</v>
      </c>
      <c r="F1246">
        <v>1.0261462333444999</v>
      </c>
      <c r="G1246">
        <v>1.0966598799</v>
      </c>
      <c r="H1246">
        <v>1.1375866601376301</v>
      </c>
      <c r="I1246">
        <v>1.53758923739079</v>
      </c>
      <c r="J1246">
        <v>3.2986263240638101</v>
      </c>
      <c r="K1246">
        <v>1.35898559315482</v>
      </c>
      <c r="L1246">
        <v>15000</v>
      </c>
      <c r="M1246">
        <v>244.93315717072099</v>
      </c>
      <c r="O1246">
        <v>61.237112847620097</v>
      </c>
      <c r="P1246">
        <v>0.49996876159418302</v>
      </c>
      <c r="Q1246">
        <v>1.5</v>
      </c>
      <c r="R1246">
        <v>0.27938861622351102</v>
      </c>
      <c r="S1246" t="s">
        <v>3248</v>
      </c>
      <c r="T1246" t="s">
        <v>4002</v>
      </c>
      <c r="U1246" t="s">
        <v>4002</v>
      </c>
      <c r="V1246" t="s">
        <v>4002</v>
      </c>
      <c r="W1246" t="s">
        <v>5227</v>
      </c>
      <c r="X1246">
        <v>5</v>
      </c>
      <c r="Y1246" t="s">
        <v>7157</v>
      </c>
      <c r="Z1246" t="s">
        <v>9144</v>
      </c>
      <c r="AA1246">
        <v>1.1459240461020559</v>
      </c>
      <c r="AB1246" t="str">
        <f>HYPERLINK("Melting_Curves/meltCurve_P29373_CRABP2.pdf", "Melting_Curves/meltCurve_P29373_CRABP2.pdf")</f>
        <v>Melting_Curves/meltCurve_P29373_CRABP2.pdf</v>
      </c>
    </row>
    <row r="1247" spans="1:28" x14ac:dyDescent="0.25">
      <c r="A1247" t="s">
        <v>1251</v>
      </c>
      <c r="B1247">
        <v>1</v>
      </c>
      <c r="C1247">
        <v>0.93872245605347904</v>
      </c>
      <c r="D1247">
        <v>0.80191741630216495</v>
      </c>
      <c r="E1247">
        <v>0.781656625677423</v>
      </c>
      <c r="F1247">
        <v>0.96998707050700095</v>
      </c>
      <c r="G1247">
        <v>0.97019339220379097</v>
      </c>
      <c r="H1247">
        <v>0.90586228714478301</v>
      </c>
      <c r="I1247">
        <v>0.87776127204203502</v>
      </c>
      <c r="J1247">
        <v>1.1735165470000799</v>
      </c>
      <c r="K1247">
        <v>0.90234106351957299</v>
      </c>
      <c r="L1247">
        <v>10666.9019926814</v>
      </c>
      <c r="M1247">
        <v>250</v>
      </c>
      <c r="O1247">
        <v>42.664877442655602</v>
      </c>
      <c r="P1247">
        <v>-0.112937655383029</v>
      </c>
      <c r="Q1247">
        <v>0.92290446032902496</v>
      </c>
      <c r="R1247">
        <v>4.8491172006920297E-2</v>
      </c>
      <c r="S1247" t="s">
        <v>3249</v>
      </c>
      <c r="T1247" t="s">
        <v>4002</v>
      </c>
      <c r="U1247" t="s">
        <v>4002</v>
      </c>
      <c r="V1247" t="s">
        <v>4002</v>
      </c>
      <c r="W1247" t="s">
        <v>5228</v>
      </c>
      <c r="X1247">
        <v>2</v>
      </c>
      <c r="Y1247" t="s">
        <v>7158</v>
      </c>
      <c r="Z1247" t="s">
        <v>9145</v>
      </c>
      <c r="AA1247">
        <v>0.92976558921230024</v>
      </c>
      <c r="AB1247" t="str">
        <f>HYPERLINK("Melting_Curves/meltCurve_P29400_COL4A5.pdf", "Melting_Curves/meltCurve_P29400_COL4A5.pdf")</f>
        <v>Melting_Curves/meltCurve_P29400_COL4A5.pdf</v>
      </c>
    </row>
    <row r="1248" spans="1:28" x14ac:dyDescent="0.25">
      <c r="A1248" t="s">
        <v>1252</v>
      </c>
      <c r="B1248">
        <v>1</v>
      </c>
      <c r="C1248">
        <v>0.95436209571547903</v>
      </c>
      <c r="D1248">
        <v>1.1007757488960499</v>
      </c>
      <c r="E1248">
        <v>1.17677527151211</v>
      </c>
      <c r="F1248">
        <v>1.0582885785893299</v>
      </c>
      <c r="G1248">
        <v>1.1230934479054799</v>
      </c>
      <c r="H1248">
        <v>0.96037713330946395</v>
      </c>
      <c r="I1248">
        <v>1.4352070652822499</v>
      </c>
      <c r="J1248">
        <v>1.09165771571787</v>
      </c>
      <c r="K1248">
        <v>0.99202768826829002</v>
      </c>
      <c r="L1248">
        <v>11422.9026607003</v>
      </c>
      <c r="M1248">
        <v>250</v>
      </c>
      <c r="O1248">
        <v>45.688686725900403</v>
      </c>
      <c r="P1248">
        <v>0.16365158753322601</v>
      </c>
      <c r="Q1248">
        <v>1.1196324175869099</v>
      </c>
      <c r="R1248">
        <v>0.16870315359623</v>
      </c>
      <c r="S1248" t="s">
        <v>3250</v>
      </c>
      <c r="T1248" t="s">
        <v>4002</v>
      </c>
      <c r="U1248" t="s">
        <v>4002</v>
      </c>
      <c r="V1248" t="s">
        <v>4002</v>
      </c>
      <c r="W1248" t="s">
        <v>5229</v>
      </c>
      <c r="X1248">
        <v>21</v>
      </c>
      <c r="Y1248" t="s">
        <v>7159</v>
      </c>
      <c r="Z1248" t="s">
        <v>9146</v>
      </c>
      <c r="AA1248">
        <v>1.096926119789376</v>
      </c>
      <c r="AB1248" t="str">
        <f>HYPERLINK("Melting_Curves/meltCurve_P29401_TKT.pdf", "Melting_Curves/meltCurve_P29401_TKT.pdf")</f>
        <v>Melting_Curves/meltCurve_P29401_TKT.pdf</v>
      </c>
    </row>
    <row r="1249" spans="1:28" x14ac:dyDescent="0.25">
      <c r="A1249" t="s">
        <v>1253</v>
      </c>
      <c r="B1249">
        <v>1</v>
      </c>
      <c r="C1249">
        <v>0.91634783736463299</v>
      </c>
      <c r="D1249">
        <v>1.04143700149147</v>
      </c>
      <c r="E1249">
        <v>1.2274495817391899</v>
      </c>
      <c r="F1249">
        <v>1.20546657155826</v>
      </c>
      <c r="G1249">
        <v>1.2524155372543899</v>
      </c>
      <c r="H1249">
        <v>1.4522728746514499</v>
      </c>
      <c r="I1249">
        <v>1.45003566565074</v>
      </c>
      <c r="J1249">
        <v>3.5351144543155399</v>
      </c>
      <c r="K1249">
        <v>1.2014785033396</v>
      </c>
      <c r="L1249">
        <v>1221.0907834653101</v>
      </c>
      <c r="M1249">
        <v>23.045323439594299</v>
      </c>
      <c r="O1249">
        <v>52.592355631709303</v>
      </c>
      <c r="P1249">
        <v>5.4774488015792898E-2</v>
      </c>
      <c r="Q1249">
        <v>1.5</v>
      </c>
      <c r="R1249">
        <v>0.17390214032655699</v>
      </c>
      <c r="S1249" t="s">
        <v>3251</v>
      </c>
      <c r="T1249" t="s">
        <v>4002</v>
      </c>
      <c r="U1249" t="s">
        <v>4002</v>
      </c>
      <c r="V1249" t="s">
        <v>4002</v>
      </c>
      <c r="W1249" t="s">
        <v>5230</v>
      </c>
      <c r="X1249">
        <v>17</v>
      </c>
      <c r="Y1249" t="s">
        <v>7160</v>
      </c>
      <c r="Z1249" t="s">
        <v>9147</v>
      </c>
      <c r="AA1249">
        <v>1.2782060280006009</v>
      </c>
      <c r="AB1249" t="str">
        <f>HYPERLINK("Melting_Curves/meltCurve_P29508_SERPINB3.pdf", "Melting_Curves/meltCurve_P29508_SERPINB3.pdf")</f>
        <v>Melting_Curves/meltCurve_P29508_SERPINB3.pdf</v>
      </c>
    </row>
    <row r="1250" spans="1:28" x14ac:dyDescent="0.25">
      <c r="A1250" t="s">
        <v>1254</v>
      </c>
      <c r="B1250">
        <v>1</v>
      </c>
      <c r="C1250">
        <v>0.91483429773803304</v>
      </c>
      <c r="D1250">
        <v>1.0057864281956901</v>
      </c>
      <c r="E1250">
        <v>1.23466596528143</v>
      </c>
      <c r="F1250">
        <v>1.1604418726985799</v>
      </c>
      <c r="G1250">
        <v>1.13982114676486</v>
      </c>
      <c r="H1250">
        <v>1.06643871646502</v>
      </c>
      <c r="I1250">
        <v>1.6652288269331901</v>
      </c>
      <c r="J1250">
        <v>1.38916359810626</v>
      </c>
      <c r="K1250">
        <v>0.99668595476065203</v>
      </c>
      <c r="L1250">
        <v>4819.1647173313204</v>
      </c>
      <c r="M1250">
        <v>101.078201699308</v>
      </c>
      <c r="O1250">
        <v>47.658926182556897</v>
      </c>
      <c r="P1250">
        <v>0.12532762392001201</v>
      </c>
      <c r="Q1250">
        <v>1.2363706657912199</v>
      </c>
      <c r="R1250">
        <v>0.31109152728834399</v>
      </c>
      <c r="S1250" t="s">
        <v>3252</v>
      </c>
      <c r="T1250" t="s">
        <v>4002</v>
      </c>
      <c r="U1250" t="s">
        <v>4002</v>
      </c>
      <c r="V1250" t="s">
        <v>4002</v>
      </c>
      <c r="W1250" t="s">
        <v>5231</v>
      </c>
      <c r="X1250">
        <v>6</v>
      </c>
      <c r="Y1250" t="s">
        <v>7161</v>
      </c>
      <c r="Z1250" t="s">
        <v>9148</v>
      </c>
      <c r="AA1250">
        <v>1.1757576639779119</v>
      </c>
      <c r="AB1250" t="str">
        <f>HYPERLINK("Melting_Curves/meltCurve_P29966_MARCKS.pdf", "Melting_Curves/meltCurve_P29966_MARCKS.pdf")</f>
        <v>Melting_Curves/meltCurve_P29966_MARCKS.pdf</v>
      </c>
    </row>
    <row r="1251" spans="1:28" x14ac:dyDescent="0.25">
      <c r="A1251" t="s">
        <v>1255</v>
      </c>
      <c r="B1251">
        <v>1</v>
      </c>
      <c r="C1251">
        <v>0.983568976552045</v>
      </c>
      <c r="D1251">
        <v>1.06418804910688</v>
      </c>
      <c r="E1251">
        <v>1.2912084715191701</v>
      </c>
      <c r="F1251">
        <v>1.30459067900157</v>
      </c>
      <c r="G1251">
        <v>1.5903880840169899</v>
      </c>
      <c r="H1251">
        <v>1.5176586955256901</v>
      </c>
      <c r="I1251">
        <v>2.0230406702740402</v>
      </c>
      <c r="J1251">
        <v>1.8763018560539899</v>
      </c>
      <c r="K1251">
        <v>1.8641996858090399</v>
      </c>
      <c r="L1251">
        <v>1327.77275415491</v>
      </c>
      <c r="M1251">
        <v>26.611218242377099</v>
      </c>
      <c r="O1251">
        <v>49.616020887821797</v>
      </c>
      <c r="P1251">
        <v>6.7043612456002696E-2</v>
      </c>
      <c r="Q1251">
        <v>1.5</v>
      </c>
      <c r="R1251">
        <v>0.56422558457751903</v>
      </c>
      <c r="S1251" t="s">
        <v>3253</v>
      </c>
      <c r="T1251" t="s">
        <v>4002</v>
      </c>
      <c r="U1251" t="s">
        <v>4002</v>
      </c>
      <c r="V1251" t="s">
        <v>4002</v>
      </c>
      <c r="W1251" t="s">
        <v>5232</v>
      </c>
      <c r="X1251">
        <v>5</v>
      </c>
      <c r="Y1251" t="s">
        <v>7162</v>
      </c>
      <c r="Z1251" t="s">
        <v>9149</v>
      </c>
      <c r="AA1251">
        <v>1.3311442604560011</v>
      </c>
      <c r="AB1251" t="str">
        <f>HYPERLINK("Melting_Curves/meltCurve_P30040_ERP29.pdf", "Melting_Curves/meltCurve_P30040_ERP29.pdf")</f>
        <v>Melting_Curves/meltCurve_P30040_ERP29.pdf</v>
      </c>
    </row>
    <row r="1252" spans="1:28" x14ac:dyDescent="0.25">
      <c r="A1252" t="s">
        <v>1256</v>
      </c>
      <c r="B1252">
        <v>1</v>
      </c>
      <c r="C1252">
        <v>1.16427443170112</v>
      </c>
      <c r="D1252">
        <v>1.55442620699128</v>
      </c>
      <c r="E1252">
        <v>1.91913330128425</v>
      </c>
      <c r="F1252">
        <v>2.06081313096628</v>
      </c>
      <c r="G1252">
        <v>2.63076024998283</v>
      </c>
      <c r="H1252">
        <v>2.37542064418653</v>
      </c>
      <c r="I1252">
        <v>3.4084540896916402</v>
      </c>
      <c r="J1252">
        <v>2.4780234873978402</v>
      </c>
      <c r="K1252">
        <v>2.4611633816358802</v>
      </c>
      <c r="L1252">
        <v>10755.663012211</v>
      </c>
      <c r="M1252">
        <v>250</v>
      </c>
      <c r="O1252">
        <v>43.019899010410001</v>
      </c>
      <c r="P1252">
        <v>0.72640803086365502</v>
      </c>
      <c r="Q1252">
        <v>1.5</v>
      </c>
      <c r="R1252">
        <v>-0.69336429183027204</v>
      </c>
      <c r="S1252" t="s">
        <v>3254</v>
      </c>
      <c r="T1252" t="s">
        <v>4002</v>
      </c>
      <c r="U1252" t="s">
        <v>4002</v>
      </c>
      <c r="V1252" t="s">
        <v>4002</v>
      </c>
      <c r="W1252" t="s">
        <v>5233</v>
      </c>
      <c r="X1252">
        <v>7</v>
      </c>
      <c r="Y1252" t="s">
        <v>7163</v>
      </c>
      <c r="Z1252" t="s">
        <v>9150</v>
      </c>
      <c r="AA1252">
        <v>1.449584713794849</v>
      </c>
      <c r="AB1252" t="str">
        <f>HYPERLINK("Melting_Curves/meltCurve_P30041_PRDX6.pdf", "Melting_Curves/meltCurve_P30041_PRDX6.pdf")</f>
        <v>Melting_Curves/meltCurve_P30041_PRDX6.pdf</v>
      </c>
    </row>
    <row r="1253" spans="1:28" x14ac:dyDescent="0.25">
      <c r="A1253" t="s">
        <v>1257</v>
      </c>
      <c r="B1253">
        <v>1</v>
      </c>
      <c r="C1253">
        <v>0.97415004714547504</v>
      </c>
      <c r="D1253">
        <v>1.1095020370403299</v>
      </c>
      <c r="E1253">
        <v>1.15671867494529</v>
      </c>
      <c r="F1253">
        <v>1.20012809336583</v>
      </c>
      <c r="G1253">
        <v>1.2390186624917701</v>
      </c>
      <c r="H1253">
        <v>0.95657279083420799</v>
      </c>
      <c r="I1253">
        <v>1.6863491611663599</v>
      </c>
      <c r="J1253">
        <v>1.1617890373427699</v>
      </c>
      <c r="K1253">
        <v>1.2877297229981</v>
      </c>
      <c r="L1253">
        <v>508.04433405684102</v>
      </c>
      <c r="M1253">
        <v>9.8053249281428503</v>
      </c>
      <c r="O1253">
        <v>49.795937622939498</v>
      </c>
      <c r="P1253">
        <v>1.5948554825211899E-2</v>
      </c>
      <c r="Q1253">
        <v>1.3238065302955999</v>
      </c>
      <c r="R1253">
        <v>0.29697792963170999</v>
      </c>
      <c r="S1253" t="s">
        <v>3255</v>
      </c>
      <c r="T1253" t="s">
        <v>4002</v>
      </c>
      <c r="U1253" t="s">
        <v>4002</v>
      </c>
      <c r="V1253" t="s">
        <v>4002</v>
      </c>
      <c r="W1253" t="s">
        <v>5234</v>
      </c>
      <c r="X1253">
        <v>2</v>
      </c>
      <c r="Y1253" t="s">
        <v>7164</v>
      </c>
      <c r="Z1253" t="s">
        <v>9151</v>
      </c>
      <c r="AA1253">
        <v>1.1835115464721091</v>
      </c>
      <c r="AB1253" t="str">
        <f>HYPERLINK("Melting_Curves/meltCurve_P30043_BLVRB.pdf", "Melting_Curves/meltCurve_P30043_BLVRB.pdf")</f>
        <v>Melting_Curves/meltCurve_P30043_BLVRB.pdf</v>
      </c>
    </row>
    <row r="1254" spans="1:28" x14ac:dyDescent="0.25">
      <c r="A1254" t="s">
        <v>1258</v>
      </c>
      <c r="B1254">
        <v>1</v>
      </c>
      <c r="C1254">
        <v>0.99644953559111704</v>
      </c>
      <c r="D1254">
        <v>1.0757195031384501</v>
      </c>
      <c r="E1254">
        <v>1.1841663529914399</v>
      </c>
      <c r="F1254">
        <v>1.1013560942856899</v>
      </c>
      <c r="G1254">
        <v>1.3534492405668499</v>
      </c>
      <c r="H1254">
        <v>1.4093003855661901</v>
      </c>
      <c r="I1254">
        <v>1.68875957557199</v>
      </c>
      <c r="J1254">
        <v>1.5800075282053401</v>
      </c>
      <c r="K1254">
        <v>1.6226334476128501</v>
      </c>
      <c r="L1254">
        <v>1232.4280691538099</v>
      </c>
      <c r="M1254">
        <v>22.625127573999901</v>
      </c>
      <c r="O1254">
        <v>54.051467454083202</v>
      </c>
      <c r="P1254">
        <v>5.2324156723274902E-2</v>
      </c>
      <c r="Q1254">
        <v>1.5</v>
      </c>
      <c r="R1254">
        <v>0.85160567896491002</v>
      </c>
      <c r="S1254" t="s">
        <v>3256</v>
      </c>
      <c r="T1254" t="s">
        <v>4002</v>
      </c>
      <c r="U1254" t="s">
        <v>4002</v>
      </c>
      <c r="V1254" t="s">
        <v>4002</v>
      </c>
      <c r="W1254" t="s">
        <v>5235</v>
      </c>
      <c r="X1254">
        <v>4</v>
      </c>
      <c r="Y1254" t="s">
        <v>7165</v>
      </c>
      <c r="Z1254" t="s">
        <v>9152</v>
      </c>
      <c r="AA1254">
        <v>1.253294648932896</v>
      </c>
      <c r="AB1254" t="str">
        <f>HYPERLINK("Melting_Curves/meltCurve_P30044_2_PRDX5.pdf", "Melting_Curves/meltCurve_P30044_2_PRDX5.pdf")</f>
        <v>Melting_Curves/meltCurve_P30044_2_PRDX5.pdf</v>
      </c>
    </row>
    <row r="1255" spans="1:28" x14ac:dyDescent="0.25">
      <c r="A1255" t="s">
        <v>1259</v>
      </c>
      <c r="B1255">
        <v>1</v>
      </c>
      <c r="C1255">
        <v>0.85216441017545996</v>
      </c>
      <c r="D1255">
        <v>0.88853135814461803</v>
      </c>
      <c r="E1255">
        <v>0.90492380547629203</v>
      </c>
      <c r="F1255">
        <v>0.77876267379029795</v>
      </c>
      <c r="G1255">
        <v>0.78525893995507301</v>
      </c>
      <c r="H1255">
        <v>0.69649687329245302</v>
      </c>
      <c r="I1255">
        <v>0.79521583388986705</v>
      </c>
      <c r="J1255">
        <v>2.3381701171756402</v>
      </c>
      <c r="K1255">
        <v>0.72691397000789304</v>
      </c>
      <c r="L1255">
        <v>1654.17866097193</v>
      </c>
      <c r="M1255">
        <v>25.574690880977599</v>
      </c>
      <c r="O1255">
        <v>64.288725628034001</v>
      </c>
      <c r="P1255">
        <v>3.6249484532493E-2</v>
      </c>
      <c r="Q1255">
        <v>1.3644860515532899</v>
      </c>
      <c r="R1255">
        <v>9.6005509227506405E-2</v>
      </c>
      <c r="S1255" t="s">
        <v>3257</v>
      </c>
      <c r="T1255" t="s">
        <v>4002</v>
      </c>
      <c r="U1255" t="s">
        <v>4002</v>
      </c>
      <c r="V1255" t="s">
        <v>4002</v>
      </c>
      <c r="W1255" t="s">
        <v>5236</v>
      </c>
      <c r="X1255">
        <v>1</v>
      </c>
      <c r="Y1255" t="s">
        <v>7166</v>
      </c>
      <c r="Z1255" t="s">
        <v>9153</v>
      </c>
      <c r="AA1255">
        <v>1.065895467574379</v>
      </c>
      <c r="AB1255" t="str">
        <f>HYPERLINK("Melting_Curves/meltCurve_P30049_ATP5D.pdf", "Melting_Curves/meltCurve_P30049_ATP5D.pdf")</f>
        <v>Melting_Curves/meltCurve_P30049_ATP5D.pdf</v>
      </c>
    </row>
    <row r="1256" spans="1:28" x14ac:dyDescent="0.25">
      <c r="A1256" t="s">
        <v>1260</v>
      </c>
      <c r="B1256">
        <v>1</v>
      </c>
      <c r="C1256">
        <v>0.846973647125141</v>
      </c>
      <c r="D1256">
        <v>0.98654171364148802</v>
      </c>
      <c r="E1256">
        <v>0.92752959413754199</v>
      </c>
      <c r="F1256">
        <v>0.89051930665163503</v>
      </c>
      <c r="G1256">
        <v>0.91266206313415998</v>
      </c>
      <c r="H1256">
        <v>0.85291009019165698</v>
      </c>
      <c r="I1256">
        <v>0.90295589064261494</v>
      </c>
      <c r="J1256">
        <v>7.1024168545659503</v>
      </c>
      <c r="K1256">
        <v>1.0099527903044001</v>
      </c>
      <c r="L1256">
        <v>15000</v>
      </c>
      <c r="M1256">
        <v>231.10526313540001</v>
      </c>
      <c r="O1256">
        <v>64.900635764032302</v>
      </c>
      <c r="P1256">
        <v>0.44511368782692501</v>
      </c>
      <c r="Q1256">
        <v>1.5</v>
      </c>
      <c r="R1256">
        <v>7.7200950904631693E-2</v>
      </c>
      <c r="S1256" t="s">
        <v>3258</v>
      </c>
      <c r="T1256" t="s">
        <v>4002</v>
      </c>
      <c r="U1256" t="s">
        <v>4002</v>
      </c>
      <c r="V1256" t="s">
        <v>4002</v>
      </c>
      <c r="W1256" t="s">
        <v>5237</v>
      </c>
      <c r="X1256">
        <v>2</v>
      </c>
      <c r="Y1256" t="s">
        <v>7167</v>
      </c>
      <c r="Z1256" t="s">
        <v>9154</v>
      </c>
      <c r="AA1256">
        <v>1.084841874989686</v>
      </c>
      <c r="AB1256" t="str">
        <f>HYPERLINK("Melting_Curves/meltCurve_P30050_RPL12.pdf", "Melting_Curves/meltCurve_P30050_RPL12.pdf")</f>
        <v>Melting_Curves/meltCurve_P30050_RPL12.pdf</v>
      </c>
    </row>
    <row r="1257" spans="1:28" x14ac:dyDescent="0.25">
      <c r="A1257" t="s">
        <v>1261</v>
      </c>
      <c r="B1257">
        <v>1</v>
      </c>
      <c r="C1257">
        <v>1.04425598631699</v>
      </c>
      <c r="D1257">
        <v>1.44448403648803</v>
      </c>
      <c r="E1257">
        <v>2.0748289623717202</v>
      </c>
      <c r="F1257">
        <v>2.2734464082098098</v>
      </c>
      <c r="G1257">
        <v>2.3029503990878002</v>
      </c>
      <c r="H1257">
        <v>2.5265108323831198</v>
      </c>
      <c r="I1257">
        <v>2.4876710376282798</v>
      </c>
      <c r="J1257">
        <v>2.3320267958951</v>
      </c>
      <c r="K1257">
        <v>2.09285917901938</v>
      </c>
      <c r="L1257">
        <v>3011.8211784435298</v>
      </c>
      <c r="M1257">
        <v>67.735436453854206</v>
      </c>
      <c r="O1257">
        <v>44.425774446439299</v>
      </c>
      <c r="P1257">
        <v>0.190586024132399</v>
      </c>
      <c r="Q1257">
        <v>1.5</v>
      </c>
      <c r="R1257">
        <v>-0.54358654588214605</v>
      </c>
      <c r="S1257" t="s">
        <v>3259</v>
      </c>
      <c r="T1257" t="s">
        <v>4002</v>
      </c>
      <c r="U1257" t="s">
        <v>4002</v>
      </c>
      <c r="V1257" t="s">
        <v>4002</v>
      </c>
      <c r="W1257" t="s">
        <v>5238</v>
      </c>
      <c r="X1257">
        <v>9</v>
      </c>
      <c r="Y1257" t="s">
        <v>7168</v>
      </c>
      <c r="Z1257" t="s">
        <v>9155</v>
      </c>
      <c r="AA1257">
        <v>1.4250544582510161</v>
      </c>
      <c r="AB1257" t="str">
        <f>HYPERLINK("Melting_Curves/meltCurve_P30086_PEBP1.pdf", "Melting_Curves/meltCurve_P30086_PEBP1.pdf")</f>
        <v>Melting_Curves/meltCurve_P30086_PEBP1.pdf</v>
      </c>
    </row>
    <row r="1258" spans="1:28" x14ac:dyDescent="0.25">
      <c r="A1258" t="s">
        <v>1262</v>
      </c>
      <c r="B1258">
        <v>1</v>
      </c>
      <c r="C1258">
        <v>0.900694176629387</v>
      </c>
      <c r="D1258">
        <v>1.0438295410721199</v>
      </c>
      <c r="E1258">
        <v>1.01421133821828</v>
      </c>
      <c r="F1258">
        <v>0.94305823370613195</v>
      </c>
      <c r="G1258">
        <v>1.0578287697647499</v>
      </c>
      <c r="H1258">
        <v>0.60649826455842604</v>
      </c>
      <c r="I1258">
        <v>1.0306594677979199</v>
      </c>
      <c r="J1258">
        <v>0.65227535672965697</v>
      </c>
      <c r="K1258">
        <v>0.73241419205553404</v>
      </c>
      <c r="L1258">
        <v>14706.748963230801</v>
      </c>
      <c r="M1258">
        <v>250</v>
      </c>
      <c r="O1258">
        <v>58.823231331168898</v>
      </c>
      <c r="P1258">
        <v>-0.25982148295695301</v>
      </c>
      <c r="Q1258">
        <v>0.75546337320372203</v>
      </c>
      <c r="R1258">
        <v>0.51471337333845502</v>
      </c>
      <c r="S1258" t="s">
        <v>3260</v>
      </c>
      <c r="T1258" t="s">
        <v>4002</v>
      </c>
      <c r="U1258" t="s">
        <v>4002</v>
      </c>
      <c r="V1258" t="s">
        <v>4002</v>
      </c>
      <c r="W1258" t="s">
        <v>5239</v>
      </c>
      <c r="X1258">
        <v>2</v>
      </c>
      <c r="Y1258" t="s">
        <v>7169</v>
      </c>
      <c r="Z1258" t="s">
        <v>9156</v>
      </c>
      <c r="AA1258">
        <v>0.90895162123080209</v>
      </c>
      <c r="AB1258" t="str">
        <f>HYPERLINK("Melting_Curves/meltCurve_P30273_FCER1G.pdf", "Melting_Curves/meltCurve_P30273_FCER1G.pdf")</f>
        <v>Melting_Curves/meltCurve_P30273_FCER1G.pdf</v>
      </c>
    </row>
    <row r="1259" spans="1:28" x14ac:dyDescent="0.25">
      <c r="A1259" t="s">
        <v>1263</v>
      </c>
      <c r="B1259">
        <v>1</v>
      </c>
      <c r="C1259">
        <v>0.80303109145310303</v>
      </c>
      <c r="D1259">
        <v>0.76686613763496803</v>
      </c>
      <c r="E1259">
        <v>0.82687654481592299</v>
      </c>
      <c r="F1259">
        <v>0.63162482112657703</v>
      </c>
      <c r="G1259">
        <v>0.74719656563028503</v>
      </c>
      <c r="H1259">
        <v>0.76229998699102397</v>
      </c>
      <c r="I1259">
        <v>0.98529985690126198</v>
      </c>
      <c r="J1259">
        <v>0.98870820866397802</v>
      </c>
      <c r="K1259">
        <v>0.967152335111227</v>
      </c>
      <c r="L1259">
        <v>10255.844540554101</v>
      </c>
      <c r="M1259">
        <v>250</v>
      </c>
      <c r="O1259">
        <v>41.020758151210003</v>
      </c>
      <c r="P1259">
        <v>-0.25748255900066902</v>
      </c>
      <c r="Q1259">
        <v>0.83100594513731796</v>
      </c>
      <c r="R1259">
        <v>0.17212479977683501</v>
      </c>
      <c r="S1259" t="s">
        <v>3261</v>
      </c>
      <c r="T1259" t="s">
        <v>4002</v>
      </c>
      <c r="U1259" t="s">
        <v>4002</v>
      </c>
      <c r="V1259" t="s">
        <v>4002</v>
      </c>
      <c r="W1259" t="s">
        <v>5240</v>
      </c>
      <c r="X1259">
        <v>3</v>
      </c>
      <c r="Y1259" t="s">
        <v>7170</v>
      </c>
      <c r="Z1259" t="s">
        <v>9157</v>
      </c>
      <c r="AA1259">
        <v>0.836784392812433</v>
      </c>
      <c r="AB1259" t="str">
        <f>HYPERLINK("Melting_Curves/meltCurve_P30419_2_NMT1.pdf", "Melting_Curves/meltCurve_P30419_2_NMT1.pdf")</f>
        <v>Melting_Curves/meltCurve_P30419_2_NMT1.pdf</v>
      </c>
    </row>
    <row r="1260" spans="1:28" x14ac:dyDescent="0.25">
      <c r="A1260" t="s">
        <v>1264</v>
      </c>
      <c r="B1260">
        <v>1</v>
      </c>
      <c r="C1260">
        <v>0.96855517882533104</v>
      </c>
      <c r="D1260">
        <v>1.0282729957344401</v>
      </c>
      <c r="E1260">
        <v>1.2249261730285499</v>
      </c>
      <c r="F1260">
        <v>1.3817127857377201</v>
      </c>
      <c r="G1260">
        <v>1.8664825549600801</v>
      </c>
      <c r="H1260">
        <v>1.47711363884939</v>
      </c>
      <c r="I1260">
        <v>3.19944219621568</v>
      </c>
      <c r="J1260">
        <v>1.6781144044624301</v>
      </c>
      <c r="K1260">
        <v>2.14707973312917</v>
      </c>
      <c r="L1260">
        <v>2121.4912775646699</v>
      </c>
      <c r="M1260">
        <v>42.129560344728098</v>
      </c>
      <c r="O1260">
        <v>50.243298391848299</v>
      </c>
      <c r="P1260">
        <v>0.104814056796202</v>
      </c>
      <c r="Q1260">
        <v>1.5</v>
      </c>
      <c r="R1260">
        <v>0.17560883125823601</v>
      </c>
      <c r="S1260" t="s">
        <v>3262</v>
      </c>
      <c r="T1260" t="s">
        <v>4002</v>
      </c>
      <c r="U1260" t="s">
        <v>4002</v>
      </c>
      <c r="V1260" t="s">
        <v>4002</v>
      </c>
      <c r="W1260" t="s">
        <v>5241</v>
      </c>
      <c r="X1260">
        <v>10</v>
      </c>
      <c r="Y1260" t="s">
        <v>7171</v>
      </c>
      <c r="Z1260" t="s">
        <v>9158</v>
      </c>
      <c r="AA1260">
        <v>1.3258261273159271</v>
      </c>
      <c r="AB1260" t="str">
        <f>HYPERLINK("Melting_Curves/meltCurve_P30520_ADSS.pdf", "Melting_Curves/meltCurve_P30520_ADSS.pdf")</f>
        <v>Melting_Curves/meltCurve_P30520_ADSS.pdf</v>
      </c>
    </row>
    <row r="1261" spans="1:28" x14ac:dyDescent="0.25">
      <c r="A1261" t="s">
        <v>1265</v>
      </c>
      <c r="B1261">
        <v>1</v>
      </c>
      <c r="C1261">
        <v>0.810538676793924</v>
      </c>
      <c r="D1261">
        <v>0.87717369578253002</v>
      </c>
      <c r="E1261">
        <v>0.96791924845092903</v>
      </c>
      <c r="F1261">
        <v>0.77363581850889496</v>
      </c>
      <c r="G1261">
        <v>0.80239356386168303</v>
      </c>
      <c r="H1261">
        <v>1.0245852488506899</v>
      </c>
      <c r="I1261">
        <v>0.84339396362182695</v>
      </c>
      <c r="J1261">
        <v>1.0138167099740201</v>
      </c>
      <c r="K1261">
        <v>0.934064561263242</v>
      </c>
      <c r="L1261">
        <v>10234.4201356658</v>
      </c>
      <c r="M1261">
        <v>250</v>
      </c>
      <c r="O1261">
        <v>40.935060836355603</v>
      </c>
      <c r="P1261">
        <v>-0.16158348677685899</v>
      </c>
      <c r="Q1261">
        <v>0.89416912242942903</v>
      </c>
      <c r="R1261">
        <v>0.124064973009838</v>
      </c>
      <c r="S1261" t="s">
        <v>3263</v>
      </c>
      <c r="T1261" t="s">
        <v>4002</v>
      </c>
      <c r="U1261" t="s">
        <v>4002</v>
      </c>
      <c r="V1261" t="s">
        <v>4002</v>
      </c>
      <c r="W1261" t="s">
        <v>5242</v>
      </c>
      <c r="X1261">
        <v>1</v>
      </c>
      <c r="Y1261" t="s">
        <v>7172</v>
      </c>
      <c r="Z1261" t="s">
        <v>9159</v>
      </c>
      <c r="AA1261">
        <v>0.89748613497965013</v>
      </c>
      <c r="AB1261" t="str">
        <f>HYPERLINK("Melting_Curves/meltCurve_P30533_LRPAP1.pdf", "Melting_Curves/meltCurve_P30533_LRPAP1.pdf")</f>
        <v>Melting_Curves/meltCurve_P30533_LRPAP1.pdf</v>
      </c>
    </row>
    <row r="1262" spans="1:28" x14ac:dyDescent="0.25">
      <c r="A1262" t="s">
        <v>1266</v>
      </c>
      <c r="B1262">
        <v>1</v>
      </c>
      <c r="C1262">
        <v>0.95258364227195802</v>
      </c>
      <c r="D1262">
        <v>1.07570140509863</v>
      </c>
      <c r="E1262">
        <v>1.0172547942697601</v>
      </c>
      <c r="F1262">
        <v>0.92008787587532603</v>
      </c>
      <c r="G1262">
        <v>0.91377179733626301</v>
      </c>
      <c r="H1262">
        <v>0.74964529269074098</v>
      </c>
      <c r="I1262">
        <v>0.888141333699483</v>
      </c>
      <c r="J1262">
        <v>1.58570186278548</v>
      </c>
      <c r="K1262">
        <v>0.83019817840633403</v>
      </c>
      <c r="L1262">
        <v>1782.83621363154</v>
      </c>
      <c r="M1262">
        <v>27.492697734617199</v>
      </c>
      <c r="O1262">
        <v>64.507446596682399</v>
      </c>
      <c r="P1262">
        <v>1.29955161133727E-2</v>
      </c>
      <c r="Q1262">
        <v>1.1219669063598601</v>
      </c>
      <c r="R1262">
        <v>4.5434881782914299E-2</v>
      </c>
      <c r="S1262" t="s">
        <v>3264</v>
      </c>
      <c r="T1262" t="s">
        <v>4002</v>
      </c>
      <c r="U1262" t="s">
        <v>4002</v>
      </c>
      <c r="V1262" t="s">
        <v>4002</v>
      </c>
      <c r="W1262" t="s">
        <v>5243</v>
      </c>
      <c r="X1262">
        <v>5</v>
      </c>
      <c r="Y1262" t="s">
        <v>7173</v>
      </c>
      <c r="Z1262" t="s">
        <v>9160</v>
      </c>
      <c r="AA1262">
        <v>1.021293514460716</v>
      </c>
      <c r="AB1262" t="str">
        <f>HYPERLINK("Melting_Curves/meltCurve_P30622_2_CLIP1.pdf", "Melting_Curves/meltCurve_P30622_2_CLIP1.pdf")</f>
        <v>Melting_Curves/meltCurve_P30622_2_CLIP1.pdf</v>
      </c>
    </row>
    <row r="1263" spans="1:28" x14ac:dyDescent="0.25">
      <c r="A1263" t="s">
        <v>1267</v>
      </c>
      <c r="B1263">
        <v>1</v>
      </c>
      <c r="C1263">
        <v>1.03726343995981</v>
      </c>
      <c r="D1263">
        <v>1.13629766091665</v>
      </c>
      <c r="E1263">
        <v>1.30154078043879</v>
      </c>
      <c r="F1263">
        <v>1.6061519566795099</v>
      </c>
      <c r="G1263">
        <v>2.63632557360576</v>
      </c>
      <c r="H1263">
        <v>2.64846759336795</v>
      </c>
      <c r="I1263">
        <v>3.4385641712722599</v>
      </c>
      <c r="J1263">
        <v>2.6162005247585598</v>
      </c>
      <c r="K1263">
        <v>2.5327694970133399</v>
      </c>
      <c r="L1263">
        <v>1809.01884488322</v>
      </c>
      <c r="M1263">
        <v>37.573029617779298</v>
      </c>
      <c r="O1263">
        <v>48.010960899236203</v>
      </c>
      <c r="P1263">
        <v>9.7824353349709001E-2</v>
      </c>
      <c r="Q1263">
        <v>1.5</v>
      </c>
      <c r="R1263">
        <v>-0.26770739994868298</v>
      </c>
      <c r="S1263" t="s">
        <v>3265</v>
      </c>
      <c r="T1263" t="s">
        <v>4002</v>
      </c>
      <c r="U1263" t="s">
        <v>4002</v>
      </c>
      <c r="V1263" t="s">
        <v>4002</v>
      </c>
      <c r="W1263" t="s">
        <v>5244</v>
      </c>
      <c r="X1263">
        <v>23</v>
      </c>
      <c r="Y1263" t="s">
        <v>7174</v>
      </c>
      <c r="Z1263" t="s">
        <v>9161</v>
      </c>
      <c r="AA1263">
        <v>1.36232598134182</v>
      </c>
      <c r="AB1263" t="str">
        <f>HYPERLINK("Melting_Curves/meltCurve_P30740_SERPINB1.pdf", "Melting_Curves/meltCurve_P30740_SERPINB1.pdf")</f>
        <v>Melting_Curves/meltCurve_P30740_SERPINB1.pdf</v>
      </c>
    </row>
    <row r="1264" spans="1:28" x14ac:dyDescent="0.25">
      <c r="A1264" t="s">
        <v>1268</v>
      </c>
      <c r="B1264">
        <v>1</v>
      </c>
      <c r="C1264">
        <v>1.0622173495957199</v>
      </c>
      <c r="D1264">
        <v>1.3019048924215399</v>
      </c>
      <c r="E1264">
        <v>1.36785665341921</v>
      </c>
      <c r="F1264">
        <v>1.2600726325887399</v>
      </c>
      <c r="G1264">
        <v>1.45422776483486</v>
      </c>
      <c r="H1264">
        <v>1.44727285185693</v>
      </c>
      <c r="I1264">
        <v>1.6269014663560399</v>
      </c>
      <c r="J1264">
        <v>1.39259284637522</v>
      </c>
      <c r="K1264">
        <v>1.3786830204193501</v>
      </c>
      <c r="L1264">
        <v>744.13569238544505</v>
      </c>
      <c r="M1264">
        <v>16.1832286924346</v>
      </c>
      <c r="O1264">
        <v>45.296984002942999</v>
      </c>
      <c r="P1264">
        <v>4.0081601689659699E-2</v>
      </c>
      <c r="Q1264">
        <v>1.4487212146217801</v>
      </c>
      <c r="R1264">
        <v>0.77167945912295599</v>
      </c>
      <c r="S1264" t="s">
        <v>3266</v>
      </c>
      <c r="T1264" t="s">
        <v>4002</v>
      </c>
      <c r="U1264" t="s">
        <v>4002</v>
      </c>
      <c r="V1264" t="s">
        <v>4002</v>
      </c>
      <c r="W1264" t="s">
        <v>5245</v>
      </c>
      <c r="X1264">
        <v>11</v>
      </c>
      <c r="Y1264" t="s">
        <v>7175</v>
      </c>
      <c r="Z1264" t="s">
        <v>9162</v>
      </c>
      <c r="AA1264">
        <v>1.348089204279475</v>
      </c>
      <c r="AB1264" t="str">
        <f>HYPERLINK("Melting_Curves/meltCurve_P31025_LCN1.pdf", "Melting_Curves/meltCurve_P31025_LCN1.pdf")</f>
        <v>Melting_Curves/meltCurve_P31025_LCN1.pdf</v>
      </c>
    </row>
    <row r="1265" spans="1:28" x14ac:dyDescent="0.25">
      <c r="A1265" t="s">
        <v>1269</v>
      </c>
      <c r="B1265">
        <v>1</v>
      </c>
      <c r="C1265">
        <v>0.99349327741458004</v>
      </c>
      <c r="D1265">
        <v>1.07891328481559</v>
      </c>
      <c r="E1265">
        <v>1.0935919575675299</v>
      </c>
      <c r="F1265">
        <v>1.00191192796349</v>
      </c>
      <c r="G1265">
        <v>1.1289317873442699</v>
      </c>
      <c r="H1265">
        <v>1.18067719254965</v>
      </c>
      <c r="I1265">
        <v>1.8654866165042601</v>
      </c>
      <c r="J1265">
        <v>1.55214629332675</v>
      </c>
      <c r="K1265">
        <v>1.84177254224744</v>
      </c>
      <c r="L1265">
        <v>15000</v>
      </c>
      <c r="M1265">
        <v>245.33238806236801</v>
      </c>
      <c r="O1265">
        <v>61.137477001247298</v>
      </c>
      <c r="P1265">
        <v>0.50159983786483497</v>
      </c>
      <c r="Q1265">
        <v>1.5</v>
      </c>
      <c r="R1265">
        <v>0.73577007160329899</v>
      </c>
      <c r="S1265" t="s">
        <v>3267</v>
      </c>
      <c r="T1265" t="s">
        <v>4002</v>
      </c>
      <c r="U1265" t="s">
        <v>4002</v>
      </c>
      <c r="V1265" t="s">
        <v>4002</v>
      </c>
      <c r="W1265" t="s">
        <v>5246</v>
      </c>
      <c r="X1265">
        <v>21</v>
      </c>
      <c r="Y1265" t="s">
        <v>7176</v>
      </c>
      <c r="Z1265" t="s">
        <v>9163</v>
      </c>
      <c r="AA1265">
        <v>1.1475852886035709</v>
      </c>
      <c r="AB1265" t="str">
        <f>HYPERLINK("Melting_Curves/meltCurve_P31146_CORO1A.pdf", "Melting_Curves/meltCurve_P31146_CORO1A.pdf")</f>
        <v>Melting_Curves/meltCurve_P31146_CORO1A.pdf</v>
      </c>
    </row>
    <row r="1266" spans="1:28" x14ac:dyDescent="0.25">
      <c r="A1266" t="s">
        <v>1270</v>
      </c>
      <c r="B1266">
        <v>1</v>
      </c>
      <c r="C1266">
        <v>1.0029022715856399</v>
      </c>
      <c r="D1266">
        <v>1.1019143829882201</v>
      </c>
      <c r="E1266">
        <v>1.2149913489981601</v>
      </c>
      <c r="F1266">
        <v>1.2735530501758101</v>
      </c>
      <c r="G1266">
        <v>1.52620416364347</v>
      </c>
      <c r="H1266">
        <v>1.5824356756153399</v>
      </c>
      <c r="I1266">
        <v>2.4967907573812602</v>
      </c>
      <c r="J1266">
        <v>2.0807054752469698</v>
      </c>
      <c r="K1266">
        <v>2.2715856449182299</v>
      </c>
      <c r="L1266">
        <v>1458.40093028042</v>
      </c>
      <c r="M1266">
        <v>28.579746263268301</v>
      </c>
      <c r="O1266">
        <v>50.7813007546089</v>
      </c>
      <c r="P1266">
        <v>7.0350630953913307E-2</v>
      </c>
      <c r="Q1266">
        <v>1.5</v>
      </c>
      <c r="R1266">
        <v>0.27258440724891603</v>
      </c>
      <c r="S1266" t="s">
        <v>3268</v>
      </c>
      <c r="T1266" t="s">
        <v>4002</v>
      </c>
      <c r="U1266" t="s">
        <v>4002</v>
      </c>
      <c r="V1266" t="s">
        <v>4002</v>
      </c>
      <c r="W1266" t="s">
        <v>5247</v>
      </c>
      <c r="X1266">
        <v>14</v>
      </c>
      <c r="Y1266" t="s">
        <v>7177</v>
      </c>
      <c r="Z1266" t="s">
        <v>9164</v>
      </c>
      <c r="AA1266">
        <v>1.3127149171858159</v>
      </c>
      <c r="AB1266" t="str">
        <f>HYPERLINK("Melting_Curves/meltCurve_P31150_GDI1.pdf", "Melting_Curves/meltCurve_P31150_GDI1.pdf")</f>
        <v>Melting_Curves/meltCurve_P31150_GDI1.pdf</v>
      </c>
    </row>
    <row r="1267" spans="1:28" x14ac:dyDescent="0.25">
      <c r="A1267" t="s">
        <v>1271</v>
      </c>
      <c r="B1267">
        <v>1</v>
      </c>
      <c r="C1267">
        <v>1.01235315489887</v>
      </c>
      <c r="D1267">
        <v>1.0134431391546601</v>
      </c>
      <c r="E1267">
        <v>1.1440595858059801</v>
      </c>
      <c r="F1267">
        <v>1.18220903475839</v>
      </c>
      <c r="G1267">
        <v>1.1056073634491901</v>
      </c>
      <c r="H1267">
        <v>1.6677364660288201</v>
      </c>
      <c r="I1267">
        <v>1.31421823906988</v>
      </c>
      <c r="J1267">
        <v>2.34510112631706</v>
      </c>
      <c r="K1267">
        <v>1.15907714666344</v>
      </c>
      <c r="L1267">
        <v>14325.104106046299</v>
      </c>
      <c r="M1267">
        <v>250</v>
      </c>
      <c r="O1267">
        <v>57.296749585299899</v>
      </c>
      <c r="P1267">
        <v>0.54540615771416701</v>
      </c>
      <c r="Q1267">
        <v>1.5</v>
      </c>
      <c r="R1267">
        <v>0.39966262584845502</v>
      </c>
      <c r="S1267" t="s">
        <v>3269</v>
      </c>
      <c r="T1267" t="s">
        <v>4002</v>
      </c>
      <c r="U1267" t="s">
        <v>4002</v>
      </c>
      <c r="V1267" t="s">
        <v>4002</v>
      </c>
      <c r="W1267" t="s">
        <v>5248</v>
      </c>
      <c r="X1267">
        <v>3</v>
      </c>
      <c r="Y1267" t="s">
        <v>7178</v>
      </c>
      <c r="Z1267" t="s">
        <v>9165</v>
      </c>
      <c r="AA1267">
        <v>1.2116094455940649</v>
      </c>
      <c r="AB1267" t="str">
        <f>HYPERLINK("Melting_Curves/meltCurve_P31151_S100A7.pdf", "Melting_Curves/meltCurve_P31151_S100A7.pdf")</f>
        <v>Melting_Curves/meltCurve_P31151_S100A7.pdf</v>
      </c>
    </row>
    <row r="1268" spans="1:28" x14ac:dyDescent="0.25">
      <c r="A1268" t="s">
        <v>1272</v>
      </c>
      <c r="B1268">
        <v>1</v>
      </c>
      <c r="C1268">
        <v>0.931534569983137</v>
      </c>
      <c r="D1268">
        <v>1.04519392917369</v>
      </c>
      <c r="E1268">
        <v>1.0247892074199001</v>
      </c>
      <c r="F1268">
        <v>0.980691399662732</v>
      </c>
      <c r="G1268">
        <v>0.999241146711636</v>
      </c>
      <c r="H1268">
        <v>0.84949409780775698</v>
      </c>
      <c r="I1268">
        <v>1.0961214165261399</v>
      </c>
      <c r="J1268">
        <v>1.2240303541315301</v>
      </c>
      <c r="K1268">
        <v>0.94266441821247904</v>
      </c>
      <c r="L1268">
        <v>15000</v>
      </c>
      <c r="M1268">
        <v>238.73631859557</v>
      </c>
      <c r="O1268">
        <v>62.826416580718998</v>
      </c>
      <c r="P1268">
        <v>8.3500363915990097E-2</v>
      </c>
      <c r="Q1268">
        <v>1.08789661612324</v>
      </c>
      <c r="R1268">
        <v>0.239730547025468</v>
      </c>
      <c r="S1268" t="s">
        <v>3270</v>
      </c>
      <c r="T1268" t="s">
        <v>4002</v>
      </c>
      <c r="U1268" t="s">
        <v>4002</v>
      </c>
      <c r="V1268" t="s">
        <v>4002</v>
      </c>
      <c r="W1268" t="s">
        <v>5249</v>
      </c>
      <c r="X1268">
        <v>3</v>
      </c>
      <c r="Y1268" t="s">
        <v>7179</v>
      </c>
      <c r="Z1268" t="s">
        <v>9166</v>
      </c>
      <c r="AA1268">
        <v>1.0209942438502799</v>
      </c>
      <c r="AB1268" t="str">
        <f>HYPERLINK("Melting_Curves/meltCurve_P31942_3_HNRNPH3.pdf", "Melting_Curves/meltCurve_P31942_3_HNRNPH3.pdf")</f>
        <v>Melting_Curves/meltCurve_P31942_3_HNRNPH3.pdf</v>
      </c>
    </row>
    <row r="1269" spans="1:28" x14ac:dyDescent="0.25">
      <c r="A1269" t="s">
        <v>1273</v>
      </c>
      <c r="B1269">
        <v>1</v>
      </c>
      <c r="C1269">
        <v>1.0160838705476301</v>
      </c>
      <c r="D1269">
        <v>1.1732434720322999</v>
      </c>
      <c r="E1269">
        <v>1.30149117666211</v>
      </c>
      <c r="F1269">
        <v>1.39483623103471</v>
      </c>
      <c r="G1269">
        <v>2.01780946799505</v>
      </c>
      <c r="H1269">
        <v>1.18218076447223</v>
      </c>
      <c r="I1269">
        <v>1.61683597056717</v>
      </c>
      <c r="J1269">
        <v>3.09044735299863</v>
      </c>
      <c r="K1269">
        <v>1.25421631829133</v>
      </c>
      <c r="L1269">
        <v>1253.25704603436</v>
      </c>
      <c r="M1269">
        <v>26.092603837200699</v>
      </c>
      <c r="O1269">
        <v>47.751670820628298</v>
      </c>
      <c r="P1269">
        <v>6.8303645116801495E-2</v>
      </c>
      <c r="Q1269">
        <v>1.5</v>
      </c>
      <c r="R1269">
        <v>0.171916091415484</v>
      </c>
      <c r="S1269" t="s">
        <v>3271</v>
      </c>
      <c r="T1269" t="s">
        <v>4002</v>
      </c>
      <c r="U1269" t="s">
        <v>4002</v>
      </c>
      <c r="V1269" t="s">
        <v>4002</v>
      </c>
      <c r="W1269" t="s">
        <v>5250</v>
      </c>
      <c r="X1269">
        <v>7</v>
      </c>
      <c r="Y1269" t="s">
        <v>7180</v>
      </c>
      <c r="Z1269" t="s">
        <v>9167</v>
      </c>
      <c r="AA1269">
        <v>1.3621117847903039</v>
      </c>
      <c r="AB1269" t="str">
        <f>HYPERLINK("Melting_Curves/meltCurve_P31944_CASP14.pdf", "Melting_Curves/meltCurve_P31944_CASP14.pdf")</f>
        <v>Melting_Curves/meltCurve_P31944_CASP14.pdf</v>
      </c>
    </row>
    <row r="1270" spans="1:28" x14ac:dyDescent="0.25">
      <c r="A1270" t="s">
        <v>1274</v>
      </c>
      <c r="B1270">
        <v>1</v>
      </c>
      <c r="C1270">
        <v>1.0197718916485301</v>
      </c>
      <c r="D1270">
        <v>1.0928941247092401</v>
      </c>
      <c r="E1270">
        <v>1.1125909807158401</v>
      </c>
      <c r="F1270">
        <v>1.0527125384557701</v>
      </c>
      <c r="G1270">
        <v>1.0883919861934399</v>
      </c>
      <c r="H1270">
        <v>1.10538755909057</v>
      </c>
      <c r="I1270">
        <v>1.47985293014182</v>
      </c>
      <c r="J1270">
        <v>1.3866586628648601</v>
      </c>
      <c r="K1270">
        <v>1.38009304419599</v>
      </c>
      <c r="L1270">
        <v>15000</v>
      </c>
      <c r="M1270">
        <v>244.82235369835499</v>
      </c>
      <c r="O1270">
        <v>61.264826726086802</v>
      </c>
      <c r="P1270">
        <v>0.415135651544836</v>
      </c>
      <c r="Q1270">
        <v>1.4155374431379699</v>
      </c>
      <c r="R1270">
        <v>0.85857818126969598</v>
      </c>
      <c r="S1270" t="s">
        <v>3272</v>
      </c>
      <c r="T1270" t="s">
        <v>4002</v>
      </c>
      <c r="U1270" t="s">
        <v>4002</v>
      </c>
      <c r="V1270" t="s">
        <v>4002</v>
      </c>
      <c r="W1270" t="s">
        <v>5251</v>
      </c>
      <c r="X1270">
        <v>11</v>
      </c>
      <c r="Y1270" t="s">
        <v>7181</v>
      </c>
      <c r="Z1270" t="s">
        <v>9168</v>
      </c>
      <c r="AA1270">
        <v>1.1208898319766161</v>
      </c>
      <c r="AB1270" t="str">
        <f>HYPERLINK("Melting_Curves/meltCurve_P31946_2_YWHAB.pdf", "Melting_Curves/meltCurve_P31946_2_YWHAB.pdf")</f>
        <v>Melting_Curves/meltCurve_P31946_2_YWHAB.pdf</v>
      </c>
    </row>
    <row r="1271" spans="1:28" x14ac:dyDescent="0.25">
      <c r="A1271" t="s">
        <v>1275</v>
      </c>
      <c r="B1271">
        <v>1</v>
      </c>
      <c r="C1271">
        <v>0.96669245187587405</v>
      </c>
      <c r="D1271">
        <v>1.0548481152003799</v>
      </c>
      <c r="E1271">
        <v>1.1329921751807399</v>
      </c>
      <c r="F1271">
        <v>1.1358037547231601</v>
      </c>
      <c r="G1271">
        <v>1.36947725447026</v>
      </c>
      <c r="H1271">
        <v>1.1678319597750699</v>
      </c>
      <c r="I1271">
        <v>1.80908036059623</v>
      </c>
      <c r="J1271">
        <v>2.3374788015828201</v>
      </c>
      <c r="K1271">
        <v>1.3951087441611401</v>
      </c>
      <c r="L1271">
        <v>1368.3746041366601</v>
      </c>
      <c r="M1271">
        <v>25.0317172378568</v>
      </c>
      <c r="O1271">
        <v>54.320324625202097</v>
      </c>
      <c r="P1271">
        <v>5.7602868654449801E-2</v>
      </c>
      <c r="Q1271">
        <v>1.5</v>
      </c>
      <c r="R1271">
        <v>0.446275863514288</v>
      </c>
      <c r="S1271" t="s">
        <v>3273</v>
      </c>
      <c r="T1271" t="s">
        <v>4002</v>
      </c>
      <c r="U1271" t="s">
        <v>4002</v>
      </c>
      <c r="V1271" t="s">
        <v>4002</v>
      </c>
      <c r="W1271" t="s">
        <v>5252</v>
      </c>
      <c r="X1271">
        <v>17</v>
      </c>
      <c r="Y1271" t="s">
        <v>7182</v>
      </c>
      <c r="Z1271" t="s">
        <v>9169</v>
      </c>
      <c r="AA1271">
        <v>1.250953735666348</v>
      </c>
      <c r="AB1271" t="str">
        <f>HYPERLINK("Melting_Curves/meltCurve_P31947_SFN.pdf", "Melting_Curves/meltCurve_P31947_SFN.pdf")</f>
        <v>Melting_Curves/meltCurve_P31947_SFN.pdf</v>
      </c>
    </row>
    <row r="1272" spans="1:28" x14ac:dyDescent="0.25">
      <c r="A1272" t="s">
        <v>1276</v>
      </c>
      <c r="B1272">
        <v>1</v>
      </c>
      <c r="C1272">
        <v>0.91749240322367598</v>
      </c>
      <c r="D1272">
        <v>1.0059453032104599</v>
      </c>
      <c r="E1272">
        <v>1.0572730875941301</v>
      </c>
      <c r="F1272">
        <v>0.97489760866693098</v>
      </c>
      <c r="G1272">
        <v>1.05456467168714</v>
      </c>
      <c r="H1272">
        <v>0.83287092086140802</v>
      </c>
      <c r="I1272">
        <v>1.1600607742105999</v>
      </c>
      <c r="J1272">
        <v>1.03078345884529</v>
      </c>
      <c r="K1272">
        <v>0.95943982031972497</v>
      </c>
      <c r="L1272">
        <v>1286.1272899937901</v>
      </c>
      <c r="M1272">
        <v>20.4112165327927</v>
      </c>
      <c r="O1272">
        <v>62.415342402668102</v>
      </c>
      <c r="P1272">
        <v>1.2968904707193699E-3</v>
      </c>
      <c r="Q1272">
        <v>1.01586253908694</v>
      </c>
      <c r="R1272">
        <v>6.6595596165349696E-3</v>
      </c>
      <c r="S1272" t="s">
        <v>3274</v>
      </c>
      <c r="T1272" t="s">
        <v>4002</v>
      </c>
      <c r="U1272" t="s">
        <v>4002</v>
      </c>
      <c r="V1272" t="s">
        <v>4002</v>
      </c>
      <c r="W1272" t="s">
        <v>5253</v>
      </c>
      <c r="X1272">
        <v>10</v>
      </c>
      <c r="Y1272" t="s">
        <v>7183</v>
      </c>
      <c r="Z1272" t="s">
        <v>9170</v>
      </c>
      <c r="AA1272">
        <v>1.003703398886657</v>
      </c>
      <c r="AB1272" t="str">
        <f>HYPERLINK("Melting_Curves/meltCurve_P31948_STIP1.pdf", "Melting_Curves/meltCurve_P31948_STIP1.pdf")</f>
        <v>Melting_Curves/meltCurve_P31948_STIP1.pdf</v>
      </c>
    </row>
    <row r="1273" spans="1:28" x14ac:dyDescent="0.25">
      <c r="A1273" t="s">
        <v>1277</v>
      </c>
      <c r="B1273">
        <v>1</v>
      </c>
      <c r="C1273">
        <v>0.99141876430206</v>
      </c>
      <c r="D1273">
        <v>1.21639016018307</v>
      </c>
      <c r="E1273">
        <v>1.28997425629291</v>
      </c>
      <c r="F1273">
        <v>1.1149885583524</v>
      </c>
      <c r="G1273">
        <v>1.08588386727689</v>
      </c>
      <c r="H1273">
        <v>1.2591533180778001</v>
      </c>
      <c r="I1273">
        <v>1.1676201372997701</v>
      </c>
      <c r="J1273">
        <v>1.2740274599542301</v>
      </c>
      <c r="K1273">
        <v>0.98376716247139595</v>
      </c>
      <c r="L1273">
        <v>11065.175980374101</v>
      </c>
      <c r="M1273">
        <v>250</v>
      </c>
      <c r="O1273">
        <v>44.257872922765898</v>
      </c>
      <c r="P1273">
        <v>0.245685666590442</v>
      </c>
      <c r="Q1273">
        <v>1.1739763944983701</v>
      </c>
      <c r="R1273">
        <v>0.38824786593877397</v>
      </c>
      <c r="S1273" t="s">
        <v>3275</v>
      </c>
      <c r="T1273" t="s">
        <v>4002</v>
      </c>
      <c r="U1273" t="s">
        <v>4002</v>
      </c>
      <c r="V1273" t="s">
        <v>4002</v>
      </c>
      <c r="W1273" t="s">
        <v>5254</v>
      </c>
      <c r="X1273">
        <v>6</v>
      </c>
      <c r="Y1273" t="s">
        <v>7184</v>
      </c>
      <c r="Z1273" t="s">
        <v>9171</v>
      </c>
      <c r="AA1273">
        <v>1.149254150351104</v>
      </c>
      <c r="AB1273" t="str">
        <f>HYPERLINK("Melting_Curves/meltCurve_P31949_S100A11.pdf", "Melting_Curves/meltCurve_P31949_S100A11.pdf")</f>
        <v>Melting_Curves/meltCurve_P31949_S100A11.pdf</v>
      </c>
    </row>
    <row r="1274" spans="1:28" x14ac:dyDescent="0.25">
      <c r="A1274" t="s">
        <v>1278</v>
      </c>
      <c r="B1274">
        <v>1</v>
      </c>
      <c r="C1274">
        <v>0.816839291680588</v>
      </c>
      <c r="D1274">
        <v>0.63275977280320705</v>
      </c>
      <c r="E1274">
        <v>0.632183427998664</v>
      </c>
      <c r="F1274">
        <v>0.602297026394921</v>
      </c>
      <c r="G1274">
        <v>0.54445372535917103</v>
      </c>
      <c r="H1274">
        <v>0.64223187437353801</v>
      </c>
      <c r="I1274">
        <v>0.678600066822586</v>
      </c>
      <c r="J1274">
        <v>0.64917307049782802</v>
      </c>
      <c r="K1274">
        <v>0.55796859338456395</v>
      </c>
      <c r="L1274">
        <v>2236.5929645779502</v>
      </c>
      <c r="M1274">
        <v>52.029133305263997</v>
      </c>
      <c r="O1274">
        <v>42.923955798890901</v>
      </c>
      <c r="P1274">
        <v>-0.116421363901378</v>
      </c>
      <c r="Q1274">
        <v>0.61581048695055896</v>
      </c>
      <c r="R1274">
        <v>0.91194641721126302</v>
      </c>
      <c r="S1274" t="s">
        <v>3276</v>
      </c>
      <c r="T1274" t="s">
        <v>4002</v>
      </c>
      <c r="U1274" t="s">
        <v>4002</v>
      </c>
      <c r="V1274" t="s">
        <v>4002</v>
      </c>
      <c r="W1274" t="s">
        <v>5255</v>
      </c>
      <c r="X1274">
        <v>3</v>
      </c>
      <c r="Y1274" t="s">
        <v>7185</v>
      </c>
      <c r="Z1274" t="s">
        <v>9172</v>
      </c>
      <c r="AA1274">
        <v>0.65491938815725581</v>
      </c>
      <c r="AB1274" t="str">
        <f>HYPERLINK("Melting_Curves/meltCurve_P31997_CEACAM8.pdf", "Melting_Curves/meltCurve_P31997_CEACAM8.pdf")</f>
        <v>Melting_Curves/meltCurve_P31997_CEACAM8.pdf</v>
      </c>
    </row>
    <row r="1275" spans="1:28" x14ac:dyDescent="0.25">
      <c r="A1275" t="s">
        <v>1279</v>
      </c>
      <c r="B1275">
        <v>1</v>
      </c>
      <c r="C1275">
        <v>0.96086113266097795</v>
      </c>
      <c r="D1275">
        <v>1.0494569433669501</v>
      </c>
      <c r="E1275">
        <v>1.1532195500387901</v>
      </c>
      <c r="F1275">
        <v>1.0794220325834001</v>
      </c>
      <c r="G1275">
        <v>1.1413886733902201</v>
      </c>
      <c r="H1275">
        <v>1.1906516679596599</v>
      </c>
      <c r="I1275">
        <v>1.33339798293251</v>
      </c>
      <c r="J1275">
        <v>1.5463537626066699</v>
      </c>
      <c r="K1275">
        <v>1.06342125678821</v>
      </c>
      <c r="L1275">
        <v>654.16110230610695</v>
      </c>
      <c r="M1275">
        <v>11.856776769306</v>
      </c>
      <c r="O1275">
        <v>53.672715127082199</v>
      </c>
      <c r="P1275">
        <v>1.7790532228788101E-2</v>
      </c>
      <c r="Q1275">
        <v>1.3220521385091799</v>
      </c>
      <c r="R1275">
        <v>0.47672773111829297</v>
      </c>
      <c r="S1275" t="s">
        <v>3277</v>
      </c>
      <c r="T1275" t="s">
        <v>4002</v>
      </c>
      <c r="U1275" t="s">
        <v>4002</v>
      </c>
      <c r="V1275" t="s">
        <v>4002</v>
      </c>
      <c r="W1275" t="s">
        <v>5256</v>
      </c>
      <c r="X1275">
        <v>8</v>
      </c>
      <c r="Y1275" t="s">
        <v>7186</v>
      </c>
      <c r="Z1275" t="s">
        <v>9173</v>
      </c>
      <c r="AA1275">
        <v>1.151731374517265</v>
      </c>
      <c r="AB1275" t="str">
        <f>HYPERLINK("Melting_Curves/meltCurve_P32119_PRDX2.pdf", "Melting_Curves/meltCurve_P32119_PRDX2.pdf")</f>
        <v>Melting_Curves/meltCurve_P32119_PRDX2.pdf</v>
      </c>
    </row>
    <row r="1276" spans="1:28" x14ac:dyDescent="0.25">
      <c r="A1276" t="s">
        <v>1280</v>
      </c>
      <c r="B1276">
        <v>1</v>
      </c>
      <c r="C1276">
        <v>0.94405861739407504</v>
      </c>
      <c r="D1276">
        <v>1.0223638101306101</v>
      </c>
      <c r="E1276">
        <v>1.05625995539981</v>
      </c>
      <c r="F1276">
        <v>1.09117553360943</v>
      </c>
      <c r="G1276">
        <v>1.2180312201337999</v>
      </c>
      <c r="H1276">
        <v>0.92029308697037304</v>
      </c>
      <c r="I1276">
        <v>1.43733673144313</v>
      </c>
      <c r="J1276">
        <v>0.92112137623446999</v>
      </c>
      <c r="K1276">
        <v>1.1658489964957</v>
      </c>
      <c r="L1276">
        <v>1676.3130046581</v>
      </c>
      <c r="M1276">
        <v>33.1968392270091</v>
      </c>
      <c r="O1276">
        <v>50.313986920448897</v>
      </c>
      <c r="P1276">
        <v>2.15075438053275E-2</v>
      </c>
      <c r="Q1276">
        <v>1.1303889697832601</v>
      </c>
      <c r="R1276">
        <v>0.16455607717430701</v>
      </c>
      <c r="S1276" t="s">
        <v>3278</v>
      </c>
      <c r="T1276" t="s">
        <v>4002</v>
      </c>
      <c r="U1276" t="s">
        <v>4002</v>
      </c>
      <c r="V1276" t="s">
        <v>4002</v>
      </c>
      <c r="W1276" t="s">
        <v>5257</v>
      </c>
      <c r="X1276">
        <v>6</v>
      </c>
      <c r="Y1276" t="s">
        <v>7187</v>
      </c>
      <c r="Z1276" t="s">
        <v>9174</v>
      </c>
      <c r="AA1276">
        <v>1.084106549105585</v>
      </c>
      <c r="AB1276" t="str">
        <f>HYPERLINK("Melting_Curves/meltCurve_P32320_CDA.pdf", "Melting_Curves/meltCurve_P32320_CDA.pdf")</f>
        <v>Melting_Curves/meltCurve_P32320_CDA.pdf</v>
      </c>
    </row>
    <row r="1277" spans="1:28" x14ac:dyDescent="0.25">
      <c r="A1277" t="s">
        <v>1281</v>
      </c>
      <c r="B1277">
        <v>1</v>
      </c>
      <c r="C1277">
        <v>0.897994960008765</v>
      </c>
      <c r="D1277">
        <v>0.95469486140024096</v>
      </c>
      <c r="E1277">
        <v>1.00794346444615</v>
      </c>
      <c r="F1277">
        <v>0.96707570943354904</v>
      </c>
      <c r="G1277">
        <v>1.03171907527117</v>
      </c>
      <c r="H1277">
        <v>0.90319929878382799</v>
      </c>
      <c r="I1277">
        <v>1.1041963405280999</v>
      </c>
      <c r="J1277">
        <v>1.0012052152952799</v>
      </c>
      <c r="K1277">
        <v>0.93497315656842295</v>
      </c>
      <c r="L1277">
        <v>15000</v>
      </c>
      <c r="M1277">
        <v>211.619995073149</v>
      </c>
      <c r="Q1277">
        <v>0</v>
      </c>
      <c r="R1277">
        <v>9.8803323258828107E-3</v>
      </c>
      <c r="S1277" t="s">
        <v>3279</v>
      </c>
      <c r="T1277" t="s">
        <v>4002</v>
      </c>
      <c r="U1277" t="s">
        <v>4002</v>
      </c>
      <c r="V1277" t="s">
        <v>4002</v>
      </c>
      <c r="W1277" t="s">
        <v>5258</v>
      </c>
      <c r="X1277">
        <v>2</v>
      </c>
      <c r="Y1277" t="s">
        <v>7188</v>
      </c>
      <c r="Z1277" t="s">
        <v>9175</v>
      </c>
      <c r="AA1277">
        <v>0.99927471258679124</v>
      </c>
      <c r="AB1277" t="str">
        <f>HYPERLINK("Melting_Curves/meltCurve_P32455_GBP1.pdf", "Melting_Curves/meltCurve_P32455_GBP1.pdf")</f>
        <v>Melting_Curves/meltCurve_P32455_GBP1.pdf</v>
      </c>
    </row>
    <row r="1278" spans="1:28" x14ac:dyDescent="0.25">
      <c r="A1278" t="s">
        <v>1282</v>
      </c>
      <c r="B1278">
        <v>1</v>
      </c>
      <c r="C1278">
        <v>0.948806300762983</v>
      </c>
      <c r="D1278">
        <v>1.0542975907238801</v>
      </c>
      <c r="E1278">
        <v>1.2489539748953999</v>
      </c>
      <c r="F1278">
        <v>1.4303880548035099</v>
      </c>
      <c r="G1278">
        <v>1.6853994038340601</v>
      </c>
      <c r="H1278">
        <v>1.5006700030081801</v>
      </c>
      <c r="I1278">
        <v>1.95969043126316</v>
      </c>
      <c r="J1278">
        <v>1.5446987721169401</v>
      </c>
      <c r="K1278">
        <v>1.66215440150956</v>
      </c>
      <c r="L1278">
        <v>1970.9665263760201</v>
      </c>
      <c r="M1278">
        <v>39.435183930184699</v>
      </c>
      <c r="O1278">
        <v>49.851895209590502</v>
      </c>
      <c r="P1278">
        <v>9.8881075083267503E-2</v>
      </c>
      <c r="Q1278">
        <v>1.5</v>
      </c>
      <c r="R1278">
        <v>0.72017281656885501</v>
      </c>
      <c r="S1278" t="s">
        <v>3280</v>
      </c>
      <c r="T1278" t="s">
        <v>4002</v>
      </c>
      <c r="U1278" t="s">
        <v>4002</v>
      </c>
      <c r="V1278" t="s">
        <v>4002</v>
      </c>
      <c r="W1278" t="s">
        <v>5259</v>
      </c>
      <c r="X1278">
        <v>29</v>
      </c>
      <c r="Y1278" t="s">
        <v>7189</v>
      </c>
      <c r="Z1278" t="s">
        <v>9176</v>
      </c>
      <c r="AA1278">
        <v>1.331890032351349</v>
      </c>
      <c r="AB1278" t="str">
        <f>HYPERLINK("Melting_Curves/meltCurve_P32926_DSG3.pdf", "Melting_Curves/meltCurve_P32926_DSG3.pdf")</f>
        <v>Melting_Curves/meltCurve_P32926_DSG3.pdf</v>
      </c>
    </row>
    <row r="1279" spans="1:28" x14ac:dyDescent="0.25">
      <c r="A1279" t="s">
        <v>1283</v>
      </c>
      <c r="B1279">
        <v>1</v>
      </c>
      <c r="C1279">
        <v>0.92118146418420599</v>
      </c>
      <c r="D1279">
        <v>0.99739567030187704</v>
      </c>
      <c r="E1279">
        <v>1.00533386755481</v>
      </c>
      <c r="F1279">
        <v>0.937984399063443</v>
      </c>
      <c r="G1279">
        <v>0.911765810660223</v>
      </c>
      <c r="H1279">
        <v>0.85200395657781103</v>
      </c>
      <c r="I1279">
        <v>0.92774237169294005</v>
      </c>
      <c r="J1279">
        <v>2.7043710168154602</v>
      </c>
      <c r="K1279">
        <v>0.81466688369414197</v>
      </c>
      <c r="L1279">
        <v>15000</v>
      </c>
      <c r="M1279">
        <v>230.488589797907</v>
      </c>
      <c r="O1279">
        <v>65.074243722614796</v>
      </c>
      <c r="P1279">
        <v>0.44274158272193698</v>
      </c>
      <c r="Q1279">
        <v>1.5</v>
      </c>
      <c r="R1279">
        <v>0.31396936911568002</v>
      </c>
      <c r="S1279" t="s">
        <v>3281</v>
      </c>
      <c r="T1279" t="s">
        <v>4002</v>
      </c>
      <c r="U1279" t="s">
        <v>4002</v>
      </c>
      <c r="V1279" t="s">
        <v>4002</v>
      </c>
      <c r="W1279" t="s">
        <v>5260</v>
      </c>
      <c r="X1279">
        <v>3</v>
      </c>
      <c r="Y1279" t="s">
        <v>7190</v>
      </c>
      <c r="Z1279" t="s">
        <v>9177</v>
      </c>
      <c r="AA1279">
        <v>1.0819470895839249</v>
      </c>
      <c r="AB1279" t="str">
        <f>HYPERLINK("Melting_Curves/meltCurve_P33176_KIF5B.pdf", "Melting_Curves/meltCurve_P33176_KIF5B.pdf")</f>
        <v>Melting_Curves/meltCurve_P33176_KIF5B.pdf</v>
      </c>
    </row>
    <row r="1280" spans="1:28" x14ac:dyDescent="0.25">
      <c r="A1280" t="s">
        <v>1284</v>
      </c>
      <c r="B1280">
        <v>1</v>
      </c>
      <c r="C1280">
        <v>0.93345661293883897</v>
      </c>
      <c r="D1280">
        <v>1.00488518436741</v>
      </c>
      <c r="E1280">
        <v>1.0532678295429501</v>
      </c>
      <c r="F1280">
        <v>0.96977809671009096</v>
      </c>
      <c r="G1280">
        <v>1.0135239567233401</v>
      </c>
      <c r="H1280">
        <v>0.83003974387281998</v>
      </c>
      <c r="I1280">
        <v>1.10885405166703</v>
      </c>
      <c r="J1280">
        <v>0.88482556855818095</v>
      </c>
      <c r="K1280">
        <v>0.95065135791565503</v>
      </c>
      <c r="L1280">
        <v>4626.2282101543296</v>
      </c>
      <c r="M1280">
        <v>79.436460762688199</v>
      </c>
      <c r="O1280">
        <v>58.201217999185502</v>
      </c>
      <c r="P1280">
        <v>-1.88416181813113E-2</v>
      </c>
      <c r="Q1280">
        <v>0.94478077379301095</v>
      </c>
      <c r="R1280">
        <v>9.9341984988966306E-2</v>
      </c>
      <c r="S1280" t="s">
        <v>3282</v>
      </c>
      <c r="T1280" t="s">
        <v>4002</v>
      </c>
      <c r="U1280" t="s">
        <v>4002</v>
      </c>
      <c r="V1280" t="s">
        <v>4002</v>
      </c>
      <c r="W1280" t="s">
        <v>5261</v>
      </c>
      <c r="X1280">
        <v>15</v>
      </c>
      <c r="Y1280" t="s">
        <v>7191</v>
      </c>
      <c r="Z1280" t="s">
        <v>9178</v>
      </c>
      <c r="AA1280">
        <v>0.97840656564869988</v>
      </c>
      <c r="AB1280" t="str">
        <f>HYPERLINK("Melting_Curves/meltCurve_P33241_LSP1.pdf", "Melting_Curves/meltCurve_P33241_LSP1.pdf")</f>
        <v>Melting_Curves/meltCurve_P33241_LSP1.pdf</v>
      </c>
    </row>
    <row r="1281" spans="1:28" x14ac:dyDescent="0.25">
      <c r="A1281" t="s">
        <v>1285</v>
      </c>
      <c r="B1281">
        <v>1</v>
      </c>
      <c r="C1281">
        <v>0.91674714382026601</v>
      </c>
      <c r="D1281">
        <v>0.95158615914432998</v>
      </c>
      <c r="E1281">
        <v>1.08152183815893</v>
      </c>
      <c r="F1281">
        <v>1.4128386873417</v>
      </c>
      <c r="G1281">
        <v>1.6305096481478101</v>
      </c>
      <c r="H1281">
        <v>1.5064229879193201</v>
      </c>
      <c r="I1281">
        <v>1.8853519432954899</v>
      </c>
      <c r="J1281">
        <v>1.64525063318817</v>
      </c>
      <c r="K1281">
        <v>1.60889925475119</v>
      </c>
      <c r="L1281">
        <v>2995.58785283613</v>
      </c>
      <c r="M1281">
        <v>58.196275583173502</v>
      </c>
      <c r="O1281">
        <v>51.413223239413803</v>
      </c>
      <c r="P1281">
        <v>0.14149163224858899</v>
      </c>
      <c r="Q1281">
        <v>1.5</v>
      </c>
      <c r="R1281">
        <v>0.80826238240272197</v>
      </c>
      <c r="S1281" t="s">
        <v>3283</v>
      </c>
      <c r="T1281" t="s">
        <v>4002</v>
      </c>
      <c r="U1281" t="s">
        <v>4002</v>
      </c>
      <c r="V1281" t="s">
        <v>4002</v>
      </c>
      <c r="W1281" t="s">
        <v>5262</v>
      </c>
      <c r="X1281">
        <v>7</v>
      </c>
      <c r="Y1281" t="s">
        <v>7192</v>
      </c>
      <c r="Z1281" t="s">
        <v>9179</v>
      </c>
      <c r="AA1281">
        <v>1.3079319698747049</v>
      </c>
      <c r="AB1281" t="str">
        <f>HYPERLINK("Melting_Curves/meltCurve_P33908_MAN1A1.pdf", "Melting_Curves/meltCurve_P33908_MAN1A1.pdf")</f>
        <v>Melting_Curves/meltCurve_P33908_MAN1A1.pdf</v>
      </c>
    </row>
    <row r="1282" spans="1:28" x14ac:dyDescent="0.25">
      <c r="A1282" t="s">
        <v>1286</v>
      </c>
      <c r="B1282">
        <v>1</v>
      </c>
      <c r="C1282">
        <v>1.0420876981551901</v>
      </c>
      <c r="D1282">
        <v>1.20904792806156</v>
      </c>
      <c r="E1282">
        <v>1.3552424214332099</v>
      </c>
      <c r="F1282">
        <v>1.3689626402150701</v>
      </c>
      <c r="G1282">
        <v>1.69968480578474</v>
      </c>
      <c r="H1282">
        <v>1.3077778807824201</v>
      </c>
      <c r="I1282">
        <v>1.8954296838787399</v>
      </c>
      <c r="J1282">
        <v>1.38945026420692</v>
      </c>
      <c r="K1282">
        <v>1.50560860294799</v>
      </c>
      <c r="L1282">
        <v>975.54299022408804</v>
      </c>
      <c r="M1282">
        <v>20.6270658201632</v>
      </c>
      <c r="O1282">
        <v>46.856535187742701</v>
      </c>
      <c r="P1282">
        <v>5.5028770273056797E-2</v>
      </c>
      <c r="Q1282">
        <v>1.5</v>
      </c>
      <c r="R1282">
        <v>0.61690780162034597</v>
      </c>
      <c r="S1282" t="s">
        <v>3284</v>
      </c>
      <c r="T1282" t="s">
        <v>4002</v>
      </c>
      <c r="U1282" t="s">
        <v>4002</v>
      </c>
      <c r="V1282" t="s">
        <v>4002</v>
      </c>
      <c r="W1282" t="s">
        <v>5263</v>
      </c>
      <c r="X1282">
        <v>4</v>
      </c>
      <c r="Y1282" t="s">
        <v>7193</v>
      </c>
      <c r="Z1282" t="s">
        <v>9180</v>
      </c>
      <c r="AA1282">
        <v>1.371659913510223</v>
      </c>
      <c r="AB1282" t="str">
        <f>HYPERLINK("Melting_Curves/meltCurve_P34096_RNASE4.pdf", "Melting_Curves/meltCurve_P34096_RNASE4.pdf")</f>
        <v>Melting_Curves/meltCurve_P34096_RNASE4.pdf</v>
      </c>
    </row>
    <row r="1283" spans="1:28" x14ac:dyDescent="0.25">
      <c r="A1283" t="s">
        <v>1287</v>
      </c>
      <c r="B1283">
        <v>1</v>
      </c>
      <c r="C1283">
        <v>1.0805455655832299</v>
      </c>
      <c r="D1283">
        <v>1.17140530637172</v>
      </c>
      <c r="E1283">
        <v>1.22168691049739</v>
      </c>
      <c r="F1283">
        <v>1.2887290493316099</v>
      </c>
      <c r="G1283">
        <v>1.13924136527109</v>
      </c>
      <c r="H1283">
        <v>1.10348103413178</v>
      </c>
      <c r="I1283">
        <v>1.6724570808169901</v>
      </c>
      <c r="J1283">
        <v>1.4967089638325299</v>
      </c>
      <c r="K1283">
        <v>1.28737192101513</v>
      </c>
      <c r="L1283">
        <v>347.55892679873102</v>
      </c>
      <c r="M1283">
        <v>6.4296601330053704</v>
      </c>
      <c r="O1283">
        <v>49.5378631311725</v>
      </c>
      <c r="P1283">
        <v>1.62650901956943E-2</v>
      </c>
      <c r="Q1283">
        <v>1.5</v>
      </c>
      <c r="R1283">
        <v>0.44664862734342797</v>
      </c>
      <c r="S1283" t="s">
        <v>3285</v>
      </c>
      <c r="T1283" t="s">
        <v>4002</v>
      </c>
      <c r="U1283" t="s">
        <v>4002</v>
      </c>
      <c r="V1283" t="s">
        <v>4002</v>
      </c>
      <c r="W1283" t="s">
        <v>5264</v>
      </c>
      <c r="X1283">
        <v>2</v>
      </c>
      <c r="Y1283" t="s">
        <v>7194</v>
      </c>
      <c r="Z1283" t="s">
        <v>9181</v>
      </c>
      <c r="AA1283">
        <v>1.2477474331755649</v>
      </c>
      <c r="AB1283" t="str">
        <f>HYPERLINK("Melting_Curves/meltCurve_P34910_EVI2B.pdf", "Melting_Curves/meltCurve_P34910_EVI2B.pdf")</f>
        <v>Melting_Curves/meltCurve_P34910_EVI2B.pdf</v>
      </c>
    </row>
    <row r="1284" spans="1:28" x14ac:dyDescent="0.25">
      <c r="A1284" t="s">
        <v>1288</v>
      </c>
      <c r="B1284">
        <v>1</v>
      </c>
      <c r="C1284">
        <v>0.94344329119160897</v>
      </c>
      <c r="D1284">
        <v>0.99970796880133395</v>
      </c>
      <c r="E1284">
        <v>1.0348612243408</v>
      </c>
      <c r="F1284">
        <v>0.976418480707689</v>
      </c>
      <c r="G1284">
        <v>1.1341639998539801</v>
      </c>
      <c r="H1284">
        <v>0.98070160495479597</v>
      </c>
      <c r="I1284">
        <v>1.48583040288137</v>
      </c>
      <c r="J1284">
        <v>1.34504702919095</v>
      </c>
      <c r="K1284">
        <v>1.2075490064855301</v>
      </c>
      <c r="L1284">
        <v>15000</v>
      </c>
      <c r="M1284">
        <v>241.06981031522599</v>
      </c>
      <c r="O1284">
        <v>62.2183576499636</v>
      </c>
      <c r="P1284">
        <v>0.335314549908236</v>
      </c>
      <c r="Q1284">
        <v>1.3461689463461901</v>
      </c>
      <c r="R1284">
        <v>0.79150975722102701</v>
      </c>
      <c r="S1284" t="s">
        <v>3286</v>
      </c>
      <c r="T1284" t="s">
        <v>4002</v>
      </c>
      <c r="U1284" t="s">
        <v>4002</v>
      </c>
      <c r="V1284" t="s">
        <v>4002</v>
      </c>
      <c r="W1284" t="s">
        <v>5265</v>
      </c>
      <c r="X1284">
        <v>14</v>
      </c>
      <c r="Y1284" t="s">
        <v>7195</v>
      </c>
      <c r="Z1284" t="s">
        <v>9182</v>
      </c>
      <c r="AA1284">
        <v>1.0897020301814591</v>
      </c>
      <c r="AB1284" t="str">
        <f>HYPERLINK("Melting_Curves/meltCurve_P34932_HSPA4.pdf", "Melting_Curves/meltCurve_P34932_HSPA4.pdf")</f>
        <v>Melting_Curves/meltCurve_P34932_HSPA4.pdf</v>
      </c>
    </row>
    <row r="1285" spans="1:28" x14ac:dyDescent="0.25">
      <c r="A1285" t="s">
        <v>1289</v>
      </c>
      <c r="B1285">
        <v>1</v>
      </c>
      <c r="C1285">
        <v>0.99845151775838803</v>
      </c>
      <c r="D1285">
        <v>1.20898365490967</v>
      </c>
      <c r="E1285">
        <v>1.3969521936831799</v>
      </c>
      <c r="F1285">
        <v>1.38232763917906</v>
      </c>
      <c r="G1285">
        <v>1.6756789971734101</v>
      </c>
      <c r="H1285">
        <v>1.46417598623571</v>
      </c>
      <c r="I1285">
        <v>2.0449797222563602</v>
      </c>
      <c r="J1285">
        <v>1.58903772889271</v>
      </c>
      <c r="K1285">
        <v>1.65822784810127</v>
      </c>
      <c r="L1285">
        <v>1212.0753734575601</v>
      </c>
      <c r="M1285">
        <v>25.7656957907971</v>
      </c>
      <c r="O1285">
        <v>46.761572718847802</v>
      </c>
      <c r="P1285">
        <v>6.8875987219471094E-2</v>
      </c>
      <c r="Q1285">
        <v>1.5</v>
      </c>
      <c r="R1285">
        <v>0.599893648713136</v>
      </c>
      <c r="S1285" t="s">
        <v>3287</v>
      </c>
      <c r="T1285" t="s">
        <v>4002</v>
      </c>
      <c r="U1285" t="s">
        <v>4002</v>
      </c>
      <c r="V1285" t="s">
        <v>4002</v>
      </c>
      <c r="W1285" t="s">
        <v>5266</v>
      </c>
      <c r="X1285">
        <v>5</v>
      </c>
      <c r="Y1285" t="s">
        <v>7196</v>
      </c>
      <c r="Z1285" t="s">
        <v>9183</v>
      </c>
      <c r="AA1285">
        <v>1.3784554990322939</v>
      </c>
      <c r="AB1285" t="str">
        <f>HYPERLINK("Melting_Curves/meltCurve_P35052_GPC1.pdf", "Melting_Curves/meltCurve_P35052_GPC1.pdf")</f>
        <v>Melting_Curves/meltCurve_P35052_GPC1.pdf</v>
      </c>
    </row>
    <row r="1286" spans="1:28" x14ac:dyDescent="0.25">
      <c r="A1286" t="s">
        <v>1290</v>
      </c>
      <c r="B1286">
        <v>1</v>
      </c>
      <c r="C1286">
        <v>1.0711293996619899</v>
      </c>
      <c r="D1286">
        <v>1.0888382687927101</v>
      </c>
      <c r="E1286">
        <v>1.14185465500772</v>
      </c>
      <c r="F1286">
        <v>1.28984495554413</v>
      </c>
      <c r="G1286">
        <v>1.4840179293114899</v>
      </c>
      <c r="H1286">
        <v>1.4841281504886501</v>
      </c>
      <c r="I1286">
        <v>1.6915276655154701</v>
      </c>
      <c r="J1286">
        <v>1.3124402968623701</v>
      </c>
      <c r="K1286">
        <v>1.4595855683738701</v>
      </c>
      <c r="L1286">
        <v>1194.16045825579</v>
      </c>
      <c r="M1286">
        <v>23.087259174890701</v>
      </c>
      <c r="O1286">
        <v>51.340416828891399</v>
      </c>
      <c r="P1286">
        <v>5.5898269384961403E-2</v>
      </c>
      <c r="Q1286">
        <v>1.4972071408949701</v>
      </c>
      <c r="R1286">
        <v>0.81397254178159995</v>
      </c>
      <c r="S1286" t="s">
        <v>3288</v>
      </c>
      <c r="T1286" t="s">
        <v>4002</v>
      </c>
      <c r="U1286" t="s">
        <v>4002</v>
      </c>
      <c r="V1286" t="s">
        <v>4002</v>
      </c>
      <c r="W1286" t="s">
        <v>5267</v>
      </c>
      <c r="X1286">
        <v>3</v>
      </c>
      <c r="Y1286" t="s">
        <v>7197</v>
      </c>
      <c r="Z1286" t="s">
        <v>9184</v>
      </c>
      <c r="AA1286">
        <v>1.2976283750896009</v>
      </c>
      <c r="AB1286" t="str">
        <f>HYPERLINK("Melting_Curves/meltCurve_P35237_SERPINB6.pdf", "Melting_Curves/meltCurve_P35237_SERPINB6.pdf")</f>
        <v>Melting_Curves/meltCurve_P35237_SERPINB6.pdf</v>
      </c>
    </row>
    <row r="1287" spans="1:28" x14ac:dyDescent="0.25">
      <c r="A1287" t="s">
        <v>1291</v>
      </c>
      <c r="B1287">
        <v>1</v>
      </c>
      <c r="C1287">
        <v>1.1040337711069399</v>
      </c>
      <c r="D1287">
        <v>1.2478736710444001</v>
      </c>
      <c r="E1287">
        <v>1.33023764853033</v>
      </c>
      <c r="F1287">
        <v>1.2912445278298901</v>
      </c>
      <c r="G1287">
        <v>1.29149468417761</v>
      </c>
      <c r="H1287">
        <v>0.86588492808005002</v>
      </c>
      <c r="I1287">
        <v>1.47020012507817</v>
      </c>
      <c r="J1287">
        <v>0.92298311444652903</v>
      </c>
      <c r="K1287">
        <v>1.1536272670419001</v>
      </c>
      <c r="L1287">
        <v>10720.0328431575</v>
      </c>
      <c r="M1287">
        <v>250</v>
      </c>
      <c r="O1287">
        <v>42.877387343353703</v>
      </c>
      <c r="P1287">
        <v>0.28670888320452798</v>
      </c>
      <c r="Q1287">
        <v>1.1966932451410099</v>
      </c>
      <c r="R1287">
        <v>0.114993072777183</v>
      </c>
      <c r="S1287" t="s">
        <v>3289</v>
      </c>
      <c r="T1287" t="s">
        <v>4002</v>
      </c>
      <c r="U1287" t="s">
        <v>4002</v>
      </c>
      <c r="V1287" t="s">
        <v>4002</v>
      </c>
      <c r="W1287" t="s">
        <v>5268</v>
      </c>
      <c r="X1287">
        <v>19</v>
      </c>
      <c r="Y1287" t="s">
        <v>7198</v>
      </c>
      <c r="Z1287" t="s">
        <v>9185</v>
      </c>
      <c r="AA1287">
        <v>1.1777950303094971</v>
      </c>
      <c r="AB1287" t="str">
        <f>HYPERLINK("Melting_Curves/meltCurve_P35241_RDX.pdf", "Melting_Curves/meltCurve_P35241_RDX.pdf")</f>
        <v>Melting_Curves/meltCurve_P35241_RDX.pdf</v>
      </c>
    </row>
    <row r="1288" spans="1:28" x14ac:dyDescent="0.25">
      <c r="A1288" t="s">
        <v>1292</v>
      </c>
      <c r="B1288">
        <v>1</v>
      </c>
      <c r="C1288">
        <v>0.90790037935015699</v>
      </c>
      <c r="D1288">
        <v>0.99844961240310104</v>
      </c>
      <c r="E1288">
        <v>1.04952993567541</v>
      </c>
      <c r="F1288">
        <v>0.98029028533729201</v>
      </c>
      <c r="G1288">
        <v>1.02670295233383</v>
      </c>
      <c r="H1288">
        <v>0.88428170872505396</v>
      </c>
      <c r="I1288">
        <v>1.07262081477816</v>
      </c>
      <c r="J1288">
        <v>0.95617681015998701</v>
      </c>
      <c r="K1288">
        <v>0.94217384133267401</v>
      </c>
      <c r="L1288">
        <v>1657.4156353092601</v>
      </c>
      <c r="M1288">
        <v>21.429433756014099</v>
      </c>
      <c r="Q1288">
        <v>0.37560888317669799</v>
      </c>
      <c r="R1288">
        <v>2.5810403669207199E-2</v>
      </c>
      <c r="S1288" t="s">
        <v>3290</v>
      </c>
      <c r="T1288" t="s">
        <v>4002</v>
      </c>
      <c r="U1288" t="s">
        <v>4002</v>
      </c>
      <c r="V1288" t="s">
        <v>4002</v>
      </c>
      <c r="W1288" t="s">
        <v>5269</v>
      </c>
      <c r="X1288">
        <v>11</v>
      </c>
      <c r="Y1288" t="s">
        <v>7199</v>
      </c>
      <c r="Z1288" t="s">
        <v>9186</v>
      </c>
      <c r="AA1288">
        <v>0.99429808438631406</v>
      </c>
      <c r="AB1288" t="str">
        <f>HYPERLINK("Melting_Curves/meltCurve_P35321_SPRR1A.pdf", "Melting_Curves/meltCurve_P35321_SPRR1A.pdf")</f>
        <v>Melting_Curves/meltCurve_P35321_SPRR1A.pdf</v>
      </c>
    </row>
    <row r="1289" spans="1:28" x14ac:dyDescent="0.25">
      <c r="A1289" t="s">
        <v>1293</v>
      </c>
      <c r="B1289">
        <v>1</v>
      </c>
      <c r="C1289">
        <v>0.867927155268434</v>
      </c>
      <c r="D1289">
        <v>0.93985297393628897</v>
      </c>
      <c r="E1289">
        <v>1.0553018489641299</v>
      </c>
      <c r="F1289">
        <v>1.0685843172198699</v>
      </c>
      <c r="G1289">
        <v>1.0389841835598099</v>
      </c>
      <c r="H1289">
        <v>1.0383715749610201</v>
      </c>
      <c r="I1289">
        <v>1.08888393851637</v>
      </c>
      <c r="J1289">
        <v>1.50150367565159</v>
      </c>
      <c r="K1289">
        <v>0.98507462686567204</v>
      </c>
      <c r="L1289">
        <v>15000</v>
      </c>
      <c r="M1289">
        <v>233.82378201096799</v>
      </c>
      <c r="O1289">
        <v>64.146181318630696</v>
      </c>
      <c r="P1289">
        <v>0.22169832666966999</v>
      </c>
      <c r="Q1289">
        <v>1.24327894976258</v>
      </c>
      <c r="R1289">
        <v>0.35801745710579402</v>
      </c>
      <c r="S1289" t="s">
        <v>3291</v>
      </c>
      <c r="T1289" t="s">
        <v>4002</v>
      </c>
      <c r="U1289" t="s">
        <v>4002</v>
      </c>
      <c r="V1289" t="s">
        <v>4002</v>
      </c>
      <c r="W1289" t="s">
        <v>5270</v>
      </c>
      <c r="X1289">
        <v>8</v>
      </c>
      <c r="Y1289" t="s">
        <v>7200</v>
      </c>
      <c r="Z1289" t="s">
        <v>9187</v>
      </c>
      <c r="AA1289">
        <v>1.047400995932928</v>
      </c>
      <c r="AB1289" t="str">
        <f>HYPERLINK("Melting_Curves/meltCurve_P35325_SPRR2B.pdf", "Melting_Curves/meltCurve_P35325_SPRR2B.pdf")</f>
        <v>Melting_Curves/meltCurve_P35325_SPRR2B.pdf</v>
      </c>
    </row>
    <row r="1290" spans="1:28" x14ac:dyDescent="0.25">
      <c r="A1290" t="s">
        <v>1294</v>
      </c>
      <c r="B1290">
        <v>1</v>
      </c>
      <c r="C1290">
        <v>0.91240553808814595</v>
      </c>
      <c r="D1290">
        <v>1.0212918528324799</v>
      </c>
      <c r="E1290">
        <v>1.10386673285896</v>
      </c>
      <c r="F1290">
        <v>1.0697777042307901</v>
      </c>
      <c r="G1290">
        <v>1.0202989685035</v>
      </c>
      <c r="H1290">
        <v>0.94759777152628399</v>
      </c>
      <c r="I1290">
        <v>1.1243311820839501</v>
      </c>
      <c r="J1290">
        <v>1.1656462022174401</v>
      </c>
      <c r="K1290">
        <v>0.88212256605438799</v>
      </c>
      <c r="L1290">
        <v>11504.566552542799</v>
      </c>
      <c r="M1290">
        <v>250</v>
      </c>
      <c r="O1290">
        <v>46.0153211832721</v>
      </c>
      <c r="P1290">
        <v>6.0857278427234998E-2</v>
      </c>
      <c r="Q1290">
        <v>1.044805875517</v>
      </c>
      <c r="R1290">
        <v>0.10807951325481201</v>
      </c>
      <c r="S1290" t="s">
        <v>3292</v>
      </c>
      <c r="T1290" t="s">
        <v>4002</v>
      </c>
      <c r="U1290" t="s">
        <v>4002</v>
      </c>
      <c r="V1290" t="s">
        <v>4002</v>
      </c>
      <c r="W1290" t="s">
        <v>5271</v>
      </c>
      <c r="X1290">
        <v>10</v>
      </c>
      <c r="Y1290" t="s">
        <v>7201</v>
      </c>
      <c r="Z1290" t="s">
        <v>9188</v>
      </c>
      <c r="AA1290">
        <v>1.0358138007130391</v>
      </c>
      <c r="AB1290" t="str">
        <f>HYPERLINK("Melting_Curves/meltCurve_P35326_SPRR2A.pdf", "Melting_Curves/meltCurve_P35326_SPRR2A.pdf")</f>
        <v>Melting_Curves/meltCurve_P35326_SPRR2A.pdf</v>
      </c>
    </row>
    <row r="1291" spans="1:28" x14ac:dyDescent="0.25">
      <c r="A1291" t="s">
        <v>1295</v>
      </c>
      <c r="B1291">
        <v>1</v>
      </c>
      <c r="C1291">
        <v>0.93217728662120902</v>
      </c>
      <c r="D1291">
        <v>1.0288737361862199</v>
      </c>
      <c r="E1291">
        <v>1.0411239125323299</v>
      </c>
      <c r="F1291">
        <v>0.92652245473783201</v>
      </c>
      <c r="G1291">
        <v>0.88397601692922601</v>
      </c>
      <c r="H1291">
        <v>0.65886433106042797</v>
      </c>
      <c r="I1291">
        <v>0.83944274629673199</v>
      </c>
      <c r="J1291">
        <v>1.01348459910651</v>
      </c>
      <c r="K1291">
        <v>0.64200564307547603</v>
      </c>
      <c r="L1291">
        <v>1934.63376419479</v>
      </c>
      <c r="M1291">
        <v>35.138992502839599</v>
      </c>
      <c r="O1291">
        <v>54.879208628391297</v>
      </c>
      <c r="P1291">
        <v>-3.2959868546520298E-2</v>
      </c>
      <c r="Q1291">
        <v>0.79409708783928001</v>
      </c>
      <c r="R1291">
        <v>0.45404715859688199</v>
      </c>
      <c r="S1291" t="s">
        <v>3293</v>
      </c>
      <c r="T1291" t="s">
        <v>4002</v>
      </c>
      <c r="U1291" t="s">
        <v>4002</v>
      </c>
      <c r="V1291" t="s">
        <v>4002</v>
      </c>
      <c r="W1291" t="s">
        <v>5272</v>
      </c>
      <c r="X1291">
        <v>64</v>
      </c>
      <c r="Y1291" t="s">
        <v>7202</v>
      </c>
      <c r="Z1291" t="s">
        <v>9189</v>
      </c>
      <c r="AA1291">
        <v>0.89844508485049701</v>
      </c>
      <c r="AB1291" t="str">
        <f>HYPERLINK("Melting_Curves/meltCurve_P35579_MYH9.pdf", "Melting_Curves/meltCurve_P35579_MYH9.pdf")</f>
        <v>Melting_Curves/meltCurve_P35579_MYH9.pdf</v>
      </c>
    </row>
    <row r="1292" spans="1:28" x14ac:dyDescent="0.25">
      <c r="A1292" t="s">
        <v>1296</v>
      </c>
      <c r="B1292">
        <v>1</v>
      </c>
      <c r="C1292">
        <v>1.02249806051202</v>
      </c>
      <c r="D1292">
        <v>0.96559700966217699</v>
      </c>
      <c r="E1292">
        <v>1.0753226602722299</v>
      </c>
      <c r="F1292">
        <v>1.0235277523097499</v>
      </c>
      <c r="G1292">
        <v>1.31212356301573</v>
      </c>
      <c r="H1292">
        <v>0.86434868467451897</v>
      </c>
      <c r="I1292">
        <v>1.28755201354115</v>
      </c>
      <c r="J1292">
        <v>0.83104591296988495</v>
      </c>
      <c r="K1292">
        <v>1.2449961210240501</v>
      </c>
      <c r="L1292">
        <v>1915.3295242204999</v>
      </c>
      <c r="M1292">
        <v>38.519753953838098</v>
      </c>
      <c r="O1292">
        <v>49.5898653077383</v>
      </c>
      <c r="P1292">
        <v>1.8999091484083901E-2</v>
      </c>
      <c r="Q1292">
        <v>1.0978365557888801</v>
      </c>
      <c r="R1292">
        <v>7.56930692977964E-2</v>
      </c>
      <c r="S1292" t="s">
        <v>3294</v>
      </c>
      <c r="T1292" t="s">
        <v>4002</v>
      </c>
      <c r="U1292" t="s">
        <v>4002</v>
      </c>
      <c r="V1292" t="s">
        <v>4002</v>
      </c>
      <c r="W1292" t="s">
        <v>5273</v>
      </c>
      <c r="X1292">
        <v>3</v>
      </c>
      <c r="Y1292" t="s">
        <v>7203</v>
      </c>
      <c r="Z1292" t="s">
        <v>9190</v>
      </c>
      <c r="AA1292">
        <v>1.065763668466682</v>
      </c>
      <c r="AB1292" t="str">
        <f>HYPERLINK("Melting_Curves/meltCurve_P35658_2_NUP214.pdf", "Melting_Curves/meltCurve_P35658_2_NUP214.pdf")</f>
        <v>Melting_Curves/meltCurve_P35658_2_NUP214.pdf</v>
      </c>
    </row>
    <row r="1293" spans="1:28" x14ac:dyDescent="0.25">
      <c r="A1293" t="s">
        <v>1297</v>
      </c>
      <c r="B1293">
        <v>1</v>
      </c>
      <c r="C1293">
        <v>0.97324626460692498</v>
      </c>
      <c r="D1293">
        <v>1.14527332585652</v>
      </c>
      <c r="E1293">
        <v>1.4552476393762901</v>
      </c>
      <c r="F1293">
        <v>1.56056220831374</v>
      </c>
      <c r="G1293">
        <v>1.6828805035997201</v>
      </c>
      <c r="H1293">
        <v>1.9633877211388899</v>
      </c>
      <c r="I1293">
        <v>2.05600376252668</v>
      </c>
      <c r="J1293">
        <v>2.1866068521399402</v>
      </c>
      <c r="K1293">
        <v>1.8553959697550699</v>
      </c>
      <c r="L1293">
        <v>2219.2973890242602</v>
      </c>
      <c r="M1293">
        <v>47.305008989580699</v>
      </c>
      <c r="O1293">
        <v>46.831021122229799</v>
      </c>
      <c r="P1293">
        <v>0.126265271406104</v>
      </c>
      <c r="Q1293">
        <v>1.5</v>
      </c>
      <c r="R1293">
        <v>0.33182959309695398</v>
      </c>
      <c r="S1293" t="s">
        <v>3295</v>
      </c>
      <c r="T1293" t="s">
        <v>4002</v>
      </c>
      <c r="U1293" t="s">
        <v>4002</v>
      </c>
      <c r="V1293" t="s">
        <v>4002</v>
      </c>
      <c r="W1293" t="s">
        <v>5274</v>
      </c>
      <c r="X1293">
        <v>3</v>
      </c>
      <c r="Y1293" t="s">
        <v>7204</v>
      </c>
      <c r="Z1293" t="s">
        <v>9191</v>
      </c>
      <c r="AA1293">
        <v>1.3835960421390889</v>
      </c>
      <c r="AB1293" t="str">
        <f>HYPERLINK("Melting_Curves/meltCurve_P35754_GLRX.pdf", "Melting_Curves/meltCurve_P35754_GLRX.pdf")</f>
        <v>Melting_Curves/meltCurve_P35754_GLRX.pdf</v>
      </c>
    </row>
    <row r="1294" spans="1:28" x14ac:dyDescent="0.25">
      <c r="A1294" t="s">
        <v>1298</v>
      </c>
      <c r="B1294">
        <v>1</v>
      </c>
      <c r="C1294">
        <v>1.0892942071720699</v>
      </c>
      <c r="D1294">
        <v>1.2454580043755299</v>
      </c>
      <c r="E1294">
        <v>1.32790354798821</v>
      </c>
      <c r="F1294">
        <v>1.40564063540379</v>
      </c>
      <c r="G1294">
        <v>1.6812042233425299</v>
      </c>
      <c r="H1294">
        <v>1.88383430038999</v>
      </c>
      <c r="I1294">
        <v>2.52710929325597</v>
      </c>
      <c r="J1294">
        <v>2.7073623133263598</v>
      </c>
      <c r="K1294">
        <v>2.40036145724341</v>
      </c>
      <c r="L1294">
        <v>1098.2970657967901</v>
      </c>
      <c r="M1294">
        <v>23.629093952690098</v>
      </c>
      <c r="O1294">
        <v>46.151636597735703</v>
      </c>
      <c r="P1294">
        <v>6.3999603062206006E-2</v>
      </c>
      <c r="Q1294">
        <v>1.5</v>
      </c>
      <c r="R1294">
        <v>-3.9242250544695399E-3</v>
      </c>
      <c r="S1294" t="s">
        <v>3296</v>
      </c>
      <c r="T1294" t="s">
        <v>4002</v>
      </c>
      <c r="U1294" t="s">
        <v>4002</v>
      </c>
      <c r="V1294" t="s">
        <v>4002</v>
      </c>
      <c r="W1294" t="s">
        <v>5275</v>
      </c>
      <c r="X1294">
        <v>4</v>
      </c>
      <c r="Y1294" t="s">
        <v>7205</v>
      </c>
      <c r="Z1294" t="s">
        <v>9192</v>
      </c>
      <c r="AA1294">
        <v>1.3868465064127029</v>
      </c>
      <c r="AB1294" t="str">
        <f>HYPERLINK("Melting_Curves/meltCurve_P35858_IGFALS.pdf", "Melting_Curves/meltCurve_P35858_IGFALS.pdf")</f>
        <v>Melting_Curves/meltCurve_P35858_IGFALS.pdf</v>
      </c>
    </row>
    <row r="1295" spans="1:28" x14ac:dyDescent="0.25">
      <c r="A1295" t="s">
        <v>1299</v>
      </c>
      <c r="B1295">
        <v>1</v>
      </c>
      <c r="C1295">
        <v>0.88290163514731901</v>
      </c>
      <c r="D1295">
        <v>0.88848940883135397</v>
      </c>
      <c r="E1295">
        <v>0.89718273800910497</v>
      </c>
      <c r="F1295">
        <v>0.81408964926145699</v>
      </c>
      <c r="G1295">
        <v>0.84958648248533497</v>
      </c>
      <c r="H1295">
        <v>0.82170326918153602</v>
      </c>
      <c r="I1295">
        <v>0.83822170772159099</v>
      </c>
      <c r="J1295">
        <v>2.61445474682488</v>
      </c>
      <c r="K1295">
        <v>0.80836830329812204</v>
      </c>
      <c r="L1295">
        <v>15000</v>
      </c>
      <c r="M1295">
        <v>230.084350868862</v>
      </c>
      <c r="O1295">
        <v>65.188556747153498</v>
      </c>
      <c r="P1295">
        <v>0.44119007011674399</v>
      </c>
      <c r="Q1295">
        <v>1.5</v>
      </c>
      <c r="R1295">
        <v>0.32439682204084902</v>
      </c>
      <c r="S1295" t="s">
        <v>3297</v>
      </c>
      <c r="T1295" t="s">
        <v>4002</v>
      </c>
      <c r="U1295" t="s">
        <v>4002</v>
      </c>
      <c r="V1295" t="s">
        <v>4002</v>
      </c>
      <c r="W1295" t="s">
        <v>5276</v>
      </c>
      <c r="X1295">
        <v>3</v>
      </c>
      <c r="Y1295" t="s">
        <v>7206</v>
      </c>
      <c r="Z1295" t="s">
        <v>9193</v>
      </c>
      <c r="AA1295">
        <v>1.080041091643438</v>
      </c>
      <c r="AB1295" t="str">
        <f>HYPERLINK("Melting_Curves/meltCurve_P35998_PSMC2.pdf", "Melting_Curves/meltCurve_P35998_PSMC2.pdf")</f>
        <v>Melting_Curves/meltCurve_P35998_PSMC2.pdf</v>
      </c>
    </row>
    <row r="1296" spans="1:28" x14ac:dyDescent="0.25">
      <c r="A1296" t="s">
        <v>1300</v>
      </c>
      <c r="B1296">
        <v>1</v>
      </c>
      <c r="C1296">
        <v>0.93190669131820103</v>
      </c>
      <c r="D1296">
        <v>0.96752029162241204</v>
      </c>
      <c r="E1296">
        <v>1.1508857506261201</v>
      </c>
      <c r="F1296">
        <v>1.2488756015367899</v>
      </c>
      <c r="G1296">
        <v>1.22944284908802</v>
      </c>
      <c r="H1296">
        <v>1.5959246292435401</v>
      </c>
      <c r="I1296">
        <v>1.7359663270524399</v>
      </c>
      <c r="J1296">
        <v>1.72337830927186</v>
      </c>
      <c r="K1296">
        <v>1.2990440973997901</v>
      </c>
      <c r="L1296">
        <v>1191.0649119871</v>
      </c>
      <c r="M1296">
        <v>22.292358488154498</v>
      </c>
      <c r="O1296">
        <v>53.004919321560401</v>
      </c>
      <c r="P1296">
        <v>5.2572556310031597E-2</v>
      </c>
      <c r="Q1296">
        <v>1.5</v>
      </c>
      <c r="R1296">
        <v>0.74463041494821103</v>
      </c>
      <c r="S1296" t="s">
        <v>3298</v>
      </c>
      <c r="T1296" t="s">
        <v>4002</v>
      </c>
      <c r="U1296" t="s">
        <v>4002</v>
      </c>
      <c r="V1296" t="s">
        <v>4002</v>
      </c>
      <c r="W1296" t="s">
        <v>5277</v>
      </c>
      <c r="X1296">
        <v>2</v>
      </c>
      <c r="Y1296" t="s">
        <v>7207</v>
      </c>
      <c r="Z1296" t="s">
        <v>9194</v>
      </c>
      <c r="AA1296">
        <v>1.2704960092787461</v>
      </c>
      <c r="AB1296" t="str">
        <f>HYPERLINK("Melting_Curves/meltCurve_P36222_CHI3L1.pdf", "Melting_Curves/meltCurve_P36222_CHI3L1.pdf")</f>
        <v>Melting_Curves/meltCurve_P36222_CHI3L1.pdf</v>
      </c>
    </row>
    <row r="1297" spans="1:28" x14ac:dyDescent="0.25">
      <c r="A1297" t="s">
        <v>1301</v>
      </c>
      <c r="B1297">
        <v>1</v>
      </c>
      <c r="C1297">
        <v>0.97140946330045097</v>
      </c>
      <c r="D1297">
        <v>1.0578498578833</v>
      </c>
      <c r="E1297">
        <v>1.1839157331549901</v>
      </c>
      <c r="F1297">
        <v>1.1558267848185899</v>
      </c>
      <c r="G1297">
        <v>1.3329710750710599</v>
      </c>
      <c r="H1297">
        <v>1.3609764253469301</v>
      </c>
      <c r="I1297">
        <v>1.5466477177729501</v>
      </c>
      <c r="J1297">
        <v>1.7468650727303101</v>
      </c>
      <c r="K1297">
        <v>1.3394917237920101</v>
      </c>
      <c r="L1297">
        <v>881.41031651782203</v>
      </c>
      <c r="M1297">
        <v>16.331957678923398</v>
      </c>
      <c r="O1297">
        <v>53.178779006131997</v>
      </c>
      <c r="P1297">
        <v>3.8392050983621299E-2</v>
      </c>
      <c r="Q1297">
        <v>1.5</v>
      </c>
      <c r="R1297">
        <v>0.78629031666247895</v>
      </c>
      <c r="S1297" t="s">
        <v>3299</v>
      </c>
      <c r="T1297" t="s">
        <v>4002</v>
      </c>
      <c r="U1297" t="s">
        <v>4002</v>
      </c>
      <c r="V1297" t="s">
        <v>4002</v>
      </c>
      <c r="W1297" t="s">
        <v>5278</v>
      </c>
      <c r="X1297">
        <v>3</v>
      </c>
      <c r="Y1297" t="s">
        <v>7208</v>
      </c>
      <c r="Z1297" t="s">
        <v>9195</v>
      </c>
      <c r="AA1297">
        <v>1.2579950638867281</v>
      </c>
      <c r="AB1297" t="str">
        <f>HYPERLINK("Melting_Curves/meltCurve_P36639_4_NUDT1.pdf", "Melting_Curves/meltCurve_P36639_4_NUDT1.pdf")</f>
        <v>Melting_Curves/meltCurve_P36639_4_NUDT1.pdf</v>
      </c>
    </row>
    <row r="1298" spans="1:28" x14ac:dyDescent="0.25">
      <c r="A1298" t="s">
        <v>1302</v>
      </c>
      <c r="B1298">
        <v>1</v>
      </c>
      <c r="C1298">
        <v>0.92611246402479497</v>
      </c>
      <c r="D1298">
        <v>1.08047376577374</v>
      </c>
      <c r="E1298">
        <v>1.59359087890193</v>
      </c>
      <c r="F1298">
        <v>2.2352224928049602</v>
      </c>
      <c r="G1298">
        <v>2.9543391631613898</v>
      </c>
      <c r="H1298">
        <v>2.8065087447420898</v>
      </c>
      <c r="I1298">
        <v>3.8664489705556799</v>
      </c>
      <c r="J1298">
        <v>3.1617223821120199</v>
      </c>
      <c r="K1298">
        <v>3.19459818463582</v>
      </c>
      <c r="L1298">
        <v>11575.954958607999</v>
      </c>
      <c r="M1298">
        <v>250</v>
      </c>
      <c r="O1298">
        <v>46.3008815287575</v>
      </c>
      <c r="P1298">
        <v>0.67493351366505105</v>
      </c>
      <c r="Q1298">
        <v>1.5</v>
      </c>
      <c r="R1298">
        <v>-0.52349850631459605</v>
      </c>
      <c r="S1298" t="s">
        <v>3300</v>
      </c>
      <c r="T1298" t="s">
        <v>4002</v>
      </c>
      <c r="U1298" t="s">
        <v>4002</v>
      </c>
      <c r="V1298" t="s">
        <v>4002</v>
      </c>
      <c r="W1298" t="s">
        <v>5279</v>
      </c>
      <c r="X1298">
        <v>22</v>
      </c>
      <c r="Y1298" t="s">
        <v>7209</v>
      </c>
      <c r="Z1298" t="s">
        <v>9196</v>
      </c>
      <c r="AA1298">
        <v>1.3948957048512181</v>
      </c>
      <c r="AB1298" t="str">
        <f>HYPERLINK("Melting_Curves/meltCurve_P36871_PGM1.pdf", "Melting_Curves/meltCurve_P36871_PGM1.pdf")</f>
        <v>Melting_Curves/meltCurve_P36871_PGM1.pdf</v>
      </c>
    </row>
    <row r="1299" spans="1:28" x14ac:dyDescent="0.25">
      <c r="A1299" t="s">
        <v>1303</v>
      </c>
      <c r="B1299">
        <v>1</v>
      </c>
      <c r="C1299">
        <v>0.928494430470715</v>
      </c>
      <c r="D1299">
        <v>1.01566654689184</v>
      </c>
      <c r="E1299">
        <v>1.20172475745598</v>
      </c>
      <c r="F1299">
        <v>1.3148401006108501</v>
      </c>
      <c r="G1299">
        <v>1.599928135106</v>
      </c>
      <c r="H1299">
        <v>1.6199784405318001</v>
      </c>
      <c r="I1299">
        <v>2.0431908012935698</v>
      </c>
      <c r="J1299">
        <v>2.25088034495149</v>
      </c>
      <c r="K1299">
        <v>1.72727272727273</v>
      </c>
      <c r="L1299">
        <v>1710.0070542506601</v>
      </c>
      <c r="M1299">
        <v>33.4974222044046</v>
      </c>
      <c r="O1299">
        <v>50.868009422137597</v>
      </c>
      <c r="P1299">
        <v>8.2314906148770003E-2</v>
      </c>
      <c r="Q1299">
        <v>1.5</v>
      </c>
      <c r="R1299">
        <v>0.48870031240053502</v>
      </c>
      <c r="S1299" t="s">
        <v>3301</v>
      </c>
      <c r="T1299" t="s">
        <v>4002</v>
      </c>
      <c r="U1299" t="s">
        <v>4002</v>
      </c>
      <c r="V1299" t="s">
        <v>4002</v>
      </c>
      <c r="W1299" t="s">
        <v>5280</v>
      </c>
      <c r="X1299">
        <v>10</v>
      </c>
      <c r="Y1299" t="s">
        <v>7210</v>
      </c>
      <c r="Z1299" t="s">
        <v>9197</v>
      </c>
      <c r="AA1299">
        <v>1.313329846115826</v>
      </c>
      <c r="AB1299" t="str">
        <f>HYPERLINK("Melting_Curves/meltCurve_P36952_SERPINB5.pdf", "Melting_Curves/meltCurve_P36952_SERPINB5.pdf")</f>
        <v>Melting_Curves/meltCurve_P36952_SERPINB5.pdf</v>
      </c>
    </row>
    <row r="1300" spans="1:28" x14ac:dyDescent="0.25">
      <c r="A1300" t="s">
        <v>1304</v>
      </c>
      <c r="B1300">
        <v>1</v>
      </c>
      <c r="C1300">
        <v>0.97381125765299204</v>
      </c>
      <c r="D1300">
        <v>0.98627181271408104</v>
      </c>
      <c r="E1300">
        <v>1.0672384497127601</v>
      </c>
      <c r="F1300">
        <v>1.6025838120667799</v>
      </c>
      <c r="G1300">
        <v>2.5244491194001699</v>
      </c>
      <c r="H1300">
        <v>2.7159694689430101</v>
      </c>
      <c r="I1300">
        <v>3.6194945653639699</v>
      </c>
      <c r="J1300">
        <v>3.0919437926477298</v>
      </c>
      <c r="K1300">
        <v>3.4889554171049402</v>
      </c>
      <c r="L1300">
        <v>12593.094123180899</v>
      </c>
      <c r="M1300">
        <v>250</v>
      </c>
      <c r="O1300">
        <v>50.369159631429902</v>
      </c>
      <c r="P1300">
        <v>0.62041940692230702</v>
      </c>
      <c r="Q1300">
        <v>1.5</v>
      </c>
      <c r="R1300">
        <v>-0.25043577471922301</v>
      </c>
      <c r="S1300" t="s">
        <v>3302</v>
      </c>
      <c r="T1300" t="s">
        <v>4002</v>
      </c>
      <c r="U1300" t="s">
        <v>4002</v>
      </c>
      <c r="V1300" t="s">
        <v>4002</v>
      </c>
      <c r="W1300" t="s">
        <v>5281</v>
      </c>
      <c r="X1300">
        <v>6</v>
      </c>
      <c r="Y1300" t="s">
        <v>7211</v>
      </c>
      <c r="Z1300" t="s">
        <v>9198</v>
      </c>
      <c r="AA1300">
        <v>1.3270828570862181</v>
      </c>
      <c r="AB1300" t="str">
        <f>HYPERLINK("Melting_Curves/meltCurve_P36955_SERPINF1.pdf", "Melting_Curves/meltCurve_P36955_SERPINF1.pdf")</f>
        <v>Melting_Curves/meltCurve_P36955_SERPINF1.pdf</v>
      </c>
    </row>
    <row r="1301" spans="1:28" x14ac:dyDescent="0.25">
      <c r="A1301" t="s">
        <v>1305</v>
      </c>
      <c r="B1301">
        <v>1</v>
      </c>
      <c r="C1301">
        <v>0.91570415972437902</v>
      </c>
      <c r="D1301">
        <v>0.91217418316342402</v>
      </c>
      <c r="E1301">
        <v>0.97743638982237202</v>
      </c>
      <c r="F1301">
        <v>0.92299003134619195</v>
      </c>
      <c r="G1301">
        <v>0.94908361808477604</v>
      </c>
      <c r="H1301">
        <v>0.76625907203976196</v>
      </c>
      <c r="I1301">
        <v>1.11098246307645</v>
      </c>
      <c r="J1301">
        <v>0.79588263533930104</v>
      </c>
      <c r="K1301">
        <v>0.90534014854141398</v>
      </c>
      <c r="L1301">
        <v>129.77087056293999</v>
      </c>
      <c r="M1301">
        <v>1.5314261574191399</v>
      </c>
      <c r="O1301">
        <v>42.135170858981198</v>
      </c>
      <c r="P1301">
        <v>-2.6522481589556501E-3</v>
      </c>
      <c r="Q1301">
        <v>0.74902702247795105</v>
      </c>
      <c r="R1301">
        <v>5.9494852838191101E-2</v>
      </c>
      <c r="S1301" t="s">
        <v>3303</v>
      </c>
      <c r="T1301" t="s">
        <v>4002</v>
      </c>
      <c r="U1301" t="s">
        <v>4002</v>
      </c>
      <c r="V1301" t="s">
        <v>4002</v>
      </c>
      <c r="W1301" t="s">
        <v>5282</v>
      </c>
      <c r="X1301">
        <v>4</v>
      </c>
      <c r="Y1301" t="s">
        <v>7212</v>
      </c>
      <c r="Z1301" t="s">
        <v>9199</v>
      </c>
      <c r="AA1301">
        <v>0.92524364620774313</v>
      </c>
      <c r="AB1301" t="str">
        <f>HYPERLINK("Melting_Curves/meltCurve_P36980_2_CFHR2.pdf", "Melting_Curves/meltCurve_P36980_2_CFHR2.pdf")</f>
        <v>Melting_Curves/meltCurve_P36980_2_CFHR2.pdf</v>
      </c>
    </row>
    <row r="1302" spans="1:28" x14ac:dyDescent="0.25">
      <c r="A1302" t="s">
        <v>1306</v>
      </c>
      <c r="B1302">
        <v>1</v>
      </c>
      <c r="C1302">
        <v>0.85864624505928899</v>
      </c>
      <c r="D1302">
        <v>0.97794466403162095</v>
      </c>
      <c r="E1302">
        <v>0.910415019762846</v>
      </c>
      <c r="F1302">
        <v>0.88143280632411103</v>
      </c>
      <c r="G1302">
        <v>1.00355731225296</v>
      </c>
      <c r="H1302">
        <v>0.99239130434782596</v>
      </c>
      <c r="I1302">
        <v>1.03922924901186</v>
      </c>
      <c r="J1302">
        <v>1.0904150197628499</v>
      </c>
      <c r="K1302">
        <v>1.05296442687747</v>
      </c>
      <c r="L1302">
        <v>15000</v>
      </c>
      <c r="M1302">
        <v>234.56447050647699</v>
      </c>
      <c r="O1302">
        <v>63.943668446060698</v>
      </c>
      <c r="P1302">
        <v>6.57450141442458E-2</v>
      </c>
      <c r="Q1302">
        <v>1.07168991114417</v>
      </c>
      <c r="R1302">
        <v>0.15739687551345599</v>
      </c>
      <c r="S1302" t="s">
        <v>3304</v>
      </c>
      <c r="T1302" t="s">
        <v>4002</v>
      </c>
      <c r="U1302" t="s">
        <v>4002</v>
      </c>
      <c r="V1302" t="s">
        <v>4002</v>
      </c>
      <c r="W1302" t="s">
        <v>5283</v>
      </c>
      <c r="X1302">
        <v>8</v>
      </c>
      <c r="Y1302" t="s">
        <v>7213</v>
      </c>
      <c r="Z1302" t="s">
        <v>9200</v>
      </c>
      <c r="AA1302">
        <v>1.0144523793358149</v>
      </c>
      <c r="AB1302" t="str">
        <f>HYPERLINK("Melting_Curves/meltCurve_P37802_TAGLN2.pdf", "Melting_Curves/meltCurve_P37802_TAGLN2.pdf")</f>
        <v>Melting_Curves/meltCurve_P37802_TAGLN2.pdf</v>
      </c>
    </row>
    <row r="1303" spans="1:28" x14ac:dyDescent="0.25">
      <c r="A1303" t="s">
        <v>1307</v>
      </c>
      <c r="B1303">
        <v>1</v>
      </c>
      <c r="C1303">
        <v>0.98279911139320897</v>
      </c>
      <c r="D1303">
        <v>1.0974293874960299</v>
      </c>
      <c r="E1303">
        <v>1.326626467788</v>
      </c>
      <c r="F1303">
        <v>1.4490214746641299</v>
      </c>
      <c r="G1303">
        <v>1.7294403892943999</v>
      </c>
      <c r="H1303">
        <v>1.61927430445361</v>
      </c>
      <c r="I1303">
        <v>2.8371945414154198</v>
      </c>
      <c r="J1303">
        <v>2.5708240770125901</v>
      </c>
      <c r="K1303">
        <v>2.9474240981698898</v>
      </c>
      <c r="L1303">
        <v>1642.0985415657899</v>
      </c>
      <c r="M1303">
        <v>33.696472298502101</v>
      </c>
      <c r="O1303">
        <v>48.561388182290699</v>
      </c>
      <c r="P1303">
        <v>8.6737149078784798E-2</v>
      </c>
      <c r="Q1303">
        <v>1.5</v>
      </c>
      <c r="R1303">
        <v>9.9874001062000301E-3</v>
      </c>
      <c r="S1303" t="s">
        <v>3305</v>
      </c>
      <c r="T1303" t="s">
        <v>4002</v>
      </c>
      <c r="U1303" t="s">
        <v>4002</v>
      </c>
      <c r="V1303" t="s">
        <v>4002</v>
      </c>
      <c r="W1303" t="s">
        <v>5284</v>
      </c>
      <c r="X1303">
        <v>21</v>
      </c>
      <c r="Y1303" t="s">
        <v>7214</v>
      </c>
      <c r="Z1303" t="s">
        <v>9201</v>
      </c>
      <c r="AA1303">
        <v>1.3520749630385509</v>
      </c>
      <c r="AB1303" t="str">
        <f>HYPERLINK("Melting_Curves/meltCurve_P37837_TALDO1.pdf", "Melting_Curves/meltCurve_P37837_TALDO1.pdf")</f>
        <v>Melting_Curves/meltCurve_P37837_TALDO1.pdf</v>
      </c>
    </row>
    <row r="1304" spans="1:28" x14ac:dyDescent="0.25">
      <c r="A1304" t="s">
        <v>1308</v>
      </c>
      <c r="B1304">
        <v>1</v>
      </c>
      <c r="C1304">
        <v>0.96754621137293595</v>
      </c>
      <c r="D1304">
        <v>1.0412022012134901</v>
      </c>
      <c r="E1304">
        <v>0.93558628474671901</v>
      </c>
      <c r="F1304">
        <v>0.88662339494849696</v>
      </c>
      <c r="G1304">
        <v>1.0586284746719301</v>
      </c>
      <c r="H1304">
        <v>0.97636517567376901</v>
      </c>
      <c r="I1304">
        <v>1.3567800197544799</v>
      </c>
      <c r="J1304">
        <v>1.3618597431917601</v>
      </c>
      <c r="K1304">
        <v>1.1377874982362099</v>
      </c>
      <c r="L1304">
        <v>15000</v>
      </c>
      <c r="M1304">
        <v>240.665989190902</v>
      </c>
      <c r="O1304">
        <v>62.322733291940601</v>
      </c>
      <c r="P1304">
        <v>0.27568326719031599</v>
      </c>
      <c r="Q1304">
        <v>1.28556319080943</v>
      </c>
      <c r="R1304">
        <v>0.77237511660107605</v>
      </c>
      <c r="S1304" t="s">
        <v>3306</v>
      </c>
      <c r="T1304" t="s">
        <v>4002</v>
      </c>
      <c r="U1304" t="s">
        <v>4002</v>
      </c>
      <c r="V1304" t="s">
        <v>4002</v>
      </c>
      <c r="W1304" t="s">
        <v>5285</v>
      </c>
      <c r="X1304">
        <v>3</v>
      </c>
      <c r="Y1304" t="s">
        <v>7215</v>
      </c>
      <c r="Z1304" t="s">
        <v>9202</v>
      </c>
      <c r="AA1304">
        <v>1.073003408417494</v>
      </c>
      <c r="AB1304" t="str">
        <f>HYPERLINK("Melting_Curves/meltCurve_P38117_ETFB.pdf", "Melting_Curves/meltCurve_P38117_ETFB.pdf")</f>
        <v>Melting_Curves/meltCurve_P38117_ETFB.pdf</v>
      </c>
    </row>
    <row r="1305" spans="1:28" x14ac:dyDescent="0.25">
      <c r="A1305" t="s">
        <v>1309</v>
      </c>
      <c r="B1305">
        <v>1</v>
      </c>
      <c r="C1305">
        <v>0.82965719882468203</v>
      </c>
      <c r="D1305">
        <v>0.826190009794319</v>
      </c>
      <c r="E1305">
        <v>0.905249755142018</v>
      </c>
      <c r="F1305">
        <v>0.89645445641527899</v>
      </c>
      <c r="G1305">
        <v>1.06650342801175</v>
      </c>
      <c r="H1305">
        <v>0.82154750244857999</v>
      </c>
      <c r="I1305">
        <v>1.3075416258570001</v>
      </c>
      <c r="J1305">
        <v>1.39715964740451</v>
      </c>
      <c r="K1305">
        <v>1.08295788442703</v>
      </c>
      <c r="L1305">
        <v>15000</v>
      </c>
      <c r="M1305">
        <v>239.45778651257299</v>
      </c>
      <c r="O1305">
        <v>62.637128398052802</v>
      </c>
      <c r="P1305">
        <v>0.25126582623628102</v>
      </c>
      <c r="Q1305">
        <v>1.2629035529746599</v>
      </c>
      <c r="R1305">
        <v>0.549436142873029</v>
      </c>
      <c r="S1305" t="s">
        <v>3307</v>
      </c>
      <c r="T1305" t="s">
        <v>4002</v>
      </c>
      <c r="U1305" t="s">
        <v>4002</v>
      </c>
      <c r="V1305" t="s">
        <v>4002</v>
      </c>
      <c r="W1305" t="s">
        <v>5286</v>
      </c>
      <c r="X1305">
        <v>4</v>
      </c>
      <c r="Y1305" t="s">
        <v>7216</v>
      </c>
      <c r="Z1305" t="s">
        <v>9203</v>
      </c>
      <c r="AA1305">
        <v>1.0644541706251669</v>
      </c>
      <c r="AB1305" t="str">
        <f>HYPERLINK("Melting_Curves/meltCurve_P38646_HSPA9.pdf", "Melting_Curves/meltCurve_P38646_HSPA9.pdf")</f>
        <v>Melting_Curves/meltCurve_P38646_HSPA9.pdf</v>
      </c>
    </row>
    <row r="1306" spans="1:28" x14ac:dyDescent="0.25">
      <c r="A1306" t="s">
        <v>1310</v>
      </c>
      <c r="B1306">
        <v>1</v>
      </c>
      <c r="C1306">
        <v>0.99657162447860104</v>
      </c>
      <c r="D1306">
        <v>1.16781898177247</v>
      </c>
      <c r="E1306">
        <v>1.33152391291926</v>
      </c>
      <c r="F1306">
        <v>1.3686075081423901</v>
      </c>
      <c r="G1306">
        <v>1.5649391463344999</v>
      </c>
      <c r="H1306">
        <v>1.5859665161990699</v>
      </c>
      <c r="I1306">
        <v>2.0321695903091301</v>
      </c>
      <c r="J1306">
        <v>1.86457916690475</v>
      </c>
      <c r="K1306">
        <v>1.77932689560597</v>
      </c>
      <c r="L1306">
        <v>1131.95816835196</v>
      </c>
      <c r="M1306">
        <v>23.496986257313399</v>
      </c>
      <c r="O1306">
        <v>47.829746963253797</v>
      </c>
      <c r="P1306">
        <v>6.1408937390660598E-2</v>
      </c>
      <c r="Q1306">
        <v>1.5</v>
      </c>
      <c r="R1306">
        <v>0.55013724952393195</v>
      </c>
      <c r="S1306" t="s">
        <v>3308</v>
      </c>
      <c r="T1306" t="s">
        <v>4002</v>
      </c>
      <c r="U1306" t="s">
        <v>4002</v>
      </c>
      <c r="V1306" t="s">
        <v>4002</v>
      </c>
      <c r="W1306" t="s">
        <v>5287</v>
      </c>
      <c r="X1306">
        <v>13</v>
      </c>
      <c r="Y1306" t="s">
        <v>7217</v>
      </c>
      <c r="Z1306" t="s">
        <v>9204</v>
      </c>
      <c r="AA1306">
        <v>1.358719305241646</v>
      </c>
      <c r="AB1306" t="str">
        <f>HYPERLINK("Melting_Curves/meltCurve_P40121_2_CAPG.pdf", "Melting_Curves/meltCurve_P40121_2_CAPG.pdf")</f>
        <v>Melting_Curves/meltCurve_P40121_2_CAPG.pdf</v>
      </c>
    </row>
    <row r="1307" spans="1:28" x14ac:dyDescent="0.25">
      <c r="A1307" t="s">
        <v>1311</v>
      </c>
      <c r="B1307">
        <v>1</v>
      </c>
      <c r="C1307">
        <v>0.939598114375506</v>
      </c>
      <c r="D1307">
        <v>1.00835674491691</v>
      </c>
      <c r="E1307">
        <v>1.0718537212513699</v>
      </c>
      <c r="F1307">
        <v>1.07704395028808</v>
      </c>
      <c r="G1307">
        <v>1.2471310889957601</v>
      </c>
      <c r="H1307">
        <v>1.16784915004047</v>
      </c>
      <c r="I1307">
        <v>1.8545545450216701</v>
      </c>
      <c r="J1307">
        <v>1.45535926860626</v>
      </c>
      <c r="K1307">
        <v>1.45295462120851</v>
      </c>
      <c r="L1307">
        <v>1438.4765319728499</v>
      </c>
      <c r="M1307">
        <v>24.977047395082899</v>
      </c>
      <c r="O1307">
        <v>57.226568421640799</v>
      </c>
      <c r="P1307">
        <v>5.4558103551341101E-2</v>
      </c>
      <c r="Q1307">
        <v>1.5</v>
      </c>
      <c r="R1307">
        <v>0.69868881122537896</v>
      </c>
      <c r="S1307" t="s">
        <v>3309</v>
      </c>
      <c r="T1307" t="s">
        <v>4002</v>
      </c>
      <c r="U1307" t="s">
        <v>4002</v>
      </c>
      <c r="V1307" t="s">
        <v>4002</v>
      </c>
      <c r="W1307" t="s">
        <v>5288</v>
      </c>
      <c r="X1307">
        <v>6</v>
      </c>
      <c r="Y1307" t="s">
        <v>7218</v>
      </c>
      <c r="Z1307" t="s">
        <v>9205</v>
      </c>
      <c r="AA1307">
        <v>1.2023727582284609</v>
      </c>
      <c r="AB1307" t="str">
        <f>HYPERLINK("Melting_Curves/meltCurve_P40189_IL6ST.pdf", "Melting_Curves/meltCurve_P40189_IL6ST.pdf")</f>
        <v>Melting_Curves/meltCurve_P40189_IL6ST.pdf</v>
      </c>
    </row>
    <row r="1308" spans="1:28" x14ac:dyDescent="0.25">
      <c r="A1308" t="s">
        <v>1312</v>
      </c>
      <c r="B1308">
        <v>1</v>
      </c>
      <c r="C1308">
        <v>1.0061455038409399</v>
      </c>
      <c r="D1308">
        <v>1.3089923181201999</v>
      </c>
      <c r="E1308">
        <v>1.3126073203795801</v>
      </c>
      <c r="F1308">
        <v>1.31468594667872</v>
      </c>
      <c r="G1308">
        <v>1.45991866244916</v>
      </c>
      <c r="H1308">
        <v>1.48368730230456</v>
      </c>
      <c r="I1308">
        <v>1.9524627202892</v>
      </c>
      <c r="J1308">
        <v>1.5446000903750601</v>
      </c>
      <c r="K1308">
        <v>1.82620876638048</v>
      </c>
      <c r="L1308">
        <v>806.29815278417004</v>
      </c>
      <c r="M1308">
        <v>17.067908880683799</v>
      </c>
      <c r="O1308">
        <v>46.606391136483097</v>
      </c>
      <c r="P1308">
        <v>4.57795140999393E-2</v>
      </c>
      <c r="Q1308">
        <v>1.5</v>
      </c>
      <c r="R1308">
        <v>0.58373288076388596</v>
      </c>
      <c r="S1308" t="s">
        <v>3310</v>
      </c>
      <c r="T1308" t="s">
        <v>4002</v>
      </c>
      <c r="U1308" t="s">
        <v>4002</v>
      </c>
      <c r="V1308" t="s">
        <v>4002</v>
      </c>
      <c r="W1308" t="s">
        <v>5289</v>
      </c>
      <c r="X1308">
        <v>3</v>
      </c>
      <c r="Y1308" t="s">
        <v>7219</v>
      </c>
      <c r="Z1308" t="s">
        <v>9206</v>
      </c>
      <c r="AA1308">
        <v>1.3690998247034101</v>
      </c>
      <c r="AB1308" t="str">
        <f>HYPERLINK("Melting_Curves/meltCurve_P40394_ADH7.pdf", "Melting_Curves/meltCurve_P40394_ADH7.pdf")</f>
        <v>Melting_Curves/meltCurve_P40394_ADH7.pdf</v>
      </c>
    </row>
    <row r="1309" spans="1:28" x14ac:dyDescent="0.25">
      <c r="A1309" t="s">
        <v>1313</v>
      </c>
      <c r="B1309">
        <v>1</v>
      </c>
      <c r="C1309">
        <v>1.01411646080161</v>
      </c>
      <c r="D1309">
        <v>1.1540894195293001</v>
      </c>
      <c r="E1309">
        <v>2.6014620620116</v>
      </c>
      <c r="F1309">
        <v>3.71679996333387</v>
      </c>
      <c r="G1309">
        <v>4.5417879322593198</v>
      </c>
      <c r="H1309">
        <v>3.3980337786740602</v>
      </c>
      <c r="I1309">
        <v>5.0507596764213902</v>
      </c>
      <c r="J1309">
        <v>3.01670600637074</v>
      </c>
      <c r="K1309">
        <v>3.80021541352522</v>
      </c>
      <c r="L1309">
        <v>11537.197763088599</v>
      </c>
      <c r="M1309">
        <v>250</v>
      </c>
      <c r="O1309">
        <v>46.145833603193701</v>
      </c>
      <c r="P1309">
        <v>0.67720083756378402</v>
      </c>
      <c r="Q1309">
        <v>1.5</v>
      </c>
      <c r="R1309">
        <v>-1.0243099622719101</v>
      </c>
      <c r="S1309" t="s">
        <v>3311</v>
      </c>
      <c r="T1309" t="s">
        <v>4002</v>
      </c>
      <c r="U1309" t="s">
        <v>4002</v>
      </c>
      <c r="V1309" t="s">
        <v>4002</v>
      </c>
      <c r="W1309" t="s">
        <v>5290</v>
      </c>
      <c r="X1309">
        <v>11</v>
      </c>
      <c r="Y1309" t="s">
        <v>7220</v>
      </c>
      <c r="Z1309" t="s">
        <v>9207</v>
      </c>
      <c r="AA1309">
        <v>1.397479653922395</v>
      </c>
      <c r="AB1309" t="str">
        <f>HYPERLINK("Melting_Curves/meltCurve_P40925_2_MDH1.pdf", "Melting_Curves/meltCurve_P40925_2_MDH1.pdf")</f>
        <v>Melting_Curves/meltCurve_P40925_2_MDH1.pdf</v>
      </c>
    </row>
    <row r="1310" spans="1:28" x14ac:dyDescent="0.25">
      <c r="A1310" t="s">
        <v>1314</v>
      </c>
      <c r="B1310">
        <v>1</v>
      </c>
      <c r="C1310">
        <v>0.93645702306079703</v>
      </c>
      <c r="D1310">
        <v>1.0530607966457</v>
      </c>
      <c r="E1310">
        <v>1.4776310272536699</v>
      </c>
      <c r="F1310">
        <v>2.2037735849056599</v>
      </c>
      <c r="G1310">
        <v>2.6924528301886799</v>
      </c>
      <c r="H1310">
        <v>2.9901467505241102</v>
      </c>
      <c r="I1310">
        <v>3.4119496855345899</v>
      </c>
      <c r="J1310">
        <v>4.22746331236897</v>
      </c>
      <c r="K1310">
        <v>2.9700209643605899</v>
      </c>
      <c r="L1310">
        <v>3843.8189107337098</v>
      </c>
      <c r="M1310">
        <v>81.407802867304994</v>
      </c>
      <c r="O1310">
        <v>47.188367908908198</v>
      </c>
      <c r="P1310">
        <v>0.21564587580383199</v>
      </c>
      <c r="Q1310">
        <v>1.5</v>
      </c>
      <c r="R1310">
        <v>-0.47185509872542603</v>
      </c>
      <c r="S1310" t="s">
        <v>3312</v>
      </c>
      <c r="T1310" t="s">
        <v>4002</v>
      </c>
      <c r="U1310" t="s">
        <v>4002</v>
      </c>
      <c r="V1310" t="s">
        <v>4002</v>
      </c>
      <c r="W1310" t="s">
        <v>5291</v>
      </c>
      <c r="X1310">
        <v>12</v>
      </c>
      <c r="Y1310" t="s">
        <v>7221</v>
      </c>
      <c r="Z1310" t="s">
        <v>9208</v>
      </c>
      <c r="AA1310">
        <v>1.379327918104984</v>
      </c>
      <c r="AB1310" t="str">
        <f>HYPERLINK("Melting_Curves/meltCurve_P40926_MDH2.pdf", "Melting_Curves/meltCurve_P40926_MDH2.pdf")</f>
        <v>Melting_Curves/meltCurve_P40926_MDH2.pdf</v>
      </c>
    </row>
    <row r="1311" spans="1:28" x14ac:dyDescent="0.25">
      <c r="A1311" t="s">
        <v>1315</v>
      </c>
      <c r="B1311">
        <v>1</v>
      </c>
      <c r="C1311">
        <v>0.83687960161071295</v>
      </c>
      <c r="D1311">
        <v>1.0634277681145601</v>
      </c>
      <c r="E1311">
        <v>1.2483499725988201</v>
      </c>
      <c r="F1311">
        <v>1.47358764802592</v>
      </c>
      <c r="G1311">
        <v>2.0767471228764101</v>
      </c>
      <c r="H1311">
        <v>2.3199027853892198</v>
      </c>
      <c r="I1311">
        <v>2.8494841430579698</v>
      </c>
      <c r="J1311">
        <v>7.8770044556696597</v>
      </c>
      <c r="K1311">
        <v>2.6927017560580402</v>
      </c>
      <c r="L1311">
        <v>3042.84860150852</v>
      </c>
      <c r="M1311">
        <v>60.853805895997603</v>
      </c>
      <c r="O1311">
        <v>49.948688096837799</v>
      </c>
      <c r="P1311">
        <v>0.15229086043963</v>
      </c>
      <c r="Q1311">
        <v>1.5</v>
      </c>
      <c r="R1311">
        <v>-0.16021540488993199</v>
      </c>
      <c r="S1311" t="s">
        <v>3313</v>
      </c>
      <c r="T1311" t="s">
        <v>4002</v>
      </c>
      <c r="U1311" t="s">
        <v>4002</v>
      </c>
      <c r="V1311" t="s">
        <v>4002</v>
      </c>
      <c r="W1311" t="s">
        <v>5292</v>
      </c>
      <c r="X1311">
        <v>3</v>
      </c>
      <c r="Y1311" t="s">
        <v>7222</v>
      </c>
      <c r="Z1311" t="s">
        <v>9209</v>
      </c>
      <c r="AA1311">
        <v>1.3325468264045079</v>
      </c>
      <c r="AB1311" t="str">
        <f>HYPERLINK("Melting_Curves/meltCurve_P41091_EIF2S3.pdf", "Melting_Curves/meltCurve_P41091_EIF2S3.pdf")</f>
        <v>Melting_Curves/meltCurve_P41091_EIF2S3.pdf</v>
      </c>
    </row>
    <row r="1312" spans="1:28" x14ac:dyDescent="0.25">
      <c r="A1312" t="s">
        <v>1316</v>
      </c>
      <c r="B1312">
        <v>1</v>
      </c>
      <c r="C1312">
        <v>1.0167566877897301</v>
      </c>
      <c r="D1312">
        <v>1.1911708416620601</v>
      </c>
      <c r="E1312">
        <v>1.16875770850168</v>
      </c>
      <c r="F1312">
        <v>1.0897801216348399</v>
      </c>
      <c r="G1312">
        <v>1.1706290137370801</v>
      </c>
      <c r="H1312">
        <v>1.05350231786671</v>
      </c>
      <c r="I1312">
        <v>1.3000893122953301</v>
      </c>
      <c r="J1312">
        <v>1.2020584357589399</v>
      </c>
      <c r="K1312">
        <v>1.0079530472504601</v>
      </c>
      <c r="L1312">
        <v>10813.2963616612</v>
      </c>
      <c r="M1312">
        <v>250</v>
      </c>
      <c r="O1312">
        <v>43.2504161824627</v>
      </c>
      <c r="P1312">
        <v>0.21386007762037801</v>
      </c>
      <c r="Q1312">
        <v>1.14799260222894</v>
      </c>
      <c r="R1312">
        <v>0.340074357080351</v>
      </c>
      <c r="S1312" t="s">
        <v>3314</v>
      </c>
      <c r="T1312" t="s">
        <v>4002</v>
      </c>
      <c r="U1312" t="s">
        <v>4002</v>
      </c>
      <c r="V1312" t="s">
        <v>4002</v>
      </c>
      <c r="W1312" t="s">
        <v>5293</v>
      </c>
      <c r="X1312">
        <v>6</v>
      </c>
      <c r="Y1312" t="s">
        <v>7223</v>
      </c>
      <c r="Z1312" t="s">
        <v>9210</v>
      </c>
      <c r="AA1312">
        <v>1.131933122313922</v>
      </c>
      <c r="AB1312" t="str">
        <f>HYPERLINK("Melting_Curves/meltCurve_P41218_MNDA.pdf", "Melting_Curves/meltCurve_P41218_MNDA.pdf")</f>
        <v>Melting_Curves/meltCurve_P41218_MNDA.pdf</v>
      </c>
    </row>
    <row r="1313" spans="1:28" x14ac:dyDescent="0.25">
      <c r="A1313" t="s">
        <v>1317</v>
      </c>
      <c r="B1313">
        <v>1</v>
      </c>
      <c r="C1313">
        <v>1.14908286164191</v>
      </c>
      <c r="D1313">
        <v>1.3628335532195599</v>
      </c>
      <c r="E1313">
        <v>1.19387581393369</v>
      </c>
      <c r="F1313">
        <v>1.2084521428267401</v>
      </c>
      <c r="G1313">
        <v>1.40060433246797</v>
      </c>
      <c r="H1313">
        <v>1.3479380346427201</v>
      </c>
      <c r="I1313">
        <v>1.9465250883091501</v>
      </c>
      <c r="J1313">
        <v>1.4636974932970199</v>
      </c>
      <c r="K1313">
        <v>1.6492530961399301</v>
      </c>
      <c r="L1313">
        <v>523.06913633316401</v>
      </c>
      <c r="M1313">
        <v>10.9583332222014</v>
      </c>
      <c r="O1313">
        <v>46.225572851354201</v>
      </c>
      <c r="P1313">
        <v>2.96429134003099E-2</v>
      </c>
      <c r="Q1313">
        <v>1.5</v>
      </c>
      <c r="R1313">
        <v>0.49003332900268498</v>
      </c>
      <c r="S1313" t="s">
        <v>3315</v>
      </c>
      <c r="T1313" t="s">
        <v>4002</v>
      </c>
      <c r="U1313" t="s">
        <v>4002</v>
      </c>
      <c r="V1313" t="s">
        <v>4002</v>
      </c>
      <c r="W1313" t="s">
        <v>5294</v>
      </c>
      <c r="X1313">
        <v>1</v>
      </c>
      <c r="Y1313" t="s">
        <v>7224</v>
      </c>
      <c r="Z1313" t="s">
        <v>9211</v>
      </c>
      <c r="AA1313">
        <v>1.347806653310246</v>
      </c>
      <c r="AB1313" t="str">
        <f>HYPERLINK("Melting_Curves/meltCurve_P41226_UBA7.pdf", "Melting_Curves/meltCurve_P41226_UBA7.pdf")</f>
        <v>Melting_Curves/meltCurve_P41226_UBA7.pdf</v>
      </c>
    </row>
    <row r="1314" spans="1:28" x14ac:dyDescent="0.25">
      <c r="A1314" t="s">
        <v>1318</v>
      </c>
      <c r="B1314">
        <v>1</v>
      </c>
      <c r="C1314">
        <v>0.88054813844526203</v>
      </c>
      <c r="D1314">
        <v>1.0247367625573101</v>
      </c>
      <c r="E1314">
        <v>0.98584311552219295</v>
      </c>
      <c r="F1314">
        <v>0.891329538011991</v>
      </c>
      <c r="G1314">
        <v>0.92070129477555496</v>
      </c>
      <c r="H1314">
        <v>0.94155876870371302</v>
      </c>
      <c r="I1314">
        <v>1.2728097133356799</v>
      </c>
      <c r="J1314">
        <v>1.4516096528792399</v>
      </c>
      <c r="K1314">
        <v>1.3033402186508101</v>
      </c>
      <c r="L1314">
        <v>15000</v>
      </c>
      <c r="M1314">
        <v>235.332939933164</v>
      </c>
      <c r="O1314">
        <v>63.734883094182301</v>
      </c>
      <c r="P1314">
        <v>0.34844653368557699</v>
      </c>
      <c r="Q1314">
        <v>1.3774770851045199</v>
      </c>
      <c r="R1314">
        <v>0.86845635093727103</v>
      </c>
      <c r="S1314" t="s">
        <v>3316</v>
      </c>
      <c r="T1314" t="s">
        <v>4002</v>
      </c>
      <c r="U1314" t="s">
        <v>4002</v>
      </c>
      <c r="V1314" t="s">
        <v>4002</v>
      </c>
      <c r="W1314" t="s">
        <v>5295</v>
      </c>
      <c r="X1314">
        <v>3</v>
      </c>
      <c r="Y1314" t="s">
        <v>7225</v>
      </c>
      <c r="Z1314" t="s">
        <v>9212</v>
      </c>
      <c r="AA1314">
        <v>1.078725732234447</v>
      </c>
      <c r="AB1314" t="str">
        <f>HYPERLINK("Melting_Curves/meltCurve_P41240_CSK.pdf", "Melting_Curves/meltCurve_P41240_CSK.pdf")</f>
        <v>Melting_Curves/meltCurve_P41240_CSK.pdf</v>
      </c>
    </row>
    <row r="1315" spans="1:28" x14ac:dyDescent="0.25">
      <c r="A1315" t="s">
        <v>1319</v>
      </c>
      <c r="B1315">
        <v>1</v>
      </c>
      <c r="C1315">
        <v>1.0138897387260599</v>
      </c>
      <c r="D1315">
        <v>1.1185216912439599</v>
      </c>
      <c r="E1315">
        <v>1.1694915254237299</v>
      </c>
      <c r="F1315">
        <v>1.1898060331640501</v>
      </c>
      <c r="G1315">
        <v>1.1766505537539</v>
      </c>
      <c r="H1315">
        <v>1.0797283240531099</v>
      </c>
      <c r="I1315">
        <v>1.34865079850701</v>
      </c>
      <c r="J1315">
        <v>1.7442941932325799</v>
      </c>
      <c r="K1315">
        <v>1.1619653674356001</v>
      </c>
      <c r="L1315">
        <v>396.68219919848002</v>
      </c>
      <c r="M1315">
        <v>6.79971835993297</v>
      </c>
      <c r="O1315">
        <v>53.9160198996126</v>
      </c>
      <c r="P1315">
        <v>1.57971012287739E-2</v>
      </c>
      <c r="Q1315">
        <v>1.5</v>
      </c>
      <c r="R1315">
        <v>0.39510005360116202</v>
      </c>
      <c r="S1315" t="s">
        <v>3317</v>
      </c>
      <c r="T1315" t="s">
        <v>4002</v>
      </c>
      <c r="U1315" t="s">
        <v>4002</v>
      </c>
      <c r="V1315" t="s">
        <v>4002</v>
      </c>
      <c r="W1315" t="s">
        <v>5296</v>
      </c>
      <c r="X1315">
        <v>3</v>
      </c>
      <c r="Y1315" t="s">
        <v>7226</v>
      </c>
      <c r="Z1315" t="s">
        <v>9213</v>
      </c>
      <c r="AA1315">
        <v>1.197590629661331</v>
      </c>
      <c r="AB1315" t="str">
        <f>HYPERLINK("Melting_Curves/meltCurve_P41250_GARS.pdf", "Melting_Curves/meltCurve_P41250_GARS.pdf")</f>
        <v>Melting_Curves/meltCurve_P41250_GARS.pdf</v>
      </c>
    </row>
    <row r="1316" spans="1:28" x14ac:dyDescent="0.25">
      <c r="A1316" t="s">
        <v>1320</v>
      </c>
      <c r="B1316">
        <v>1</v>
      </c>
      <c r="C1316">
        <v>0.94535809018567596</v>
      </c>
      <c r="D1316">
        <v>1.0080754494547599</v>
      </c>
      <c r="E1316">
        <v>1.1018764122212401</v>
      </c>
      <c r="F1316">
        <v>0.97494842322428499</v>
      </c>
      <c r="G1316">
        <v>1.0043029767167699</v>
      </c>
      <c r="H1316">
        <v>0.90995186167599995</v>
      </c>
      <c r="I1316">
        <v>1.06193142744867</v>
      </c>
      <c r="J1316">
        <v>0.87515473032714397</v>
      </c>
      <c r="K1316">
        <v>0.94284310836035001</v>
      </c>
      <c r="L1316">
        <v>1107.2349598936601</v>
      </c>
      <c r="M1316">
        <v>16.6145834503609</v>
      </c>
      <c r="O1316">
        <v>65.699369189944704</v>
      </c>
      <c r="P1316">
        <v>-7.0297712704576699E-3</v>
      </c>
      <c r="Q1316">
        <v>0.88881567531768302</v>
      </c>
      <c r="R1316">
        <v>0.190918766145593</v>
      </c>
      <c r="S1316" t="s">
        <v>3318</v>
      </c>
      <c r="T1316" t="s">
        <v>4002</v>
      </c>
      <c r="U1316" t="s">
        <v>4002</v>
      </c>
      <c r="V1316" t="s">
        <v>4002</v>
      </c>
      <c r="W1316" t="s">
        <v>5297</v>
      </c>
      <c r="X1316">
        <v>11</v>
      </c>
      <c r="Y1316" t="s">
        <v>7227</v>
      </c>
      <c r="Z1316" t="s">
        <v>9214</v>
      </c>
      <c r="AA1316">
        <v>0.98348382483367269</v>
      </c>
      <c r="AB1316" t="str">
        <f>HYPERLINK("Melting_Curves/meltCurve_P42768_WAS.pdf", "Melting_Curves/meltCurve_P42768_WAS.pdf")</f>
        <v>Melting_Curves/meltCurve_P42768_WAS.pdf</v>
      </c>
    </row>
    <row r="1317" spans="1:28" x14ac:dyDescent="0.25">
      <c r="A1317" t="s">
        <v>1321</v>
      </c>
      <c r="B1317">
        <v>1</v>
      </c>
      <c r="C1317">
        <v>1.01134999454327</v>
      </c>
      <c r="D1317">
        <v>1.1281603550511099</v>
      </c>
      <c r="E1317">
        <v>1.2440794499618</v>
      </c>
      <c r="F1317">
        <v>1.3907926807086499</v>
      </c>
      <c r="G1317">
        <v>1.7477354578194899</v>
      </c>
      <c r="H1317">
        <v>1.34140929098912</v>
      </c>
      <c r="I1317">
        <v>2.3554876496052999</v>
      </c>
      <c r="J1317">
        <v>1.4539634035432401</v>
      </c>
      <c r="K1317">
        <v>1.6940958201462399</v>
      </c>
      <c r="L1317">
        <v>1425.6817150976599</v>
      </c>
      <c r="M1317">
        <v>28.7492934528441</v>
      </c>
      <c r="O1317">
        <v>49.352071636753401</v>
      </c>
      <c r="P1317">
        <v>7.2817397609026405E-2</v>
      </c>
      <c r="Q1317">
        <v>1.5</v>
      </c>
      <c r="R1317">
        <v>0.42590902778345502</v>
      </c>
      <c r="S1317" t="s">
        <v>3319</v>
      </c>
      <c r="T1317" t="s">
        <v>4002</v>
      </c>
      <c r="U1317" t="s">
        <v>4002</v>
      </c>
      <c r="V1317" t="s">
        <v>4002</v>
      </c>
      <c r="W1317" t="s">
        <v>5298</v>
      </c>
      <c r="X1317">
        <v>8</v>
      </c>
      <c r="Y1317" t="s">
        <v>7228</v>
      </c>
      <c r="Z1317" t="s">
        <v>9215</v>
      </c>
      <c r="AA1317">
        <v>1.3368138167997159</v>
      </c>
      <c r="AB1317" t="str">
        <f>HYPERLINK("Melting_Curves/meltCurve_P42785_PRCP.pdf", "Melting_Curves/meltCurve_P42785_PRCP.pdf")</f>
        <v>Melting_Curves/meltCurve_P42785_PRCP.pdf</v>
      </c>
    </row>
    <row r="1318" spans="1:28" x14ac:dyDescent="0.25">
      <c r="A1318" t="s">
        <v>1322</v>
      </c>
      <c r="B1318">
        <v>1</v>
      </c>
      <c r="C1318">
        <v>0.93644262652177102</v>
      </c>
      <c r="D1318">
        <v>0.87823414091052099</v>
      </c>
      <c r="E1318">
        <v>0.90984340586199397</v>
      </c>
      <c r="F1318">
        <v>0.76496357431565698</v>
      </c>
      <c r="G1318">
        <v>0.820098264636832</v>
      </c>
      <c r="H1318">
        <v>0.83452331969891302</v>
      </c>
      <c r="I1318">
        <v>0.93457898685771001</v>
      </c>
      <c r="J1318">
        <v>0.75453203281942105</v>
      </c>
      <c r="K1318">
        <v>0.83520100684948095</v>
      </c>
      <c r="L1318">
        <v>868.77337146157299</v>
      </c>
      <c r="M1318">
        <v>19.5171059283152</v>
      </c>
      <c r="O1318">
        <v>44.054003191515598</v>
      </c>
      <c r="P1318">
        <v>-1.8781837958917701E-2</v>
      </c>
      <c r="Q1318">
        <v>0.83042859722545403</v>
      </c>
      <c r="R1318">
        <v>0.53358641135568896</v>
      </c>
      <c r="S1318" t="s">
        <v>3320</v>
      </c>
      <c r="T1318" t="s">
        <v>4002</v>
      </c>
      <c r="U1318" t="s">
        <v>4002</v>
      </c>
      <c r="V1318" t="s">
        <v>4002</v>
      </c>
      <c r="W1318" t="s">
        <v>5299</v>
      </c>
      <c r="X1318">
        <v>4</v>
      </c>
      <c r="Y1318" t="s">
        <v>7229</v>
      </c>
      <c r="Z1318" t="s">
        <v>9216</v>
      </c>
      <c r="AA1318">
        <v>0.8591685807366124</v>
      </c>
      <c r="AB1318" t="str">
        <f>HYPERLINK("Melting_Curves/meltCurve_P42830_CXCL5.pdf", "Melting_Curves/meltCurve_P42830_CXCL5.pdf")</f>
        <v>Melting_Curves/meltCurve_P42830_CXCL5.pdf</v>
      </c>
    </row>
    <row r="1319" spans="1:28" x14ac:dyDescent="0.25">
      <c r="A1319" t="s">
        <v>1323</v>
      </c>
      <c r="B1319">
        <v>1</v>
      </c>
      <c r="C1319">
        <v>0.98192208674003501</v>
      </c>
      <c r="D1319">
        <v>1.1361926047472199</v>
      </c>
      <c r="E1319">
        <v>1.3628596486264699</v>
      </c>
      <c r="F1319">
        <v>1.4047585367923701</v>
      </c>
      <c r="G1319">
        <v>1.5010609104025801</v>
      </c>
      <c r="H1319">
        <v>1.5141313265623699</v>
      </c>
      <c r="I1319">
        <v>1.74062862477721</v>
      </c>
      <c r="J1319">
        <v>1.87741533934987</v>
      </c>
      <c r="K1319">
        <v>1.4380003960732199</v>
      </c>
      <c r="L1319">
        <v>1200.4774482729299</v>
      </c>
      <c r="M1319">
        <v>24.917511045652901</v>
      </c>
      <c r="O1319">
        <v>47.870971843606902</v>
      </c>
      <c r="P1319">
        <v>6.5065136526871098E-2</v>
      </c>
      <c r="Q1319">
        <v>1.5</v>
      </c>
      <c r="R1319">
        <v>0.72904019102896001</v>
      </c>
      <c r="S1319" t="s">
        <v>3321</v>
      </c>
      <c r="T1319" t="s">
        <v>4002</v>
      </c>
      <c r="U1319" t="s">
        <v>4002</v>
      </c>
      <c r="V1319" t="s">
        <v>4002</v>
      </c>
      <c r="W1319" t="s">
        <v>5300</v>
      </c>
      <c r="X1319">
        <v>8</v>
      </c>
      <c r="Y1319" t="s">
        <v>7230</v>
      </c>
      <c r="Z1319" t="s">
        <v>9217</v>
      </c>
      <c r="AA1319">
        <v>1.3592496946184129</v>
      </c>
      <c r="AB1319" t="str">
        <f>HYPERLINK("Melting_Curves/meltCurve_P43034_PAFAH1B1.pdf", "Melting_Curves/meltCurve_P43034_PAFAH1B1.pdf")</f>
        <v>Melting_Curves/meltCurve_P43034_PAFAH1B1.pdf</v>
      </c>
    </row>
    <row r="1320" spans="1:28" x14ac:dyDescent="0.25">
      <c r="A1320" t="s">
        <v>1324</v>
      </c>
      <c r="B1320">
        <v>1</v>
      </c>
      <c r="C1320">
        <v>0.78888973326240597</v>
      </c>
      <c r="D1320">
        <v>0.83428325354003596</v>
      </c>
      <c r="E1320">
        <v>0.80869873597284503</v>
      </c>
      <c r="F1320">
        <v>0.85333232008511295</v>
      </c>
      <c r="G1320">
        <v>0.79385464954277196</v>
      </c>
      <c r="H1320">
        <v>0.874357220660131</v>
      </c>
      <c r="I1320">
        <v>0.93798920890645199</v>
      </c>
      <c r="J1320">
        <v>0.89588874534539098</v>
      </c>
      <c r="K1320">
        <v>0.87081085188844098</v>
      </c>
      <c r="L1320">
        <v>10243.327444062101</v>
      </c>
      <c r="M1320">
        <v>250</v>
      </c>
      <c r="O1320">
        <v>40.970688266806597</v>
      </c>
      <c r="P1320">
        <v>-0.227448462071701</v>
      </c>
      <c r="Q1320">
        <v>0.85090048145176</v>
      </c>
      <c r="R1320">
        <v>0.50364052303127904</v>
      </c>
      <c r="S1320" t="s">
        <v>3322</v>
      </c>
      <c r="T1320" t="s">
        <v>4002</v>
      </c>
      <c r="U1320" t="s">
        <v>4002</v>
      </c>
      <c r="V1320" t="s">
        <v>4002</v>
      </c>
      <c r="W1320" t="s">
        <v>5301</v>
      </c>
      <c r="X1320">
        <v>1</v>
      </c>
      <c r="Y1320" t="s">
        <v>7231</v>
      </c>
      <c r="Z1320" t="s">
        <v>9218</v>
      </c>
      <c r="AA1320">
        <v>0.8557502917972073</v>
      </c>
      <c r="AB1320" t="str">
        <f>HYPERLINK("Melting_Curves/meltCurve_P43121_MCAM.pdf", "Melting_Curves/meltCurve_P43121_MCAM.pdf")</f>
        <v>Melting_Curves/meltCurve_P43121_MCAM.pdf</v>
      </c>
    </row>
    <row r="1321" spans="1:28" x14ac:dyDescent="0.25">
      <c r="A1321" t="s">
        <v>1325</v>
      </c>
      <c r="B1321">
        <v>1</v>
      </c>
      <c r="C1321">
        <v>0.93307278944797301</v>
      </c>
      <c r="D1321">
        <v>1.1741350979260099</v>
      </c>
      <c r="E1321">
        <v>0.781542834302971</v>
      </c>
      <c r="F1321">
        <v>0.88657458808899903</v>
      </c>
      <c r="G1321">
        <v>0.95288004618732502</v>
      </c>
      <c r="H1321">
        <v>0.83949904516587504</v>
      </c>
      <c r="I1321">
        <v>0.93711418039703298</v>
      </c>
      <c r="J1321">
        <v>0.54731980281565096</v>
      </c>
      <c r="K1321">
        <v>0.75853799351601003</v>
      </c>
      <c r="L1321">
        <v>393.13788601788099</v>
      </c>
      <c r="M1321">
        <v>4.8014883753994004</v>
      </c>
      <c r="Q1321">
        <v>0</v>
      </c>
      <c r="R1321">
        <v>0.43077862675427497</v>
      </c>
      <c r="S1321" t="s">
        <v>3323</v>
      </c>
      <c r="T1321" t="s">
        <v>4002</v>
      </c>
      <c r="U1321" t="s">
        <v>4002</v>
      </c>
      <c r="V1321" t="s">
        <v>4002</v>
      </c>
      <c r="W1321" t="s">
        <v>5302</v>
      </c>
      <c r="X1321">
        <v>1</v>
      </c>
      <c r="Y1321" t="s">
        <v>7232</v>
      </c>
      <c r="Z1321" t="s">
        <v>9219</v>
      </c>
      <c r="AA1321">
        <v>0.88788569576441645</v>
      </c>
      <c r="AB1321" t="str">
        <f>HYPERLINK("Melting_Curves/meltCurve_P43250_2_GRK6.pdf", "Melting_Curves/meltCurve_P43250_2_GRK6.pdf")</f>
        <v>Melting_Curves/meltCurve_P43250_2_GRK6.pdf</v>
      </c>
    </row>
    <row r="1322" spans="1:28" x14ac:dyDescent="0.25">
      <c r="A1322" t="s">
        <v>1326</v>
      </c>
      <c r="B1322">
        <v>1</v>
      </c>
      <c r="C1322">
        <v>0.77728289607484202</v>
      </c>
      <c r="D1322">
        <v>0.96062639821029105</v>
      </c>
      <c r="E1322">
        <v>0.96355501321944304</v>
      </c>
      <c r="F1322">
        <v>0.846634126499898</v>
      </c>
      <c r="G1322">
        <v>0.94234289200732202</v>
      </c>
      <c r="H1322">
        <v>0.70787065283709605</v>
      </c>
      <c r="I1322">
        <v>1.01901565995526</v>
      </c>
      <c r="J1322">
        <v>1.0324384787472001</v>
      </c>
      <c r="K1322">
        <v>0.93068944478340399</v>
      </c>
      <c r="L1322">
        <v>10226.4594161924</v>
      </c>
      <c r="M1322">
        <v>250</v>
      </c>
      <c r="O1322">
        <v>40.903240925555203</v>
      </c>
      <c r="P1322">
        <v>-0.139139918149806</v>
      </c>
      <c r="Q1322">
        <v>0.90893966889096001</v>
      </c>
      <c r="R1322">
        <v>7.1949245451021202E-2</v>
      </c>
      <c r="S1322" t="s">
        <v>3324</v>
      </c>
      <c r="T1322" t="s">
        <v>4002</v>
      </c>
      <c r="U1322" t="s">
        <v>4002</v>
      </c>
      <c r="V1322" t="s">
        <v>4002</v>
      </c>
      <c r="W1322" t="s">
        <v>5303</v>
      </c>
      <c r="X1322">
        <v>2</v>
      </c>
      <c r="Y1322" t="s">
        <v>7233</v>
      </c>
      <c r="Z1322" t="s">
        <v>9220</v>
      </c>
      <c r="AA1322">
        <v>0.91169737105863358</v>
      </c>
      <c r="AB1322" t="str">
        <f>HYPERLINK("Melting_Curves/meltCurve_P43405_2_SYK.pdf", "Melting_Curves/meltCurve_P43405_2_SYK.pdf")</f>
        <v>Melting_Curves/meltCurve_P43405_2_SYK.pdf</v>
      </c>
    </row>
    <row r="1323" spans="1:28" x14ac:dyDescent="0.25">
      <c r="A1323" t="s">
        <v>1327</v>
      </c>
      <c r="B1323">
        <v>1</v>
      </c>
      <c r="C1323">
        <v>0.96654545454545504</v>
      </c>
      <c r="D1323">
        <v>1.0289090909090901</v>
      </c>
      <c r="E1323">
        <v>1.0628181818181801</v>
      </c>
      <c r="F1323">
        <v>1.0547272727272701</v>
      </c>
      <c r="G1323">
        <v>1.1512727272727299</v>
      </c>
      <c r="H1323">
        <v>1.052</v>
      </c>
      <c r="I1323">
        <v>1.46290909090909</v>
      </c>
      <c r="J1323">
        <v>1.3540909090909099</v>
      </c>
      <c r="K1323">
        <v>1.2369090909090901</v>
      </c>
      <c r="L1323">
        <v>992.89639029722298</v>
      </c>
      <c r="M1323">
        <v>16.773338277688602</v>
      </c>
      <c r="O1323">
        <v>58.372732327652002</v>
      </c>
      <c r="P1323">
        <v>2.56329968009412E-2</v>
      </c>
      <c r="Q1323">
        <v>1.3567973314874699</v>
      </c>
      <c r="R1323">
        <v>0.67511775081427305</v>
      </c>
      <c r="S1323" t="s">
        <v>3325</v>
      </c>
      <c r="T1323" t="s">
        <v>4002</v>
      </c>
      <c r="U1323" t="s">
        <v>4002</v>
      </c>
      <c r="V1323" t="s">
        <v>4002</v>
      </c>
      <c r="W1323" t="s">
        <v>5304</v>
      </c>
      <c r="X1323">
        <v>14</v>
      </c>
      <c r="Y1323" t="s">
        <v>7234</v>
      </c>
      <c r="Z1323" t="s">
        <v>9221</v>
      </c>
      <c r="AA1323">
        <v>1.1248583536628769</v>
      </c>
      <c r="AB1323" t="str">
        <f>HYPERLINK("Melting_Curves/meltCurve_P43490_NAMPT.pdf", "Melting_Curves/meltCurve_P43490_NAMPT.pdf")</f>
        <v>Melting_Curves/meltCurve_P43490_NAMPT.pdf</v>
      </c>
    </row>
    <row r="1324" spans="1:28" x14ac:dyDescent="0.25">
      <c r="A1324" t="s">
        <v>1328</v>
      </c>
      <c r="B1324">
        <v>1</v>
      </c>
      <c r="C1324">
        <v>0.91517857142857095</v>
      </c>
      <c r="D1324">
        <v>1.0257685352622099</v>
      </c>
      <c r="E1324">
        <v>1.1525203435804701</v>
      </c>
      <c r="F1324">
        <v>1.14082278481013</v>
      </c>
      <c r="G1324">
        <v>1.27124773960217</v>
      </c>
      <c r="H1324">
        <v>1.02689873417722</v>
      </c>
      <c r="I1324">
        <v>1.4632685352622099</v>
      </c>
      <c r="J1324">
        <v>1.0927893309222401</v>
      </c>
      <c r="K1324">
        <v>1.1419529837251401</v>
      </c>
      <c r="L1324">
        <v>1806.3543926577099</v>
      </c>
      <c r="M1324">
        <v>37.204367184169698</v>
      </c>
      <c r="O1324">
        <v>48.412578349055401</v>
      </c>
      <c r="P1324">
        <v>3.6955491554296199E-2</v>
      </c>
      <c r="Q1324">
        <v>1.1923543733044299</v>
      </c>
      <c r="R1324">
        <v>0.40629439671838902</v>
      </c>
      <c r="S1324" t="s">
        <v>3326</v>
      </c>
      <c r="T1324" t="s">
        <v>4002</v>
      </c>
      <c r="U1324" t="s">
        <v>4002</v>
      </c>
      <c r="V1324" t="s">
        <v>4002</v>
      </c>
      <c r="W1324" t="s">
        <v>5305</v>
      </c>
      <c r="X1324">
        <v>22</v>
      </c>
      <c r="Y1324" t="s">
        <v>7235</v>
      </c>
      <c r="Z1324" t="s">
        <v>9222</v>
      </c>
      <c r="AA1324">
        <v>1.136770010536803</v>
      </c>
      <c r="AB1324" t="str">
        <f>HYPERLINK("Melting_Curves/meltCurve_P43652_AFM.pdf", "Melting_Curves/meltCurve_P43652_AFM.pdf")</f>
        <v>Melting_Curves/meltCurve_P43652_AFM.pdf</v>
      </c>
    </row>
    <row r="1325" spans="1:28" x14ac:dyDescent="0.25">
      <c r="A1325" t="s">
        <v>1329</v>
      </c>
      <c r="B1325">
        <v>1</v>
      </c>
      <c r="C1325">
        <v>0.84070535337923302</v>
      </c>
      <c r="D1325">
        <v>0.82616270900660405</v>
      </c>
      <c r="E1325">
        <v>0.65451735281719803</v>
      </c>
      <c r="F1325">
        <v>0.67309259519460396</v>
      </c>
      <c r="G1325">
        <v>0.57393564704229305</v>
      </c>
      <c r="H1325">
        <v>0.59176619362090799</v>
      </c>
      <c r="I1325">
        <v>0.68618800056203499</v>
      </c>
      <c r="J1325">
        <v>3.2931010257130802</v>
      </c>
      <c r="K1325">
        <v>0.59015034424617097</v>
      </c>
      <c r="L1325">
        <v>15000</v>
      </c>
      <c r="M1325">
        <v>229.99995110363199</v>
      </c>
      <c r="O1325">
        <v>65.212474401377804</v>
      </c>
      <c r="P1325">
        <v>0.44086647839052501</v>
      </c>
      <c r="Q1325">
        <v>1.5</v>
      </c>
      <c r="R1325">
        <v>0.22254124701286099</v>
      </c>
      <c r="S1325" t="s">
        <v>3327</v>
      </c>
      <c r="T1325" t="s">
        <v>4002</v>
      </c>
      <c r="U1325" t="s">
        <v>4002</v>
      </c>
      <c r="V1325" t="s">
        <v>4002</v>
      </c>
      <c r="W1325" t="s">
        <v>5306</v>
      </c>
      <c r="X1325">
        <v>2</v>
      </c>
      <c r="Y1325" t="s">
        <v>7236</v>
      </c>
      <c r="Z1325" t="s">
        <v>9223</v>
      </c>
      <c r="AA1325">
        <v>1.0796422987830141</v>
      </c>
      <c r="AB1325" t="str">
        <f>HYPERLINK("Melting_Curves/meltCurve_P43686_PSMC4.pdf", "Melting_Curves/meltCurve_P43686_PSMC4.pdf")</f>
        <v>Melting_Curves/meltCurve_P43686_PSMC4.pdf</v>
      </c>
    </row>
    <row r="1326" spans="1:28" x14ac:dyDescent="0.25">
      <c r="A1326" t="s">
        <v>1330</v>
      </c>
      <c r="B1326">
        <v>1</v>
      </c>
      <c r="C1326">
        <v>0.77967651195499299</v>
      </c>
      <c r="D1326">
        <v>0.77461322081575201</v>
      </c>
      <c r="E1326">
        <v>0.79880450070323505</v>
      </c>
      <c r="F1326">
        <v>0.88902953586497901</v>
      </c>
      <c r="G1326">
        <v>1.4162447257384001</v>
      </c>
      <c r="H1326">
        <v>1.7233473980309399</v>
      </c>
      <c r="I1326">
        <v>2.1351617440225001</v>
      </c>
      <c r="J1326">
        <v>2.9144866385372699</v>
      </c>
      <c r="K1326">
        <v>2.0642053445850901</v>
      </c>
      <c r="L1326">
        <v>14158.607673466</v>
      </c>
      <c r="M1326">
        <v>250</v>
      </c>
      <c r="O1326">
        <v>56.630810146349397</v>
      </c>
      <c r="P1326">
        <v>0.55181979535060499</v>
      </c>
      <c r="Q1326">
        <v>1.5</v>
      </c>
      <c r="R1326">
        <v>0.404852987500534</v>
      </c>
      <c r="S1326" t="s">
        <v>3328</v>
      </c>
      <c r="T1326" t="s">
        <v>4002</v>
      </c>
      <c r="U1326" t="s">
        <v>4002</v>
      </c>
      <c r="V1326" t="s">
        <v>4002</v>
      </c>
      <c r="W1326" t="s">
        <v>5307</v>
      </c>
      <c r="X1326">
        <v>1</v>
      </c>
      <c r="Y1326" t="s">
        <v>7237</v>
      </c>
      <c r="Z1326" t="s">
        <v>9224</v>
      </c>
      <c r="AA1326">
        <v>1.22270979216338</v>
      </c>
      <c r="AB1326" t="str">
        <f>HYPERLINK("Melting_Curves/meltCurve_P45877_PPIC.pdf", "Melting_Curves/meltCurve_P45877_PPIC.pdf")</f>
        <v>Melting_Curves/meltCurve_P45877_PPIC.pdf</v>
      </c>
    </row>
    <row r="1327" spans="1:28" x14ac:dyDescent="0.25">
      <c r="A1327" t="s">
        <v>1331</v>
      </c>
      <c r="B1327">
        <v>1</v>
      </c>
      <c r="C1327">
        <v>1.07927539464228</v>
      </c>
      <c r="D1327">
        <v>1.1201645478650899</v>
      </c>
      <c r="E1327">
        <v>1.0384110227244601</v>
      </c>
      <c r="F1327">
        <v>1.2859762595098301</v>
      </c>
      <c r="G1327">
        <v>1.1958962158947299</v>
      </c>
      <c r="H1327">
        <v>1.34701261368424</v>
      </c>
      <c r="I1327">
        <v>1.4652690010656</v>
      </c>
      <c r="J1327">
        <v>4.3615096770996002</v>
      </c>
      <c r="K1327">
        <v>1.34733477064902</v>
      </c>
      <c r="L1327">
        <v>1451.1531353345099</v>
      </c>
      <c r="M1327">
        <v>26.858994912426201</v>
      </c>
      <c r="O1327">
        <v>53.7317374447966</v>
      </c>
      <c r="P1327">
        <v>6.2484641166671802E-2</v>
      </c>
      <c r="Q1327">
        <v>1.5</v>
      </c>
      <c r="R1327">
        <v>9.1382480568808794E-2</v>
      </c>
      <c r="S1327" t="s">
        <v>3329</v>
      </c>
      <c r="T1327" t="s">
        <v>4002</v>
      </c>
      <c r="U1327" t="s">
        <v>4002</v>
      </c>
      <c r="V1327" t="s">
        <v>4002</v>
      </c>
      <c r="W1327" t="s">
        <v>5308</v>
      </c>
      <c r="X1327">
        <v>2</v>
      </c>
      <c r="Y1327" t="s">
        <v>7238</v>
      </c>
      <c r="Z1327" t="s">
        <v>9225</v>
      </c>
      <c r="AA1327">
        <v>1.262136760399627</v>
      </c>
      <c r="AB1327" t="str">
        <f>HYPERLINK("Melting_Curves/meltCurve_P45974_2_USP5.pdf", "Melting_Curves/meltCurve_P45974_2_USP5.pdf")</f>
        <v>Melting_Curves/meltCurve_P45974_2_USP5.pdf</v>
      </c>
    </row>
    <row r="1328" spans="1:28" x14ac:dyDescent="0.25">
      <c r="A1328" t="s">
        <v>1332</v>
      </c>
      <c r="B1328">
        <v>1</v>
      </c>
      <c r="C1328">
        <v>0.89839812007821096</v>
      </c>
      <c r="D1328">
        <v>0.99869051249394603</v>
      </c>
      <c r="E1328">
        <v>1.1861624840798599</v>
      </c>
      <c r="F1328">
        <v>1.26123378836529</v>
      </c>
      <c r="G1328">
        <v>1.3121064810662499</v>
      </c>
      <c r="H1328">
        <v>1.33519292517983</v>
      </c>
      <c r="I1328">
        <v>1.5492313487721301</v>
      </c>
      <c r="J1328">
        <v>1.6274238972500801</v>
      </c>
      <c r="K1328">
        <v>1.3750695104669299</v>
      </c>
      <c r="L1328">
        <v>804.90772023637896</v>
      </c>
      <c r="M1328">
        <v>15.066718800314501</v>
      </c>
      <c r="O1328">
        <v>52.508308765205797</v>
      </c>
      <c r="P1328">
        <v>3.5871038276195297E-2</v>
      </c>
      <c r="Q1328">
        <v>1.5</v>
      </c>
      <c r="R1328">
        <v>0.85778971141020399</v>
      </c>
      <c r="S1328" t="s">
        <v>3330</v>
      </c>
      <c r="T1328" t="s">
        <v>4002</v>
      </c>
      <c r="U1328" t="s">
        <v>4002</v>
      </c>
      <c r="V1328" t="s">
        <v>4002</v>
      </c>
      <c r="W1328" t="s">
        <v>5309</v>
      </c>
      <c r="X1328">
        <v>3</v>
      </c>
      <c r="Y1328" t="s">
        <v>7239</v>
      </c>
      <c r="Z1328" t="s">
        <v>9226</v>
      </c>
      <c r="AA1328">
        <v>1.2657876925190481</v>
      </c>
      <c r="AB1328" t="str">
        <f>HYPERLINK("Melting_Curves/meltCurve_P46109_CRKL.pdf", "Melting_Curves/meltCurve_P46109_CRKL.pdf")</f>
        <v>Melting_Curves/meltCurve_P46109_CRKL.pdf</v>
      </c>
    </row>
    <row r="1329" spans="1:28" x14ac:dyDescent="0.25">
      <c r="A1329" t="s">
        <v>1333</v>
      </c>
      <c r="B1329">
        <v>1</v>
      </c>
      <c r="C1329">
        <v>0.92936040395539699</v>
      </c>
      <c r="D1329">
        <v>1.13512518409426</v>
      </c>
      <c r="E1329">
        <v>1.18293709236272</v>
      </c>
      <c r="F1329">
        <v>1.0951504313065401</v>
      </c>
      <c r="G1329">
        <v>1.1104039553965901</v>
      </c>
      <c r="H1329">
        <v>1.2578371554807499</v>
      </c>
      <c r="I1329">
        <v>1.24921102461603</v>
      </c>
      <c r="J1329">
        <v>18.104355144119499</v>
      </c>
      <c r="K1329">
        <v>1.0557016621081401</v>
      </c>
      <c r="L1329">
        <v>6873.8373643238901</v>
      </c>
      <c r="M1329">
        <v>112.732760104679</v>
      </c>
      <c r="O1329">
        <v>60.955442327768999</v>
      </c>
      <c r="P1329">
        <v>0.231178636245369</v>
      </c>
      <c r="Q1329">
        <v>1.5</v>
      </c>
      <c r="R1329">
        <v>-6.1967071581816101E-2</v>
      </c>
      <c r="S1329" t="s">
        <v>3331</v>
      </c>
      <c r="T1329" t="s">
        <v>4002</v>
      </c>
      <c r="U1329" t="s">
        <v>4002</v>
      </c>
      <c r="V1329" t="s">
        <v>4002</v>
      </c>
      <c r="W1329" t="s">
        <v>5310</v>
      </c>
      <c r="X1329">
        <v>2</v>
      </c>
      <c r="Y1329" t="s">
        <v>7240</v>
      </c>
      <c r="Z1329" t="s">
        <v>9227</v>
      </c>
      <c r="AA1329">
        <v>1.1501596233277021</v>
      </c>
      <c r="AB1329" t="str">
        <f>HYPERLINK("Melting_Curves/meltCurve_P46781_RPS9.pdf", "Melting_Curves/meltCurve_P46781_RPS9.pdf")</f>
        <v>Melting_Curves/meltCurve_P46781_RPS9.pdf</v>
      </c>
    </row>
    <row r="1330" spans="1:28" x14ac:dyDescent="0.25">
      <c r="A1330" t="s">
        <v>1334</v>
      </c>
      <c r="B1330">
        <v>1</v>
      </c>
      <c r="C1330">
        <v>0.91759192932187195</v>
      </c>
      <c r="D1330">
        <v>0.96621298949379197</v>
      </c>
      <c r="E1330">
        <v>1.0281757402101199</v>
      </c>
      <c r="F1330">
        <v>0.97316738299904504</v>
      </c>
      <c r="G1330">
        <v>0.91069723018147097</v>
      </c>
      <c r="H1330">
        <v>0.84515281757402105</v>
      </c>
      <c r="I1330">
        <v>0.90419054441260704</v>
      </c>
      <c r="J1330">
        <v>1.16030921680993</v>
      </c>
      <c r="K1330">
        <v>0.84479465138490895</v>
      </c>
      <c r="L1330">
        <v>239.178355797292</v>
      </c>
      <c r="M1330">
        <v>5.2363877122279998</v>
      </c>
      <c r="O1330">
        <v>40.283029682761502</v>
      </c>
      <c r="P1330">
        <v>-2.2314487322653898E-3</v>
      </c>
      <c r="Q1330">
        <v>0.93169173691563301</v>
      </c>
      <c r="R1330">
        <v>1.8224596179602901E-2</v>
      </c>
      <c r="S1330" t="s">
        <v>3332</v>
      </c>
      <c r="T1330" t="s">
        <v>4002</v>
      </c>
      <c r="U1330" t="s">
        <v>4002</v>
      </c>
      <c r="V1330" t="s">
        <v>4002</v>
      </c>
      <c r="W1330" t="s">
        <v>5311</v>
      </c>
      <c r="X1330">
        <v>3</v>
      </c>
      <c r="Y1330" t="s">
        <v>7241</v>
      </c>
      <c r="Z1330" t="s">
        <v>9228</v>
      </c>
      <c r="AA1330">
        <v>0.95439382689837204</v>
      </c>
      <c r="AB1330" t="str">
        <f>HYPERLINK("Melting_Curves/meltCurve_P46783_RPS10.pdf", "Melting_Curves/meltCurve_P46783_RPS10.pdf")</f>
        <v>Melting_Curves/meltCurve_P46783_RPS10.pdf</v>
      </c>
    </row>
    <row r="1331" spans="1:28" x14ac:dyDescent="0.25">
      <c r="A1331" t="s">
        <v>1335</v>
      </c>
      <c r="B1331">
        <v>1</v>
      </c>
      <c r="C1331">
        <v>0.97199643692239202</v>
      </c>
      <c r="D1331">
        <v>1.0779423226812199</v>
      </c>
      <c r="E1331">
        <v>1.1281594477229699</v>
      </c>
      <c r="F1331">
        <v>1.0858479011246001</v>
      </c>
      <c r="G1331">
        <v>1.2132279256207501</v>
      </c>
      <c r="H1331">
        <v>1.1447500278365399</v>
      </c>
      <c r="I1331">
        <v>1.4932078833092099</v>
      </c>
      <c r="J1331">
        <v>1.68160561184723</v>
      </c>
      <c r="K1331">
        <v>1.35641910700367</v>
      </c>
      <c r="L1331">
        <v>969.72509750169195</v>
      </c>
      <c r="M1331">
        <v>16.577101037034701</v>
      </c>
      <c r="O1331">
        <v>57.666459589592598</v>
      </c>
      <c r="P1331">
        <v>3.59355970080385E-2</v>
      </c>
      <c r="Q1331">
        <v>1.5</v>
      </c>
      <c r="R1331">
        <v>0.72664229349750298</v>
      </c>
      <c r="S1331" t="s">
        <v>3333</v>
      </c>
      <c r="T1331" t="s">
        <v>4002</v>
      </c>
      <c r="U1331" t="s">
        <v>4002</v>
      </c>
      <c r="V1331" t="s">
        <v>4002</v>
      </c>
      <c r="W1331" t="s">
        <v>5312</v>
      </c>
      <c r="X1331">
        <v>22</v>
      </c>
      <c r="Y1331" t="s">
        <v>7242</v>
      </c>
      <c r="Z1331" t="s">
        <v>9229</v>
      </c>
      <c r="AA1331">
        <v>1.1857373137521381</v>
      </c>
      <c r="AB1331" t="str">
        <f>HYPERLINK("Melting_Curves/meltCurve_P46940_IQGAP1.pdf", "Melting_Curves/meltCurve_P46940_IQGAP1.pdf")</f>
        <v>Melting_Curves/meltCurve_P46940_IQGAP1.pdf</v>
      </c>
    </row>
    <row r="1332" spans="1:28" x14ac:dyDescent="0.25">
      <c r="A1332" t="s">
        <v>1336</v>
      </c>
      <c r="B1332">
        <v>1</v>
      </c>
      <c r="C1332">
        <v>0.95611298136136003</v>
      </c>
      <c r="D1332">
        <v>1.0879656238881099</v>
      </c>
      <c r="E1332">
        <v>1.2604893669431001</v>
      </c>
      <c r="F1332">
        <v>1.2560007663464401</v>
      </c>
      <c r="G1332">
        <v>1.43005720228809</v>
      </c>
      <c r="H1332">
        <v>1.4551003092755299</v>
      </c>
      <c r="I1332">
        <v>1.9439198620576399</v>
      </c>
      <c r="J1332">
        <v>1.7530174891206201</v>
      </c>
      <c r="K1332">
        <v>1.7552070503872801</v>
      </c>
      <c r="L1332">
        <v>1095.66194687437</v>
      </c>
      <c r="M1332">
        <v>21.5547793017173</v>
      </c>
      <c r="O1332">
        <v>50.400058684853001</v>
      </c>
      <c r="P1332">
        <v>5.3460507362834302E-2</v>
      </c>
      <c r="Q1332">
        <v>1.5</v>
      </c>
      <c r="R1332">
        <v>0.66267822974801405</v>
      </c>
      <c r="S1332" t="s">
        <v>3334</v>
      </c>
      <c r="T1332" t="s">
        <v>4002</v>
      </c>
      <c r="U1332" t="s">
        <v>4002</v>
      </c>
      <c r="V1332" t="s">
        <v>4002</v>
      </c>
      <c r="W1332" t="s">
        <v>5313</v>
      </c>
      <c r="X1332">
        <v>7</v>
      </c>
      <c r="Y1332" t="s">
        <v>7243</v>
      </c>
      <c r="Z1332" t="s">
        <v>9230</v>
      </c>
      <c r="AA1332">
        <v>1.313453822304901</v>
      </c>
      <c r="AB1332" t="str">
        <f>HYPERLINK("Melting_Curves/meltCurve_P46976_2_GYG1.pdf", "Melting_Curves/meltCurve_P46976_2_GYG1.pdf")</f>
        <v>Melting_Curves/meltCurve_P46976_2_GYG1.pdf</v>
      </c>
    </row>
    <row r="1333" spans="1:28" x14ac:dyDescent="0.25">
      <c r="A1333" t="s">
        <v>1337</v>
      </c>
      <c r="B1333">
        <v>1</v>
      </c>
      <c r="C1333">
        <v>1.10904700636269</v>
      </c>
      <c r="D1333">
        <v>1.5073408886617199</v>
      </c>
      <c r="E1333">
        <v>2.0593263655110401</v>
      </c>
      <c r="F1333">
        <v>2.2771736256763702</v>
      </c>
      <c r="G1333">
        <v>2.8787211167315898</v>
      </c>
      <c r="H1333">
        <v>1.4533197031919201</v>
      </c>
      <c r="I1333">
        <v>3.5779121208382501</v>
      </c>
      <c r="J1333">
        <v>1.16231030896946</v>
      </c>
      <c r="K1333">
        <v>2.2396319861818599</v>
      </c>
      <c r="L1333">
        <v>10779.7750726834</v>
      </c>
      <c r="M1333">
        <v>250</v>
      </c>
      <c r="O1333">
        <v>43.116340965411098</v>
      </c>
      <c r="P1333">
        <v>0.72478321084201203</v>
      </c>
      <c r="Q1333">
        <v>1.5</v>
      </c>
      <c r="R1333">
        <v>-0.22184637300109999</v>
      </c>
      <c r="S1333" t="s">
        <v>3335</v>
      </c>
      <c r="T1333" t="s">
        <v>4002</v>
      </c>
      <c r="U1333" t="s">
        <v>4002</v>
      </c>
      <c r="V1333" t="s">
        <v>4002</v>
      </c>
      <c r="W1333" t="s">
        <v>5314</v>
      </c>
      <c r="X1333">
        <v>4</v>
      </c>
      <c r="Y1333" t="s">
        <v>7244</v>
      </c>
      <c r="Z1333" t="s">
        <v>9231</v>
      </c>
      <c r="AA1333">
        <v>1.4479771584710841</v>
      </c>
      <c r="AB1333" t="str">
        <f>HYPERLINK("Melting_Curves/meltCurve_P47755_CAPZA2.pdf", "Melting_Curves/meltCurve_P47755_CAPZA2.pdf")</f>
        <v>Melting_Curves/meltCurve_P47755_CAPZA2.pdf</v>
      </c>
    </row>
    <row r="1334" spans="1:28" x14ac:dyDescent="0.25">
      <c r="A1334" t="s">
        <v>1338</v>
      </c>
      <c r="B1334">
        <v>1</v>
      </c>
      <c r="C1334">
        <v>0.87117834394904503</v>
      </c>
      <c r="D1334">
        <v>0.99213188460097401</v>
      </c>
      <c r="E1334">
        <v>0.91231734732109404</v>
      </c>
      <c r="F1334">
        <v>0.96449981266391904</v>
      </c>
      <c r="G1334">
        <v>0.98351442487823204</v>
      </c>
      <c r="H1334">
        <v>0.77030723117272404</v>
      </c>
      <c r="I1334">
        <v>0.84605657549644098</v>
      </c>
      <c r="J1334">
        <v>1.1804983139752701</v>
      </c>
      <c r="K1334">
        <v>0.76106219557886901</v>
      </c>
      <c r="L1334">
        <v>100.288249077668</v>
      </c>
      <c r="M1334">
        <v>1.0000000000000001E-5</v>
      </c>
      <c r="O1334">
        <v>41.797910946764098</v>
      </c>
      <c r="P1334">
        <v>-2.29415779222268E-3</v>
      </c>
      <c r="Q1334">
        <v>0.47618387186528399</v>
      </c>
      <c r="R1334">
        <v>2.9363456853442198E-2</v>
      </c>
      <c r="S1334" t="s">
        <v>3336</v>
      </c>
      <c r="T1334" t="s">
        <v>4002</v>
      </c>
      <c r="U1334" t="s">
        <v>4002</v>
      </c>
      <c r="V1334" t="s">
        <v>4002</v>
      </c>
      <c r="W1334" t="s">
        <v>5315</v>
      </c>
      <c r="X1334">
        <v>1</v>
      </c>
      <c r="Y1334" t="s">
        <v>7245</v>
      </c>
      <c r="Z1334" t="s">
        <v>9232</v>
      </c>
      <c r="AA1334">
        <v>0.92808934121757047</v>
      </c>
      <c r="AB1334" t="str">
        <f>HYPERLINK("Melting_Curves/meltCurve_P47914_RPL29.pdf", "Melting_Curves/meltCurve_P47914_RPL29.pdf")</f>
        <v>Melting_Curves/meltCurve_P47914_RPL29.pdf</v>
      </c>
    </row>
    <row r="1335" spans="1:28" x14ac:dyDescent="0.25">
      <c r="A1335" t="s">
        <v>1339</v>
      </c>
      <c r="B1335">
        <v>1</v>
      </c>
      <c r="C1335">
        <v>0.91998518953564101</v>
      </c>
      <c r="D1335">
        <v>1.0162149049449101</v>
      </c>
      <c r="E1335">
        <v>1.0174405985470401</v>
      </c>
      <c r="F1335">
        <v>0.94531619064642602</v>
      </c>
      <c r="G1335">
        <v>0.96727653435133998</v>
      </c>
      <c r="H1335">
        <v>0.93359549557601196</v>
      </c>
      <c r="I1335">
        <v>0.91941064565964004</v>
      </c>
      <c r="J1335">
        <v>5.6192944601202699</v>
      </c>
      <c r="K1335">
        <v>0.91086909336976396</v>
      </c>
      <c r="L1335">
        <v>14976.560476117</v>
      </c>
      <c r="M1335">
        <v>230.67453660766</v>
      </c>
      <c r="O1335">
        <v>64.920194491345001</v>
      </c>
      <c r="P1335">
        <v>0.44415022578684299</v>
      </c>
      <c r="Q1335">
        <v>1.5</v>
      </c>
      <c r="R1335">
        <v>0.113388118889222</v>
      </c>
      <c r="S1335" t="s">
        <v>3337</v>
      </c>
      <c r="T1335" t="s">
        <v>4002</v>
      </c>
      <c r="U1335" t="s">
        <v>4002</v>
      </c>
      <c r="V1335" t="s">
        <v>4002</v>
      </c>
      <c r="W1335" t="s">
        <v>5316</v>
      </c>
      <c r="X1335">
        <v>10</v>
      </c>
      <c r="Y1335" t="s">
        <v>7246</v>
      </c>
      <c r="Z1335" t="s">
        <v>9233</v>
      </c>
      <c r="AA1335">
        <v>1.084515244526477</v>
      </c>
      <c r="AB1335" t="str">
        <f>HYPERLINK("Melting_Curves/meltCurve_P47929_LGALS7.pdf", "Melting_Curves/meltCurve_P47929_LGALS7.pdf")</f>
        <v>Melting_Curves/meltCurve_P47929_LGALS7.pdf</v>
      </c>
    </row>
    <row r="1336" spans="1:28" x14ac:dyDescent="0.25">
      <c r="A1336" t="s">
        <v>1340</v>
      </c>
      <c r="B1336">
        <v>1</v>
      </c>
      <c r="C1336">
        <v>0.787809730511847</v>
      </c>
      <c r="D1336">
        <v>1.0746608790016301</v>
      </c>
      <c r="E1336">
        <v>1.28900343642612</v>
      </c>
      <c r="F1336">
        <v>1.3925845541689299</v>
      </c>
      <c r="G1336">
        <v>2.0141074335322799</v>
      </c>
      <c r="H1336">
        <v>2.3640803038524099</v>
      </c>
      <c r="I1336">
        <v>3.690902514017</v>
      </c>
      <c r="J1336">
        <v>4.2316874660878998</v>
      </c>
      <c r="K1336">
        <v>3.59432085368059</v>
      </c>
      <c r="L1336">
        <v>2100.6596138031</v>
      </c>
      <c r="M1336">
        <v>42.321630656885397</v>
      </c>
      <c r="O1336">
        <v>49.525182165616499</v>
      </c>
      <c r="P1336">
        <v>0.106818677325333</v>
      </c>
      <c r="Q1336">
        <v>1.5</v>
      </c>
      <c r="R1336">
        <v>-0.22120917717765501</v>
      </c>
      <c r="S1336" t="s">
        <v>3338</v>
      </c>
      <c r="T1336" t="s">
        <v>4002</v>
      </c>
      <c r="U1336" t="s">
        <v>4002</v>
      </c>
      <c r="V1336" t="s">
        <v>4002</v>
      </c>
      <c r="W1336" t="s">
        <v>5317</v>
      </c>
      <c r="X1336">
        <v>3</v>
      </c>
      <c r="Y1336" t="s">
        <v>7247</v>
      </c>
      <c r="Z1336" t="s">
        <v>9234</v>
      </c>
      <c r="AA1336">
        <v>1.337874948841917</v>
      </c>
      <c r="AB1336" t="str">
        <f>HYPERLINK("Melting_Curves/meltCurve_P48147_PREP.pdf", "Melting_Curves/meltCurve_P48147_PREP.pdf")</f>
        <v>Melting_Curves/meltCurve_P48147_PREP.pdf</v>
      </c>
    </row>
    <row r="1337" spans="1:28" x14ac:dyDescent="0.25">
      <c r="A1337" t="s">
        <v>1341</v>
      </c>
      <c r="B1337">
        <v>1</v>
      </c>
      <c r="C1337">
        <v>0.85474111256274499</v>
      </c>
      <c r="D1337">
        <v>0.82524238465240995</v>
      </c>
      <c r="E1337">
        <v>0.74767929588117998</v>
      </c>
      <c r="F1337">
        <v>0.61496940108643305</v>
      </c>
      <c r="G1337">
        <v>0.71759609434091998</v>
      </c>
      <c r="H1337">
        <v>0.56700818263081898</v>
      </c>
      <c r="I1337">
        <v>0.73843086020766002</v>
      </c>
      <c r="J1337">
        <v>1.0360310802447901</v>
      </c>
      <c r="K1337">
        <v>0.60823076394141495</v>
      </c>
      <c r="L1337">
        <v>1010.42572693307</v>
      </c>
      <c r="M1337">
        <v>23.0985422370258</v>
      </c>
      <c r="O1337">
        <v>43.420221439763303</v>
      </c>
      <c r="P1337">
        <v>-3.7476327305560803E-2</v>
      </c>
      <c r="Q1337">
        <v>0.71821590018887405</v>
      </c>
      <c r="R1337">
        <v>0.33799648405454502</v>
      </c>
      <c r="S1337" t="s">
        <v>3339</v>
      </c>
      <c r="T1337" t="s">
        <v>4002</v>
      </c>
      <c r="U1337" t="s">
        <v>4002</v>
      </c>
      <c r="V1337" t="s">
        <v>4002</v>
      </c>
      <c r="W1337" t="s">
        <v>5318</v>
      </c>
      <c r="X1337">
        <v>3</v>
      </c>
      <c r="Y1337" t="s">
        <v>7248</v>
      </c>
      <c r="Z1337" t="s">
        <v>9235</v>
      </c>
      <c r="AA1337">
        <v>0.75748008739913264</v>
      </c>
      <c r="AB1337" t="str">
        <f>HYPERLINK("Melting_Curves/meltCurve_P48163_ME1.pdf", "Melting_Curves/meltCurve_P48163_ME1.pdf")</f>
        <v>Melting_Curves/meltCurve_P48163_ME1.pdf</v>
      </c>
    </row>
    <row r="1338" spans="1:28" x14ac:dyDescent="0.25">
      <c r="A1338" t="s">
        <v>1342</v>
      </c>
      <c r="B1338">
        <v>1</v>
      </c>
      <c r="C1338">
        <v>1.06234192357646</v>
      </c>
      <c r="D1338">
        <v>0.97566477544603203</v>
      </c>
      <c r="E1338">
        <v>1.07314238840659</v>
      </c>
      <c r="F1338">
        <v>1.01831977578782</v>
      </c>
      <c r="G1338">
        <v>1.1505912912707601</v>
      </c>
      <c r="H1338">
        <v>1.0683573723426101</v>
      </c>
      <c r="I1338">
        <v>1.3495796021600901</v>
      </c>
      <c r="J1338">
        <v>1.2594162280401899</v>
      </c>
      <c r="K1338">
        <v>1.5406384578576799</v>
      </c>
      <c r="L1338">
        <v>1174.6734493541801</v>
      </c>
      <c r="M1338">
        <v>18.553949303390102</v>
      </c>
      <c r="O1338">
        <v>62.5895058454308</v>
      </c>
      <c r="P1338">
        <v>3.7056442642515099E-2</v>
      </c>
      <c r="Q1338">
        <v>1.5</v>
      </c>
      <c r="R1338">
        <v>0.80426497896289695</v>
      </c>
      <c r="S1338" t="s">
        <v>3340</v>
      </c>
      <c r="T1338" t="s">
        <v>4002</v>
      </c>
      <c r="U1338" t="s">
        <v>4002</v>
      </c>
      <c r="V1338" t="s">
        <v>4002</v>
      </c>
      <c r="W1338" t="s">
        <v>5319</v>
      </c>
      <c r="X1338">
        <v>1</v>
      </c>
      <c r="Y1338" t="s">
        <v>7249</v>
      </c>
      <c r="Z1338" t="s">
        <v>9236</v>
      </c>
      <c r="AA1338">
        <v>1.1135379835369119</v>
      </c>
      <c r="AB1338" t="str">
        <f>HYPERLINK("Melting_Curves/meltCurve_P48507_GCLM.pdf", "Melting_Curves/meltCurve_P48507_GCLM.pdf")</f>
        <v>Melting_Curves/meltCurve_P48507_GCLM.pdf</v>
      </c>
    </row>
    <row r="1339" spans="1:28" x14ac:dyDescent="0.25">
      <c r="A1339" t="s">
        <v>1343</v>
      </c>
      <c r="B1339">
        <v>1</v>
      </c>
      <c r="C1339">
        <v>1.0438508064516101</v>
      </c>
      <c r="D1339">
        <v>1.1488911290322601</v>
      </c>
      <c r="E1339">
        <v>1.3722782258064501</v>
      </c>
      <c r="F1339">
        <v>1.31743951612903</v>
      </c>
      <c r="G1339">
        <v>1.44707661290323</v>
      </c>
      <c r="H1339">
        <v>1.5356854838709699</v>
      </c>
      <c r="I1339">
        <v>1.7657258064516099</v>
      </c>
      <c r="J1339">
        <v>7.8126008064516101</v>
      </c>
      <c r="K1339">
        <v>1.4379032258064499</v>
      </c>
      <c r="L1339">
        <v>1228.0364001836799</v>
      </c>
      <c r="M1339">
        <v>25.586367922640299</v>
      </c>
      <c r="O1339">
        <v>47.7054285002109</v>
      </c>
      <c r="P1339">
        <v>6.7043425572145293E-2</v>
      </c>
      <c r="Q1339">
        <v>1.5</v>
      </c>
      <c r="R1339">
        <v>-4.6552968178837001E-2</v>
      </c>
      <c r="S1339" t="s">
        <v>3341</v>
      </c>
      <c r="T1339" t="s">
        <v>4002</v>
      </c>
      <c r="U1339" t="s">
        <v>4002</v>
      </c>
      <c r="V1339" t="s">
        <v>4002</v>
      </c>
      <c r="W1339" t="s">
        <v>5320</v>
      </c>
      <c r="X1339">
        <v>15</v>
      </c>
      <c r="Y1339" t="s">
        <v>7250</v>
      </c>
      <c r="Z1339" t="s">
        <v>9237</v>
      </c>
      <c r="AA1339">
        <v>1.3625306799552319</v>
      </c>
      <c r="AB1339" t="str">
        <f>HYPERLINK("Melting_Curves/meltCurve_P48594_SERPINB4.pdf", "Melting_Curves/meltCurve_P48594_SERPINB4.pdf")</f>
        <v>Melting_Curves/meltCurve_P48594_SERPINB4.pdf</v>
      </c>
    </row>
    <row r="1340" spans="1:28" x14ac:dyDescent="0.25">
      <c r="A1340" t="s">
        <v>1344</v>
      </c>
      <c r="B1340">
        <v>1</v>
      </c>
      <c r="C1340">
        <v>1.0118849682862201</v>
      </c>
      <c r="D1340">
        <v>1.16266395714022</v>
      </c>
      <c r="E1340">
        <v>1.3083317938296699</v>
      </c>
      <c r="F1340">
        <v>1.49461173717593</v>
      </c>
      <c r="G1340">
        <v>3.0395344540920002</v>
      </c>
      <c r="H1340">
        <v>3.5879672393620301</v>
      </c>
      <c r="I1340">
        <v>4.3170761746412998</v>
      </c>
      <c r="J1340">
        <v>3.75977584826652</v>
      </c>
      <c r="K1340">
        <v>3.9534454092000701</v>
      </c>
      <c r="S1340" t="s">
        <v>3342</v>
      </c>
      <c r="T1340" t="s">
        <v>4002</v>
      </c>
      <c r="U1340" t="s">
        <v>4003</v>
      </c>
      <c r="V1340" t="s">
        <v>4002</v>
      </c>
      <c r="W1340" t="s">
        <v>5321</v>
      </c>
      <c r="X1340">
        <v>8</v>
      </c>
      <c r="Y1340" t="s">
        <v>7251</v>
      </c>
      <c r="Z1340" t="s">
        <v>9238</v>
      </c>
      <c r="AB1340" t="str">
        <f>HYPERLINK("Melting_Curves/meltCurve_P48595_SERPINB10.pdf", "Melting_Curves/meltCurve_P48595_SERPINB10.pdf")</f>
        <v>Melting_Curves/meltCurve_P48595_SERPINB10.pdf</v>
      </c>
    </row>
    <row r="1341" spans="1:28" x14ac:dyDescent="0.25">
      <c r="A1341" t="s">
        <v>1345</v>
      </c>
      <c r="B1341">
        <v>1</v>
      </c>
      <c r="C1341">
        <v>0.90578667050525397</v>
      </c>
      <c r="D1341">
        <v>1.1668346048654099</v>
      </c>
      <c r="E1341">
        <v>0.94148553332373697</v>
      </c>
      <c r="F1341">
        <v>1.0532604001727399</v>
      </c>
      <c r="G1341">
        <v>0.85058298546135003</v>
      </c>
      <c r="H1341">
        <v>0.65496617244853905</v>
      </c>
      <c r="I1341">
        <v>0.77486684899956804</v>
      </c>
      <c r="J1341">
        <v>0.68423060313804496</v>
      </c>
      <c r="K1341">
        <v>0.76450266302000902</v>
      </c>
      <c r="L1341">
        <v>14242.476492993799</v>
      </c>
      <c r="M1341">
        <v>250</v>
      </c>
      <c r="O1341">
        <v>56.966260856460401</v>
      </c>
      <c r="P1341">
        <v>-0.30759263098642298</v>
      </c>
      <c r="Q1341">
        <v>0.71964157031680598</v>
      </c>
      <c r="R1341">
        <v>0.78207753016385595</v>
      </c>
      <c r="S1341" t="s">
        <v>3343</v>
      </c>
      <c r="T1341" t="s">
        <v>4002</v>
      </c>
      <c r="U1341" t="s">
        <v>4002</v>
      </c>
      <c r="V1341" t="s">
        <v>4002</v>
      </c>
      <c r="W1341" t="s">
        <v>5322</v>
      </c>
      <c r="X1341">
        <v>1</v>
      </c>
      <c r="Y1341" t="s">
        <v>7252</v>
      </c>
      <c r="Z1341" t="s">
        <v>9239</v>
      </c>
      <c r="AA1341">
        <v>0.87825814058908525</v>
      </c>
      <c r="AB1341" t="str">
        <f>HYPERLINK("Melting_Curves/meltCurve_P48634_4_PRRC2A.pdf", "Melting_Curves/meltCurve_P48634_4_PRRC2A.pdf")</f>
        <v>Melting_Curves/meltCurve_P48634_4_PRRC2A.pdf</v>
      </c>
    </row>
    <row r="1342" spans="1:28" x14ac:dyDescent="0.25">
      <c r="A1342" t="s">
        <v>1346</v>
      </c>
      <c r="B1342">
        <v>1</v>
      </c>
      <c r="C1342">
        <v>0.99963061010897003</v>
      </c>
      <c r="D1342">
        <v>1.0203164440066499</v>
      </c>
      <c r="E1342">
        <v>1.6074616757988101</v>
      </c>
      <c r="F1342">
        <v>2.0437111371052099</v>
      </c>
      <c r="G1342">
        <v>2.4087299144246801</v>
      </c>
      <c r="H1342">
        <v>2.14726343655729</v>
      </c>
      <c r="I1342">
        <v>2.8653573847195699</v>
      </c>
      <c r="J1342">
        <v>2.3277719633072702</v>
      </c>
      <c r="K1342">
        <v>2.2660222865234299</v>
      </c>
      <c r="L1342">
        <v>11645.437791005699</v>
      </c>
      <c r="M1342">
        <v>250</v>
      </c>
      <c r="O1342">
        <v>46.578785660244698</v>
      </c>
      <c r="P1342">
        <v>0.67090650572229704</v>
      </c>
      <c r="Q1342">
        <v>1.5</v>
      </c>
      <c r="R1342">
        <v>-0.154786399229706</v>
      </c>
      <c r="S1342" t="s">
        <v>3344</v>
      </c>
      <c r="T1342" t="s">
        <v>4002</v>
      </c>
      <c r="U1342" t="s">
        <v>4002</v>
      </c>
      <c r="V1342" t="s">
        <v>4002</v>
      </c>
      <c r="W1342" t="s">
        <v>5323</v>
      </c>
      <c r="X1342">
        <v>8</v>
      </c>
      <c r="Y1342" t="s">
        <v>7253</v>
      </c>
      <c r="Z1342" t="s">
        <v>9240</v>
      </c>
      <c r="AA1342">
        <v>1.390263272142126</v>
      </c>
      <c r="AB1342" t="str">
        <f>HYPERLINK("Melting_Curves/meltCurve_P48637_GSS.pdf", "Melting_Curves/meltCurve_P48637_GSS.pdf")</f>
        <v>Melting_Curves/meltCurve_P48637_GSS.pdf</v>
      </c>
    </row>
    <row r="1343" spans="1:28" x14ac:dyDescent="0.25">
      <c r="A1343" t="s">
        <v>1347</v>
      </c>
      <c r="B1343">
        <v>1</v>
      </c>
      <c r="C1343">
        <v>0.963371532612188</v>
      </c>
      <c r="D1343">
        <v>0.94377208953625402</v>
      </c>
      <c r="E1343">
        <v>1.05762022062761</v>
      </c>
      <c r="F1343">
        <v>0.95886139968821804</v>
      </c>
      <c r="G1343">
        <v>1.1125867218830701</v>
      </c>
      <c r="H1343">
        <v>1.0111860816584</v>
      </c>
      <c r="I1343">
        <v>1.3344757416729101</v>
      </c>
      <c r="J1343">
        <v>1.09104756464722</v>
      </c>
      <c r="K1343">
        <v>1.17753739602299</v>
      </c>
      <c r="L1343">
        <v>1441.02578670209</v>
      </c>
      <c r="M1343">
        <v>24.417680200610299</v>
      </c>
      <c r="O1343">
        <v>58.624110379612603</v>
      </c>
      <c r="P1343">
        <v>1.9332109110138902E-2</v>
      </c>
      <c r="Q1343">
        <v>1.18565416300849</v>
      </c>
      <c r="R1343">
        <v>0.51112008311604995</v>
      </c>
      <c r="S1343" t="s">
        <v>3345</v>
      </c>
      <c r="T1343" t="s">
        <v>4002</v>
      </c>
      <c r="U1343" t="s">
        <v>4002</v>
      </c>
      <c r="V1343" t="s">
        <v>4002</v>
      </c>
      <c r="W1343" t="s">
        <v>5324</v>
      </c>
      <c r="X1343">
        <v>4</v>
      </c>
      <c r="Y1343" t="s">
        <v>7254</v>
      </c>
      <c r="Z1343" t="s">
        <v>9241</v>
      </c>
      <c r="AA1343">
        <v>1.0664149624762831</v>
      </c>
      <c r="AB1343" t="str">
        <f>HYPERLINK("Melting_Curves/meltCurve_P48723_HSPA13.pdf", "Melting_Curves/meltCurve_P48723_HSPA13.pdf")</f>
        <v>Melting_Curves/meltCurve_P48723_HSPA13.pdf</v>
      </c>
    </row>
    <row r="1344" spans="1:28" x14ac:dyDescent="0.25">
      <c r="A1344" t="s">
        <v>1348</v>
      </c>
      <c r="B1344">
        <v>1</v>
      </c>
      <c r="C1344">
        <v>1.10040849077249</v>
      </c>
      <c r="D1344">
        <v>1.0924575096651801</v>
      </c>
      <c r="E1344">
        <v>1.1798088846743</v>
      </c>
      <c r="F1344">
        <v>0.90469764388357998</v>
      </c>
      <c r="G1344">
        <v>1.37818221606244</v>
      </c>
      <c r="H1344">
        <v>0.65519002115398595</v>
      </c>
      <c r="I1344">
        <v>1.2655190021153999</v>
      </c>
      <c r="J1344">
        <v>0.85060908891968801</v>
      </c>
      <c r="K1344">
        <v>0.95564957327303202</v>
      </c>
      <c r="L1344">
        <v>15000</v>
      </c>
      <c r="M1344">
        <v>228.318645475972</v>
      </c>
      <c r="O1344">
        <v>65.692620137342502</v>
      </c>
      <c r="P1344">
        <v>-8.4118887336562601E-2</v>
      </c>
      <c r="Q1344">
        <v>0.90318811212253003</v>
      </c>
      <c r="R1344">
        <v>9.6865874642857504E-3</v>
      </c>
      <c r="S1344" t="s">
        <v>3346</v>
      </c>
      <c r="T1344" t="s">
        <v>4002</v>
      </c>
      <c r="U1344" t="s">
        <v>4002</v>
      </c>
      <c r="V1344" t="s">
        <v>4002</v>
      </c>
      <c r="W1344" t="s">
        <v>5325</v>
      </c>
      <c r="X1344">
        <v>2</v>
      </c>
      <c r="Y1344" t="s">
        <v>7255</v>
      </c>
      <c r="Z1344" t="s">
        <v>9242</v>
      </c>
      <c r="AA1344">
        <v>0.98612945018544085</v>
      </c>
      <c r="AB1344" t="str">
        <f>HYPERLINK("Melting_Curves/meltCurve_P49006_MARCKSL1.pdf", "Melting_Curves/meltCurve_P49006_MARCKSL1.pdf")</f>
        <v>Melting_Curves/meltCurve_P49006_MARCKSL1.pdf</v>
      </c>
    </row>
    <row r="1345" spans="1:28" x14ac:dyDescent="0.25">
      <c r="A1345" t="s">
        <v>1349</v>
      </c>
      <c r="B1345">
        <v>1</v>
      </c>
      <c r="C1345">
        <v>0.93048031123877395</v>
      </c>
      <c r="D1345">
        <v>1.03196014980184</v>
      </c>
      <c r="E1345">
        <v>1.08355452132495</v>
      </c>
      <c r="F1345">
        <v>0.99952732429189495</v>
      </c>
      <c r="G1345">
        <v>0.94386066974511895</v>
      </c>
      <c r="H1345">
        <v>0.960040722830237</v>
      </c>
      <c r="I1345">
        <v>1.10355233974476</v>
      </c>
      <c r="J1345">
        <v>1.1795804094098801</v>
      </c>
      <c r="K1345">
        <v>0.95324146456750203</v>
      </c>
      <c r="L1345">
        <v>6934.0048601484896</v>
      </c>
      <c r="M1345">
        <v>110.804653708613</v>
      </c>
      <c r="O1345">
        <v>62.558254669293603</v>
      </c>
      <c r="P1345">
        <v>3.5099485909829697E-2</v>
      </c>
      <c r="Q1345">
        <v>1.0792660897364901</v>
      </c>
      <c r="R1345">
        <v>0.24388779336893099</v>
      </c>
      <c r="S1345" t="s">
        <v>3347</v>
      </c>
      <c r="T1345" t="s">
        <v>4002</v>
      </c>
      <c r="U1345" t="s">
        <v>4002</v>
      </c>
      <c r="V1345" t="s">
        <v>4002</v>
      </c>
      <c r="W1345" t="s">
        <v>5326</v>
      </c>
      <c r="X1345">
        <v>4</v>
      </c>
      <c r="Y1345" t="s">
        <v>7256</v>
      </c>
      <c r="Z1345" t="s">
        <v>9243</v>
      </c>
      <c r="AA1345">
        <v>1.019564391707408</v>
      </c>
      <c r="AB1345" t="str">
        <f>HYPERLINK("Melting_Curves/meltCurve_P49137_MAPKAPK2.pdf", "Melting_Curves/meltCurve_P49137_MAPKAPK2.pdf")</f>
        <v>Melting_Curves/meltCurve_P49137_MAPKAPK2.pdf</v>
      </c>
    </row>
    <row r="1346" spans="1:28" x14ac:dyDescent="0.25">
      <c r="A1346" t="s">
        <v>1350</v>
      </c>
      <c r="B1346">
        <v>1</v>
      </c>
      <c r="C1346">
        <v>1.02372738746319</v>
      </c>
      <c r="D1346">
        <v>1.07543121581826</v>
      </c>
      <c r="E1346">
        <v>1.11661758519142</v>
      </c>
      <c r="F1346">
        <v>1.27871266302061</v>
      </c>
      <c r="G1346">
        <v>1.79713925115692</v>
      </c>
      <c r="H1346">
        <v>2.29886411442995</v>
      </c>
      <c r="I1346">
        <v>3.9569204880101001</v>
      </c>
      <c r="J1346">
        <v>4.7782919646613404</v>
      </c>
      <c r="K1346">
        <v>3.6834244846445099</v>
      </c>
      <c r="L1346">
        <v>3112.11899897496</v>
      </c>
      <c r="M1346">
        <v>59.208385807975901</v>
      </c>
      <c r="O1346">
        <v>52.502270709663399</v>
      </c>
      <c r="P1346">
        <v>0.14096630912329899</v>
      </c>
      <c r="Q1346">
        <v>1.5</v>
      </c>
      <c r="R1346">
        <v>-0.22390148403645499</v>
      </c>
      <c r="S1346" t="s">
        <v>3348</v>
      </c>
      <c r="T1346" t="s">
        <v>4002</v>
      </c>
      <c r="U1346" t="s">
        <v>4002</v>
      </c>
      <c r="V1346" t="s">
        <v>4002</v>
      </c>
      <c r="W1346" t="s">
        <v>5327</v>
      </c>
      <c r="X1346">
        <v>8</v>
      </c>
      <c r="Y1346" t="s">
        <v>7257</v>
      </c>
      <c r="Z1346" t="s">
        <v>9244</v>
      </c>
      <c r="AA1346">
        <v>1.289805754663601</v>
      </c>
      <c r="AB1346" t="str">
        <f>HYPERLINK("Melting_Curves/meltCurve_P49189_ALDH9A1.pdf", "Melting_Curves/meltCurve_P49189_ALDH9A1.pdf")</f>
        <v>Melting_Curves/meltCurve_P49189_ALDH9A1.pdf</v>
      </c>
    </row>
    <row r="1347" spans="1:28" x14ac:dyDescent="0.25">
      <c r="A1347" t="s">
        <v>1351</v>
      </c>
      <c r="B1347">
        <v>1</v>
      </c>
      <c r="C1347">
        <v>0.89545079654468895</v>
      </c>
      <c r="D1347">
        <v>1.0029951816642799</v>
      </c>
      <c r="E1347">
        <v>1.06758692538091</v>
      </c>
      <c r="F1347">
        <v>1.0045144767113801</v>
      </c>
      <c r="G1347">
        <v>1.10956287711073</v>
      </c>
      <c r="H1347">
        <v>0.89230368537570004</v>
      </c>
      <c r="I1347">
        <v>1.1002300646785601</v>
      </c>
      <c r="J1347">
        <v>0.84036549897990198</v>
      </c>
      <c r="K1347">
        <v>0.92386161392542399</v>
      </c>
      <c r="L1347">
        <v>15000</v>
      </c>
      <c r="M1347">
        <v>228.692627619077</v>
      </c>
      <c r="O1347">
        <v>65.585205279570204</v>
      </c>
      <c r="P1347">
        <v>-0.102882609620985</v>
      </c>
      <c r="Q1347">
        <v>0.88197998111989495</v>
      </c>
      <c r="R1347">
        <v>0.32100413829039998</v>
      </c>
      <c r="S1347" t="s">
        <v>3349</v>
      </c>
      <c r="T1347" t="s">
        <v>4002</v>
      </c>
      <c r="U1347" t="s">
        <v>4002</v>
      </c>
      <c r="V1347" t="s">
        <v>4002</v>
      </c>
      <c r="W1347" t="s">
        <v>5328</v>
      </c>
      <c r="X1347">
        <v>2</v>
      </c>
      <c r="Y1347" t="s">
        <v>7258</v>
      </c>
      <c r="Z1347" t="s">
        <v>9245</v>
      </c>
      <c r="AA1347">
        <v>0.98266816153162218</v>
      </c>
      <c r="AB1347" t="str">
        <f>HYPERLINK("Melting_Curves/meltCurve_P49247_RPIA.pdf", "Melting_Curves/meltCurve_P49247_RPIA.pdf")</f>
        <v>Melting_Curves/meltCurve_P49247_RPIA.pdf</v>
      </c>
    </row>
    <row r="1348" spans="1:28" x14ac:dyDescent="0.25">
      <c r="A1348" t="s">
        <v>1352</v>
      </c>
      <c r="B1348">
        <v>1</v>
      </c>
      <c r="C1348">
        <v>1.0550430738736001</v>
      </c>
      <c r="D1348">
        <v>1.05710147137303</v>
      </c>
      <c r="E1348">
        <v>1.06640237859267</v>
      </c>
      <c r="F1348">
        <v>1.0674696958145899</v>
      </c>
      <c r="G1348">
        <v>1.16291835023252</v>
      </c>
      <c r="H1348">
        <v>0.97781504917282902</v>
      </c>
      <c r="I1348">
        <v>1.1707707555081199</v>
      </c>
      <c r="J1348">
        <v>1.2614164824273799</v>
      </c>
      <c r="K1348">
        <v>0.88983761530837802</v>
      </c>
      <c r="L1348">
        <v>777.650819085948</v>
      </c>
      <c r="M1348">
        <v>17.861515034054602</v>
      </c>
      <c r="O1348">
        <v>43.003055224306003</v>
      </c>
      <c r="P1348">
        <v>9.0767457014238693E-3</v>
      </c>
      <c r="Q1348">
        <v>1.0874075765382301</v>
      </c>
      <c r="R1348">
        <v>6.4630018341308298E-2</v>
      </c>
      <c r="S1348" t="s">
        <v>3350</v>
      </c>
      <c r="T1348" t="s">
        <v>4002</v>
      </c>
      <c r="U1348" t="s">
        <v>4002</v>
      </c>
      <c r="V1348" t="s">
        <v>4002</v>
      </c>
      <c r="W1348" t="s">
        <v>5329</v>
      </c>
      <c r="X1348">
        <v>4</v>
      </c>
      <c r="Y1348" t="s">
        <v>7259</v>
      </c>
      <c r="Z1348" t="s">
        <v>9246</v>
      </c>
      <c r="AA1348">
        <v>1.0747374182215941</v>
      </c>
      <c r="AB1348" t="str">
        <f>HYPERLINK("Melting_Curves/meltCurve_P49257_LMAN1.pdf", "Melting_Curves/meltCurve_P49257_LMAN1.pdf")</f>
        <v>Melting_Curves/meltCurve_P49257_LMAN1.pdf</v>
      </c>
    </row>
    <row r="1349" spans="1:28" x14ac:dyDescent="0.25">
      <c r="A1349" t="s">
        <v>1353</v>
      </c>
      <c r="B1349">
        <v>1</v>
      </c>
      <c r="C1349">
        <v>0.97041309625080396</v>
      </c>
      <c r="D1349">
        <v>1.0372014855696401</v>
      </c>
      <c r="E1349">
        <v>0.96837977467477199</v>
      </c>
      <c r="F1349">
        <v>0.83050812291221499</v>
      </c>
      <c r="G1349">
        <v>0.94711289084382899</v>
      </c>
      <c r="H1349">
        <v>0.80077598190758803</v>
      </c>
      <c r="I1349">
        <v>0.94877274519160903</v>
      </c>
      <c r="J1349">
        <v>1.15781065211528</v>
      </c>
      <c r="K1349">
        <v>0.88646596261178101</v>
      </c>
      <c r="L1349">
        <v>12511.509277507301</v>
      </c>
      <c r="M1349">
        <v>250</v>
      </c>
      <c r="O1349">
        <v>50.042822566006599</v>
      </c>
      <c r="P1349">
        <v>-8.9205552079687001E-2</v>
      </c>
      <c r="Q1349">
        <v>0.92857442115918598</v>
      </c>
      <c r="R1349">
        <v>0.11787290479170499</v>
      </c>
      <c r="S1349" t="s">
        <v>3351</v>
      </c>
      <c r="T1349" t="s">
        <v>4002</v>
      </c>
      <c r="U1349" t="s">
        <v>4002</v>
      </c>
      <c r="V1349" t="s">
        <v>4002</v>
      </c>
      <c r="W1349" t="s">
        <v>5330</v>
      </c>
      <c r="X1349">
        <v>2</v>
      </c>
      <c r="Y1349" t="s">
        <v>7260</v>
      </c>
      <c r="Z1349" t="s">
        <v>9247</v>
      </c>
      <c r="AA1349">
        <v>0.95249882832360677</v>
      </c>
      <c r="AB1349" t="str">
        <f>HYPERLINK("Melting_Curves/meltCurve_P49321_3_NASP.pdf", "Melting_Curves/meltCurve_P49321_3_NASP.pdf")</f>
        <v>Melting_Curves/meltCurve_P49321_3_NASP.pdf</v>
      </c>
    </row>
    <row r="1350" spans="1:28" x14ac:dyDescent="0.25">
      <c r="A1350" t="s">
        <v>1354</v>
      </c>
      <c r="B1350">
        <v>1</v>
      </c>
      <c r="C1350">
        <v>0.73102030326394296</v>
      </c>
      <c r="D1350">
        <v>0.78317484793969006</v>
      </c>
      <c r="E1350">
        <v>0.77184956737770904</v>
      </c>
      <c r="F1350">
        <v>0.80137068448556503</v>
      </c>
      <c r="G1350">
        <v>0.76837145549558805</v>
      </c>
      <c r="H1350">
        <v>0.83789942602587197</v>
      </c>
      <c r="I1350">
        <v>0.69416602415831397</v>
      </c>
      <c r="J1350">
        <v>5.5949627345155504</v>
      </c>
      <c r="K1350">
        <v>0.791193352180245</v>
      </c>
      <c r="L1350">
        <v>15000</v>
      </c>
      <c r="M1350">
        <v>230.42751752868801</v>
      </c>
      <c r="O1350">
        <v>65.091493263718107</v>
      </c>
      <c r="P1350">
        <v>0.44250700608653099</v>
      </c>
      <c r="Q1350">
        <v>1.5</v>
      </c>
      <c r="R1350">
        <v>0.14947432292098101</v>
      </c>
      <c r="S1350" t="s">
        <v>3352</v>
      </c>
      <c r="T1350" t="s">
        <v>4002</v>
      </c>
      <c r="U1350" t="s">
        <v>4002</v>
      </c>
      <c r="V1350" t="s">
        <v>4002</v>
      </c>
      <c r="W1350" t="s">
        <v>5331</v>
      </c>
      <c r="X1350">
        <v>4</v>
      </c>
      <c r="Y1350" t="s">
        <v>7261</v>
      </c>
      <c r="Z1350" t="s">
        <v>9248</v>
      </c>
      <c r="AA1350">
        <v>1.0816595610311679</v>
      </c>
      <c r="AB1350" t="str">
        <f>HYPERLINK("Melting_Curves/meltCurve_P49327_FASN.pdf", "Melting_Curves/meltCurve_P49327_FASN.pdf")</f>
        <v>Melting_Curves/meltCurve_P49327_FASN.pdf</v>
      </c>
    </row>
    <row r="1351" spans="1:28" x14ac:dyDescent="0.25">
      <c r="A1351" t="s">
        <v>1355</v>
      </c>
      <c r="B1351">
        <v>1</v>
      </c>
      <c r="C1351">
        <v>0.98897131552917905</v>
      </c>
      <c r="D1351">
        <v>1.1039070227497501</v>
      </c>
      <c r="E1351">
        <v>1.2007542037586501</v>
      </c>
      <c r="F1351">
        <v>0.76221562809099896</v>
      </c>
      <c r="G1351">
        <v>0.78095944609297696</v>
      </c>
      <c r="H1351">
        <v>0.66029920870425296</v>
      </c>
      <c r="I1351">
        <v>1.0946340257171101</v>
      </c>
      <c r="J1351">
        <v>1.50680019782394</v>
      </c>
      <c r="K1351">
        <v>0.61546735905044503</v>
      </c>
      <c r="L1351">
        <v>15000</v>
      </c>
      <c r="M1351">
        <v>213.81497632068599</v>
      </c>
      <c r="Q1351">
        <v>0</v>
      </c>
      <c r="R1351">
        <v>0.206381675405201</v>
      </c>
      <c r="S1351" t="s">
        <v>3353</v>
      </c>
      <c r="T1351" t="s">
        <v>4002</v>
      </c>
      <c r="U1351" t="s">
        <v>4002</v>
      </c>
      <c r="V1351" t="s">
        <v>4002</v>
      </c>
      <c r="W1351" t="s">
        <v>5332</v>
      </c>
      <c r="X1351">
        <v>3</v>
      </c>
      <c r="Y1351" t="s">
        <v>7262</v>
      </c>
      <c r="Z1351" t="s">
        <v>9249</v>
      </c>
      <c r="AA1351">
        <v>0.99477123727028993</v>
      </c>
      <c r="AB1351" t="str">
        <f>HYPERLINK("Melting_Curves/meltCurve_P49411_TUFM.pdf", "Melting_Curves/meltCurve_P49411_TUFM.pdf")</f>
        <v>Melting_Curves/meltCurve_P49411_TUFM.pdf</v>
      </c>
    </row>
    <row r="1352" spans="1:28" x14ac:dyDescent="0.25">
      <c r="A1352" t="s">
        <v>1356</v>
      </c>
      <c r="B1352">
        <v>1</v>
      </c>
      <c r="C1352">
        <v>0.936686512781023</v>
      </c>
      <c r="D1352">
        <v>0.94688503653062395</v>
      </c>
      <c r="E1352">
        <v>0.86625471893018802</v>
      </c>
      <c r="F1352">
        <v>1.05127434592341</v>
      </c>
      <c r="G1352">
        <v>0.94555152790038099</v>
      </c>
      <c r="H1352">
        <v>0.88990101985237502</v>
      </c>
      <c r="I1352">
        <v>0.96561050278909899</v>
      </c>
      <c r="J1352">
        <v>5.3886895929981398</v>
      </c>
      <c r="K1352">
        <v>0.84315309054711396</v>
      </c>
      <c r="L1352">
        <v>15000</v>
      </c>
      <c r="M1352">
        <v>231.290597819433</v>
      </c>
      <c r="O1352">
        <v>64.848630736318995</v>
      </c>
      <c r="P1352">
        <v>0.44582783783317198</v>
      </c>
      <c r="Q1352">
        <v>1.5</v>
      </c>
      <c r="R1352">
        <v>0.12641052097441399</v>
      </c>
      <c r="S1352" t="s">
        <v>3354</v>
      </c>
      <c r="T1352" t="s">
        <v>4002</v>
      </c>
      <c r="U1352" t="s">
        <v>4002</v>
      </c>
      <c r="V1352" t="s">
        <v>4002</v>
      </c>
      <c r="W1352" t="s">
        <v>5333</v>
      </c>
      <c r="X1352">
        <v>1</v>
      </c>
      <c r="Y1352" t="s">
        <v>7263</v>
      </c>
      <c r="Z1352" t="s">
        <v>9250</v>
      </c>
      <c r="AA1352">
        <v>1.0857088550100531</v>
      </c>
      <c r="AB1352" t="str">
        <f>HYPERLINK("Melting_Curves/meltCurve_P49755_TMED10.pdf", "Melting_Curves/meltCurve_P49755_TMED10.pdf")</f>
        <v>Melting_Curves/meltCurve_P49755_TMED10.pdf</v>
      </c>
    </row>
    <row r="1353" spans="1:28" x14ac:dyDescent="0.25">
      <c r="A1353" t="s">
        <v>1357</v>
      </c>
      <c r="B1353">
        <v>1</v>
      </c>
      <c r="C1353">
        <v>0.98050972165690897</v>
      </c>
      <c r="D1353">
        <v>0.92100566705281905</v>
      </c>
      <c r="E1353">
        <v>0.86297316760073906</v>
      </c>
      <c r="F1353">
        <v>0.92734587808008995</v>
      </c>
      <c r="G1353">
        <v>1.6254422492877001</v>
      </c>
      <c r="H1353">
        <v>1.8746673346065901</v>
      </c>
      <c r="I1353">
        <v>2.5111932120604901</v>
      </c>
      <c r="J1353">
        <v>2.19809637120761</v>
      </c>
      <c r="K1353">
        <v>2.1993487585710301</v>
      </c>
      <c r="L1353">
        <v>6168.7349648168201</v>
      </c>
      <c r="M1353">
        <v>112.54301135844</v>
      </c>
      <c r="O1353">
        <v>54.794942672157397</v>
      </c>
      <c r="P1353">
        <v>0.256736775387719</v>
      </c>
      <c r="Q1353">
        <v>1.5</v>
      </c>
      <c r="R1353">
        <v>0.415143326589613</v>
      </c>
      <c r="S1353" t="s">
        <v>3355</v>
      </c>
      <c r="T1353" t="s">
        <v>4002</v>
      </c>
      <c r="U1353" t="s">
        <v>4002</v>
      </c>
      <c r="V1353" t="s">
        <v>4002</v>
      </c>
      <c r="W1353" t="s">
        <v>5334</v>
      </c>
      <c r="X1353">
        <v>5</v>
      </c>
      <c r="Y1353" t="s">
        <v>7264</v>
      </c>
      <c r="Z1353" t="s">
        <v>9251</v>
      </c>
      <c r="AA1353">
        <v>1.252891728624298</v>
      </c>
      <c r="AB1353" t="str">
        <f>HYPERLINK("Melting_Curves/meltCurve_P49773_HINT1.pdf", "Melting_Curves/meltCurve_P49773_HINT1.pdf")</f>
        <v>Melting_Curves/meltCurve_P49773_HINT1.pdf</v>
      </c>
    </row>
    <row r="1354" spans="1:28" x14ac:dyDescent="0.25">
      <c r="A1354" t="s">
        <v>1358</v>
      </c>
      <c r="B1354">
        <v>1</v>
      </c>
      <c r="C1354">
        <v>0.96220319819092204</v>
      </c>
      <c r="D1354">
        <v>1.0424810208366999</v>
      </c>
      <c r="E1354">
        <v>1.18470360200291</v>
      </c>
      <c r="F1354">
        <v>1.1556291390728499</v>
      </c>
      <c r="G1354">
        <v>1.48134388628655</v>
      </c>
      <c r="H1354">
        <v>1.23857212082055</v>
      </c>
      <c r="I1354">
        <v>1.4257255155333</v>
      </c>
      <c r="J1354">
        <v>1.60515264093038</v>
      </c>
      <c r="K1354">
        <v>1.2501211435955399</v>
      </c>
      <c r="L1354">
        <v>1002.59771575303</v>
      </c>
      <c r="M1354">
        <v>19.350795586041102</v>
      </c>
      <c r="O1354">
        <v>51.267896044340901</v>
      </c>
      <c r="P1354">
        <v>3.8611993906091199E-2</v>
      </c>
      <c r="Q1354">
        <v>1.40917848022864</v>
      </c>
      <c r="R1354">
        <v>0.71082940820954599</v>
      </c>
      <c r="S1354" t="s">
        <v>3356</v>
      </c>
      <c r="T1354" t="s">
        <v>4002</v>
      </c>
      <c r="U1354" t="s">
        <v>4002</v>
      </c>
      <c r="V1354" t="s">
        <v>4002</v>
      </c>
      <c r="W1354" t="s">
        <v>5335</v>
      </c>
      <c r="X1354">
        <v>2</v>
      </c>
      <c r="Y1354" t="s">
        <v>7265</v>
      </c>
      <c r="Z1354" t="s">
        <v>9252</v>
      </c>
      <c r="AA1354">
        <v>1.2420627581434089</v>
      </c>
      <c r="AB1354" t="str">
        <f>HYPERLINK("Melting_Curves/meltCurve_P49788_2_RARRES1.pdf", "Melting_Curves/meltCurve_P49788_2_RARRES1.pdf")</f>
        <v>Melting_Curves/meltCurve_P49788_2_RARRES1.pdf</v>
      </c>
    </row>
    <row r="1355" spans="1:28" x14ac:dyDescent="0.25">
      <c r="A1355" t="s">
        <v>1359</v>
      </c>
      <c r="B1355">
        <v>1</v>
      </c>
      <c r="C1355">
        <v>1.0752052957935301</v>
      </c>
      <c r="D1355">
        <v>1.1747947042064699</v>
      </c>
      <c r="E1355">
        <v>1.4815233785822</v>
      </c>
      <c r="F1355">
        <v>1.8324953913189199</v>
      </c>
      <c r="G1355">
        <v>2.0721887045416501</v>
      </c>
      <c r="H1355">
        <v>2.59548349254232</v>
      </c>
      <c r="I1355">
        <v>2.65853862912686</v>
      </c>
      <c r="J1355">
        <v>3.3779537456008</v>
      </c>
      <c r="K1355">
        <v>2.6432880844645501</v>
      </c>
      <c r="L1355">
        <v>2492.7383268189401</v>
      </c>
      <c r="M1355">
        <v>53.610787885725699</v>
      </c>
      <c r="O1355">
        <v>46.432392491447096</v>
      </c>
      <c r="P1355">
        <v>0.14432495251371599</v>
      </c>
      <c r="Q1355">
        <v>1.5</v>
      </c>
      <c r="R1355">
        <v>-0.316775663038184</v>
      </c>
      <c r="S1355" t="s">
        <v>3357</v>
      </c>
      <c r="T1355" t="s">
        <v>4002</v>
      </c>
      <c r="U1355" t="s">
        <v>4002</v>
      </c>
      <c r="V1355" t="s">
        <v>4002</v>
      </c>
      <c r="W1355" t="s">
        <v>5336</v>
      </c>
      <c r="X1355">
        <v>4</v>
      </c>
      <c r="Y1355" t="s">
        <v>7266</v>
      </c>
      <c r="Z1355" t="s">
        <v>9253</v>
      </c>
      <c r="AA1355">
        <v>1.390824362980601</v>
      </c>
      <c r="AB1355" t="str">
        <f>HYPERLINK("Melting_Curves/meltCurve_P50452_SERPINB8.pdf", "Melting_Curves/meltCurve_P50452_SERPINB8.pdf")</f>
        <v>Melting_Curves/meltCurve_P50452_SERPINB8.pdf</v>
      </c>
    </row>
    <row r="1356" spans="1:28" x14ac:dyDescent="0.25">
      <c r="A1356" t="s">
        <v>1360</v>
      </c>
      <c r="B1356">
        <v>1</v>
      </c>
      <c r="C1356">
        <v>1.0633242506812</v>
      </c>
      <c r="D1356">
        <v>1.0468119891008201</v>
      </c>
      <c r="E1356">
        <v>1.1637602179836499</v>
      </c>
      <c r="F1356">
        <v>1.3611989100817401</v>
      </c>
      <c r="G1356">
        <v>1.49950953678474</v>
      </c>
      <c r="H1356">
        <v>1.2816893732970001</v>
      </c>
      <c r="I1356">
        <v>1.8257765667574899</v>
      </c>
      <c r="J1356">
        <v>1.60179836512262</v>
      </c>
      <c r="K1356">
        <v>1.78517711171662</v>
      </c>
      <c r="L1356">
        <v>1386.9719943976199</v>
      </c>
      <c r="M1356">
        <v>27.113260929215102</v>
      </c>
      <c r="O1356">
        <v>50.878900760486502</v>
      </c>
      <c r="P1356">
        <v>6.6612890637285899E-2</v>
      </c>
      <c r="Q1356">
        <v>1.5</v>
      </c>
      <c r="R1356">
        <v>0.70121427211516396</v>
      </c>
      <c r="S1356" t="s">
        <v>3358</v>
      </c>
      <c r="T1356" t="s">
        <v>4002</v>
      </c>
      <c r="U1356" t="s">
        <v>4002</v>
      </c>
      <c r="V1356" t="s">
        <v>4002</v>
      </c>
      <c r="W1356" t="s">
        <v>5337</v>
      </c>
      <c r="X1356">
        <v>2</v>
      </c>
      <c r="Y1356" t="s">
        <v>7267</v>
      </c>
      <c r="Z1356" t="s">
        <v>9254</v>
      </c>
      <c r="AA1356">
        <v>1.3102321519632909</v>
      </c>
      <c r="AB1356" t="str">
        <f>HYPERLINK("Melting_Curves/meltCurve_P50453_SERPINB9.pdf", "Melting_Curves/meltCurve_P50453_SERPINB9.pdf")</f>
        <v>Melting_Curves/meltCurve_P50453_SERPINB9.pdf</v>
      </c>
    </row>
    <row r="1357" spans="1:28" x14ac:dyDescent="0.25">
      <c r="A1357" t="s">
        <v>1361</v>
      </c>
      <c r="B1357">
        <v>1</v>
      </c>
      <c r="C1357">
        <v>0.95437182190251801</v>
      </c>
      <c r="D1357">
        <v>1.05581049237257</v>
      </c>
      <c r="E1357">
        <v>1.1172516433089399</v>
      </c>
      <c r="F1357">
        <v>1.0902145603373401</v>
      </c>
      <c r="G1357">
        <v>1.2102939352598301</v>
      </c>
      <c r="H1357">
        <v>1.0787920128984201</v>
      </c>
      <c r="I1357">
        <v>1.5045268510480001</v>
      </c>
      <c r="J1357">
        <v>1.1948158253751699</v>
      </c>
      <c r="K1357">
        <v>1.3265533920377</v>
      </c>
      <c r="L1357">
        <v>537.76335221026397</v>
      </c>
      <c r="M1357">
        <v>9.3299937151972294</v>
      </c>
      <c r="O1357">
        <v>55.176062755409198</v>
      </c>
      <c r="P1357">
        <v>1.61713856442996E-2</v>
      </c>
      <c r="Q1357">
        <v>1.3822975706349601</v>
      </c>
      <c r="R1357">
        <v>0.59541007369987697</v>
      </c>
      <c r="S1357" t="s">
        <v>3359</v>
      </c>
      <c r="T1357" t="s">
        <v>4002</v>
      </c>
      <c r="U1357" t="s">
        <v>4002</v>
      </c>
      <c r="V1357" t="s">
        <v>4002</v>
      </c>
      <c r="W1357" t="s">
        <v>5338</v>
      </c>
      <c r="X1357">
        <v>16</v>
      </c>
      <c r="Y1357" t="s">
        <v>7268</v>
      </c>
      <c r="Z1357" t="s">
        <v>9255</v>
      </c>
      <c r="AA1357">
        <v>1.1534169305467019</v>
      </c>
      <c r="AB1357" t="str">
        <f>HYPERLINK("Melting_Curves/meltCurve_P50552_VASP.pdf", "Melting_Curves/meltCurve_P50552_VASP.pdf")</f>
        <v>Melting_Curves/meltCurve_P50552_VASP.pdf</v>
      </c>
    </row>
    <row r="1358" spans="1:28" x14ac:dyDescent="0.25">
      <c r="A1358" t="s">
        <v>1362</v>
      </c>
      <c r="B1358">
        <v>1</v>
      </c>
      <c r="C1358">
        <v>0.79067995893087795</v>
      </c>
      <c r="D1358">
        <v>0.72619481336733704</v>
      </c>
      <c r="E1358">
        <v>0.84781240684926995</v>
      </c>
      <c r="F1358">
        <v>0.90236147451395998</v>
      </c>
      <c r="G1358">
        <v>0.77080780313317698</v>
      </c>
      <c r="H1358">
        <v>0.65998741430132801</v>
      </c>
      <c r="I1358">
        <v>1.09329977147021</v>
      </c>
      <c r="J1358">
        <v>0.76375318782499202</v>
      </c>
      <c r="K1358">
        <v>0.91107210280528605</v>
      </c>
      <c r="L1358">
        <v>10251.4357569319</v>
      </c>
      <c r="M1358">
        <v>250</v>
      </c>
      <c r="O1358">
        <v>41.003119241466301</v>
      </c>
      <c r="P1358">
        <v>-0.25980960469860997</v>
      </c>
      <c r="Q1358">
        <v>0.82955193426085505</v>
      </c>
      <c r="R1358">
        <v>0.166842112370686</v>
      </c>
      <c r="S1358" t="s">
        <v>3360</v>
      </c>
      <c r="T1358" t="s">
        <v>4002</v>
      </c>
      <c r="U1358" t="s">
        <v>4002</v>
      </c>
      <c r="V1358" t="s">
        <v>4002</v>
      </c>
      <c r="W1358" t="s">
        <v>5339</v>
      </c>
      <c r="X1358">
        <v>2</v>
      </c>
      <c r="Y1358" t="s">
        <v>7269</v>
      </c>
      <c r="Z1358" t="s">
        <v>9256</v>
      </c>
      <c r="AA1358">
        <v>0.83528006947572142</v>
      </c>
      <c r="AB1358" t="str">
        <f>HYPERLINK("Melting_Curves/meltCurve_P50591_TNFSF10.pdf", "Melting_Curves/meltCurve_P50591_TNFSF10.pdf")</f>
        <v>Melting_Curves/meltCurve_P50591_TNFSF10.pdf</v>
      </c>
    </row>
    <row r="1359" spans="1:28" x14ac:dyDescent="0.25">
      <c r="A1359" t="s">
        <v>1363</v>
      </c>
      <c r="B1359">
        <v>1</v>
      </c>
      <c r="C1359">
        <v>0.86907865709357801</v>
      </c>
      <c r="D1359">
        <v>0.86214953271028005</v>
      </c>
      <c r="E1359">
        <v>0.82470618908186599</v>
      </c>
      <c r="F1359">
        <v>0.66913681761662203</v>
      </c>
      <c r="G1359">
        <v>0.70669046568529104</v>
      </c>
      <c r="H1359">
        <v>0.59809073041594796</v>
      </c>
      <c r="I1359">
        <v>0.61976053908788298</v>
      </c>
      <c r="J1359">
        <v>0.69124784404957695</v>
      </c>
      <c r="K1359">
        <v>0.65530865187918697</v>
      </c>
      <c r="L1359">
        <v>560.39040735225603</v>
      </c>
      <c r="M1359">
        <v>11.735753406271201</v>
      </c>
      <c r="O1359">
        <v>46.4274803967932</v>
      </c>
      <c r="P1359">
        <v>-2.3379733153099901E-2</v>
      </c>
      <c r="Q1359">
        <v>0.63012960611149105</v>
      </c>
      <c r="R1359">
        <v>0.88746970347273502</v>
      </c>
      <c r="S1359" t="s">
        <v>3361</v>
      </c>
      <c r="T1359" t="s">
        <v>4002</v>
      </c>
      <c r="U1359" t="s">
        <v>4002</v>
      </c>
      <c r="V1359" t="s">
        <v>4002</v>
      </c>
      <c r="W1359" t="s">
        <v>5340</v>
      </c>
      <c r="X1359">
        <v>1</v>
      </c>
      <c r="Y1359" t="s">
        <v>7270</v>
      </c>
      <c r="Z1359" t="s">
        <v>9257</v>
      </c>
      <c r="AA1359">
        <v>0.74099843895644046</v>
      </c>
      <c r="AB1359" t="str">
        <f>HYPERLINK("Melting_Curves/meltCurve_P50749_RASSF2.pdf", "Melting_Curves/meltCurve_P50749_RASSF2.pdf")</f>
        <v>Melting_Curves/meltCurve_P50749_RASSF2.pdf</v>
      </c>
    </row>
    <row r="1360" spans="1:28" x14ac:dyDescent="0.25">
      <c r="A1360" t="s">
        <v>1364</v>
      </c>
      <c r="B1360">
        <v>1</v>
      </c>
      <c r="C1360">
        <v>1.0274620972436701</v>
      </c>
      <c r="D1360">
        <v>1.06661773266851</v>
      </c>
      <c r="E1360">
        <v>1.0607962742666199</v>
      </c>
      <c r="F1360">
        <v>0.83358222177225405</v>
      </c>
      <c r="G1360">
        <v>0.63005897390468002</v>
      </c>
      <c r="H1360">
        <v>0.41651269331038498</v>
      </c>
      <c r="I1360">
        <v>0.64630843605254495</v>
      </c>
      <c r="J1360">
        <v>1.47892885165405</v>
      </c>
      <c r="K1360">
        <v>0.53359993925434701</v>
      </c>
      <c r="L1360">
        <v>13218.8738634605</v>
      </c>
      <c r="M1360">
        <v>250</v>
      </c>
      <c r="O1360">
        <v>52.872111643857302</v>
      </c>
      <c r="P1360">
        <v>-0.30606664266806299</v>
      </c>
      <c r="Q1360">
        <v>0.74108176444607898</v>
      </c>
      <c r="R1360">
        <v>0.210084308505118</v>
      </c>
      <c r="S1360" t="s">
        <v>3362</v>
      </c>
      <c r="T1360" t="s">
        <v>4002</v>
      </c>
      <c r="U1360" t="s">
        <v>4002</v>
      </c>
      <c r="V1360" t="s">
        <v>4002</v>
      </c>
      <c r="W1360" t="s">
        <v>5341</v>
      </c>
      <c r="X1360">
        <v>2</v>
      </c>
      <c r="Y1360" t="s">
        <v>7271</v>
      </c>
      <c r="Z1360" t="s">
        <v>9258</v>
      </c>
      <c r="AA1360">
        <v>0.85222914309734565</v>
      </c>
      <c r="AB1360" t="str">
        <f>HYPERLINK("Melting_Curves/meltCurve_P50991_2_CCT4.pdf", "Melting_Curves/meltCurve_P50991_2_CCT4.pdf")</f>
        <v>Melting_Curves/meltCurve_P50991_2_CCT4.pdf</v>
      </c>
    </row>
    <row r="1361" spans="1:28" x14ac:dyDescent="0.25">
      <c r="A1361" t="s">
        <v>1365</v>
      </c>
      <c r="B1361">
        <v>1</v>
      </c>
      <c r="C1361">
        <v>1.12700621787246</v>
      </c>
      <c r="D1361">
        <v>1.6840782060203401</v>
      </c>
      <c r="E1361">
        <v>2.23607712855507</v>
      </c>
      <c r="F1361">
        <v>2.3724438258995701</v>
      </c>
      <c r="G1361">
        <v>3.02498372578509</v>
      </c>
      <c r="H1361">
        <v>3.1268939819075601</v>
      </c>
      <c r="I1361">
        <v>3.7590069361826299</v>
      </c>
      <c r="J1361">
        <v>4.0514938606927204</v>
      </c>
      <c r="K1361">
        <v>3.6357718467305702</v>
      </c>
      <c r="L1361">
        <v>10771.217224014799</v>
      </c>
      <c r="M1361">
        <v>250</v>
      </c>
      <c r="O1361">
        <v>43.0821118813544</v>
      </c>
      <c r="P1361">
        <v>0.72535905894774999</v>
      </c>
      <c r="Q1361">
        <v>1.5</v>
      </c>
      <c r="R1361">
        <v>-1.0946500167002799</v>
      </c>
      <c r="S1361" t="s">
        <v>3363</v>
      </c>
      <c r="T1361" t="s">
        <v>4002</v>
      </c>
      <c r="U1361" t="s">
        <v>4002</v>
      </c>
      <c r="V1361" t="s">
        <v>4002</v>
      </c>
      <c r="W1361" t="s">
        <v>5342</v>
      </c>
      <c r="X1361">
        <v>8</v>
      </c>
      <c r="Y1361" t="s">
        <v>7272</v>
      </c>
      <c r="Z1361" t="s">
        <v>9259</v>
      </c>
      <c r="AA1361">
        <v>1.4485477117514289</v>
      </c>
      <c r="AB1361" t="str">
        <f>HYPERLINK("Melting_Curves/meltCurve_P51149_RAB7A.pdf", "Melting_Curves/meltCurve_P51149_RAB7A.pdf")</f>
        <v>Melting_Curves/meltCurve_P51149_RAB7A.pdf</v>
      </c>
    </row>
    <row r="1362" spans="1:28" x14ac:dyDescent="0.25">
      <c r="A1362" t="s">
        <v>1366</v>
      </c>
      <c r="B1362">
        <v>1</v>
      </c>
      <c r="C1362">
        <v>0.98365046070866702</v>
      </c>
      <c r="D1362">
        <v>1.04829949808974</v>
      </c>
      <c r="E1362">
        <v>1.0271368641845799</v>
      </c>
      <c r="F1362">
        <v>1.01007566109821</v>
      </c>
      <c r="G1362">
        <v>1.03292381451794</v>
      </c>
      <c r="H1362">
        <v>1.0020975353959101</v>
      </c>
      <c r="I1362">
        <v>1.2524533672934299</v>
      </c>
      <c r="J1362">
        <v>1.25082403176268</v>
      </c>
      <c r="K1362">
        <v>1.06388118960222</v>
      </c>
      <c r="L1362">
        <v>15000</v>
      </c>
      <c r="M1362">
        <v>241.992229920819</v>
      </c>
      <c r="O1362">
        <v>61.981227816502603</v>
      </c>
      <c r="P1362">
        <v>0.18453868470336099</v>
      </c>
      <c r="Q1362">
        <v>1.1890628346549501</v>
      </c>
      <c r="R1362">
        <v>0.68907836431083402</v>
      </c>
      <c r="S1362" t="s">
        <v>3364</v>
      </c>
      <c r="T1362" t="s">
        <v>4002</v>
      </c>
      <c r="U1362" t="s">
        <v>4002</v>
      </c>
      <c r="V1362" t="s">
        <v>4002</v>
      </c>
      <c r="W1362" t="s">
        <v>5343</v>
      </c>
      <c r="X1362">
        <v>3</v>
      </c>
      <c r="Y1362" t="s">
        <v>7273</v>
      </c>
      <c r="Z1362" t="s">
        <v>9260</v>
      </c>
      <c r="AA1362">
        <v>1.0504864293090379</v>
      </c>
      <c r="AB1362" t="str">
        <f>HYPERLINK("Melting_Curves/meltCurve_P51151_RAB9A.pdf", "Melting_Curves/meltCurve_P51151_RAB9A.pdf")</f>
        <v>Melting_Curves/meltCurve_P51151_RAB9A.pdf</v>
      </c>
    </row>
    <row r="1363" spans="1:28" x14ac:dyDescent="0.25">
      <c r="A1363" t="s">
        <v>1367</v>
      </c>
      <c r="B1363">
        <v>1</v>
      </c>
      <c r="C1363">
        <v>0.96950837848954696</v>
      </c>
      <c r="D1363">
        <v>0.99560062235098401</v>
      </c>
      <c r="E1363">
        <v>1.03796698678398</v>
      </c>
      <c r="F1363">
        <v>0.96712985317524203</v>
      </c>
      <c r="G1363">
        <v>1.0075111325714901</v>
      </c>
      <c r="H1363">
        <v>0.85796805980292201</v>
      </c>
      <c r="I1363">
        <v>1.10765956685802</v>
      </c>
      <c r="J1363">
        <v>1.58585045692723</v>
      </c>
      <c r="K1363">
        <v>0.95840263247312996</v>
      </c>
      <c r="L1363">
        <v>15000</v>
      </c>
      <c r="M1363">
        <v>233.95212755714601</v>
      </c>
      <c r="O1363">
        <v>64.110975199959398</v>
      </c>
      <c r="P1363">
        <v>0.24824868502337299</v>
      </c>
      <c r="Q1363">
        <v>1.27211499402117</v>
      </c>
      <c r="R1363">
        <v>0.38127906963073199</v>
      </c>
      <c r="S1363" t="s">
        <v>3365</v>
      </c>
      <c r="T1363" t="s">
        <v>4002</v>
      </c>
      <c r="U1363" t="s">
        <v>4002</v>
      </c>
      <c r="V1363" t="s">
        <v>4002</v>
      </c>
      <c r="W1363" t="s">
        <v>5344</v>
      </c>
      <c r="X1363">
        <v>3</v>
      </c>
      <c r="Y1363" t="s">
        <v>7274</v>
      </c>
      <c r="Z1363" t="s">
        <v>9261</v>
      </c>
      <c r="AA1363">
        <v>1.0533387488513659</v>
      </c>
      <c r="AB1363" t="str">
        <f>HYPERLINK("Melting_Curves/meltCurve_P51572_BCAP31.pdf", "Melting_Curves/meltCurve_P51572_BCAP31.pdf")</f>
        <v>Melting_Curves/meltCurve_P51572_BCAP31.pdf</v>
      </c>
    </row>
    <row r="1364" spans="1:28" x14ac:dyDescent="0.25">
      <c r="A1364" t="s">
        <v>1368</v>
      </c>
      <c r="B1364">
        <v>1</v>
      </c>
      <c r="C1364">
        <v>1.04891223364625</v>
      </c>
      <c r="D1364">
        <v>1.5145656385039501</v>
      </c>
      <c r="E1364">
        <v>1.9118611235285401</v>
      </c>
      <c r="F1364">
        <v>2.1305319624497101</v>
      </c>
      <c r="G1364">
        <v>2.2618834748919698</v>
      </c>
      <c r="H1364">
        <v>2.44263150052153</v>
      </c>
      <c r="I1364">
        <v>3.0867232901207</v>
      </c>
      <c r="J1364">
        <v>3.2158769184920302</v>
      </c>
      <c r="K1364">
        <v>2.70898524810013</v>
      </c>
      <c r="L1364">
        <v>10820.308058149199</v>
      </c>
      <c r="M1364">
        <v>250</v>
      </c>
      <c r="O1364">
        <v>43.278462743151401</v>
      </c>
      <c r="P1364">
        <v>0.72206816546659003</v>
      </c>
      <c r="Q1364">
        <v>1.5</v>
      </c>
      <c r="R1364">
        <v>-0.654128711682185</v>
      </c>
      <c r="S1364" t="s">
        <v>3366</v>
      </c>
      <c r="T1364" t="s">
        <v>4002</v>
      </c>
      <c r="U1364" t="s">
        <v>4002</v>
      </c>
      <c r="V1364" t="s">
        <v>4002</v>
      </c>
      <c r="W1364" t="s">
        <v>5345</v>
      </c>
      <c r="X1364">
        <v>1</v>
      </c>
      <c r="Y1364" t="s">
        <v>7275</v>
      </c>
      <c r="Z1364" t="s">
        <v>9262</v>
      </c>
      <c r="AA1364">
        <v>1.4452748171758709</v>
      </c>
      <c r="AB1364" t="str">
        <f>HYPERLINK("Melting_Curves/meltCurve_P51580_TPMT.pdf", "Melting_Curves/meltCurve_P51580_TPMT.pdf")</f>
        <v>Melting_Curves/meltCurve_P51580_TPMT.pdf</v>
      </c>
    </row>
    <row r="1365" spans="1:28" x14ac:dyDescent="0.25">
      <c r="A1365" t="s">
        <v>1369</v>
      </c>
      <c r="B1365">
        <v>1</v>
      </c>
      <c r="C1365">
        <v>0.906793756397134</v>
      </c>
      <c r="D1365">
        <v>1.0028787103377701</v>
      </c>
      <c r="E1365">
        <v>1.0976202661207799</v>
      </c>
      <c r="F1365">
        <v>1.06870522006141</v>
      </c>
      <c r="G1365">
        <v>1.15372313203685</v>
      </c>
      <c r="H1365">
        <v>1.2112973387922199</v>
      </c>
      <c r="I1365">
        <v>2.0328172978505599</v>
      </c>
      <c r="J1365">
        <v>2.1233367451381802</v>
      </c>
      <c r="K1365">
        <v>2.00121545547595</v>
      </c>
      <c r="L1365">
        <v>15000</v>
      </c>
      <c r="M1365">
        <v>245.589749635392</v>
      </c>
      <c r="O1365">
        <v>61.073430137917001</v>
      </c>
      <c r="P1365">
        <v>0.50265270832342401</v>
      </c>
      <c r="Q1365">
        <v>1.5</v>
      </c>
      <c r="R1365">
        <v>0.54393261340174004</v>
      </c>
      <c r="S1365" t="s">
        <v>3367</v>
      </c>
      <c r="T1365" t="s">
        <v>4002</v>
      </c>
      <c r="U1365" t="s">
        <v>4002</v>
      </c>
      <c r="V1365" t="s">
        <v>4002</v>
      </c>
      <c r="W1365" t="s">
        <v>5346</v>
      </c>
      <c r="X1365">
        <v>8</v>
      </c>
      <c r="Y1365" t="s">
        <v>7276</v>
      </c>
      <c r="Z1365" t="s">
        <v>9263</v>
      </c>
      <c r="AA1365">
        <v>1.1486533340939311</v>
      </c>
      <c r="AB1365" t="str">
        <f>HYPERLINK("Melting_Curves/meltCurve_P51858_HDGF.pdf", "Melting_Curves/meltCurve_P51858_HDGF.pdf")</f>
        <v>Melting_Curves/meltCurve_P51858_HDGF.pdf</v>
      </c>
    </row>
    <row r="1366" spans="1:28" x14ac:dyDescent="0.25">
      <c r="A1366" t="s">
        <v>1370</v>
      </c>
      <c r="B1366">
        <v>1</v>
      </c>
      <c r="C1366">
        <v>0.90149429538014803</v>
      </c>
      <c r="D1366">
        <v>0.89787840188464796</v>
      </c>
      <c r="E1366">
        <v>0.89257783073783403</v>
      </c>
      <c r="F1366">
        <v>0.81582227335607005</v>
      </c>
      <c r="G1366">
        <v>0.90495952664667001</v>
      </c>
      <c r="H1366">
        <v>0.80542657955650498</v>
      </c>
      <c r="I1366">
        <v>1.21762474147731</v>
      </c>
      <c r="J1366">
        <v>1.1016011285970599</v>
      </c>
      <c r="K1366">
        <v>1.1517990439796699</v>
      </c>
      <c r="L1366">
        <v>5565.8502339961597</v>
      </c>
      <c r="M1366">
        <v>88.463974484878804</v>
      </c>
      <c r="O1366">
        <v>62.8844442541182</v>
      </c>
      <c r="P1366">
        <v>5.52250139842132E-2</v>
      </c>
      <c r="Q1366">
        <v>1.1570263598408701</v>
      </c>
      <c r="R1366">
        <v>0.30733650784481098</v>
      </c>
      <c r="S1366" t="s">
        <v>3368</v>
      </c>
      <c r="T1366" t="s">
        <v>4002</v>
      </c>
      <c r="U1366" t="s">
        <v>4002</v>
      </c>
      <c r="V1366" t="s">
        <v>4002</v>
      </c>
      <c r="W1366" t="s">
        <v>5347</v>
      </c>
      <c r="X1366">
        <v>5</v>
      </c>
      <c r="Y1366" t="s">
        <v>7277</v>
      </c>
      <c r="Z1366" t="s">
        <v>9264</v>
      </c>
      <c r="AA1366">
        <v>1.0369380779181521</v>
      </c>
      <c r="AB1366" t="str">
        <f>HYPERLINK("Melting_Curves/meltCurve_P51884_LUM.pdf", "Melting_Curves/meltCurve_P51884_LUM.pdf")</f>
        <v>Melting_Curves/meltCurve_P51884_LUM.pdf</v>
      </c>
    </row>
    <row r="1367" spans="1:28" x14ac:dyDescent="0.25">
      <c r="A1367" t="s">
        <v>1371</v>
      </c>
      <c r="B1367">
        <v>1</v>
      </c>
      <c r="C1367">
        <v>0.950633087519132</v>
      </c>
      <c r="D1367">
        <v>1.1691665507165701</v>
      </c>
      <c r="E1367">
        <v>1.1542507304856</v>
      </c>
      <c r="F1367">
        <v>1.29767636009462</v>
      </c>
      <c r="G1367">
        <v>1.24140809795464</v>
      </c>
      <c r="H1367">
        <v>0.93830527341032399</v>
      </c>
      <c r="I1367">
        <v>1.1631278697648499</v>
      </c>
      <c r="J1367">
        <v>1.2752748017253399</v>
      </c>
      <c r="K1367">
        <v>1.0292194239599299</v>
      </c>
      <c r="L1367">
        <v>11134.3265285044</v>
      </c>
      <c r="M1367">
        <v>250</v>
      </c>
      <c r="O1367">
        <v>44.534456118536802</v>
      </c>
      <c r="P1367">
        <v>0.22252393237555099</v>
      </c>
      <c r="Q1367">
        <v>1.15855971629711</v>
      </c>
      <c r="R1367">
        <v>0.327774661118168</v>
      </c>
      <c r="S1367" t="s">
        <v>3369</v>
      </c>
      <c r="T1367" t="s">
        <v>4002</v>
      </c>
      <c r="U1367" t="s">
        <v>4002</v>
      </c>
      <c r="V1367" t="s">
        <v>4002</v>
      </c>
      <c r="W1367" t="s">
        <v>5348</v>
      </c>
      <c r="X1367">
        <v>2</v>
      </c>
      <c r="Y1367" t="s">
        <v>7278</v>
      </c>
      <c r="Z1367" t="s">
        <v>9265</v>
      </c>
      <c r="AA1367">
        <v>1.134566190568588</v>
      </c>
      <c r="AB1367" t="str">
        <f>HYPERLINK("Melting_Curves/meltCurve_P51991_HNRNPA3.pdf", "Melting_Curves/meltCurve_P51991_HNRNPA3.pdf")</f>
        <v>Melting_Curves/meltCurve_P51991_HNRNPA3.pdf</v>
      </c>
    </row>
    <row r="1368" spans="1:28" x14ac:dyDescent="0.25">
      <c r="A1368" t="s">
        <v>1372</v>
      </c>
      <c r="B1368">
        <v>1</v>
      </c>
      <c r="C1368">
        <v>1.1022991475071</v>
      </c>
      <c r="D1368">
        <v>1.2310341858262299</v>
      </c>
      <c r="E1368">
        <v>1.70636355808146</v>
      </c>
      <c r="F1368">
        <v>1.84939292172565</v>
      </c>
      <c r="G1368">
        <v>2.4041160768104701</v>
      </c>
      <c r="H1368">
        <v>2.1153018169292999</v>
      </c>
      <c r="I1368">
        <v>3.70929131146129</v>
      </c>
      <c r="J1368">
        <v>2.5923533970550201</v>
      </c>
      <c r="K1368">
        <v>3.5257900628605898</v>
      </c>
      <c r="L1368">
        <v>6738.1549132857499</v>
      </c>
      <c r="M1368">
        <v>146.32978127914501</v>
      </c>
      <c r="O1368">
        <v>46.039140861411198</v>
      </c>
      <c r="P1368">
        <v>0.39729727414224297</v>
      </c>
      <c r="Q1368">
        <v>1.5</v>
      </c>
      <c r="R1368">
        <v>-0.42047157941433899</v>
      </c>
      <c r="S1368" t="s">
        <v>3370</v>
      </c>
      <c r="T1368" t="s">
        <v>4002</v>
      </c>
      <c r="U1368" t="s">
        <v>4002</v>
      </c>
      <c r="V1368" t="s">
        <v>4002</v>
      </c>
      <c r="W1368" t="s">
        <v>5349</v>
      </c>
      <c r="X1368">
        <v>3</v>
      </c>
      <c r="Y1368" t="s">
        <v>7279</v>
      </c>
      <c r="Z1368" t="s">
        <v>9266</v>
      </c>
      <c r="AA1368">
        <v>1.3990864340362921</v>
      </c>
      <c r="AB1368" t="str">
        <f>HYPERLINK("Melting_Curves/meltCurve_P51993_FUT6.pdf", "Melting_Curves/meltCurve_P51993_FUT6.pdf")</f>
        <v>Melting_Curves/meltCurve_P51993_FUT6.pdf</v>
      </c>
    </row>
    <row r="1369" spans="1:28" x14ac:dyDescent="0.25">
      <c r="A1369" t="s">
        <v>1373</v>
      </c>
      <c r="B1369">
        <v>1</v>
      </c>
      <c r="C1369">
        <v>0.93470830878019995</v>
      </c>
      <c r="D1369">
        <v>1.07699862502455</v>
      </c>
      <c r="E1369">
        <v>1.1810646238460001</v>
      </c>
      <c r="F1369">
        <v>1.19823217442546</v>
      </c>
      <c r="G1369">
        <v>1.34170104105284</v>
      </c>
      <c r="H1369">
        <v>1.4786878805735599</v>
      </c>
      <c r="I1369">
        <v>2.2206246317030098</v>
      </c>
      <c r="J1369">
        <v>1.92076212924769</v>
      </c>
      <c r="K1369">
        <v>1.88025928108427</v>
      </c>
      <c r="L1369">
        <v>1409.57132108519</v>
      </c>
      <c r="M1369">
        <v>26.606722434061101</v>
      </c>
      <c r="O1369">
        <v>52.681457575883698</v>
      </c>
      <c r="P1369">
        <v>6.3131799793754995E-2</v>
      </c>
      <c r="Q1369">
        <v>1.5</v>
      </c>
      <c r="R1369">
        <v>0.49679541850627701</v>
      </c>
      <c r="S1369" t="s">
        <v>3371</v>
      </c>
      <c r="T1369" t="s">
        <v>4002</v>
      </c>
      <c r="U1369" t="s">
        <v>4002</v>
      </c>
      <c r="V1369" t="s">
        <v>4002</v>
      </c>
      <c r="W1369" t="s">
        <v>5350</v>
      </c>
      <c r="X1369">
        <v>10</v>
      </c>
      <c r="Y1369" t="s">
        <v>7280</v>
      </c>
      <c r="Z1369" t="s">
        <v>9267</v>
      </c>
      <c r="AA1369">
        <v>1.279609540848903</v>
      </c>
      <c r="AB1369" t="str">
        <f>HYPERLINK("Melting_Curves/meltCurve_P52565_ARHGDIA.pdf", "Melting_Curves/meltCurve_P52565_ARHGDIA.pdf")</f>
        <v>Melting_Curves/meltCurve_P52565_ARHGDIA.pdf</v>
      </c>
    </row>
    <row r="1370" spans="1:28" x14ac:dyDescent="0.25">
      <c r="A1370" t="s">
        <v>1374</v>
      </c>
      <c r="B1370">
        <v>1</v>
      </c>
      <c r="C1370">
        <v>0.95804272013949399</v>
      </c>
      <c r="D1370">
        <v>1.10756320836966</v>
      </c>
      <c r="E1370">
        <v>1.3000217959895399</v>
      </c>
      <c r="F1370">
        <v>1.3248328974135399</v>
      </c>
      <c r="G1370">
        <v>1.5277535600116201</v>
      </c>
      <c r="H1370">
        <v>1.87380122057541</v>
      </c>
      <c r="I1370">
        <v>2.5713092124382402</v>
      </c>
      <c r="J1370">
        <v>2.4564443475733801</v>
      </c>
      <c r="K1370">
        <v>2.2803690787561801</v>
      </c>
      <c r="L1370">
        <v>1387.9065412468999</v>
      </c>
      <c r="M1370">
        <v>28.073484552869999</v>
      </c>
      <c r="O1370">
        <v>49.189526691659303</v>
      </c>
      <c r="P1370">
        <v>7.1340701368155998E-2</v>
      </c>
      <c r="Q1370">
        <v>1.5</v>
      </c>
      <c r="R1370">
        <v>0.16247543780416401</v>
      </c>
      <c r="S1370" t="s">
        <v>3372</v>
      </c>
      <c r="T1370" t="s">
        <v>4002</v>
      </c>
      <c r="U1370" t="s">
        <v>4002</v>
      </c>
      <c r="V1370" t="s">
        <v>4002</v>
      </c>
      <c r="W1370" t="s">
        <v>5351</v>
      </c>
      <c r="X1370">
        <v>14</v>
      </c>
      <c r="Y1370" t="s">
        <v>6371</v>
      </c>
      <c r="Z1370" t="s">
        <v>9268</v>
      </c>
      <c r="AA1370">
        <v>1.339185027246629</v>
      </c>
      <c r="AB1370" t="str">
        <f>HYPERLINK("Melting_Curves/meltCurve_P52566_ARHGDIB.pdf", "Melting_Curves/meltCurve_P52566_ARHGDIB.pdf")</f>
        <v>Melting_Curves/meltCurve_P52566_ARHGDIB.pdf</v>
      </c>
    </row>
    <row r="1371" spans="1:28" x14ac:dyDescent="0.25">
      <c r="A1371" t="s">
        <v>1375</v>
      </c>
      <c r="B1371">
        <v>1</v>
      </c>
      <c r="C1371">
        <v>1.2697942992418201</v>
      </c>
      <c r="D1371">
        <v>1.4698166927924801</v>
      </c>
      <c r="E1371">
        <v>1.15067660513772</v>
      </c>
      <c r="F1371">
        <v>1.20614862919479</v>
      </c>
      <c r="G1371">
        <v>1.0104130010557</v>
      </c>
      <c r="H1371">
        <v>0.71883297610288199</v>
      </c>
      <c r="I1371">
        <v>1.6032182731373401</v>
      </c>
      <c r="J1371">
        <v>1.5790972200006399</v>
      </c>
      <c r="K1371">
        <v>0.79721040340381999</v>
      </c>
      <c r="L1371">
        <v>10245.5353765535</v>
      </c>
      <c r="M1371">
        <v>250</v>
      </c>
      <c r="O1371">
        <v>40.979518955299802</v>
      </c>
      <c r="P1371">
        <v>0.305913149231827</v>
      </c>
      <c r="Q1371">
        <v>1.20057877875888</v>
      </c>
      <c r="R1371">
        <v>4.2480131921874803E-2</v>
      </c>
      <c r="S1371" t="s">
        <v>3373</v>
      </c>
      <c r="T1371" t="s">
        <v>4002</v>
      </c>
      <c r="U1371" t="s">
        <v>4002</v>
      </c>
      <c r="V1371" t="s">
        <v>4002</v>
      </c>
      <c r="W1371" t="s">
        <v>5352</v>
      </c>
      <c r="X1371">
        <v>3</v>
      </c>
      <c r="Y1371" t="s">
        <v>7281</v>
      </c>
      <c r="Z1371" t="s">
        <v>9269</v>
      </c>
      <c r="AA1371">
        <v>1.1939955605812009</v>
      </c>
      <c r="AB1371" t="str">
        <f>HYPERLINK("Melting_Curves/meltCurve_P52597_HNRNPF.pdf", "Melting_Curves/meltCurve_P52597_HNRNPF.pdf")</f>
        <v>Melting_Curves/meltCurve_P52597_HNRNPF.pdf</v>
      </c>
    </row>
    <row r="1372" spans="1:28" x14ac:dyDescent="0.25">
      <c r="A1372" t="s">
        <v>1376</v>
      </c>
      <c r="B1372">
        <v>1</v>
      </c>
      <c r="C1372">
        <v>1.0776565285505899</v>
      </c>
      <c r="D1372">
        <v>1.2029604019231801</v>
      </c>
      <c r="E1372">
        <v>1.3265085624763699</v>
      </c>
      <c r="F1372">
        <v>1.3735346550699601</v>
      </c>
      <c r="G1372">
        <v>1.6861595807898</v>
      </c>
      <c r="H1372">
        <v>1.5923504943006901</v>
      </c>
      <c r="I1372">
        <v>2.6901031818918502</v>
      </c>
      <c r="J1372">
        <v>2.2328885527524198</v>
      </c>
      <c r="K1372">
        <v>2.5682297012587099</v>
      </c>
      <c r="L1372">
        <v>1111.85483538983</v>
      </c>
      <c r="M1372">
        <v>23.5275981021151</v>
      </c>
      <c r="O1372">
        <v>46.920041931309001</v>
      </c>
      <c r="P1372">
        <v>6.26811053180302E-2</v>
      </c>
      <c r="Q1372">
        <v>1.5</v>
      </c>
      <c r="R1372">
        <v>6.8953939272423506E-2</v>
      </c>
      <c r="S1372" t="s">
        <v>3374</v>
      </c>
      <c r="T1372" t="s">
        <v>4002</v>
      </c>
      <c r="U1372" t="s">
        <v>4002</v>
      </c>
      <c r="V1372" t="s">
        <v>4002</v>
      </c>
      <c r="W1372" t="s">
        <v>5353</v>
      </c>
      <c r="X1372">
        <v>14</v>
      </c>
      <c r="Y1372" t="s">
        <v>7282</v>
      </c>
      <c r="Z1372" t="s">
        <v>9270</v>
      </c>
      <c r="AA1372">
        <v>1.3739659401886779</v>
      </c>
      <c r="AB1372" t="str">
        <f>HYPERLINK("Melting_Curves/meltCurve_P52790_HK3.pdf", "Melting_Curves/meltCurve_P52790_HK3.pdf")</f>
        <v>Melting_Curves/meltCurve_P52790_HK3.pdf</v>
      </c>
    </row>
    <row r="1373" spans="1:28" x14ac:dyDescent="0.25">
      <c r="A1373" t="s">
        <v>1377</v>
      </c>
      <c r="B1373">
        <v>1</v>
      </c>
      <c r="C1373">
        <v>0.80235062457694895</v>
      </c>
      <c r="D1373">
        <v>0.86909113285336304</v>
      </c>
      <c r="E1373">
        <v>0.95431665743646499</v>
      </c>
      <c r="F1373">
        <v>0.79846163313026897</v>
      </c>
      <c r="G1373">
        <v>0.81868192726601396</v>
      </c>
      <c r="H1373">
        <v>0.74991077472155598</v>
      </c>
      <c r="I1373">
        <v>1.0011445449510801</v>
      </c>
      <c r="J1373">
        <v>0.78752076795274095</v>
      </c>
      <c r="K1373">
        <v>0.77461079318195802</v>
      </c>
      <c r="L1373">
        <v>10251.2449015085</v>
      </c>
      <c r="M1373">
        <v>250</v>
      </c>
      <c r="O1373">
        <v>41.002355853838303</v>
      </c>
      <c r="P1373">
        <v>-0.244551084837483</v>
      </c>
      <c r="Q1373">
        <v>0.83956527166114903</v>
      </c>
      <c r="R1373">
        <v>0.28322921120710898</v>
      </c>
      <c r="S1373" t="s">
        <v>3375</v>
      </c>
      <c r="T1373" t="s">
        <v>4002</v>
      </c>
      <c r="U1373" t="s">
        <v>4002</v>
      </c>
      <c r="V1373" t="s">
        <v>4002</v>
      </c>
      <c r="W1373" t="s">
        <v>5354</v>
      </c>
      <c r="X1373">
        <v>1</v>
      </c>
      <c r="Y1373" t="s">
        <v>7283</v>
      </c>
      <c r="Z1373" t="s">
        <v>9271</v>
      </c>
      <c r="AA1373">
        <v>0.84495281981249981</v>
      </c>
      <c r="AB1373" t="str">
        <f>HYPERLINK("Melting_Curves/meltCurve_P52799_EFNB2.pdf", "Melting_Curves/meltCurve_P52799_EFNB2.pdf")</f>
        <v>Melting_Curves/meltCurve_P52799_EFNB2.pdf</v>
      </c>
    </row>
    <row r="1374" spans="1:28" x14ac:dyDescent="0.25">
      <c r="A1374" t="s">
        <v>1378</v>
      </c>
      <c r="B1374">
        <v>1</v>
      </c>
      <c r="C1374">
        <v>0.97612768529201699</v>
      </c>
      <c r="D1374">
        <v>1.0627438052854199</v>
      </c>
      <c r="E1374">
        <v>1.2908631393879499</v>
      </c>
      <c r="F1374">
        <v>1.4056095818911001</v>
      </c>
      <c r="G1374">
        <v>1.63356408988517</v>
      </c>
      <c r="H1374">
        <v>1.6571067523762399</v>
      </c>
      <c r="I1374">
        <v>2.3237184770067598</v>
      </c>
      <c r="J1374">
        <v>2.36248008351189</v>
      </c>
      <c r="K1374">
        <v>1.9354431075215599</v>
      </c>
      <c r="L1374">
        <v>1680.29527979465</v>
      </c>
      <c r="M1374">
        <v>33.936239954864703</v>
      </c>
      <c r="O1374">
        <v>49.342323780251498</v>
      </c>
      <c r="P1374">
        <v>8.5971777133949906E-2</v>
      </c>
      <c r="Q1374">
        <v>1.5</v>
      </c>
      <c r="R1374">
        <v>0.30257668792046899</v>
      </c>
      <c r="S1374" t="s">
        <v>3376</v>
      </c>
      <c r="T1374" t="s">
        <v>4002</v>
      </c>
      <c r="U1374" t="s">
        <v>4002</v>
      </c>
      <c r="V1374" t="s">
        <v>4002</v>
      </c>
      <c r="W1374" t="s">
        <v>5355</v>
      </c>
      <c r="X1374">
        <v>8</v>
      </c>
      <c r="Y1374" t="s">
        <v>7284</v>
      </c>
      <c r="Z1374" t="s">
        <v>9272</v>
      </c>
      <c r="AA1374">
        <v>1.33905639931559</v>
      </c>
      <c r="AB1374" t="str">
        <f>HYPERLINK("Melting_Curves/meltCurve_P52907_CAPZA1.pdf", "Melting_Curves/meltCurve_P52907_CAPZA1.pdf")</f>
        <v>Melting_Curves/meltCurve_P52907_CAPZA1.pdf</v>
      </c>
    </row>
    <row r="1375" spans="1:28" x14ac:dyDescent="0.25">
      <c r="A1375" t="s">
        <v>1379</v>
      </c>
      <c r="B1375">
        <v>1</v>
      </c>
      <c r="C1375">
        <v>0.90957379537118999</v>
      </c>
      <c r="D1375">
        <v>1.0649298090299699</v>
      </c>
      <c r="E1375">
        <v>1.4009105855571</v>
      </c>
      <c r="F1375">
        <v>1.4532945491336799</v>
      </c>
      <c r="G1375">
        <v>1.8190970026558699</v>
      </c>
      <c r="H1375">
        <v>2.5777159478942702</v>
      </c>
      <c r="I1375">
        <v>3.8125711394966499</v>
      </c>
      <c r="J1375">
        <v>4.0455292778550698</v>
      </c>
      <c r="K1375">
        <v>4.12191728847856</v>
      </c>
      <c r="L1375">
        <v>2098.0432426919701</v>
      </c>
      <c r="M1375">
        <v>43.426112010779399</v>
      </c>
      <c r="O1375">
        <v>48.210816289431698</v>
      </c>
      <c r="P1375">
        <v>0.112594460932324</v>
      </c>
      <c r="Q1375">
        <v>1.5</v>
      </c>
      <c r="R1375">
        <v>-0.28271468301319302</v>
      </c>
      <c r="S1375" t="s">
        <v>3377</v>
      </c>
      <c r="T1375" t="s">
        <v>4002</v>
      </c>
      <c r="U1375" t="s">
        <v>4002</v>
      </c>
      <c r="V1375" t="s">
        <v>4002</v>
      </c>
      <c r="W1375" t="s">
        <v>5356</v>
      </c>
      <c r="X1375">
        <v>2</v>
      </c>
      <c r="Y1375" t="s">
        <v>7285</v>
      </c>
      <c r="Z1375" t="s">
        <v>9273</v>
      </c>
      <c r="AA1375">
        <v>1.360034362494706</v>
      </c>
      <c r="AB1375" t="str">
        <f>HYPERLINK("Melting_Curves/meltCurve_P53004_BLVRA.pdf", "Melting_Curves/meltCurve_P53004_BLVRA.pdf")</f>
        <v>Melting_Curves/meltCurve_P53004_BLVRA.pdf</v>
      </c>
    </row>
    <row r="1376" spans="1:28" x14ac:dyDescent="0.25">
      <c r="A1376" t="s">
        <v>1380</v>
      </c>
      <c r="B1376">
        <v>1</v>
      </c>
      <c r="C1376">
        <v>1.0821496858781801</v>
      </c>
      <c r="D1376">
        <v>1.05333242283529</v>
      </c>
      <c r="E1376">
        <v>1.14401802786124</v>
      </c>
      <c r="F1376">
        <v>0.95083310570882296</v>
      </c>
      <c r="G1376">
        <v>0.93178093417099195</v>
      </c>
      <c r="H1376">
        <v>0.86847855777110095</v>
      </c>
      <c r="I1376">
        <v>1.1511881999453699</v>
      </c>
      <c r="J1376">
        <v>1.20520349631248</v>
      </c>
      <c r="K1376">
        <v>0.91983064736410802</v>
      </c>
      <c r="L1376">
        <v>1.0000000000000001E-5</v>
      </c>
      <c r="M1376">
        <v>1.01497797538334E-5</v>
      </c>
      <c r="Q1376">
        <v>1.0613627098648399</v>
      </c>
      <c r="R1376">
        <v>-5.1335291573195698E-10</v>
      </c>
      <c r="S1376" t="s">
        <v>3378</v>
      </c>
      <c r="T1376" t="s">
        <v>4002</v>
      </c>
      <c r="U1376" t="s">
        <v>4002</v>
      </c>
      <c r="V1376" t="s">
        <v>4002</v>
      </c>
      <c r="W1376" t="s">
        <v>5357</v>
      </c>
      <c r="X1376">
        <v>1</v>
      </c>
      <c r="Y1376" t="s">
        <v>7286</v>
      </c>
      <c r="Z1376" t="s">
        <v>9274</v>
      </c>
      <c r="AA1376">
        <v>1.0306815077752891</v>
      </c>
      <c r="AB1376" t="str">
        <f>HYPERLINK("Melting_Curves/meltCurve_P53367_ARFIP1.pdf", "Melting_Curves/meltCurve_P53367_ARFIP1.pdf")</f>
        <v>Melting_Curves/meltCurve_P53367_ARFIP1.pdf</v>
      </c>
    </row>
    <row r="1377" spans="1:28" x14ac:dyDescent="0.25">
      <c r="A1377" t="s">
        <v>1381</v>
      </c>
      <c r="B1377">
        <v>1</v>
      </c>
      <c r="C1377">
        <v>0.86924060937318304</v>
      </c>
      <c r="D1377">
        <v>1.01543202697988</v>
      </c>
      <c r="E1377">
        <v>1.24456332131643</v>
      </c>
      <c r="F1377">
        <v>1.3177113617862499</v>
      </c>
      <c r="G1377">
        <v>2.1053610884986602</v>
      </c>
      <c r="H1377">
        <v>2.1883939993022401</v>
      </c>
      <c r="I1377">
        <v>2.8131178043958598</v>
      </c>
      <c r="J1377">
        <v>4.6040237236888002</v>
      </c>
      <c r="K1377">
        <v>2.7932317711361798</v>
      </c>
      <c r="L1377">
        <v>2108.1079059498002</v>
      </c>
      <c r="M1377">
        <v>41.883335535384902</v>
      </c>
      <c r="O1377">
        <v>50.218520405891802</v>
      </c>
      <c r="P1377">
        <v>0.104252891811158</v>
      </c>
      <c r="Q1377">
        <v>1.5</v>
      </c>
      <c r="R1377">
        <v>-0.121746699930403</v>
      </c>
      <c r="S1377" t="s">
        <v>3379</v>
      </c>
      <c r="T1377" t="s">
        <v>4002</v>
      </c>
      <c r="U1377" t="s">
        <v>4002</v>
      </c>
      <c r="V1377" t="s">
        <v>4002</v>
      </c>
      <c r="W1377" t="s">
        <v>5358</v>
      </c>
      <c r="X1377">
        <v>1</v>
      </c>
      <c r="Y1377" t="s">
        <v>7287</v>
      </c>
      <c r="Z1377" t="s">
        <v>9275</v>
      </c>
      <c r="AA1377">
        <v>1.3261999432454461</v>
      </c>
      <c r="AB1377" t="str">
        <f>HYPERLINK("Melting_Curves/meltCurve_P53597_SUCLG1.pdf", "Melting_Curves/meltCurve_P53597_SUCLG1.pdf")</f>
        <v>Melting_Curves/meltCurve_P53597_SUCLG1.pdf</v>
      </c>
    </row>
    <row r="1378" spans="1:28" x14ac:dyDescent="0.25">
      <c r="A1378" t="s">
        <v>1382</v>
      </c>
      <c r="B1378">
        <v>1</v>
      </c>
      <c r="C1378">
        <v>0.91543132939086203</v>
      </c>
      <c r="D1378">
        <v>1.1114588029382899</v>
      </c>
      <c r="E1378">
        <v>1.3194860643347699</v>
      </c>
      <c r="F1378">
        <v>1.4544273250417701</v>
      </c>
      <c r="G1378">
        <v>1.8715691214299</v>
      </c>
      <c r="H1378">
        <v>2.3680023336603999</v>
      </c>
      <c r="I1378">
        <v>2.7663157336444901</v>
      </c>
      <c r="J1378">
        <v>2.90580498024344</v>
      </c>
      <c r="K1378">
        <v>2.4641332307937098</v>
      </c>
      <c r="L1378">
        <v>1765.23873499621</v>
      </c>
      <c r="M1378">
        <v>36.180032820282001</v>
      </c>
      <c r="O1378">
        <v>48.642074910581897</v>
      </c>
      <c r="P1378">
        <v>9.29754350888264E-2</v>
      </c>
      <c r="Q1378">
        <v>1.5</v>
      </c>
      <c r="R1378">
        <v>-4.7920020626250399E-2</v>
      </c>
      <c r="S1378" t="s">
        <v>3380</v>
      </c>
      <c r="T1378" t="s">
        <v>4002</v>
      </c>
      <c r="U1378" t="s">
        <v>4002</v>
      </c>
      <c r="V1378" t="s">
        <v>4002</v>
      </c>
      <c r="W1378" t="s">
        <v>5359</v>
      </c>
      <c r="X1378">
        <v>5</v>
      </c>
      <c r="Y1378" t="s">
        <v>7288</v>
      </c>
      <c r="Z1378" t="s">
        <v>9276</v>
      </c>
      <c r="AA1378">
        <v>1.351423057194636</v>
      </c>
      <c r="AB1378" t="str">
        <f>HYPERLINK("Melting_Curves/meltCurve_P53634_CTSC.pdf", "Melting_Curves/meltCurve_P53634_CTSC.pdf")</f>
        <v>Melting_Curves/meltCurve_P53634_CTSC.pdf</v>
      </c>
    </row>
    <row r="1379" spans="1:28" x14ac:dyDescent="0.25">
      <c r="A1379" t="s">
        <v>1383</v>
      </c>
      <c r="B1379">
        <v>1</v>
      </c>
      <c r="C1379">
        <v>0.93835062660018898</v>
      </c>
      <c r="D1379">
        <v>1.00700714189462</v>
      </c>
      <c r="E1379">
        <v>1.1710685891389301</v>
      </c>
      <c r="F1379">
        <v>1.0099717019269601</v>
      </c>
      <c r="G1379">
        <v>1.1620064681309801</v>
      </c>
      <c r="H1379">
        <v>0.89832906616358998</v>
      </c>
      <c r="I1379">
        <v>1.03880878587791</v>
      </c>
      <c r="J1379">
        <v>2.3283923999460998</v>
      </c>
      <c r="K1379">
        <v>1.02469343754211</v>
      </c>
      <c r="L1379">
        <v>15000</v>
      </c>
      <c r="M1379">
        <v>231.98708489167299</v>
      </c>
      <c r="O1379">
        <v>64.6539670549991</v>
      </c>
      <c r="P1379">
        <v>0.44851672881190102</v>
      </c>
      <c r="Q1379">
        <v>1.5</v>
      </c>
      <c r="R1379">
        <v>0.38122131814722499</v>
      </c>
      <c r="S1379" t="s">
        <v>3381</v>
      </c>
      <c r="T1379" t="s">
        <v>4002</v>
      </c>
      <c r="U1379" t="s">
        <v>4002</v>
      </c>
      <c r="V1379" t="s">
        <v>4002</v>
      </c>
      <c r="W1379" t="s">
        <v>5360</v>
      </c>
      <c r="X1379">
        <v>1</v>
      </c>
      <c r="Y1379" t="s">
        <v>7289</v>
      </c>
      <c r="Z1379" t="s">
        <v>9277</v>
      </c>
      <c r="AA1379">
        <v>1.088954575958585</v>
      </c>
      <c r="AB1379" t="str">
        <f>HYPERLINK("Melting_Curves/meltCurve_P53999_SUB1.pdf", "Melting_Curves/meltCurve_P53999_SUB1.pdf")</f>
        <v>Melting_Curves/meltCurve_P53999_SUB1.pdf</v>
      </c>
    </row>
    <row r="1380" spans="1:28" x14ac:dyDescent="0.25">
      <c r="A1380" t="s">
        <v>1384</v>
      </c>
      <c r="B1380">
        <v>1</v>
      </c>
      <c r="C1380">
        <v>0.96936177684136604</v>
      </c>
      <c r="D1380">
        <v>0.98867526994996002</v>
      </c>
      <c r="E1380">
        <v>1.0334474585198801</v>
      </c>
      <c r="F1380">
        <v>0.99359143183214804</v>
      </c>
      <c r="G1380">
        <v>1.0732156966025801</v>
      </c>
      <c r="H1380">
        <v>1.01466069704152</v>
      </c>
      <c r="I1380">
        <v>1.39092265823896</v>
      </c>
      <c r="J1380">
        <v>1.61381792643315</v>
      </c>
      <c r="K1380">
        <v>1.16425248002809</v>
      </c>
      <c r="L1380">
        <v>15000</v>
      </c>
      <c r="M1380">
        <v>242.660442779292</v>
      </c>
      <c r="O1380">
        <v>61.810573557705503</v>
      </c>
      <c r="P1380">
        <v>0.38247508066887298</v>
      </c>
      <c r="Q1380">
        <v>1.3896968756252099</v>
      </c>
      <c r="R1380">
        <v>0.73509829154284601</v>
      </c>
      <c r="S1380" t="s">
        <v>3382</v>
      </c>
      <c r="T1380" t="s">
        <v>4002</v>
      </c>
      <c r="U1380" t="s">
        <v>4002</v>
      </c>
      <c r="V1380" t="s">
        <v>4002</v>
      </c>
      <c r="W1380" t="s">
        <v>5361</v>
      </c>
      <c r="X1380">
        <v>3</v>
      </c>
      <c r="Y1380" t="s">
        <v>7290</v>
      </c>
      <c r="Z1380" t="s">
        <v>9278</v>
      </c>
      <c r="AA1380">
        <v>1.1062803837401529</v>
      </c>
      <c r="AB1380" t="str">
        <f>HYPERLINK("Melting_Curves/meltCurve_P54577_YARS.pdf", "Melting_Curves/meltCurve_P54577_YARS.pdf")</f>
        <v>Melting_Curves/meltCurve_P54577_YARS.pdf</v>
      </c>
    </row>
    <row r="1381" spans="1:28" x14ac:dyDescent="0.25">
      <c r="A1381" t="s">
        <v>1385</v>
      </c>
      <c r="B1381">
        <v>1</v>
      </c>
      <c r="C1381">
        <v>0.92327451418360496</v>
      </c>
      <c r="D1381">
        <v>0.98637480455662296</v>
      </c>
      <c r="E1381">
        <v>0.95166964485146299</v>
      </c>
      <c r="F1381">
        <v>0.94438239892785303</v>
      </c>
      <c r="G1381">
        <v>0.90643846325664501</v>
      </c>
      <c r="H1381">
        <v>0.81136922046013005</v>
      </c>
      <c r="I1381">
        <v>0.98059526468617397</v>
      </c>
      <c r="J1381">
        <v>0.83473866428411903</v>
      </c>
      <c r="K1381">
        <v>0.86486486486486502</v>
      </c>
      <c r="L1381">
        <v>277.70306058101198</v>
      </c>
      <c r="M1381">
        <v>4.5158280332094396</v>
      </c>
      <c r="O1381">
        <v>52.313997291129198</v>
      </c>
      <c r="P1381">
        <v>-4.7450194491478704E-3</v>
      </c>
      <c r="Q1381">
        <v>0.78200810673238197</v>
      </c>
      <c r="R1381">
        <v>0.43725574289612901</v>
      </c>
      <c r="S1381" t="s">
        <v>3383</v>
      </c>
      <c r="T1381" t="s">
        <v>4002</v>
      </c>
      <c r="U1381" t="s">
        <v>4002</v>
      </c>
      <c r="V1381" t="s">
        <v>4002</v>
      </c>
      <c r="W1381" t="s">
        <v>5362</v>
      </c>
      <c r="X1381">
        <v>2</v>
      </c>
      <c r="Y1381" t="s">
        <v>7291</v>
      </c>
      <c r="Z1381" t="s">
        <v>9279</v>
      </c>
      <c r="AA1381">
        <v>0.92074223609184613</v>
      </c>
      <c r="AB1381" t="str">
        <f>HYPERLINK("Melting_Curves/meltCurve_P54710_2_FXYD2.pdf", "Melting_Curves/meltCurve_P54710_2_FXYD2.pdf")</f>
        <v>Melting_Curves/meltCurve_P54710_2_FXYD2.pdf</v>
      </c>
    </row>
    <row r="1382" spans="1:28" x14ac:dyDescent="0.25">
      <c r="A1382" t="s">
        <v>1386</v>
      </c>
      <c r="B1382">
        <v>1</v>
      </c>
      <c r="C1382">
        <v>0.90269158357157797</v>
      </c>
      <c r="D1382">
        <v>1.0839550937870399</v>
      </c>
      <c r="E1382">
        <v>1.1460672198591499</v>
      </c>
      <c r="F1382">
        <v>0.91397043441879899</v>
      </c>
      <c r="G1382">
        <v>0.92948539153476095</v>
      </c>
      <c r="H1382">
        <v>0.86753015828742797</v>
      </c>
      <c r="I1382">
        <v>0.97371173558329305</v>
      </c>
      <c r="J1382">
        <v>0.83977756083955102</v>
      </c>
      <c r="K1382">
        <v>0.77919949794296095</v>
      </c>
      <c r="L1382">
        <v>607.74497455788003</v>
      </c>
      <c r="M1382">
        <v>7.3623484567083004</v>
      </c>
      <c r="Q1382">
        <v>0</v>
      </c>
      <c r="R1382">
        <v>0.48537637019586199</v>
      </c>
      <c r="S1382" t="s">
        <v>3384</v>
      </c>
      <c r="T1382" t="s">
        <v>4002</v>
      </c>
      <c r="U1382" t="s">
        <v>4002</v>
      </c>
      <c r="V1382" t="s">
        <v>4002</v>
      </c>
      <c r="W1382" t="s">
        <v>5363</v>
      </c>
      <c r="X1382">
        <v>7</v>
      </c>
      <c r="Y1382" t="s">
        <v>7292</v>
      </c>
      <c r="Z1382" t="s">
        <v>9280</v>
      </c>
      <c r="AA1382">
        <v>0.94807923558145391</v>
      </c>
      <c r="AB1382" t="str">
        <f>HYPERLINK("Melting_Curves/meltCurve_P54727_RAD23B.pdf", "Melting_Curves/meltCurve_P54727_RAD23B.pdf")</f>
        <v>Melting_Curves/meltCurve_P54727_RAD23B.pdf</v>
      </c>
    </row>
    <row r="1383" spans="1:28" x14ac:dyDescent="0.25">
      <c r="A1383" t="s">
        <v>1387</v>
      </c>
      <c r="B1383">
        <v>1</v>
      </c>
      <c r="C1383">
        <v>1.0319892384920799</v>
      </c>
      <c r="D1383">
        <v>0.97767315200629901</v>
      </c>
      <c r="E1383">
        <v>1.1111420978378601</v>
      </c>
      <c r="F1383">
        <v>1.15048065881427</v>
      </c>
      <c r="G1383">
        <v>1.6778765707536301</v>
      </c>
      <c r="H1383">
        <v>1.9355949998359501</v>
      </c>
      <c r="I1383">
        <v>2.3037173135601599</v>
      </c>
      <c r="J1383">
        <v>2.2171002985662298</v>
      </c>
      <c r="K1383">
        <v>2.1810098756520899</v>
      </c>
      <c r="L1383">
        <v>11944.4913865906</v>
      </c>
      <c r="M1383">
        <v>224.52504558020999</v>
      </c>
      <c r="O1383">
        <v>53.194707383114</v>
      </c>
      <c r="P1383">
        <v>0.52760195426855006</v>
      </c>
      <c r="Q1383">
        <v>1.5</v>
      </c>
      <c r="R1383">
        <v>0.34214100503487399</v>
      </c>
      <c r="S1383" t="s">
        <v>3385</v>
      </c>
      <c r="T1383" t="s">
        <v>4002</v>
      </c>
      <c r="U1383" t="s">
        <v>4002</v>
      </c>
      <c r="V1383" t="s">
        <v>4002</v>
      </c>
      <c r="W1383" t="s">
        <v>5364</v>
      </c>
      <c r="X1383">
        <v>3</v>
      </c>
      <c r="Y1383" t="s">
        <v>7293</v>
      </c>
      <c r="Z1383" t="s">
        <v>9281</v>
      </c>
      <c r="AA1383">
        <v>1.279960013643364</v>
      </c>
      <c r="AB1383" t="str">
        <f>HYPERLINK("Melting_Curves/meltCurve_P54753_EPHB3.pdf", "Melting_Curves/meltCurve_P54753_EPHB3.pdf")</f>
        <v>Melting_Curves/meltCurve_P54753_EPHB3.pdf</v>
      </c>
    </row>
    <row r="1384" spans="1:28" x14ac:dyDescent="0.25">
      <c r="A1384" t="s">
        <v>1388</v>
      </c>
      <c r="B1384">
        <v>1</v>
      </c>
      <c r="C1384">
        <v>0.93063046308350394</v>
      </c>
      <c r="D1384">
        <v>1.15203645155291</v>
      </c>
      <c r="E1384">
        <v>1.4100334759159401</v>
      </c>
      <c r="F1384">
        <v>2.0539799144504398</v>
      </c>
      <c r="G1384">
        <v>2.9059419750790401</v>
      </c>
      <c r="H1384">
        <v>2.6612423284359301</v>
      </c>
      <c r="I1384">
        <v>3.6686349265389602</v>
      </c>
      <c r="J1384">
        <v>2.7677143388506602</v>
      </c>
      <c r="K1384">
        <v>2.9878649804723798</v>
      </c>
      <c r="S1384" t="s">
        <v>3386</v>
      </c>
      <c r="T1384" t="s">
        <v>4002</v>
      </c>
      <c r="U1384" t="s">
        <v>4003</v>
      </c>
      <c r="V1384" t="s">
        <v>4002</v>
      </c>
      <c r="W1384" t="s">
        <v>5365</v>
      </c>
      <c r="X1384">
        <v>11</v>
      </c>
      <c r="Y1384" t="s">
        <v>7294</v>
      </c>
      <c r="Z1384" t="s">
        <v>9282</v>
      </c>
      <c r="AB1384" t="str">
        <f>HYPERLINK("Melting_Curves/meltCurve_P54802_NAGLU.pdf", "Melting_Curves/meltCurve_P54802_NAGLU.pdf")</f>
        <v>Melting_Curves/meltCurve_P54802_NAGLU.pdf</v>
      </c>
    </row>
    <row r="1385" spans="1:28" x14ac:dyDescent="0.25">
      <c r="A1385" t="s">
        <v>1389</v>
      </c>
      <c r="B1385">
        <v>1</v>
      </c>
      <c r="C1385">
        <v>0.85297166968052995</v>
      </c>
      <c r="D1385">
        <v>0.98264014466546101</v>
      </c>
      <c r="E1385">
        <v>0.96622061482820998</v>
      </c>
      <c r="F1385">
        <v>0.815334538878843</v>
      </c>
      <c r="G1385">
        <v>0.89837251356238701</v>
      </c>
      <c r="H1385">
        <v>0.84050632911392398</v>
      </c>
      <c r="I1385">
        <v>0.79496081977094601</v>
      </c>
      <c r="J1385">
        <v>0.82312236286919804</v>
      </c>
      <c r="K1385">
        <v>0.80243520192887297</v>
      </c>
      <c r="L1385">
        <v>221.59438555629001</v>
      </c>
      <c r="M1385">
        <v>3.3056007202168098</v>
      </c>
      <c r="O1385">
        <v>51.409434993069603</v>
      </c>
      <c r="P1385">
        <v>-6.2372660235721399E-3</v>
      </c>
      <c r="Q1385">
        <v>0.62079578607141706</v>
      </c>
      <c r="R1385">
        <v>0.56330896136553898</v>
      </c>
      <c r="S1385" t="s">
        <v>3387</v>
      </c>
      <c r="T1385" t="s">
        <v>4002</v>
      </c>
      <c r="U1385" t="s">
        <v>4002</v>
      </c>
      <c r="V1385" t="s">
        <v>4002</v>
      </c>
      <c r="W1385" t="s">
        <v>5366</v>
      </c>
      <c r="X1385">
        <v>3</v>
      </c>
      <c r="Y1385" t="s">
        <v>7295</v>
      </c>
      <c r="Z1385" t="s">
        <v>9283</v>
      </c>
      <c r="AA1385">
        <v>0.8779286614526266</v>
      </c>
      <c r="AB1385" t="str">
        <f>HYPERLINK("Melting_Curves/meltCurve_P55000_SLURP1.pdf", "Melting_Curves/meltCurve_P55000_SLURP1.pdf")</f>
        <v>Melting_Curves/meltCurve_P55000_SLURP1.pdf</v>
      </c>
    </row>
    <row r="1386" spans="1:28" x14ac:dyDescent="0.25">
      <c r="A1386" t="s">
        <v>1390</v>
      </c>
      <c r="B1386">
        <v>1</v>
      </c>
      <c r="C1386">
        <v>0.99786657441042503</v>
      </c>
      <c r="D1386">
        <v>1.07288243095197</v>
      </c>
      <c r="E1386">
        <v>1.1518191777662501</v>
      </c>
      <c r="F1386">
        <v>1.0045551519345</v>
      </c>
      <c r="G1386">
        <v>1.0239866228449499</v>
      </c>
      <c r="H1386">
        <v>0.84466355301850904</v>
      </c>
      <c r="I1386">
        <v>0.97676295911895294</v>
      </c>
      <c r="J1386">
        <v>4.0090526437179301</v>
      </c>
      <c r="K1386">
        <v>0.87654961655999497</v>
      </c>
      <c r="L1386">
        <v>15000</v>
      </c>
      <c r="M1386">
        <v>231.19824902936099</v>
      </c>
      <c r="O1386">
        <v>64.874529202461702</v>
      </c>
      <c r="P1386">
        <v>0.44547191878706199</v>
      </c>
      <c r="Q1386">
        <v>1.5</v>
      </c>
      <c r="R1386">
        <v>0.18277271572261</v>
      </c>
      <c r="S1386" t="s">
        <v>3388</v>
      </c>
      <c r="T1386" t="s">
        <v>4002</v>
      </c>
      <c r="U1386" t="s">
        <v>4002</v>
      </c>
      <c r="V1386" t="s">
        <v>4002</v>
      </c>
      <c r="W1386" t="s">
        <v>5367</v>
      </c>
      <c r="X1386">
        <v>8</v>
      </c>
      <c r="Y1386" t="s">
        <v>7296</v>
      </c>
      <c r="Z1386" t="s">
        <v>9284</v>
      </c>
      <c r="AA1386">
        <v>1.0852770289365681</v>
      </c>
      <c r="AB1386" t="str">
        <f>HYPERLINK("Melting_Curves/meltCurve_P55072_VCP.pdf", "Melting_Curves/meltCurve_P55072_VCP.pdf")</f>
        <v>Melting_Curves/meltCurve_P55072_VCP.pdf</v>
      </c>
    </row>
    <row r="1387" spans="1:28" x14ac:dyDescent="0.25">
      <c r="A1387" t="s">
        <v>1391</v>
      </c>
      <c r="B1387">
        <v>1</v>
      </c>
      <c r="C1387">
        <v>0.94631330359485699</v>
      </c>
      <c r="D1387">
        <v>1.0048281290999701</v>
      </c>
      <c r="E1387">
        <v>1.0163211755444801</v>
      </c>
      <c r="F1387">
        <v>0.86817108370506402</v>
      </c>
      <c r="G1387">
        <v>0.96184728417738097</v>
      </c>
      <c r="H1387">
        <v>0.86691157176594102</v>
      </c>
      <c r="I1387">
        <v>1.08769351876148</v>
      </c>
      <c r="J1387">
        <v>0.84828129099973804</v>
      </c>
      <c r="K1387">
        <v>0.85468381002361604</v>
      </c>
      <c r="L1387">
        <v>249.527984254513</v>
      </c>
      <c r="M1387">
        <v>1.51448406764749</v>
      </c>
      <c r="Q1387">
        <v>0</v>
      </c>
      <c r="R1387">
        <v>0.18327515540907599</v>
      </c>
      <c r="S1387" t="s">
        <v>3389</v>
      </c>
      <c r="T1387" t="s">
        <v>4002</v>
      </c>
      <c r="U1387" t="s">
        <v>4002</v>
      </c>
      <c r="V1387" t="s">
        <v>4002</v>
      </c>
      <c r="W1387" t="s">
        <v>5368</v>
      </c>
      <c r="X1387">
        <v>5</v>
      </c>
      <c r="Y1387" t="s">
        <v>7297</v>
      </c>
      <c r="Z1387" t="s">
        <v>9285</v>
      </c>
      <c r="AA1387">
        <v>0.94846991940133119</v>
      </c>
      <c r="AB1387" t="str">
        <f>HYPERLINK("Melting_Curves/meltCurve_P55145_MANF.pdf", "Melting_Curves/meltCurve_P55145_MANF.pdf")</f>
        <v>Melting_Curves/meltCurve_P55145_MANF.pdf</v>
      </c>
    </row>
    <row r="1388" spans="1:28" x14ac:dyDescent="0.25">
      <c r="A1388" t="s">
        <v>1392</v>
      </c>
      <c r="B1388">
        <v>1</v>
      </c>
      <c r="C1388">
        <v>0.97514753984873903</v>
      </c>
      <c r="D1388">
        <v>1.1516242363406699</v>
      </c>
      <c r="E1388">
        <v>1.2202107959363799</v>
      </c>
      <c r="F1388">
        <v>1.24052889358093</v>
      </c>
      <c r="G1388">
        <v>1.5348470950658499</v>
      </c>
      <c r="H1388">
        <v>1.4694795867153601</v>
      </c>
      <c r="I1388">
        <v>2.0044651355982102</v>
      </c>
      <c r="J1388">
        <v>1.8902407365743099</v>
      </c>
      <c r="K1388">
        <v>1.8223983662449601</v>
      </c>
      <c r="L1388">
        <v>1191.60904977164</v>
      </c>
      <c r="M1388">
        <v>23.4052507046041</v>
      </c>
      <c r="O1388">
        <v>50.544741391134103</v>
      </c>
      <c r="P1388">
        <v>5.7883509404586399E-2</v>
      </c>
      <c r="Q1388">
        <v>1.5</v>
      </c>
      <c r="R1388">
        <v>0.56207132624960199</v>
      </c>
      <c r="S1388" t="s">
        <v>3390</v>
      </c>
      <c r="T1388" t="s">
        <v>4002</v>
      </c>
      <c r="U1388" t="s">
        <v>4002</v>
      </c>
      <c r="V1388" t="s">
        <v>4002</v>
      </c>
      <c r="W1388" t="s">
        <v>5369</v>
      </c>
      <c r="X1388">
        <v>4</v>
      </c>
      <c r="Y1388" t="s">
        <v>7298</v>
      </c>
      <c r="Z1388" t="s">
        <v>9286</v>
      </c>
      <c r="AA1388">
        <v>1.3129972383316919</v>
      </c>
      <c r="AB1388" t="str">
        <f>HYPERLINK("Melting_Curves/meltCurve_P55263_3_ADK.pdf", "Melting_Curves/meltCurve_P55263_3_ADK.pdf")</f>
        <v>Melting_Curves/meltCurve_P55263_3_ADK.pdf</v>
      </c>
    </row>
    <row r="1389" spans="1:28" x14ac:dyDescent="0.25">
      <c r="A1389" t="s">
        <v>1393</v>
      </c>
      <c r="B1389">
        <v>1</v>
      </c>
      <c r="C1389">
        <v>0.90865531089876705</v>
      </c>
      <c r="D1389">
        <v>0.91375155795596197</v>
      </c>
      <c r="E1389">
        <v>0.97357706688824297</v>
      </c>
      <c r="F1389">
        <v>0.90901537183215597</v>
      </c>
      <c r="G1389">
        <v>0.99152471956792698</v>
      </c>
      <c r="H1389">
        <v>0.82730923694779102</v>
      </c>
      <c r="I1389">
        <v>1.12422102201911</v>
      </c>
      <c r="J1389">
        <v>0.84104694640631505</v>
      </c>
      <c r="K1389">
        <v>0.91665974241794801</v>
      </c>
      <c r="L1389">
        <v>10244.424012392799</v>
      </c>
      <c r="M1389">
        <v>250</v>
      </c>
      <c r="O1389">
        <v>40.975073134564099</v>
      </c>
      <c r="P1389">
        <v>-0.100711509052273</v>
      </c>
      <c r="Q1389">
        <v>0.93397341590479999</v>
      </c>
      <c r="R1389">
        <v>5.8573974482791599E-2</v>
      </c>
      <c r="S1389" t="s">
        <v>3391</v>
      </c>
      <c r="T1389" t="s">
        <v>4002</v>
      </c>
      <c r="U1389" t="s">
        <v>4002</v>
      </c>
      <c r="V1389" t="s">
        <v>4002</v>
      </c>
      <c r="W1389" t="s">
        <v>5370</v>
      </c>
      <c r="X1389">
        <v>10</v>
      </c>
      <c r="Y1389" t="s">
        <v>7299</v>
      </c>
      <c r="Z1389" t="s">
        <v>9287</v>
      </c>
      <c r="AA1389">
        <v>0.93613071800594549</v>
      </c>
      <c r="AB1389" t="str">
        <f>HYPERLINK("Melting_Curves/meltCurve_P55268_LAMB2.pdf", "Melting_Curves/meltCurve_P55268_LAMB2.pdf")</f>
        <v>Melting_Curves/meltCurve_P55268_LAMB2.pdf</v>
      </c>
    </row>
    <row r="1390" spans="1:28" x14ac:dyDescent="0.25">
      <c r="A1390" t="s">
        <v>1394</v>
      </c>
      <c r="B1390">
        <v>1</v>
      </c>
      <c r="C1390">
        <v>0.94825738102423796</v>
      </c>
      <c r="D1390">
        <v>0.87020636688139397</v>
      </c>
      <c r="E1390">
        <v>0.93055541101663997</v>
      </c>
      <c r="F1390">
        <v>0.87300579658864996</v>
      </c>
      <c r="G1390">
        <v>0.84962171275145404</v>
      </c>
      <c r="H1390">
        <v>1.10155997960267</v>
      </c>
      <c r="I1390">
        <v>1.13559022176895</v>
      </c>
      <c r="J1390">
        <v>0.97995649956811803</v>
      </c>
      <c r="K1390">
        <v>1.5368765024820199</v>
      </c>
      <c r="L1390">
        <v>15000</v>
      </c>
      <c r="M1390">
        <v>219.319286408652</v>
      </c>
      <c r="O1390">
        <v>68.387733721456897</v>
      </c>
      <c r="P1390">
        <v>0.40087457701718698</v>
      </c>
      <c r="Q1390">
        <v>1.5</v>
      </c>
      <c r="R1390">
        <v>0.74947288402178502</v>
      </c>
      <c r="S1390" t="s">
        <v>3392</v>
      </c>
      <c r="T1390" t="s">
        <v>4002</v>
      </c>
      <c r="U1390" t="s">
        <v>4002</v>
      </c>
      <c r="V1390" t="s">
        <v>4002</v>
      </c>
      <c r="W1390" t="s">
        <v>5371</v>
      </c>
      <c r="X1390">
        <v>1</v>
      </c>
      <c r="Y1390" t="s">
        <v>7300</v>
      </c>
      <c r="Z1390" t="s">
        <v>9288</v>
      </c>
      <c r="AA1390">
        <v>1.0267337427744121</v>
      </c>
      <c r="AB1390" t="str">
        <f>HYPERLINK("Melting_Curves/meltCurve_P55273_CDKN2D.pdf", "Melting_Curves/meltCurve_P55273_CDKN2D.pdf")</f>
        <v>Melting_Curves/meltCurve_P55273_CDKN2D.pdf</v>
      </c>
    </row>
    <row r="1391" spans="1:28" x14ac:dyDescent="0.25">
      <c r="A1391" t="s">
        <v>1395</v>
      </c>
      <c r="B1391">
        <v>1</v>
      </c>
      <c r="C1391">
        <v>0.961028105736078</v>
      </c>
      <c r="D1391">
        <v>0.99609932783059896</v>
      </c>
      <c r="E1391">
        <v>1.15170828544562</v>
      </c>
      <c r="F1391">
        <v>1.4162574443631799</v>
      </c>
      <c r="G1391">
        <v>1.64970570821579</v>
      </c>
      <c r="H1391">
        <v>0.84404276808414302</v>
      </c>
      <c r="I1391">
        <v>2.00181102636436</v>
      </c>
      <c r="J1391">
        <v>1.0787796468498601</v>
      </c>
      <c r="K1391">
        <v>1.2714798175042701</v>
      </c>
      <c r="L1391">
        <v>12519.7745772036</v>
      </c>
      <c r="M1391">
        <v>250</v>
      </c>
      <c r="O1391">
        <v>50.075893622024402</v>
      </c>
      <c r="P1391">
        <v>0.47055174214092899</v>
      </c>
      <c r="Q1391">
        <v>1.3770127829615499</v>
      </c>
      <c r="R1391">
        <v>0.269136617409514</v>
      </c>
      <c r="S1391" t="s">
        <v>3393</v>
      </c>
      <c r="T1391" t="s">
        <v>4002</v>
      </c>
      <c r="U1391" t="s">
        <v>4002</v>
      </c>
      <c r="V1391" t="s">
        <v>4002</v>
      </c>
      <c r="W1391" t="s">
        <v>5372</v>
      </c>
      <c r="X1391">
        <v>1</v>
      </c>
      <c r="Y1391" t="s">
        <v>7301</v>
      </c>
      <c r="Z1391" t="s">
        <v>9289</v>
      </c>
      <c r="AA1391">
        <v>1.2503146846094</v>
      </c>
      <c r="AB1391" t="str">
        <f>HYPERLINK("Melting_Curves/meltCurve_P55290_CDH13.pdf", "Melting_Curves/meltCurve_P55290_CDH13.pdf")</f>
        <v>Melting_Curves/meltCurve_P55290_CDH13.pdf</v>
      </c>
    </row>
    <row r="1392" spans="1:28" x14ac:dyDescent="0.25">
      <c r="A1392" t="s">
        <v>1396</v>
      </c>
      <c r="B1392">
        <v>1</v>
      </c>
      <c r="C1392">
        <v>0.78528181761438098</v>
      </c>
      <c r="D1392">
        <v>1.06791086698708</v>
      </c>
      <c r="E1392">
        <v>1.0136071406279299</v>
      </c>
      <c r="F1392">
        <v>0.97977654328693597</v>
      </c>
      <c r="G1392">
        <v>0.95624492853130305</v>
      </c>
      <c r="H1392">
        <v>0.93127769802134697</v>
      </c>
      <c r="I1392">
        <v>1.19118656762999</v>
      </c>
      <c r="J1392">
        <v>2.1339491916859101</v>
      </c>
      <c r="K1392">
        <v>1.0715935334872999</v>
      </c>
      <c r="L1392">
        <v>15000</v>
      </c>
      <c r="M1392">
        <v>233.89651267274201</v>
      </c>
      <c r="O1392">
        <v>64.126245861624298</v>
      </c>
      <c r="P1392">
        <v>0.45592982109315</v>
      </c>
      <c r="Q1392">
        <v>1.5</v>
      </c>
      <c r="R1392">
        <v>0.48838625959001097</v>
      </c>
      <c r="S1392" t="s">
        <v>3394</v>
      </c>
      <c r="T1392" t="s">
        <v>4002</v>
      </c>
      <c r="U1392" t="s">
        <v>4002</v>
      </c>
      <c r="V1392" t="s">
        <v>4002</v>
      </c>
      <c r="W1392" t="s">
        <v>5373</v>
      </c>
      <c r="X1392">
        <v>2</v>
      </c>
      <c r="Y1392" t="s">
        <v>7302</v>
      </c>
      <c r="Z1392" t="s">
        <v>9290</v>
      </c>
      <c r="AA1392">
        <v>1.0977536041507541</v>
      </c>
      <c r="AB1392" t="str">
        <f>HYPERLINK("Melting_Curves/meltCurve_P55884_EIF3B.pdf", "Melting_Curves/meltCurve_P55884_EIF3B.pdf")</f>
        <v>Melting_Curves/meltCurve_P55884_EIF3B.pdf</v>
      </c>
    </row>
    <row r="1393" spans="1:28" x14ac:dyDescent="0.25">
      <c r="A1393" t="s">
        <v>1397</v>
      </c>
      <c r="B1393">
        <v>1</v>
      </c>
      <c r="C1393">
        <v>0.96698320860323295</v>
      </c>
      <c r="D1393">
        <v>1.08244764480221</v>
      </c>
      <c r="E1393">
        <v>1.16143638764858</v>
      </c>
      <c r="F1393">
        <v>1.05804666373184</v>
      </c>
      <c r="G1393">
        <v>1.03779636500849</v>
      </c>
      <c r="H1393">
        <v>0.96704609772970296</v>
      </c>
      <c r="I1393">
        <v>1.21319413873341</v>
      </c>
      <c r="J1393">
        <v>1.0484875165084</v>
      </c>
      <c r="K1393">
        <v>1.0089931450852101</v>
      </c>
      <c r="L1393">
        <v>11126.491824814701</v>
      </c>
      <c r="M1393">
        <v>250</v>
      </c>
      <c r="O1393">
        <v>44.503115499679602</v>
      </c>
      <c r="P1393">
        <v>0.101391629267119</v>
      </c>
      <c r="Q1393">
        <v>1.0721959001541399</v>
      </c>
      <c r="R1393">
        <v>0.20730218860229399</v>
      </c>
      <c r="S1393" t="s">
        <v>3395</v>
      </c>
      <c r="T1393" t="s">
        <v>4002</v>
      </c>
      <c r="U1393" t="s">
        <v>4002</v>
      </c>
      <c r="V1393" t="s">
        <v>4002</v>
      </c>
      <c r="W1393" t="s">
        <v>5374</v>
      </c>
      <c r="X1393">
        <v>3</v>
      </c>
      <c r="Y1393" t="s">
        <v>7303</v>
      </c>
      <c r="Z1393" t="s">
        <v>9291</v>
      </c>
      <c r="AA1393">
        <v>1.061346515620919</v>
      </c>
      <c r="AB1393" t="str">
        <f>HYPERLINK("Melting_Curves/meltCurve_P55957_BID.pdf", "Melting_Curves/meltCurve_P55957_BID.pdf")</f>
        <v>Melting_Curves/meltCurve_P55957_BID.pdf</v>
      </c>
    </row>
    <row r="1394" spans="1:28" x14ac:dyDescent="0.25">
      <c r="A1394" t="s">
        <v>1398</v>
      </c>
      <c r="B1394">
        <v>1</v>
      </c>
      <c r="C1394">
        <v>0.94740556401589704</v>
      </c>
      <c r="D1394">
        <v>1.0296400846859599</v>
      </c>
      <c r="E1394">
        <v>1.1438175537644399</v>
      </c>
      <c r="F1394">
        <v>1.0994688556253001</v>
      </c>
      <c r="G1394">
        <v>1.3746239274969401</v>
      </c>
      <c r="H1394">
        <v>1.33008951454147</v>
      </c>
      <c r="I1394">
        <v>1.6708019165768999</v>
      </c>
      <c r="J1394">
        <v>2.3186123388923998</v>
      </c>
      <c r="K1394">
        <v>1.5864131040374401</v>
      </c>
      <c r="L1394">
        <v>1638.7475488867401</v>
      </c>
      <c r="M1394">
        <v>29.849229696836002</v>
      </c>
      <c r="O1394">
        <v>54.656185720916397</v>
      </c>
      <c r="P1394">
        <v>6.8266353791999995E-2</v>
      </c>
      <c r="Q1394">
        <v>1.5</v>
      </c>
      <c r="R1394">
        <v>0.52673084723601105</v>
      </c>
      <c r="S1394" t="s">
        <v>3396</v>
      </c>
      <c r="T1394" t="s">
        <v>4002</v>
      </c>
      <c r="U1394" t="s">
        <v>4002</v>
      </c>
      <c r="V1394" t="s">
        <v>4002</v>
      </c>
      <c r="W1394" t="s">
        <v>5375</v>
      </c>
      <c r="X1394">
        <v>4</v>
      </c>
      <c r="Y1394" t="s">
        <v>7304</v>
      </c>
      <c r="Z1394" t="s">
        <v>9292</v>
      </c>
      <c r="AA1394">
        <v>1.24830705718131</v>
      </c>
      <c r="AB1394" t="str">
        <f>HYPERLINK("Melting_Curves/meltCurve_P56537_EIF6.pdf", "Melting_Curves/meltCurve_P56537_EIF6.pdf")</f>
        <v>Melting_Curves/meltCurve_P56537_EIF6.pdf</v>
      </c>
    </row>
    <row r="1395" spans="1:28" x14ac:dyDescent="0.25">
      <c r="A1395" t="s">
        <v>1399</v>
      </c>
      <c r="B1395">
        <v>1</v>
      </c>
      <c r="C1395">
        <v>0.82244037774102297</v>
      </c>
      <c r="D1395">
        <v>0.89665475110708004</v>
      </c>
      <c r="E1395">
        <v>1.1902043429547</v>
      </c>
      <c r="F1395">
        <v>1.3055007202689</v>
      </c>
      <c r="G1395">
        <v>1.3885183801952701</v>
      </c>
      <c r="H1395">
        <v>1.3336178840100299</v>
      </c>
      <c r="I1395">
        <v>1.66648882249373</v>
      </c>
      <c r="J1395">
        <v>5.7237368617617204</v>
      </c>
      <c r="K1395">
        <v>1.5671450674918601</v>
      </c>
      <c r="L1395">
        <v>1616.4871880513499</v>
      </c>
      <c r="M1395">
        <v>31.2576637174772</v>
      </c>
      <c r="O1395">
        <v>51.504622729531597</v>
      </c>
      <c r="P1395">
        <v>7.58617293971732E-2</v>
      </c>
      <c r="Q1395">
        <v>1.5</v>
      </c>
      <c r="R1395">
        <v>4.2694909726858202E-2</v>
      </c>
      <c r="S1395" t="s">
        <v>3397</v>
      </c>
      <c r="T1395" t="s">
        <v>4002</v>
      </c>
      <c r="U1395" t="s">
        <v>4002</v>
      </c>
      <c r="V1395" t="s">
        <v>4002</v>
      </c>
      <c r="W1395" t="s">
        <v>5376</v>
      </c>
      <c r="X1395">
        <v>1</v>
      </c>
      <c r="Y1395" t="s">
        <v>7305</v>
      </c>
      <c r="Z1395" t="s">
        <v>9293</v>
      </c>
      <c r="AA1395">
        <v>1.3018210316875589</v>
      </c>
      <c r="AB1395" t="str">
        <f>HYPERLINK("Melting_Curves/meltCurve_P57735_RAB25.pdf", "Melting_Curves/meltCurve_P57735_RAB25.pdf")</f>
        <v>Melting_Curves/meltCurve_P57735_RAB25.pdf</v>
      </c>
    </row>
    <row r="1396" spans="1:28" x14ac:dyDescent="0.25">
      <c r="A1396" t="s">
        <v>1400</v>
      </c>
      <c r="B1396">
        <v>1</v>
      </c>
      <c r="C1396">
        <v>1.0011945332537</v>
      </c>
      <c r="D1396">
        <v>1.0285516869854401</v>
      </c>
      <c r="E1396">
        <v>1.01097331037956</v>
      </c>
      <c r="F1396">
        <v>1.1629952335781</v>
      </c>
      <c r="G1396">
        <v>1.14176299054913</v>
      </c>
      <c r="H1396">
        <v>1.19394769818126</v>
      </c>
      <c r="I1396">
        <v>1.40392790640481</v>
      </c>
      <c r="J1396">
        <v>6.0314560423473704</v>
      </c>
      <c r="K1396">
        <v>1.02122053191863</v>
      </c>
      <c r="L1396">
        <v>6432.9572951506198</v>
      </c>
      <c r="M1396">
        <v>104.98851688737901</v>
      </c>
      <c r="O1396">
        <v>61.250738983478797</v>
      </c>
      <c r="P1396">
        <v>0.21425970375396799</v>
      </c>
      <c r="Q1396">
        <v>1.5</v>
      </c>
      <c r="R1396">
        <v>5.2323998448241898E-2</v>
      </c>
      <c r="S1396" t="s">
        <v>3398</v>
      </c>
      <c r="T1396" t="s">
        <v>4002</v>
      </c>
      <c r="U1396" t="s">
        <v>4002</v>
      </c>
      <c r="V1396" t="s">
        <v>4002</v>
      </c>
      <c r="W1396" t="s">
        <v>5377</v>
      </c>
      <c r="X1396">
        <v>8</v>
      </c>
      <c r="Y1396" t="s">
        <v>7306</v>
      </c>
      <c r="Z1396" t="s">
        <v>9294</v>
      </c>
      <c r="AA1396">
        <v>1.1451454962718739</v>
      </c>
      <c r="AB1396" t="str">
        <f>HYPERLINK("Melting_Curves/meltCurve_P58107_EPPK1.pdf", "Melting_Curves/meltCurve_P58107_EPPK1.pdf")</f>
        <v>Melting_Curves/meltCurve_P58107_EPPK1.pdf</v>
      </c>
    </row>
    <row r="1397" spans="1:28" x14ac:dyDescent="0.25">
      <c r="A1397" t="s">
        <v>1401</v>
      </c>
      <c r="B1397">
        <v>1</v>
      </c>
      <c r="C1397">
        <v>0.86365532123234301</v>
      </c>
      <c r="D1397">
        <v>0.95997969064500299</v>
      </c>
      <c r="E1397">
        <v>1.0326944348740601</v>
      </c>
      <c r="F1397">
        <v>0.94289807242461099</v>
      </c>
      <c r="G1397">
        <v>0.97506664007108301</v>
      </c>
      <c r="H1397">
        <v>0.90741110123850799</v>
      </c>
      <c r="I1397">
        <v>1.0717899432426099</v>
      </c>
      <c r="J1397">
        <v>1.24717573032078</v>
      </c>
      <c r="K1397">
        <v>1.2139735615717999</v>
      </c>
      <c r="L1397">
        <v>15000</v>
      </c>
      <c r="M1397">
        <v>233.581214973757</v>
      </c>
      <c r="O1397">
        <v>64.212780635914399</v>
      </c>
      <c r="P1397">
        <v>0.20969066207081399</v>
      </c>
      <c r="Q1397">
        <v>1.2305805535432801</v>
      </c>
      <c r="R1397">
        <v>0.75721505269859202</v>
      </c>
      <c r="S1397" t="s">
        <v>3399</v>
      </c>
      <c r="T1397" t="s">
        <v>4002</v>
      </c>
      <c r="U1397" t="s">
        <v>4002</v>
      </c>
      <c r="V1397" t="s">
        <v>4002</v>
      </c>
      <c r="W1397" t="s">
        <v>5378</v>
      </c>
      <c r="X1397">
        <v>3</v>
      </c>
      <c r="Y1397" t="s">
        <v>7307</v>
      </c>
      <c r="Z1397" t="s">
        <v>9295</v>
      </c>
      <c r="AA1397">
        <v>1.0444146875215481</v>
      </c>
      <c r="AB1397" t="str">
        <f>HYPERLINK("Melting_Curves/meltCurve_P58546_MTPN.pdf", "Melting_Curves/meltCurve_P58546_MTPN.pdf")</f>
        <v>Melting_Curves/meltCurve_P58546_MTPN.pdf</v>
      </c>
    </row>
    <row r="1398" spans="1:28" x14ac:dyDescent="0.25">
      <c r="A1398" t="s">
        <v>1402</v>
      </c>
      <c r="B1398">
        <v>1</v>
      </c>
      <c r="C1398">
        <v>1.0039202074443101</v>
      </c>
      <c r="D1398">
        <v>1.17990076974907</v>
      </c>
      <c r="E1398">
        <v>1.129897707087</v>
      </c>
      <c r="F1398">
        <v>0.96461604426567604</v>
      </c>
      <c r="G1398">
        <v>1.0892459725993799</v>
      </c>
      <c r="H1398">
        <v>0.78847213998407395</v>
      </c>
      <c r="I1398">
        <v>1.3873450803438301</v>
      </c>
      <c r="J1398">
        <v>1.15578741041713</v>
      </c>
      <c r="K1398">
        <v>1.16599628397003</v>
      </c>
      <c r="L1398">
        <v>285.943614872909</v>
      </c>
      <c r="M1398">
        <v>3.41577547372742</v>
      </c>
      <c r="O1398">
        <v>65.026984412303406</v>
      </c>
      <c r="P1398">
        <v>6.7042526293179701E-3</v>
      </c>
      <c r="Q1398">
        <v>1.5</v>
      </c>
      <c r="R1398">
        <v>9.1111248891033503E-2</v>
      </c>
      <c r="S1398" t="s">
        <v>3400</v>
      </c>
      <c r="T1398" t="s">
        <v>4002</v>
      </c>
      <c r="U1398" t="s">
        <v>4002</v>
      </c>
      <c r="V1398" t="s">
        <v>4002</v>
      </c>
      <c r="W1398" t="s">
        <v>5379</v>
      </c>
      <c r="X1398">
        <v>4</v>
      </c>
      <c r="Y1398" t="s">
        <v>7308</v>
      </c>
      <c r="Z1398" t="s">
        <v>9296</v>
      </c>
      <c r="AA1398">
        <v>1.0783696354411749</v>
      </c>
      <c r="AB1398" t="str">
        <f>HYPERLINK("Melting_Curves/meltCurve_P59666_DEFA3.pdf", "Melting_Curves/meltCurve_P59666_DEFA3.pdf")</f>
        <v>Melting_Curves/meltCurve_P59666_DEFA3.pdf</v>
      </c>
    </row>
    <row r="1399" spans="1:28" x14ac:dyDescent="0.25">
      <c r="A1399" t="s">
        <v>1403</v>
      </c>
      <c r="B1399">
        <v>1</v>
      </c>
      <c r="C1399">
        <v>1.1531438858171501</v>
      </c>
      <c r="D1399">
        <v>1.0265740859800301</v>
      </c>
      <c r="E1399">
        <v>1.5010072435815001</v>
      </c>
      <c r="F1399">
        <v>1.7233509065192201</v>
      </c>
      <c r="G1399">
        <v>1.49282071064249</v>
      </c>
      <c r="H1399">
        <v>1.37958081522438</v>
      </c>
      <c r="I1399">
        <v>2.48639149629249</v>
      </c>
      <c r="J1399">
        <v>1.75607560756076</v>
      </c>
      <c r="K1399">
        <v>1.5820582058205801</v>
      </c>
      <c r="L1399">
        <v>6577.9249410553102</v>
      </c>
      <c r="M1399">
        <v>140.11871468476099</v>
      </c>
      <c r="O1399">
        <v>46.935832947476598</v>
      </c>
      <c r="P1399">
        <v>0.37316581756954698</v>
      </c>
      <c r="Q1399">
        <v>1.5</v>
      </c>
      <c r="R1399">
        <v>0.33465790810405899</v>
      </c>
      <c r="S1399" t="s">
        <v>3401</v>
      </c>
      <c r="T1399" t="s">
        <v>4002</v>
      </c>
      <c r="U1399" t="s">
        <v>4002</v>
      </c>
      <c r="V1399" t="s">
        <v>4002</v>
      </c>
      <c r="W1399" t="s">
        <v>5380</v>
      </c>
      <c r="X1399">
        <v>1</v>
      </c>
      <c r="Y1399" t="s">
        <v>7309</v>
      </c>
      <c r="Z1399" t="s">
        <v>9297</v>
      </c>
      <c r="AA1399">
        <v>1.384112629047852</v>
      </c>
      <c r="AB1399" t="str">
        <f>HYPERLINK("Melting_Curves/meltCurve_P60022_DEFB1.pdf", "Melting_Curves/meltCurve_P60022_DEFB1.pdf")</f>
        <v>Melting_Curves/meltCurve_P60022_DEFB1.pdf</v>
      </c>
    </row>
    <row r="1400" spans="1:28" x14ac:dyDescent="0.25">
      <c r="A1400" t="s">
        <v>1404</v>
      </c>
      <c r="B1400">
        <v>1</v>
      </c>
      <c r="C1400">
        <v>1.07306615330767</v>
      </c>
      <c r="D1400">
        <v>1.50212927313032</v>
      </c>
      <c r="E1400">
        <v>1.99512892311282</v>
      </c>
      <c r="F1400">
        <v>2.02447205693618</v>
      </c>
      <c r="G1400">
        <v>2.2700676700501701</v>
      </c>
      <c r="H1400">
        <v>2.2882394119706002</v>
      </c>
      <c r="I1400">
        <v>2.5951172558627902</v>
      </c>
      <c r="J1400">
        <v>2.4091412903978502</v>
      </c>
      <c r="K1400">
        <v>2.2347159024617902</v>
      </c>
      <c r="L1400">
        <v>10800.7298158255</v>
      </c>
      <c r="M1400">
        <v>250</v>
      </c>
      <c r="O1400">
        <v>43.200169209932703</v>
      </c>
      <c r="P1400">
        <v>0.72337704104654599</v>
      </c>
      <c r="Q1400">
        <v>1.5</v>
      </c>
      <c r="R1400">
        <v>-0.53390613943985299</v>
      </c>
      <c r="S1400" t="s">
        <v>3402</v>
      </c>
      <c r="T1400" t="s">
        <v>4002</v>
      </c>
      <c r="U1400" t="s">
        <v>4002</v>
      </c>
      <c r="V1400" t="s">
        <v>4002</v>
      </c>
      <c r="W1400" t="s">
        <v>5381</v>
      </c>
      <c r="X1400">
        <v>19</v>
      </c>
      <c r="Y1400" t="s">
        <v>7310</v>
      </c>
      <c r="Z1400" t="s">
        <v>9298</v>
      </c>
      <c r="AA1400">
        <v>1.446580102047879</v>
      </c>
      <c r="AB1400" t="str">
        <f>HYPERLINK("Melting_Curves/meltCurve_P60174_1_TPI1.pdf", "Melting_Curves/meltCurve_P60174_1_TPI1.pdf")</f>
        <v>Melting_Curves/meltCurve_P60174_1_TPI1.pdf</v>
      </c>
    </row>
    <row r="1401" spans="1:28" x14ac:dyDescent="0.25">
      <c r="A1401" t="s">
        <v>1405</v>
      </c>
      <c r="B1401">
        <v>1</v>
      </c>
      <c r="C1401">
        <v>0.96619605560002897</v>
      </c>
      <c r="D1401">
        <v>1.0657157412124301</v>
      </c>
      <c r="E1401">
        <v>1.0301651990393701</v>
      </c>
      <c r="F1401">
        <v>0.97951386361982395</v>
      </c>
      <c r="G1401">
        <v>1.0255076049778</v>
      </c>
      <c r="H1401">
        <v>0.93970598937486305</v>
      </c>
      <c r="I1401">
        <v>1.0225238337821101</v>
      </c>
      <c r="J1401">
        <v>4.1678189360308604</v>
      </c>
      <c r="K1401">
        <v>1.00189214758751</v>
      </c>
      <c r="L1401">
        <v>15000</v>
      </c>
      <c r="M1401">
        <v>231.83207700970999</v>
      </c>
      <c r="O1401">
        <v>64.697190022963994</v>
      </c>
      <c r="P1401">
        <v>0.44791759859441399</v>
      </c>
      <c r="Q1401">
        <v>1.5</v>
      </c>
      <c r="R1401">
        <v>0.18238379768214</v>
      </c>
      <c r="S1401" t="s">
        <v>3403</v>
      </c>
      <c r="T1401" t="s">
        <v>4002</v>
      </c>
      <c r="U1401" t="s">
        <v>4002</v>
      </c>
      <c r="V1401" t="s">
        <v>4002</v>
      </c>
      <c r="W1401" t="s">
        <v>5382</v>
      </c>
      <c r="X1401">
        <v>7</v>
      </c>
      <c r="Y1401" t="s">
        <v>7311</v>
      </c>
      <c r="Z1401" t="s">
        <v>9299</v>
      </c>
      <c r="AA1401">
        <v>1.0882339064122251</v>
      </c>
      <c r="AB1401" t="str">
        <f>HYPERLINK("Melting_Curves/meltCurve_P60842_EIF4A1.pdf", "Melting_Curves/meltCurve_P60842_EIF4A1.pdf")</f>
        <v>Melting_Curves/meltCurve_P60842_EIF4A1.pdf</v>
      </c>
    </row>
    <row r="1402" spans="1:28" x14ac:dyDescent="0.25">
      <c r="A1402" t="s">
        <v>1406</v>
      </c>
      <c r="B1402">
        <v>1</v>
      </c>
      <c r="C1402">
        <v>0.97296734204906499</v>
      </c>
      <c r="D1402">
        <v>0.88628313974686201</v>
      </c>
      <c r="E1402">
        <v>1.0488567112870499</v>
      </c>
      <c r="F1402">
        <v>0.93947601437574901</v>
      </c>
      <c r="G1402">
        <v>0.98512943382467799</v>
      </c>
      <c r="H1402">
        <v>0.87820980259388504</v>
      </c>
      <c r="I1402">
        <v>1.0004948174384101</v>
      </c>
      <c r="J1402">
        <v>4.39046304495026</v>
      </c>
      <c r="K1402">
        <v>0.87244127298296803</v>
      </c>
      <c r="L1402">
        <v>15000</v>
      </c>
      <c r="M1402">
        <v>231.52367901471101</v>
      </c>
      <c r="O1402">
        <v>64.783335661259699</v>
      </c>
      <c r="P1402">
        <v>0.44672678148057399</v>
      </c>
      <c r="Q1402">
        <v>1.5</v>
      </c>
      <c r="R1402">
        <v>0.17597157498536101</v>
      </c>
      <c r="S1402" t="s">
        <v>3404</v>
      </c>
      <c r="T1402" t="s">
        <v>4002</v>
      </c>
      <c r="U1402" t="s">
        <v>4002</v>
      </c>
      <c r="V1402" t="s">
        <v>4002</v>
      </c>
      <c r="W1402" t="s">
        <v>5383</v>
      </c>
      <c r="X1402">
        <v>3</v>
      </c>
      <c r="Y1402" t="s">
        <v>7312</v>
      </c>
      <c r="Z1402" t="s">
        <v>9300</v>
      </c>
      <c r="AA1402">
        <v>1.086797218348857</v>
      </c>
      <c r="AB1402" t="str">
        <f>HYPERLINK("Melting_Curves/meltCurve_P60866_RPS20.pdf", "Melting_Curves/meltCurve_P60866_RPS20.pdf")</f>
        <v>Melting_Curves/meltCurve_P60866_RPS20.pdf</v>
      </c>
    </row>
    <row r="1403" spans="1:28" x14ac:dyDescent="0.25">
      <c r="A1403" t="s">
        <v>1407</v>
      </c>
      <c r="B1403">
        <v>1</v>
      </c>
      <c r="C1403">
        <v>1.0773260512163201</v>
      </c>
      <c r="D1403">
        <v>1.14083094156658</v>
      </c>
      <c r="E1403">
        <v>1.11525064786692</v>
      </c>
      <c r="F1403">
        <v>1.0412405606487001</v>
      </c>
      <c r="G1403">
        <v>1.1920472594532801</v>
      </c>
      <c r="H1403">
        <v>1.12369381670243</v>
      </c>
      <c r="I1403">
        <v>1.8989327611669999</v>
      </c>
      <c r="J1403">
        <v>1.9300582383592899</v>
      </c>
      <c r="K1403">
        <v>1.8343132610694699</v>
      </c>
      <c r="L1403">
        <v>15000</v>
      </c>
      <c r="M1403">
        <v>244.78973545242201</v>
      </c>
      <c r="O1403">
        <v>61.272989052678298</v>
      </c>
      <c r="P1403">
        <v>0.49938345411555002</v>
      </c>
      <c r="Q1403">
        <v>1.5</v>
      </c>
      <c r="R1403">
        <v>0.60105780034455203</v>
      </c>
      <c r="S1403" t="s">
        <v>3405</v>
      </c>
      <c r="T1403" t="s">
        <v>4002</v>
      </c>
      <c r="U1403" t="s">
        <v>4002</v>
      </c>
      <c r="V1403" t="s">
        <v>4002</v>
      </c>
      <c r="W1403" t="s">
        <v>5384</v>
      </c>
      <c r="X1403">
        <v>5</v>
      </c>
      <c r="Y1403" t="s">
        <v>7313</v>
      </c>
      <c r="Z1403" t="s">
        <v>9301</v>
      </c>
      <c r="AA1403">
        <v>1.1453259297749141</v>
      </c>
      <c r="AB1403" t="str">
        <f>HYPERLINK("Melting_Curves/meltCurve_P60953_CDC42.pdf", "Melting_Curves/meltCurve_P60953_CDC42.pdf")</f>
        <v>Melting_Curves/meltCurve_P60953_CDC42.pdf</v>
      </c>
    </row>
    <row r="1404" spans="1:28" x14ac:dyDescent="0.25">
      <c r="A1404" t="s">
        <v>1408</v>
      </c>
      <c r="B1404">
        <v>1</v>
      </c>
      <c r="C1404">
        <v>0.90255064681474295</v>
      </c>
      <c r="D1404">
        <v>0.97225612236595904</v>
      </c>
      <c r="E1404">
        <v>1.12322024245383</v>
      </c>
      <c r="F1404">
        <v>0.84413391912781699</v>
      </c>
      <c r="G1404">
        <v>1.0706004393458599</v>
      </c>
      <c r="H1404">
        <v>0.945875030510129</v>
      </c>
      <c r="I1404">
        <v>1.07698722642584</v>
      </c>
      <c r="J1404">
        <v>1.3192783337401399</v>
      </c>
      <c r="K1404">
        <v>0.94831584085916498</v>
      </c>
      <c r="L1404">
        <v>15000</v>
      </c>
      <c r="M1404">
        <v>234.67939249069499</v>
      </c>
      <c r="O1404">
        <v>63.912338099281897</v>
      </c>
      <c r="P1404">
        <v>0.12281806751012</v>
      </c>
      <c r="Q1404">
        <v>1.13379258940288</v>
      </c>
      <c r="R1404">
        <v>0.22917423225790601</v>
      </c>
      <c r="S1404" t="s">
        <v>3406</v>
      </c>
      <c r="T1404" t="s">
        <v>4002</v>
      </c>
      <c r="U1404" t="s">
        <v>4002</v>
      </c>
      <c r="V1404" t="s">
        <v>4002</v>
      </c>
      <c r="W1404" t="s">
        <v>5385</v>
      </c>
      <c r="X1404">
        <v>3</v>
      </c>
      <c r="Y1404" t="s">
        <v>7314</v>
      </c>
      <c r="Z1404" t="s">
        <v>9302</v>
      </c>
      <c r="AA1404">
        <v>1.0271116972939061</v>
      </c>
      <c r="AB1404" t="str">
        <f>HYPERLINK("Melting_Curves/meltCurve_P60981_2_DSTN.pdf", "Melting_Curves/meltCurve_P60981_2_DSTN.pdf")</f>
        <v>Melting_Curves/meltCurve_P60981_2_DSTN.pdf</v>
      </c>
    </row>
    <row r="1405" spans="1:28" x14ac:dyDescent="0.25">
      <c r="A1405" t="s">
        <v>1409</v>
      </c>
      <c r="B1405">
        <v>1</v>
      </c>
      <c r="C1405">
        <v>0.91297508356976298</v>
      </c>
      <c r="D1405">
        <v>0.91991348071575096</v>
      </c>
      <c r="E1405">
        <v>1.0670805359701101</v>
      </c>
      <c r="F1405">
        <v>1.1171100311806501</v>
      </c>
      <c r="G1405">
        <v>1.0455630776145399</v>
      </c>
      <c r="H1405">
        <v>0.84294502654568904</v>
      </c>
      <c r="I1405">
        <v>1.57543751228967</v>
      </c>
      <c r="J1405">
        <v>1.05143402904576</v>
      </c>
      <c r="K1405">
        <v>1.06632208769909</v>
      </c>
      <c r="L1405">
        <v>817.47017267409603</v>
      </c>
      <c r="M1405">
        <v>14.2638897562552</v>
      </c>
      <c r="O1405">
        <v>56.219320570942799</v>
      </c>
      <c r="P1405">
        <v>1.06094559425718E-2</v>
      </c>
      <c r="Q1405">
        <v>1.1672427504062799</v>
      </c>
      <c r="R1405">
        <v>0.141832728921271</v>
      </c>
      <c r="S1405" t="s">
        <v>3407</v>
      </c>
      <c r="T1405" t="s">
        <v>4002</v>
      </c>
      <c r="U1405" t="s">
        <v>4002</v>
      </c>
      <c r="V1405" t="s">
        <v>4002</v>
      </c>
      <c r="W1405" t="s">
        <v>5386</v>
      </c>
      <c r="X1405">
        <v>3</v>
      </c>
      <c r="Y1405" t="s">
        <v>7315</v>
      </c>
      <c r="Z1405" t="s">
        <v>9303</v>
      </c>
      <c r="AA1405">
        <v>1.0681593771069371</v>
      </c>
      <c r="AB1405" t="str">
        <f>HYPERLINK("Melting_Curves/meltCurve_P61006_RAB8A.pdf", "Melting_Curves/meltCurve_P61006_RAB8A.pdf")</f>
        <v>Melting_Curves/meltCurve_P61006_RAB8A.pdf</v>
      </c>
    </row>
    <row r="1406" spans="1:28" x14ac:dyDescent="0.25">
      <c r="A1406" t="s">
        <v>1410</v>
      </c>
      <c r="B1406">
        <v>1</v>
      </c>
      <c r="C1406">
        <v>0.96093496813222401</v>
      </c>
      <c r="D1406">
        <v>1.13431727341471</v>
      </c>
      <c r="E1406">
        <v>1.15470724856865</v>
      </c>
      <c r="F1406">
        <v>1.0577670951712199</v>
      </c>
      <c r="G1406">
        <v>1.2275710273306699</v>
      </c>
      <c r="H1406">
        <v>1.0653559468510301</v>
      </c>
      <c r="I1406">
        <v>1.44525764286486</v>
      </c>
      <c r="J1406">
        <v>1.3743653451442199</v>
      </c>
      <c r="K1406">
        <v>1.22948849519283</v>
      </c>
      <c r="L1406">
        <v>411.68718838983398</v>
      </c>
      <c r="M1406">
        <v>7.0071618749920104</v>
      </c>
      <c r="O1406">
        <v>54.528744140790799</v>
      </c>
      <c r="P1406">
        <v>1.3779397623688201E-2</v>
      </c>
      <c r="Q1406">
        <v>1.4281265279488999</v>
      </c>
      <c r="R1406">
        <v>0.56313092874181803</v>
      </c>
      <c r="S1406" t="s">
        <v>3408</v>
      </c>
      <c r="T1406" t="s">
        <v>4002</v>
      </c>
      <c r="U1406" t="s">
        <v>4002</v>
      </c>
      <c r="V1406" t="s">
        <v>4002</v>
      </c>
      <c r="W1406" t="s">
        <v>5387</v>
      </c>
      <c r="X1406">
        <v>7</v>
      </c>
      <c r="Y1406" t="s">
        <v>7316</v>
      </c>
      <c r="Z1406" t="s">
        <v>9304</v>
      </c>
      <c r="AA1406">
        <v>1.164550230032487</v>
      </c>
      <c r="AB1406" t="str">
        <f>HYPERLINK("Melting_Curves/meltCurve_P61019_2_RAB2A.pdf", "Melting_Curves/meltCurve_P61019_2_RAB2A.pdf")</f>
        <v>Melting_Curves/meltCurve_P61019_2_RAB2A.pdf</v>
      </c>
    </row>
    <row r="1407" spans="1:28" x14ac:dyDescent="0.25">
      <c r="A1407" t="s">
        <v>1411</v>
      </c>
      <c r="B1407">
        <v>1</v>
      </c>
      <c r="C1407">
        <v>0.935904994525394</v>
      </c>
      <c r="D1407">
        <v>1.04320727701508</v>
      </c>
      <c r="E1407">
        <v>1.2060136444032701</v>
      </c>
      <c r="F1407">
        <v>1.3752210898677699</v>
      </c>
      <c r="G1407">
        <v>1.7465678430051399</v>
      </c>
      <c r="H1407">
        <v>1.99604143855807</v>
      </c>
      <c r="I1407">
        <v>2.3466689126589699</v>
      </c>
      <c r="J1407">
        <v>2.7576855049271498</v>
      </c>
      <c r="K1407">
        <v>2.28644824391476</v>
      </c>
      <c r="L1407">
        <v>2075.8466911209498</v>
      </c>
      <c r="M1407">
        <v>41.050478969723201</v>
      </c>
      <c r="O1407">
        <v>50.448591064252497</v>
      </c>
      <c r="P1407">
        <v>0.10171383771568999</v>
      </c>
      <c r="Q1407">
        <v>1.5</v>
      </c>
      <c r="R1407">
        <v>0.151972863132213</v>
      </c>
      <c r="S1407" t="s">
        <v>3409</v>
      </c>
      <c r="T1407" t="s">
        <v>4002</v>
      </c>
      <c r="U1407" t="s">
        <v>4002</v>
      </c>
      <c r="V1407" t="s">
        <v>4002</v>
      </c>
      <c r="W1407" t="s">
        <v>5388</v>
      </c>
      <c r="X1407">
        <v>4</v>
      </c>
      <c r="Y1407" t="s">
        <v>7317</v>
      </c>
      <c r="Z1407" t="s">
        <v>9305</v>
      </c>
      <c r="AA1407">
        <v>1.3222053001069489</v>
      </c>
      <c r="AB1407" t="str">
        <f>HYPERLINK("Melting_Curves/meltCurve_P61020_RAB5B.pdf", "Melting_Curves/meltCurve_P61020_RAB5B.pdf")</f>
        <v>Melting_Curves/meltCurve_P61020_RAB5B.pdf</v>
      </c>
    </row>
    <row r="1408" spans="1:28" x14ac:dyDescent="0.25">
      <c r="A1408" t="s">
        <v>1412</v>
      </c>
      <c r="B1408">
        <v>1</v>
      </c>
      <c r="C1408">
        <v>1.1319502074688801</v>
      </c>
      <c r="D1408">
        <v>1.2614862316107101</v>
      </c>
      <c r="E1408">
        <v>1.6198415692191599</v>
      </c>
      <c r="F1408">
        <v>1.8216522067144501</v>
      </c>
      <c r="G1408">
        <v>2.0258770275367799</v>
      </c>
      <c r="H1408">
        <v>1.2890984534138099</v>
      </c>
      <c r="I1408">
        <v>2.7795548849490799</v>
      </c>
      <c r="J1408">
        <v>2.0534138061109002</v>
      </c>
      <c r="K1408">
        <v>1.9476423990946801</v>
      </c>
      <c r="L1408">
        <v>1701.4266305676299</v>
      </c>
      <c r="M1408">
        <v>37.5382985828616</v>
      </c>
      <c r="O1408">
        <v>45.197020617901799</v>
      </c>
      <c r="P1408">
        <v>0.103818764725567</v>
      </c>
      <c r="Q1408">
        <v>1.5</v>
      </c>
      <c r="R1408">
        <v>2.0754432102313199E-2</v>
      </c>
      <c r="S1408" t="s">
        <v>3410</v>
      </c>
      <c r="T1408" t="s">
        <v>4002</v>
      </c>
      <c r="U1408" t="s">
        <v>4002</v>
      </c>
      <c r="V1408" t="s">
        <v>4002</v>
      </c>
      <c r="W1408" t="s">
        <v>5389</v>
      </c>
      <c r="X1408">
        <v>2</v>
      </c>
      <c r="Y1408" t="s">
        <v>7318</v>
      </c>
      <c r="Z1408" t="s">
        <v>9306</v>
      </c>
      <c r="AA1408">
        <v>1.4093664131479691</v>
      </c>
      <c r="AB1408" t="str">
        <f>HYPERLINK("Melting_Curves/meltCurve_P61026_RAB10.pdf", "Melting_Curves/meltCurve_P61026_RAB10.pdf")</f>
        <v>Melting_Curves/meltCurve_P61026_RAB10.pdf</v>
      </c>
    </row>
    <row r="1409" spans="1:28" x14ac:dyDescent="0.25">
      <c r="A1409" t="s">
        <v>1413</v>
      </c>
      <c r="B1409">
        <v>1</v>
      </c>
      <c r="C1409">
        <v>0.97920604914933795</v>
      </c>
      <c r="D1409">
        <v>1.2339152674302201</v>
      </c>
      <c r="E1409">
        <v>1.7697320137885</v>
      </c>
      <c r="F1409">
        <v>1.8627599243856301</v>
      </c>
      <c r="G1409">
        <v>2.3787390192371798</v>
      </c>
      <c r="H1409">
        <v>3.0519292783275902</v>
      </c>
      <c r="I1409">
        <v>3.7233403758478798</v>
      </c>
      <c r="J1409">
        <v>6.4710330256866504</v>
      </c>
      <c r="K1409">
        <v>4.3129100411431098</v>
      </c>
      <c r="S1409" t="s">
        <v>3411</v>
      </c>
      <c r="T1409" t="s">
        <v>4002</v>
      </c>
      <c r="U1409" t="s">
        <v>4003</v>
      </c>
      <c r="V1409" t="s">
        <v>4002</v>
      </c>
      <c r="W1409" t="s">
        <v>5390</v>
      </c>
      <c r="X1409">
        <v>2</v>
      </c>
      <c r="Y1409" t="s">
        <v>7319</v>
      </c>
      <c r="Z1409" t="s">
        <v>9307</v>
      </c>
      <c r="AB1409" t="str">
        <f>HYPERLINK("Melting_Curves/meltCurve_P61077_UBE2D3.pdf", "Melting_Curves/meltCurve_P61077_UBE2D3.pdf")</f>
        <v>Melting_Curves/meltCurve_P61077_UBE2D3.pdf</v>
      </c>
    </row>
    <row r="1410" spans="1:28" x14ac:dyDescent="0.25">
      <c r="A1410" t="s">
        <v>1414</v>
      </c>
      <c r="B1410">
        <v>1</v>
      </c>
      <c r="C1410">
        <v>1.0928463502318599</v>
      </c>
      <c r="D1410">
        <v>1.2384202573855101</v>
      </c>
      <c r="E1410">
        <v>1.5730214140572101</v>
      </c>
      <c r="F1410">
        <v>1.3917574115563001</v>
      </c>
      <c r="G1410">
        <v>1.66373156880113</v>
      </c>
      <c r="H1410">
        <v>1.56447663210546</v>
      </c>
      <c r="I1410">
        <v>1.8332725472828599</v>
      </c>
      <c r="J1410">
        <v>2.4156202782264402</v>
      </c>
      <c r="K1410">
        <v>1.6897306309592</v>
      </c>
      <c r="L1410">
        <v>1640.89839246214</v>
      </c>
      <c r="M1410">
        <v>35.824137045576599</v>
      </c>
      <c r="O1410">
        <v>45.6622453194542</v>
      </c>
      <c r="P1410">
        <v>9.8068584008169798E-2</v>
      </c>
      <c r="Q1410">
        <v>1.5</v>
      </c>
      <c r="R1410">
        <v>0.30459647480857199</v>
      </c>
      <c r="S1410" t="s">
        <v>3412</v>
      </c>
      <c r="T1410" t="s">
        <v>4002</v>
      </c>
      <c r="U1410" t="s">
        <v>4002</v>
      </c>
      <c r="V1410" t="s">
        <v>4002</v>
      </c>
      <c r="W1410" t="s">
        <v>5391</v>
      </c>
      <c r="X1410">
        <v>3</v>
      </c>
      <c r="Y1410" t="s">
        <v>7320</v>
      </c>
      <c r="Z1410" t="s">
        <v>9308</v>
      </c>
      <c r="AA1410">
        <v>1.401198380642825</v>
      </c>
      <c r="AB1410" t="str">
        <f>HYPERLINK("Melting_Curves/meltCurve_P61088_UBE2N.pdf", "Melting_Curves/meltCurve_P61088_UBE2N.pdf")</f>
        <v>Melting_Curves/meltCurve_P61088_UBE2N.pdf</v>
      </c>
    </row>
    <row r="1411" spans="1:28" x14ac:dyDescent="0.25">
      <c r="A1411" t="s">
        <v>1415</v>
      </c>
      <c r="B1411">
        <v>1</v>
      </c>
      <c r="C1411">
        <v>0.91812980864075799</v>
      </c>
      <c r="D1411">
        <v>1.06204379562044</v>
      </c>
      <c r="E1411">
        <v>0.97405799960544504</v>
      </c>
      <c r="F1411">
        <v>0.90201880712829596</v>
      </c>
      <c r="G1411">
        <v>0.94637338067995003</v>
      </c>
      <c r="H1411">
        <v>0.81304662326560095</v>
      </c>
      <c r="I1411">
        <v>1.0054580127572801</v>
      </c>
      <c r="J1411">
        <v>1.17291378970211</v>
      </c>
      <c r="K1411">
        <v>0.853521404616295</v>
      </c>
      <c r="L1411">
        <v>12498.487644160999</v>
      </c>
      <c r="M1411">
        <v>250</v>
      </c>
      <c r="O1411">
        <v>49.990746832779699</v>
      </c>
      <c r="P1411">
        <v>-6.3900970635637599E-2</v>
      </c>
      <c r="Q1411">
        <v>0.94888867956421397</v>
      </c>
      <c r="R1411">
        <v>4.0219087109602002E-2</v>
      </c>
      <c r="S1411" t="s">
        <v>3413</v>
      </c>
      <c r="T1411" t="s">
        <v>4002</v>
      </c>
      <c r="U1411" t="s">
        <v>4002</v>
      </c>
      <c r="V1411" t="s">
        <v>4002</v>
      </c>
      <c r="W1411" t="s">
        <v>5392</v>
      </c>
      <c r="X1411">
        <v>4</v>
      </c>
      <c r="Y1411" t="s">
        <v>7321</v>
      </c>
      <c r="Z1411" t="s">
        <v>9309</v>
      </c>
      <c r="AA1411">
        <v>0.96591996434492045</v>
      </c>
      <c r="AB1411" t="str">
        <f>HYPERLINK("Melting_Curves/meltCurve_P61106_RAB14.pdf", "Melting_Curves/meltCurve_P61106_RAB14.pdf")</f>
        <v>Melting_Curves/meltCurve_P61106_RAB14.pdf</v>
      </c>
    </row>
    <row r="1412" spans="1:28" x14ac:dyDescent="0.25">
      <c r="A1412" t="s">
        <v>1416</v>
      </c>
      <c r="B1412">
        <v>1</v>
      </c>
      <c r="C1412">
        <v>1.02005371530886</v>
      </c>
      <c r="D1412">
        <v>1.1146821844225601</v>
      </c>
      <c r="E1412">
        <v>1.0857654431513</v>
      </c>
      <c r="F1412">
        <v>1.0427931960608801</v>
      </c>
      <c r="G1412">
        <v>1.3177260519248</v>
      </c>
      <c r="H1412">
        <v>1.0531781557744</v>
      </c>
      <c r="I1412">
        <v>1.68961504028648</v>
      </c>
      <c r="J1412">
        <v>1.39668755595345</v>
      </c>
      <c r="K1412">
        <v>1.25228290062668</v>
      </c>
      <c r="L1412">
        <v>854.11991469754696</v>
      </c>
      <c r="M1412">
        <v>15.205449505473601</v>
      </c>
      <c r="O1412">
        <v>55.227265035687999</v>
      </c>
      <c r="P1412">
        <v>2.8421219512687401E-2</v>
      </c>
      <c r="Q1412">
        <v>1.4128720169311599</v>
      </c>
      <c r="R1412">
        <v>0.48027830619984402</v>
      </c>
      <c r="S1412" t="s">
        <v>3414</v>
      </c>
      <c r="T1412" t="s">
        <v>4002</v>
      </c>
      <c r="U1412" t="s">
        <v>4002</v>
      </c>
      <c r="V1412" t="s">
        <v>4002</v>
      </c>
      <c r="W1412" t="s">
        <v>5393</v>
      </c>
      <c r="X1412">
        <v>12</v>
      </c>
      <c r="Y1412" t="s">
        <v>7322</v>
      </c>
      <c r="Z1412" t="s">
        <v>9310</v>
      </c>
      <c r="AA1412">
        <v>1.183185933083295</v>
      </c>
      <c r="AB1412" t="str">
        <f>HYPERLINK("Melting_Curves/meltCurve_P61158_ACTR3.pdf", "Melting_Curves/meltCurve_P61158_ACTR3.pdf")</f>
        <v>Melting_Curves/meltCurve_P61158_ACTR3.pdf</v>
      </c>
    </row>
    <row r="1413" spans="1:28" x14ac:dyDescent="0.25">
      <c r="A1413" t="s">
        <v>1417</v>
      </c>
      <c r="B1413">
        <v>1</v>
      </c>
      <c r="C1413">
        <v>1.00115722882271</v>
      </c>
      <c r="D1413">
        <v>1.0596049992285099</v>
      </c>
      <c r="E1413">
        <v>1.07670112636939</v>
      </c>
      <c r="F1413">
        <v>0.99342694028699297</v>
      </c>
      <c r="G1413">
        <v>1.2209072673970101</v>
      </c>
      <c r="H1413">
        <v>1.0385742940904199</v>
      </c>
      <c r="I1413">
        <v>1.5208764079617301</v>
      </c>
      <c r="J1413">
        <v>1.45695108779509</v>
      </c>
      <c r="K1413">
        <v>1.19844159851875</v>
      </c>
      <c r="L1413">
        <v>1173.1497908828501</v>
      </c>
      <c r="M1413">
        <v>20.005372325181899</v>
      </c>
      <c r="O1413">
        <v>58.065225967573802</v>
      </c>
      <c r="P1413">
        <v>3.2229217265297198E-2</v>
      </c>
      <c r="Q1413">
        <v>1.37416660566246</v>
      </c>
      <c r="R1413">
        <v>0.56452609116234198</v>
      </c>
      <c r="S1413" t="s">
        <v>3415</v>
      </c>
      <c r="T1413" t="s">
        <v>4002</v>
      </c>
      <c r="U1413" t="s">
        <v>4002</v>
      </c>
      <c r="V1413" t="s">
        <v>4002</v>
      </c>
      <c r="W1413" t="s">
        <v>4414</v>
      </c>
      <c r="X1413">
        <v>8</v>
      </c>
      <c r="Y1413" t="s">
        <v>6387</v>
      </c>
      <c r="Z1413" t="s">
        <v>9311</v>
      </c>
      <c r="AA1413">
        <v>1.1377098374256649</v>
      </c>
      <c r="AB1413" t="str">
        <f>HYPERLINK("Melting_Curves/meltCurve_P61160_ACTR2.pdf", "Melting_Curves/meltCurve_P61160_ACTR2.pdf")</f>
        <v>Melting_Curves/meltCurve_P61160_ACTR2.pdf</v>
      </c>
    </row>
    <row r="1414" spans="1:28" x14ac:dyDescent="0.25">
      <c r="A1414" t="s">
        <v>1418</v>
      </c>
      <c r="B1414">
        <v>1</v>
      </c>
      <c r="C1414">
        <v>0.92932836366293903</v>
      </c>
      <c r="D1414">
        <v>1.0578820434115299</v>
      </c>
      <c r="E1414">
        <v>1.11218300080392</v>
      </c>
      <c r="F1414">
        <v>1.14689761017321</v>
      </c>
      <c r="G1414">
        <v>1.17656946576043</v>
      </c>
      <c r="H1414">
        <v>1.2702623693634401</v>
      </c>
      <c r="I1414">
        <v>1.37002119418256</v>
      </c>
      <c r="J1414">
        <v>1.3038076445224001</v>
      </c>
      <c r="K1414">
        <v>1.1656069575385499</v>
      </c>
      <c r="L1414">
        <v>856.97755938524597</v>
      </c>
      <c r="M1414">
        <v>16.421137308495901</v>
      </c>
      <c r="O1414">
        <v>51.4319456537132</v>
      </c>
      <c r="P1414">
        <v>2.22904815327148E-2</v>
      </c>
      <c r="Q1414">
        <v>1.27924045068606</v>
      </c>
      <c r="R1414">
        <v>0.79976710632634695</v>
      </c>
      <c r="S1414" t="s">
        <v>3416</v>
      </c>
      <c r="T1414" t="s">
        <v>4002</v>
      </c>
      <c r="U1414" t="s">
        <v>4002</v>
      </c>
      <c r="V1414" t="s">
        <v>4002</v>
      </c>
      <c r="W1414" t="s">
        <v>5394</v>
      </c>
      <c r="X1414">
        <v>2</v>
      </c>
      <c r="Y1414" t="s">
        <v>7323</v>
      </c>
      <c r="Z1414" t="s">
        <v>9312</v>
      </c>
      <c r="AA1414">
        <v>1.1604102482686041</v>
      </c>
      <c r="AB1414" t="str">
        <f>HYPERLINK("Melting_Curves/meltCurve_P61457_PCBD1.pdf", "Melting_Curves/meltCurve_P61457_PCBD1.pdf")</f>
        <v>Melting_Curves/meltCurve_P61457_PCBD1.pdf</v>
      </c>
    </row>
    <row r="1415" spans="1:28" x14ac:dyDescent="0.25">
      <c r="A1415" t="s">
        <v>1419</v>
      </c>
      <c r="B1415">
        <v>1</v>
      </c>
      <c r="C1415">
        <v>0.94492600422832995</v>
      </c>
      <c r="D1415">
        <v>1.08994597134132</v>
      </c>
      <c r="E1415">
        <v>1.1018557669720499</v>
      </c>
      <c r="F1415">
        <v>1.1269673478975799</v>
      </c>
      <c r="G1415">
        <v>1.3181818181818199</v>
      </c>
      <c r="H1415">
        <v>1.5829222457129399</v>
      </c>
      <c r="I1415">
        <v>2.6802912849424501</v>
      </c>
      <c r="J1415">
        <v>2.5949025135071602</v>
      </c>
      <c r="K1415">
        <v>2.5751703077284498</v>
      </c>
      <c r="L1415">
        <v>2251.8736168413898</v>
      </c>
      <c r="M1415">
        <v>40.946789530877297</v>
      </c>
      <c r="O1415">
        <v>54.864436827417698</v>
      </c>
      <c r="P1415">
        <v>9.3291003790403004E-2</v>
      </c>
      <c r="Q1415">
        <v>1.5</v>
      </c>
      <c r="R1415">
        <v>0.195180744452331</v>
      </c>
      <c r="S1415" t="s">
        <v>3417</v>
      </c>
      <c r="T1415" t="s">
        <v>4002</v>
      </c>
      <c r="U1415" t="s">
        <v>4002</v>
      </c>
      <c r="V1415" t="s">
        <v>4002</v>
      </c>
      <c r="W1415" t="s">
        <v>5395</v>
      </c>
      <c r="X1415">
        <v>7</v>
      </c>
      <c r="Y1415" t="s">
        <v>7324</v>
      </c>
      <c r="Z1415" t="s">
        <v>9313</v>
      </c>
      <c r="AA1415">
        <v>1.2482736900759379</v>
      </c>
      <c r="AB1415" t="str">
        <f>HYPERLINK("Melting_Curves/meltCurve_P61586_RHOA.pdf", "Melting_Curves/meltCurve_P61586_RHOA.pdf")</f>
        <v>Melting_Curves/meltCurve_P61586_RHOA.pdf</v>
      </c>
    </row>
    <row r="1416" spans="1:28" x14ac:dyDescent="0.25">
      <c r="A1416" t="s">
        <v>1420</v>
      </c>
      <c r="B1416">
        <v>1</v>
      </c>
      <c r="C1416">
        <v>1.13310218626601</v>
      </c>
      <c r="D1416">
        <v>1.7003033805258601</v>
      </c>
      <c r="E1416">
        <v>2.2379851680631799</v>
      </c>
      <c r="F1416">
        <v>2.16738900125205</v>
      </c>
      <c r="G1416">
        <v>2.7631705672734301</v>
      </c>
      <c r="H1416">
        <v>2.09794856977752</v>
      </c>
      <c r="I1416">
        <v>3.20620244630646</v>
      </c>
      <c r="J1416">
        <v>1.95692478089184</v>
      </c>
      <c r="K1416">
        <v>2.3227872483867902</v>
      </c>
      <c r="L1416">
        <v>10768.4991154869</v>
      </c>
      <c r="M1416">
        <v>250</v>
      </c>
      <c r="O1416">
        <v>43.071240245317099</v>
      </c>
      <c r="P1416">
        <v>0.72554214896061198</v>
      </c>
      <c r="Q1416">
        <v>1.5</v>
      </c>
      <c r="R1416">
        <v>-0.67632759716577295</v>
      </c>
      <c r="S1416" t="s">
        <v>3418</v>
      </c>
      <c r="T1416" t="s">
        <v>4002</v>
      </c>
      <c r="U1416" t="s">
        <v>4002</v>
      </c>
      <c r="V1416" t="s">
        <v>4002</v>
      </c>
      <c r="W1416" t="s">
        <v>5396</v>
      </c>
      <c r="X1416">
        <v>15</v>
      </c>
      <c r="Y1416" t="s">
        <v>7325</v>
      </c>
      <c r="Z1416" t="s">
        <v>9314</v>
      </c>
      <c r="AA1416">
        <v>1.4487289285263649</v>
      </c>
      <c r="AB1416" t="str">
        <f>HYPERLINK("Melting_Curves/meltCurve_P61626_LYZ.pdf", "Melting_Curves/meltCurve_P61626_LYZ.pdf")</f>
        <v>Melting_Curves/meltCurve_P61626_LYZ.pdf</v>
      </c>
    </row>
    <row r="1417" spans="1:28" x14ac:dyDescent="0.25">
      <c r="A1417" t="s">
        <v>1421</v>
      </c>
      <c r="B1417">
        <v>1</v>
      </c>
      <c r="C1417">
        <v>1.2292133168014501</v>
      </c>
      <c r="D1417">
        <v>1.7068490108629299</v>
      </c>
      <c r="E1417">
        <v>2.1522290282584202</v>
      </c>
      <c r="F1417">
        <v>2.2070063104909599</v>
      </c>
      <c r="G1417">
        <v>2.5119825304883698</v>
      </c>
      <c r="H1417">
        <v>2.6746488517127198</v>
      </c>
      <c r="I1417">
        <v>2.8138127579251302</v>
      </c>
      <c r="J1417">
        <v>2.8828395358735701</v>
      </c>
      <c r="K1417">
        <v>2.7697688620759799</v>
      </c>
      <c r="L1417">
        <v>10732.1504830709</v>
      </c>
      <c r="M1417">
        <v>250</v>
      </c>
      <c r="O1417">
        <v>42.925854804067299</v>
      </c>
      <c r="P1417">
        <v>0.72799948171230999</v>
      </c>
      <c r="Q1417">
        <v>1.5</v>
      </c>
      <c r="R1417">
        <v>-1.0938918769480199</v>
      </c>
      <c r="S1417" t="s">
        <v>3419</v>
      </c>
      <c r="T1417" t="s">
        <v>4002</v>
      </c>
      <c r="U1417" t="s">
        <v>4002</v>
      </c>
      <c r="V1417" t="s">
        <v>4002</v>
      </c>
      <c r="W1417" t="s">
        <v>5397</v>
      </c>
      <c r="X1417">
        <v>2</v>
      </c>
      <c r="Y1417" t="s">
        <v>7326</v>
      </c>
      <c r="Z1417" t="s">
        <v>9315</v>
      </c>
      <c r="AA1417">
        <v>1.4511522982534131</v>
      </c>
      <c r="AB1417" t="str">
        <f>HYPERLINK("Melting_Curves/meltCurve_P61970_NUTF2.pdf", "Melting_Curves/meltCurve_P61970_NUTF2.pdf")</f>
        <v>Melting_Curves/meltCurve_P61970_NUTF2.pdf</v>
      </c>
    </row>
    <row r="1418" spans="1:28" x14ac:dyDescent="0.25">
      <c r="A1418" t="s">
        <v>1422</v>
      </c>
      <c r="B1418">
        <v>1</v>
      </c>
      <c r="C1418">
        <v>0.92092924126172204</v>
      </c>
      <c r="D1418">
        <v>1.06641091219096</v>
      </c>
      <c r="E1418">
        <v>1.04023870417732</v>
      </c>
      <c r="F1418">
        <v>1.0276641091219101</v>
      </c>
      <c r="G1418">
        <v>1.3040920716112501</v>
      </c>
      <c r="H1418">
        <v>1.2871270247229301</v>
      </c>
      <c r="I1418">
        <v>1.72216538789429</v>
      </c>
      <c r="J1418">
        <v>2.0963768115942001</v>
      </c>
      <c r="K1418">
        <v>1.6945439045183299</v>
      </c>
      <c r="L1418">
        <v>2049.0607884629899</v>
      </c>
      <c r="M1418">
        <v>36.1820244420215</v>
      </c>
      <c r="O1418">
        <v>56.459861855559403</v>
      </c>
      <c r="P1418">
        <v>8.0105897848624597E-2</v>
      </c>
      <c r="Q1418">
        <v>1.5</v>
      </c>
      <c r="R1418">
        <v>0.64667860115881004</v>
      </c>
      <c r="S1418" t="s">
        <v>3420</v>
      </c>
      <c r="T1418" t="s">
        <v>4002</v>
      </c>
      <c r="U1418" t="s">
        <v>4002</v>
      </c>
      <c r="V1418" t="s">
        <v>4002</v>
      </c>
      <c r="W1418" t="s">
        <v>5398</v>
      </c>
      <c r="X1418">
        <v>6</v>
      </c>
      <c r="Y1418" t="s">
        <v>7327</v>
      </c>
      <c r="Z1418" t="s">
        <v>9316</v>
      </c>
      <c r="AA1418">
        <v>1.2204450217548819</v>
      </c>
      <c r="AB1418" t="str">
        <f>HYPERLINK("Melting_Curves/meltCurve_P61981_YWHAG.pdf", "Melting_Curves/meltCurve_P61981_YWHAG.pdf")</f>
        <v>Melting_Curves/meltCurve_P61981_YWHAG.pdf</v>
      </c>
    </row>
    <row r="1419" spans="1:28" x14ac:dyDescent="0.25">
      <c r="A1419" t="s">
        <v>1423</v>
      </c>
      <c r="B1419">
        <v>1</v>
      </c>
      <c r="C1419">
        <v>0.96994227323999704</v>
      </c>
      <c r="D1419">
        <v>1.1057660407404999</v>
      </c>
      <c r="E1419">
        <v>1.1768960254794001</v>
      </c>
      <c r="F1419">
        <v>1.0990644283723701</v>
      </c>
      <c r="G1419">
        <v>1.2474288368389601</v>
      </c>
      <c r="H1419">
        <v>1.1792183663990401</v>
      </c>
      <c r="I1419">
        <v>1.73757547607989</v>
      </c>
      <c r="J1419">
        <v>1.5638643752902901</v>
      </c>
      <c r="K1419">
        <v>1.4330834052153101</v>
      </c>
      <c r="L1419">
        <v>925.26339533669898</v>
      </c>
      <c r="M1419">
        <v>16.445851826973001</v>
      </c>
      <c r="O1419">
        <v>55.449065800042398</v>
      </c>
      <c r="P1419">
        <v>3.7076829553234998E-2</v>
      </c>
      <c r="Q1419">
        <v>1.5</v>
      </c>
      <c r="R1419">
        <v>0.69609659391623302</v>
      </c>
      <c r="S1419" t="s">
        <v>3421</v>
      </c>
      <c r="T1419" t="s">
        <v>4002</v>
      </c>
      <c r="U1419" t="s">
        <v>4002</v>
      </c>
      <c r="V1419" t="s">
        <v>4002</v>
      </c>
      <c r="W1419" t="s">
        <v>5399</v>
      </c>
      <c r="X1419">
        <v>4</v>
      </c>
      <c r="Y1419" t="s">
        <v>7328</v>
      </c>
      <c r="Z1419" t="s">
        <v>9317</v>
      </c>
      <c r="AA1419">
        <v>1.2210089777739761</v>
      </c>
      <c r="AB1419" t="str">
        <f>HYPERLINK("Melting_Curves/meltCurve_P62136_PPP1CA.pdf", "Melting_Curves/meltCurve_P62136_PPP1CA.pdf")</f>
        <v>Melting_Curves/meltCurve_P62136_PPP1CA.pdf</v>
      </c>
    </row>
    <row r="1420" spans="1:28" x14ac:dyDescent="0.25">
      <c r="A1420" t="s">
        <v>1424</v>
      </c>
      <c r="B1420">
        <v>1</v>
      </c>
      <c r="C1420">
        <v>0.97025016903312999</v>
      </c>
      <c r="D1420">
        <v>1.09977784217135</v>
      </c>
      <c r="E1420">
        <v>1.24872017772626</v>
      </c>
      <c r="F1420">
        <v>1.3097652854245101</v>
      </c>
      <c r="G1420">
        <v>1.59673524582247</v>
      </c>
      <c r="H1420">
        <v>1.5472809813580599</v>
      </c>
      <c r="I1420">
        <v>2.2343282140442402</v>
      </c>
      <c r="J1420">
        <v>2.4419008982903501</v>
      </c>
      <c r="K1420">
        <v>1.9147107118709601</v>
      </c>
      <c r="L1420">
        <v>1415.1101131314599</v>
      </c>
      <c r="M1420">
        <v>28.164564996457099</v>
      </c>
      <c r="O1420">
        <v>49.993098220377497</v>
      </c>
      <c r="P1420">
        <v>7.0421731757817005E-2</v>
      </c>
      <c r="Q1420">
        <v>1.5</v>
      </c>
      <c r="R1420">
        <v>0.31646257314027998</v>
      </c>
      <c r="S1420" t="s">
        <v>3422</v>
      </c>
      <c r="T1420" t="s">
        <v>4002</v>
      </c>
      <c r="U1420" t="s">
        <v>4002</v>
      </c>
      <c r="V1420" t="s">
        <v>4002</v>
      </c>
      <c r="W1420" t="s">
        <v>5400</v>
      </c>
      <c r="X1420">
        <v>10</v>
      </c>
      <c r="Y1420" t="s">
        <v>7329</v>
      </c>
      <c r="Z1420" t="s">
        <v>9318</v>
      </c>
      <c r="AA1420">
        <v>1.325734438029182</v>
      </c>
      <c r="AB1420" t="str">
        <f>HYPERLINK("Melting_Curves/meltCurve_P62258_YWHAE.pdf", "Melting_Curves/meltCurve_P62258_YWHAE.pdf")</f>
        <v>Melting_Curves/meltCurve_P62258_YWHAE.pdf</v>
      </c>
    </row>
    <row r="1421" spans="1:28" x14ac:dyDescent="0.25">
      <c r="A1421" t="s">
        <v>1425</v>
      </c>
      <c r="B1421">
        <v>1</v>
      </c>
      <c r="C1421">
        <v>1.0707388748950499</v>
      </c>
      <c r="D1421">
        <v>1.1056884970612899</v>
      </c>
      <c r="E1421">
        <v>1.1463056255247701</v>
      </c>
      <c r="F1421">
        <v>1.11807304785894</v>
      </c>
      <c r="G1421">
        <v>1.18052057094878</v>
      </c>
      <c r="H1421">
        <v>1.0235516372796001</v>
      </c>
      <c r="I1421">
        <v>1.1593198992443301</v>
      </c>
      <c r="J1421">
        <v>1.9134130982367801</v>
      </c>
      <c r="K1421">
        <v>1.03635600335852</v>
      </c>
      <c r="L1421">
        <v>363.40627998868803</v>
      </c>
      <c r="M1421">
        <v>5.89925860653213</v>
      </c>
      <c r="O1421">
        <v>55.635389215537103</v>
      </c>
      <c r="P1421">
        <v>1.32998753437331E-2</v>
      </c>
      <c r="Q1421">
        <v>1.5</v>
      </c>
      <c r="R1421">
        <v>0.179319391969611</v>
      </c>
      <c r="S1421" t="s">
        <v>3423</v>
      </c>
      <c r="T1421" t="s">
        <v>4002</v>
      </c>
      <c r="U1421" t="s">
        <v>4002</v>
      </c>
      <c r="V1421" t="s">
        <v>4002</v>
      </c>
      <c r="W1421" t="s">
        <v>5401</v>
      </c>
      <c r="X1421">
        <v>3</v>
      </c>
      <c r="Y1421" t="s">
        <v>7330</v>
      </c>
      <c r="Z1421" t="s">
        <v>9319</v>
      </c>
      <c r="AA1421">
        <v>1.16862158574273</v>
      </c>
      <c r="AB1421" t="str">
        <f>HYPERLINK("Melting_Curves/meltCurve_P62263_RPS14.pdf", "Melting_Curves/meltCurve_P62263_RPS14.pdf")</f>
        <v>Melting_Curves/meltCurve_P62263_RPS14.pdf</v>
      </c>
    </row>
    <row r="1422" spans="1:28" x14ac:dyDescent="0.25">
      <c r="A1422" t="s">
        <v>1426</v>
      </c>
      <c r="B1422">
        <v>1</v>
      </c>
      <c r="C1422">
        <v>0.74518237166955303</v>
      </c>
      <c r="D1422">
        <v>0.878623694352902</v>
      </c>
      <c r="E1422">
        <v>0.80807685862704604</v>
      </c>
      <c r="F1422">
        <v>0.80567502653186596</v>
      </c>
      <c r="G1422">
        <v>0.61285818019326399</v>
      </c>
      <c r="H1422">
        <v>1.0693179913980899</v>
      </c>
      <c r="I1422">
        <v>0.70585935318103099</v>
      </c>
      <c r="J1422">
        <v>7.2993353069318001</v>
      </c>
      <c r="K1422">
        <v>0.74808691280790895</v>
      </c>
      <c r="L1422">
        <v>15000</v>
      </c>
      <c r="M1422">
        <v>230.621396073287</v>
      </c>
      <c r="O1422">
        <v>65.036775086009598</v>
      </c>
      <c r="P1422">
        <v>0.44325190188700397</v>
      </c>
      <c r="Q1422">
        <v>1.5</v>
      </c>
      <c r="R1422">
        <v>8.82582262788075E-2</v>
      </c>
      <c r="S1422" t="s">
        <v>3424</v>
      </c>
      <c r="T1422" t="s">
        <v>4002</v>
      </c>
      <c r="U1422" t="s">
        <v>4002</v>
      </c>
      <c r="V1422" t="s">
        <v>4002</v>
      </c>
      <c r="W1422" t="s">
        <v>5402</v>
      </c>
      <c r="X1422">
        <v>1</v>
      </c>
      <c r="Y1422" t="s">
        <v>7331</v>
      </c>
      <c r="Z1422" t="s">
        <v>9320</v>
      </c>
      <c r="AA1422">
        <v>1.082571816472903</v>
      </c>
      <c r="AB1422" t="str">
        <f>HYPERLINK("Melting_Curves/meltCurve_P62269_RPS18.pdf", "Melting_Curves/meltCurve_P62269_RPS18.pdf")</f>
        <v>Melting_Curves/meltCurve_P62269_RPS18.pdf</v>
      </c>
    </row>
    <row r="1423" spans="1:28" x14ac:dyDescent="0.25">
      <c r="A1423" t="s">
        <v>1427</v>
      </c>
      <c r="B1423">
        <v>1</v>
      </c>
      <c r="C1423">
        <v>0.87535410764872501</v>
      </c>
      <c r="D1423">
        <v>1.0839740995548399</v>
      </c>
      <c r="E1423">
        <v>1.15216511533792</v>
      </c>
      <c r="F1423">
        <v>0.94684049257096603</v>
      </c>
      <c r="G1423">
        <v>1.0199456553159501</v>
      </c>
      <c r="H1423">
        <v>0.90622651326819703</v>
      </c>
      <c r="I1423">
        <v>1.02269179626525</v>
      </c>
      <c r="J1423">
        <v>0.86090073423137004</v>
      </c>
      <c r="K1423">
        <v>0.78345955946117796</v>
      </c>
      <c r="L1423">
        <v>15000</v>
      </c>
      <c r="M1423">
        <v>224.46603528805699</v>
      </c>
      <c r="O1423">
        <v>66.819967457722498</v>
      </c>
      <c r="P1423">
        <v>-0.18186287064166401</v>
      </c>
      <c r="Q1423">
        <v>0.78344932317855298</v>
      </c>
      <c r="R1423">
        <v>0.481408129785521</v>
      </c>
      <c r="S1423" t="s">
        <v>3425</v>
      </c>
      <c r="T1423" t="s">
        <v>4002</v>
      </c>
      <c r="U1423" t="s">
        <v>4002</v>
      </c>
      <c r="V1423" t="s">
        <v>4002</v>
      </c>
      <c r="W1423" t="s">
        <v>5403</v>
      </c>
      <c r="X1423">
        <v>5</v>
      </c>
      <c r="Y1423" t="s">
        <v>7332</v>
      </c>
      <c r="Z1423" t="s">
        <v>9321</v>
      </c>
      <c r="AA1423">
        <v>0.97711497366882749</v>
      </c>
      <c r="AB1423" t="str">
        <f>HYPERLINK("Melting_Curves/meltCurve_P62328_TMSB4X.pdf", "Melting_Curves/meltCurve_P62328_TMSB4X.pdf")</f>
        <v>Melting_Curves/meltCurve_P62328_TMSB4X.pdf</v>
      </c>
    </row>
    <row r="1424" spans="1:28" x14ac:dyDescent="0.25">
      <c r="A1424" t="s">
        <v>1428</v>
      </c>
      <c r="B1424">
        <v>1</v>
      </c>
      <c r="C1424">
        <v>0.894651588779388</v>
      </c>
      <c r="D1424">
        <v>0.93272476800339099</v>
      </c>
      <c r="E1424">
        <v>0.89619570976580798</v>
      </c>
      <c r="F1424">
        <v>0.87055119063838804</v>
      </c>
      <c r="G1424">
        <v>0.916496359204929</v>
      </c>
      <c r="H1424">
        <v>0.83461253160149595</v>
      </c>
      <c r="I1424">
        <v>1.00756922052167</v>
      </c>
      <c r="J1424">
        <v>2.2568387907413299</v>
      </c>
      <c r="K1424">
        <v>0.83284133399942495</v>
      </c>
      <c r="L1424">
        <v>15000</v>
      </c>
      <c r="M1424">
        <v>231.21177149076999</v>
      </c>
      <c r="O1424">
        <v>64.870730328144603</v>
      </c>
      <c r="P1424">
        <v>0.44552402642278699</v>
      </c>
      <c r="Q1424">
        <v>1.5</v>
      </c>
      <c r="R1424">
        <v>0.34193058627776801</v>
      </c>
      <c r="S1424" t="s">
        <v>3426</v>
      </c>
      <c r="T1424" t="s">
        <v>4002</v>
      </c>
      <c r="U1424" t="s">
        <v>4002</v>
      </c>
      <c r="V1424" t="s">
        <v>4002</v>
      </c>
      <c r="W1424" t="s">
        <v>5404</v>
      </c>
      <c r="X1424">
        <v>3</v>
      </c>
      <c r="Y1424" t="s">
        <v>7333</v>
      </c>
      <c r="Z1424" t="s">
        <v>9322</v>
      </c>
      <c r="AA1424">
        <v>1.085340281985774</v>
      </c>
      <c r="AB1424" t="str">
        <f>HYPERLINK("Melting_Curves/meltCurve_P62333_PSMC6.pdf", "Melting_Curves/meltCurve_P62333_PSMC6.pdf")</f>
        <v>Melting_Curves/meltCurve_P62333_PSMC6.pdf</v>
      </c>
    </row>
    <row r="1425" spans="1:28" x14ac:dyDescent="0.25">
      <c r="A1425" t="s">
        <v>1429</v>
      </c>
      <c r="B1425">
        <v>1</v>
      </c>
      <c r="C1425">
        <v>1.1272750306152599</v>
      </c>
      <c r="D1425">
        <v>1.17870866939741</v>
      </c>
      <c r="E1425">
        <v>1.06691018115789</v>
      </c>
      <c r="F1425">
        <v>1.11568345931337</v>
      </c>
      <c r="G1425">
        <v>1.1548287656771301</v>
      </c>
      <c r="H1425">
        <v>1.14382838562561</v>
      </c>
      <c r="I1425">
        <v>1.0552763819095501</v>
      </c>
      <c r="J1425">
        <v>7.8636881888433798</v>
      </c>
      <c r="K1425">
        <v>1.10586546176259</v>
      </c>
      <c r="L1425">
        <v>15000</v>
      </c>
      <c r="M1425">
        <v>232.483429925027</v>
      </c>
      <c r="O1425">
        <v>64.515945337577705</v>
      </c>
      <c r="P1425">
        <v>0.45043787567417098</v>
      </c>
      <c r="Q1425">
        <v>1.5</v>
      </c>
      <c r="R1425">
        <v>8.9589177954019199E-3</v>
      </c>
      <c r="S1425" t="s">
        <v>3427</v>
      </c>
      <c r="T1425" t="s">
        <v>4002</v>
      </c>
      <c r="U1425" t="s">
        <v>4002</v>
      </c>
      <c r="V1425" t="s">
        <v>4002</v>
      </c>
      <c r="W1425" t="s">
        <v>5405</v>
      </c>
      <c r="X1425">
        <v>7</v>
      </c>
      <c r="Y1425" t="s">
        <v>7334</v>
      </c>
      <c r="Z1425" t="s">
        <v>9323</v>
      </c>
      <c r="AA1425">
        <v>1.0912557388937609</v>
      </c>
      <c r="AB1425" t="str">
        <f>HYPERLINK("Melting_Curves/meltCurve_P62805_HIST1H4A.pdf", "Melting_Curves/meltCurve_P62805_HIST1H4A.pdf")</f>
        <v>Melting_Curves/meltCurve_P62805_HIST1H4A.pdf</v>
      </c>
    </row>
    <row r="1426" spans="1:28" x14ac:dyDescent="0.25">
      <c r="A1426" t="s">
        <v>1430</v>
      </c>
      <c r="B1426">
        <v>1</v>
      </c>
      <c r="C1426">
        <v>0.940940632228219</v>
      </c>
      <c r="D1426">
        <v>1.00674633770239</v>
      </c>
      <c r="E1426">
        <v>0.94740747879722398</v>
      </c>
      <c r="F1426">
        <v>1.03662297609869</v>
      </c>
      <c r="G1426">
        <v>0.97956823438704699</v>
      </c>
      <c r="H1426">
        <v>1.01484194294526</v>
      </c>
      <c r="I1426">
        <v>1.04385119506554</v>
      </c>
      <c r="J1426">
        <v>3.9193330763299898</v>
      </c>
      <c r="K1426">
        <v>1.0627409406322299</v>
      </c>
      <c r="L1426">
        <v>15000</v>
      </c>
      <c r="M1426">
        <v>232.18736444923499</v>
      </c>
      <c r="O1426">
        <v>64.598213280636998</v>
      </c>
      <c r="P1426">
        <v>0.44929143418038803</v>
      </c>
      <c r="Q1426">
        <v>1.5</v>
      </c>
      <c r="R1426">
        <v>0.21028790128795899</v>
      </c>
      <c r="S1426" t="s">
        <v>3428</v>
      </c>
      <c r="T1426" t="s">
        <v>4002</v>
      </c>
      <c r="U1426" t="s">
        <v>4002</v>
      </c>
      <c r="V1426" t="s">
        <v>4002</v>
      </c>
      <c r="W1426" t="s">
        <v>5406</v>
      </c>
      <c r="X1426">
        <v>2</v>
      </c>
      <c r="Y1426" t="s">
        <v>7335</v>
      </c>
      <c r="Z1426" t="s">
        <v>9324</v>
      </c>
      <c r="AA1426">
        <v>1.0898842995165821</v>
      </c>
      <c r="AB1426" t="str">
        <f>HYPERLINK("Melting_Curves/meltCurve_P62851_RPS25.pdf", "Melting_Curves/meltCurve_P62851_RPS25.pdf")</f>
        <v>Melting_Curves/meltCurve_P62851_RPS25.pdf</v>
      </c>
    </row>
    <row r="1427" spans="1:28" x14ac:dyDescent="0.25">
      <c r="A1427" t="s">
        <v>1431</v>
      </c>
      <c r="B1427">
        <v>1</v>
      </c>
      <c r="C1427">
        <v>0.96543457149793599</v>
      </c>
      <c r="D1427">
        <v>0.99766326778344305</v>
      </c>
      <c r="E1427">
        <v>1.04524763292061</v>
      </c>
      <c r="F1427">
        <v>0.96173221655741703</v>
      </c>
      <c r="G1427">
        <v>0.97617747025977197</v>
      </c>
      <c r="H1427">
        <v>0.86383224083515397</v>
      </c>
      <c r="I1427">
        <v>0.98564578781257595</v>
      </c>
      <c r="J1427">
        <v>1.17088492352513</v>
      </c>
      <c r="K1427">
        <v>0.86981063364894395</v>
      </c>
      <c r="L1427">
        <v>4448.9163197667503</v>
      </c>
      <c r="M1427">
        <v>85.742560382600203</v>
      </c>
      <c r="O1427">
        <v>51.8587033395739</v>
      </c>
      <c r="P1427">
        <v>-1.1709856540794801E-2</v>
      </c>
      <c r="Q1427">
        <v>0.97167064277299997</v>
      </c>
      <c r="R1427">
        <v>3.0453587511849602E-2</v>
      </c>
      <c r="S1427" t="s">
        <v>3429</v>
      </c>
      <c r="T1427" t="s">
        <v>4002</v>
      </c>
      <c r="U1427" t="s">
        <v>4002</v>
      </c>
      <c r="V1427" t="s">
        <v>4002</v>
      </c>
      <c r="W1427" t="s">
        <v>5407</v>
      </c>
      <c r="X1427">
        <v>5</v>
      </c>
      <c r="Y1427" t="s">
        <v>7336</v>
      </c>
      <c r="Z1427" t="s">
        <v>9325</v>
      </c>
      <c r="AA1427">
        <v>0.98291755865087738</v>
      </c>
      <c r="AB1427" t="str">
        <f>HYPERLINK("Melting_Curves/meltCurve_P62857_RPS28.pdf", "Melting_Curves/meltCurve_P62857_RPS28.pdf")</f>
        <v>Melting_Curves/meltCurve_P62857_RPS28.pdf</v>
      </c>
    </row>
    <row r="1428" spans="1:28" x14ac:dyDescent="0.25">
      <c r="A1428" t="s">
        <v>1432</v>
      </c>
      <c r="B1428">
        <v>1</v>
      </c>
      <c r="C1428">
        <v>1.02411290783384</v>
      </c>
      <c r="D1428">
        <v>1.02011313639221</v>
      </c>
      <c r="E1428">
        <v>1.0863950631392501</v>
      </c>
      <c r="F1428">
        <v>1.1074795725958499</v>
      </c>
      <c r="G1428">
        <v>1.2226729901148501</v>
      </c>
      <c r="H1428">
        <v>1.1033655219701699</v>
      </c>
      <c r="I1428">
        <v>1.6858465230558299</v>
      </c>
      <c r="J1428">
        <v>3.31049654305468</v>
      </c>
      <c r="K1428">
        <v>1.4438032112450701</v>
      </c>
      <c r="L1428">
        <v>15000</v>
      </c>
      <c r="M1428">
        <v>244.55741855132601</v>
      </c>
      <c r="O1428">
        <v>61.331190095006598</v>
      </c>
      <c r="P1428">
        <v>0.49843609064831002</v>
      </c>
      <c r="Q1428">
        <v>1.5</v>
      </c>
      <c r="R1428">
        <v>0.24481288846458399</v>
      </c>
      <c r="S1428" t="s">
        <v>3430</v>
      </c>
      <c r="T1428" t="s">
        <v>4002</v>
      </c>
      <c r="U1428" t="s">
        <v>4002</v>
      </c>
      <c r="V1428" t="s">
        <v>4002</v>
      </c>
      <c r="W1428" t="s">
        <v>5408</v>
      </c>
      <c r="X1428">
        <v>4</v>
      </c>
      <c r="Y1428" t="s">
        <v>7337</v>
      </c>
      <c r="Z1428" t="s">
        <v>9326</v>
      </c>
      <c r="AA1428">
        <v>1.144355602159957</v>
      </c>
      <c r="AB1428" t="str">
        <f>HYPERLINK("Melting_Curves/meltCurve_P62906_RPL10A.pdf", "Melting_Curves/meltCurve_P62906_RPL10A.pdf")</f>
        <v>Melting_Curves/meltCurve_P62906_RPL10A.pdf</v>
      </c>
    </row>
    <row r="1429" spans="1:28" x14ac:dyDescent="0.25">
      <c r="A1429" t="s">
        <v>1433</v>
      </c>
      <c r="B1429">
        <v>1</v>
      </c>
      <c r="C1429">
        <v>0.96406589027144296</v>
      </c>
      <c r="D1429">
        <v>0.98662710888721605</v>
      </c>
      <c r="E1429">
        <v>1.0220741265553701</v>
      </c>
      <c r="F1429">
        <v>1.0782446973387101</v>
      </c>
      <c r="G1429">
        <v>1.40103174954612</v>
      </c>
      <c r="H1429">
        <v>2.35486870654917</v>
      </c>
      <c r="I1429">
        <v>4.4072975246867099</v>
      </c>
      <c r="J1429">
        <v>3.7654430323694799</v>
      </c>
      <c r="K1429">
        <v>4.6957888677323698</v>
      </c>
      <c r="L1429">
        <v>3333.1779647338899</v>
      </c>
      <c r="M1429">
        <v>60.847448296249297</v>
      </c>
      <c r="O1429">
        <v>54.7201804052306</v>
      </c>
      <c r="P1429">
        <v>0.138996873432122</v>
      </c>
      <c r="Q1429">
        <v>1.5</v>
      </c>
      <c r="R1429">
        <v>-0.152518683673906</v>
      </c>
      <c r="S1429" t="s">
        <v>3431</v>
      </c>
      <c r="T1429" t="s">
        <v>4002</v>
      </c>
      <c r="U1429" t="s">
        <v>4002</v>
      </c>
      <c r="V1429" t="s">
        <v>4002</v>
      </c>
      <c r="W1429" t="s">
        <v>5409</v>
      </c>
      <c r="X1429">
        <v>10</v>
      </c>
      <c r="Y1429" t="s">
        <v>7338</v>
      </c>
      <c r="Z1429" t="s">
        <v>9327</v>
      </c>
      <c r="AA1429">
        <v>1.252864796924577</v>
      </c>
      <c r="AB1429" t="str">
        <f>HYPERLINK("Melting_Curves/meltCurve_P62937_PPIA.pdf", "Melting_Curves/meltCurve_P62937_PPIA.pdf")</f>
        <v>Melting_Curves/meltCurve_P62937_PPIA.pdf</v>
      </c>
    </row>
    <row r="1430" spans="1:28" x14ac:dyDescent="0.25">
      <c r="A1430" t="s">
        <v>1434</v>
      </c>
      <c r="B1430">
        <v>1</v>
      </c>
      <c r="C1430">
        <v>1.00713778288962</v>
      </c>
      <c r="D1430">
        <v>1.09570041608877</v>
      </c>
      <c r="E1430">
        <v>1.1405568147220999</v>
      </c>
      <c r="F1430">
        <v>1.2625756909441499</v>
      </c>
      <c r="G1430">
        <v>1.4903081763133901</v>
      </c>
      <c r="H1430">
        <v>1.8702006021447199</v>
      </c>
      <c r="I1430">
        <v>1.8423260376847901</v>
      </c>
      <c r="J1430">
        <v>2.1111599742904499</v>
      </c>
      <c r="K1430">
        <v>1.65968674943338</v>
      </c>
      <c r="L1430">
        <v>1784.5913956013001</v>
      </c>
      <c r="M1430">
        <v>34.213911574798601</v>
      </c>
      <c r="O1430">
        <v>51.982600528316603</v>
      </c>
      <c r="P1430">
        <v>8.2272839221128199E-2</v>
      </c>
      <c r="Q1430">
        <v>1.5</v>
      </c>
      <c r="R1430">
        <v>0.54334360445340801</v>
      </c>
      <c r="S1430" t="s">
        <v>3432</v>
      </c>
      <c r="T1430" t="s">
        <v>4002</v>
      </c>
      <c r="U1430" t="s">
        <v>4002</v>
      </c>
      <c r="V1430" t="s">
        <v>4002</v>
      </c>
      <c r="W1430" t="s">
        <v>5410</v>
      </c>
      <c r="X1430">
        <v>3</v>
      </c>
      <c r="Y1430" t="s">
        <v>7339</v>
      </c>
      <c r="Z1430" t="s">
        <v>9328</v>
      </c>
      <c r="AA1430">
        <v>1.2948712345708191</v>
      </c>
      <c r="AB1430" t="str">
        <f>HYPERLINK("Melting_Curves/meltCurve_P62942_FKBP1A.pdf", "Melting_Curves/meltCurve_P62942_FKBP1A.pdf")</f>
        <v>Melting_Curves/meltCurve_P62942_FKBP1A.pdf</v>
      </c>
    </row>
    <row r="1431" spans="1:28" x14ac:dyDescent="0.25">
      <c r="A1431" t="s">
        <v>1435</v>
      </c>
      <c r="B1431">
        <v>1</v>
      </c>
      <c r="C1431">
        <v>0.96836752284088901</v>
      </c>
      <c r="D1431">
        <v>1.1903120151697999</v>
      </c>
      <c r="E1431">
        <v>1.4328564040682601</v>
      </c>
      <c r="F1431">
        <v>1.4940527495259399</v>
      </c>
      <c r="G1431">
        <v>1.5863644199275999</v>
      </c>
      <c r="H1431">
        <v>1.67772797793484</v>
      </c>
      <c r="I1431">
        <v>1.7779693156352401</v>
      </c>
      <c r="J1431">
        <v>1.84666436821238</v>
      </c>
      <c r="K1431">
        <v>1.60256852266851</v>
      </c>
      <c r="L1431">
        <v>1727.1491180916801</v>
      </c>
      <c r="M1431">
        <v>36.9311134673382</v>
      </c>
      <c r="O1431">
        <v>46.630294795965803</v>
      </c>
      <c r="P1431">
        <v>9.9000082778309698E-2</v>
      </c>
      <c r="Q1431">
        <v>1.5</v>
      </c>
      <c r="R1431">
        <v>0.70955025335875799</v>
      </c>
      <c r="S1431" t="s">
        <v>3433</v>
      </c>
      <c r="T1431" t="s">
        <v>4002</v>
      </c>
      <c r="U1431" t="s">
        <v>4002</v>
      </c>
      <c r="V1431" t="s">
        <v>4002</v>
      </c>
      <c r="W1431" t="s">
        <v>5411</v>
      </c>
      <c r="X1431">
        <v>12</v>
      </c>
      <c r="Y1431" t="s">
        <v>7340</v>
      </c>
      <c r="Z1431" t="s">
        <v>9329</v>
      </c>
      <c r="AA1431">
        <v>1.3852924917492759</v>
      </c>
      <c r="AB1431" t="str">
        <f>HYPERLINK("Melting_Curves/meltCurve_P62993_GRB2.pdf", "Melting_Curves/meltCurve_P62993_GRB2.pdf")</f>
        <v>Melting_Curves/meltCurve_P62993_GRB2.pdf</v>
      </c>
    </row>
    <row r="1432" spans="1:28" x14ac:dyDescent="0.25">
      <c r="A1432" t="s">
        <v>1436</v>
      </c>
      <c r="B1432">
        <v>1</v>
      </c>
      <c r="C1432">
        <v>1.1521887645173201</v>
      </c>
      <c r="D1432">
        <v>1.14987650428294</v>
      </c>
      <c r="E1432">
        <v>1.27664792334507</v>
      </c>
      <c r="F1432">
        <v>1.8816893513409401</v>
      </c>
      <c r="G1432">
        <v>2.86492546464169</v>
      </c>
      <c r="H1432">
        <v>3.45630353670713</v>
      </c>
      <c r="I1432">
        <v>4.0802634575297398</v>
      </c>
      <c r="J1432">
        <v>3.6484663758824301</v>
      </c>
      <c r="K1432">
        <v>3.5079790495209102</v>
      </c>
      <c r="L1432">
        <v>1752.8619946285801</v>
      </c>
      <c r="M1432">
        <v>37.049689820929899</v>
      </c>
      <c r="O1432">
        <v>47.173911993111602</v>
      </c>
      <c r="P1432">
        <v>9.8173419258603095E-2</v>
      </c>
      <c r="Q1432">
        <v>1.5</v>
      </c>
      <c r="R1432">
        <v>-0.56427692452860401</v>
      </c>
      <c r="S1432" t="s">
        <v>3434</v>
      </c>
      <c r="T1432" t="s">
        <v>4002</v>
      </c>
      <c r="U1432" t="s">
        <v>4002</v>
      </c>
      <c r="V1432" t="s">
        <v>4002</v>
      </c>
      <c r="W1432" t="s">
        <v>5412</v>
      </c>
      <c r="X1432">
        <v>8</v>
      </c>
      <c r="Y1432" t="s">
        <v>7341</v>
      </c>
      <c r="Z1432" t="s">
        <v>9330</v>
      </c>
      <c r="AA1432">
        <v>1.376222485716829</v>
      </c>
      <c r="AB1432" t="str">
        <f>HYPERLINK("Melting_Curves/meltCurve_P63000_RAC1.pdf", "Melting_Curves/meltCurve_P63000_RAC1.pdf")</f>
        <v>Melting_Curves/meltCurve_P63000_RAC1.pdf</v>
      </c>
    </row>
    <row r="1433" spans="1:28" x14ac:dyDescent="0.25">
      <c r="A1433" t="s">
        <v>1437</v>
      </c>
      <c r="B1433">
        <v>1</v>
      </c>
      <c r="C1433">
        <v>0.96761064586929202</v>
      </c>
      <c r="D1433">
        <v>1.07117134394511</v>
      </c>
      <c r="E1433">
        <v>1.1626499605787499</v>
      </c>
      <c r="F1433">
        <v>1.1858978456817699</v>
      </c>
      <c r="G1433">
        <v>1.3775490634788701</v>
      </c>
      <c r="H1433">
        <v>1.3108312557267401</v>
      </c>
      <c r="I1433">
        <v>2.0138294018623899</v>
      </c>
      <c r="J1433">
        <v>1.81887532229538</v>
      </c>
      <c r="K1433">
        <v>1.77949668648384</v>
      </c>
      <c r="L1433">
        <v>1304.05788873713</v>
      </c>
      <c r="M1433">
        <v>24.4579872898289</v>
      </c>
      <c r="O1433">
        <v>52.965677442764502</v>
      </c>
      <c r="P1433">
        <v>5.7722159284531803E-2</v>
      </c>
      <c r="Q1433">
        <v>1.5</v>
      </c>
      <c r="R1433">
        <v>0.60220354141688004</v>
      </c>
      <c r="S1433" t="s">
        <v>3435</v>
      </c>
      <c r="T1433" t="s">
        <v>4002</v>
      </c>
      <c r="U1433" t="s">
        <v>4002</v>
      </c>
      <c r="V1433" t="s">
        <v>4002</v>
      </c>
      <c r="W1433" t="s">
        <v>5413</v>
      </c>
      <c r="X1433">
        <v>14</v>
      </c>
      <c r="Y1433" t="s">
        <v>7342</v>
      </c>
      <c r="Z1433" t="s">
        <v>9331</v>
      </c>
      <c r="AA1433">
        <v>1.273224244608175</v>
      </c>
      <c r="AB1433" t="str">
        <f>HYPERLINK("Melting_Curves/meltCurve_P63104_YWHAZ.pdf", "Melting_Curves/meltCurve_P63104_YWHAZ.pdf")</f>
        <v>Melting_Curves/meltCurve_P63104_YWHAZ.pdf</v>
      </c>
    </row>
    <row r="1434" spans="1:28" x14ac:dyDescent="0.25">
      <c r="A1434" t="s">
        <v>1438</v>
      </c>
      <c r="B1434">
        <v>1</v>
      </c>
      <c r="C1434">
        <v>1.0222905457340501</v>
      </c>
      <c r="D1434">
        <v>1.1794773251345101</v>
      </c>
      <c r="E1434">
        <v>1.2836920317704299</v>
      </c>
      <c r="F1434">
        <v>1.27779912887522</v>
      </c>
      <c r="G1434">
        <v>1.51024852677428</v>
      </c>
      <c r="H1434">
        <v>1.1536638483218</v>
      </c>
      <c r="I1434">
        <v>2.0371509095567499</v>
      </c>
      <c r="J1434">
        <v>1.4310786574429899</v>
      </c>
      <c r="K1434">
        <v>1.58282090699462</v>
      </c>
      <c r="L1434">
        <v>752.90891966927404</v>
      </c>
      <c r="M1434">
        <v>15.247888881231701</v>
      </c>
      <c r="O1434">
        <v>48.551973751680897</v>
      </c>
      <c r="P1434">
        <v>3.9260332749414498E-2</v>
      </c>
      <c r="Q1434">
        <v>1.5</v>
      </c>
      <c r="R1434">
        <v>0.496546359311275</v>
      </c>
      <c r="S1434" t="s">
        <v>3436</v>
      </c>
      <c r="T1434" t="s">
        <v>4002</v>
      </c>
      <c r="U1434" t="s">
        <v>4002</v>
      </c>
      <c r="V1434" t="s">
        <v>4002</v>
      </c>
      <c r="W1434" t="s">
        <v>5414</v>
      </c>
      <c r="X1434">
        <v>31</v>
      </c>
      <c r="Y1434" t="s">
        <v>6677</v>
      </c>
      <c r="Z1434" t="s">
        <v>9332</v>
      </c>
      <c r="AA1434">
        <v>1.3318909496003239</v>
      </c>
      <c r="AB1434" t="str">
        <f>HYPERLINK("Melting_Curves/meltCurve_P63261_ACTG1.pdf", "Melting_Curves/meltCurve_P63261_ACTG1.pdf")</f>
        <v>Melting_Curves/meltCurve_P63261_ACTG1.pdf</v>
      </c>
    </row>
    <row r="1435" spans="1:28" x14ac:dyDescent="0.25">
      <c r="A1435" t="s">
        <v>1439</v>
      </c>
      <c r="B1435">
        <v>1</v>
      </c>
      <c r="C1435">
        <v>0.99451517731619898</v>
      </c>
      <c r="D1435">
        <v>1.14032829732887</v>
      </c>
      <c r="E1435">
        <v>1.28123081797121</v>
      </c>
      <c r="F1435">
        <v>1.21220521553175</v>
      </c>
      <c r="G1435">
        <v>1.2157495594321099</v>
      </c>
      <c r="H1435">
        <v>1.5710551848405001</v>
      </c>
      <c r="I1435">
        <v>1.59643981545651</v>
      </c>
      <c r="J1435">
        <v>1.8025463833831701</v>
      </c>
      <c r="K1435">
        <v>1.4318753341385699</v>
      </c>
      <c r="L1435">
        <v>754.23080141923003</v>
      </c>
      <c r="M1435">
        <v>14.6667048239719</v>
      </c>
      <c r="O1435">
        <v>50.497070579645303</v>
      </c>
      <c r="P1435">
        <v>3.6309836279085801E-2</v>
      </c>
      <c r="Q1435">
        <v>1.5</v>
      </c>
      <c r="R1435">
        <v>0.70830238558093805</v>
      </c>
      <c r="S1435" t="s">
        <v>3437</v>
      </c>
      <c r="T1435" t="s">
        <v>4002</v>
      </c>
      <c r="U1435" t="s">
        <v>4002</v>
      </c>
      <c r="V1435" t="s">
        <v>4002</v>
      </c>
      <c r="W1435" t="s">
        <v>5415</v>
      </c>
      <c r="X1435">
        <v>19</v>
      </c>
      <c r="Y1435" t="s">
        <v>7343</v>
      </c>
      <c r="Z1435" t="s">
        <v>9333</v>
      </c>
      <c r="AA1435">
        <v>1.2977773034708451</v>
      </c>
      <c r="AB1435" t="str">
        <f>HYPERLINK("Melting_Curves/meltCurve_P63267_ACTG2.pdf", "Melting_Curves/meltCurve_P63267_ACTG2.pdf")</f>
        <v>Melting_Curves/meltCurve_P63267_ACTG2.pdf</v>
      </c>
    </row>
    <row r="1436" spans="1:28" x14ac:dyDescent="0.25">
      <c r="A1436" t="s">
        <v>1440</v>
      </c>
      <c r="B1436">
        <v>1</v>
      </c>
      <c r="C1436">
        <v>1.0297502987609299</v>
      </c>
      <c r="D1436">
        <v>1.18391093779483</v>
      </c>
      <c r="E1436">
        <v>1.2727215548147699</v>
      </c>
      <c r="F1436">
        <v>1.2106421787533801</v>
      </c>
      <c r="G1436">
        <v>1.5109440845336199</v>
      </c>
      <c r="H1436">
        <v>0.57774073841122098</v>
      </c>
      <c r="I1436">
        <v>1.7405182715894101</v>
      </c>
      <c r="J1436">
        <v>0.46603559972325298</v>
      </c>
      <c r="K1436">
        <v>0.90100006289703805</v>
      </c>
      <c r="L1436">
        <v>2075.5075049649699</v>
      </c>
      <c r="M1436">
        <v>30.517450349295299</v>
      </c>
      <c r="O1436">
        <v>67.720483632289898</v>
      </c>
      <c r="P1436">
        <v>-3.2506235650982297E-2</v>
      </c>
      <c r="Q1436">
        <v>0.71146677561735405</v>
      </c>
      <c r="R1436">
        <v>-1.7902492234198399E-2</v>
      </c>
      <c r="S1436" t="s">
        <v>3438</v>
      </c>
      <c r="T1436" t="s">
        <v>4002</v>
      </c>
      <c r="U1436" t="s">
        <v>4002</v>
      </c>
      <c r="V1436" t="s">
        <v>4002</v>
      </c>
      <c r="W1436" t="s">
        <v>5416</v>
      </c>
      <c r="X1436">
        <v>3</v>
      </c>
      <c r="Y1436" t="s">
        <v>7344</v>
      </c>
      <c r="Z1436" t="s">
        <v>9334</v>
      </c>
      <c r="AA1436">
        <v>0.97459001305156545</v>
      </c>
      <c r="AB1436" t="str">
        <f>HYPERLINK("Melting_Curves/meltCurve_P63313_TMSB10.pdf", "Melting_Curves/meltCurve_P63313_TMSB10.pdf")</f>
        <v>Melting_Curves/meltCurve_P63313_TMSB10.pdf</v>
      </c>
    </row>
    <row r="1437" spans="1:28" x14ac:dyDescent="0.25">
      <c r="A1437" t="s">
        <v>1441</v>
      </c>
      <c r="B1437">
        <v>1</v>
      </c>
      <c r="C1437">
        <v>0.924673730162339</v>
      </c>
      <c r="D1437">
        <v>1.0137328907280301</v>
      </c>
      <c r="E1437">
        <v>0.96741848938202002</v>
      </c>
      <c r="F1437">
        <v>0.90432449638488499</v>
      </c>
      <c r="G1437">
        <v>0.94245373107180197</v>
      </c>
      <c r="H1437">
        <v>0.68355236233004402</v>
      </c>
      <c r="I1437">
        <v>1.1168432540584801</v>
      </c>
      <c r="J1437">
        <v>0.80239643490518897</v>
      </c>
      <c r="K1437">
        <v>0.83484152607884998</v>
      </c>
      <c r="L1437">
        <v>1094.9863438065099</v>
      </c>
      <c r="M1437">
        <v>21.019637364693398</v>
      </c>
      <c r="O1437">
        <v>51.628866292785801</v>
      </c>
      <c r="P1437">
        <v>-1.34473043275925E-2</v>
      </c>
      <c r="Q1437">
        <v>0.86788534602050005</v>
      </c>
      <c r="R1437">
        <v>0.164804870707282</v>
      </c>
      <c r="S1437" t="s">
        <v>3439</v>
      </c>
      <c r="T1437" t="s">
        <v>4002</v>
      </c>
      <c r="U1437" t="s">
        <v>4002</v>
      </c>
      <c r="V1437" t="s">
        <v>4002</v>
      </c>
      <c r="W1437" t="s">
        <v>5417</v>
      </c>
      <c r="X1437">
        <v>19</v>
      </c>
      <c r="Y1437" t="s">
        <v>7345</v>
      </c>
      <c r="Z1437" t="s">
        <v>9335</v>
      </c>
      <c r="AA1437">
        <v>0.92281378320162644</v>
      </c>
      <c r="AB1437" t="str">
        <f>HYPERLINK("Melting_Curves/meltCurve_P67936_TPM4.pdf", "Melting_Curves/meltCurve_P67936_TPM4.pdf")</f>
        <v>Melting_Curves/meltCurve_P67936_TPM4.pdf</v>
      </c>
    </row>
    <row r="1438" spans="1:28" x14ac:dyDescent="0.25">
      <c r="A1438" t="s">
        <v>1442</v>
      </c>
      <c r="B1438">
        <v>1</v>
      </c>
      <c r="C1438">
        <v>0.90916463909164602</v>
      </c>
      <c r="D1438">
        <v>0.942380554647686</v>
      </c>
      <c r="E1438">
        <v>0.99318492694677496</v>
      </c>
      <c r="F1438">
        <v>0.94008061880379101</v>
      </c>
      <c r="G1438">
        <v>0.99127234871869396</v>
      </c>
      <c r="H1438">
        <v>0.84031182288073003</v>
      </c>
      <c r="I1438">
        <v>1.09853409352265</v>
      </c>
      <c r="J1438">
        <v>1.38395613175001</v>
      </c>
      <c r="K1438">
        <v>0.92737044703489802</v>
      </c>
      <c r="L1438">
        <v>15000</v>
      </c>
      <c r="M1438">
        <v>234.92025661862601</v>
      </c>
      <c r="O1438">
        <v>63.846826777823097</v>
      </c>
      <c r="P1438">
        <v>0.14318527127935399</v>
      </c>
      <c r="Q1438">
        <v>1.15566005804677</v>
      </c>
      <c r="R1438">
        <v>0.286036196129903</v>
      </c>
      <c r="S1438" t="s">
        <v>3440</v>
      </c>
      <c r="T1438" t="s">
        <v>4002</v>
      </c>
      <c r="U1438" t="s">
        <v>4002</v>
      </c>
      <c r="V1438" t="s">
        <v>4002</v>
      </c>
      <c r="W1438" t="s">
        <v>5418</v>
      </c>
      <c r="X1438">
        <v>20</v>
      </c>
      <c r="Y1438" t="s">
        <v>7345</v>
      </c>
      <c r="Z1438" t="s">
        <v>9336</v>
      </c>
      <c r="AA1438">
        <v>1.031883011855574</v>
      </c>
      <c r="AB1438" t="str">
        <f>HYPERLINK("Melting_Curves/meltCurve_P67936_2_TPM4.pdf", "Melting_Curves/meltCurve_P67936_2_TPM4.pdf")</f>
        <v>Melting_Curves/meltCurve_P67936_2_TPM4.pdf</v>
      </c>
    </row>
    <row r="1439" spans="1:28" x14ac:dyDescent="0.25">
      <c r="A1439" t="s">
        <v>1443</v>
      </c>
      <c r="B1439">
        <v>1</v>
      </c>
      <c r="C1439">
        <v>0.97199985243664</v>
      </c>
      <c r="D1439">
        <v>1.2361382668683401</v>
      </c>
      <c r="E1439">
        <v>1.3976832552477201</v>
      </c>
      <c r="F1439">
        <v>1.31508466447781</v>
      </c>
      <c r="G1439">
        <v>1.4591802855350999</v>
      </c>
      <c r="H1439">
        <v>1.34880289224186</v>
      </c>
      <c r="I1439">
        <v>1.59925480503191</v>
      </c>
      <c r="J1439">
        <v>1.3711587412845401</v>
      </c>
      <c r="K1439">
        <v>1.35212306784225</v>
      </c>
      <c r="L1439">
        <v>11484.8958859297</v>
      </c>
      <c r="M1439">
        <v>250</v>
      </c>
      <c r="O1439">
        <v>45.936644357962699</v>
      </c>
      <c r="P1439">
        <v>0.55264153877163802</v>
      </c>
      <c r="Q1439">
        <v>1.4061839590244301</v>
      </c>
      <c r="R1439">
        <v>0.83141393561212595</v>
      </c>
      <c r="S1439" t="s">
        <v>3441</v>
      </c>
      <c r="T1439" t="s">
        <v>4002</v>
      </c>
      <c r="U1439" t="s">
        <v>4002</v>
      </c>
      <c r="V1439" t="s">
        <v>4002</v>
      </c>
      <c r="W1439" t="s">
        <v>5419</v>
      </c>
      <c r="X1439">
        <v>3</v>
      </c>
      <c r="Y1439" t="s">
        <v>7346</v>
      </c>
      <c r="Z1439" t="s">
        <v>9337</v>
      </c>
      <c r="AA1439">
        <v>1.3257324258604051</v>
      </c>
      <c r="AB1439" t="str">
        <f>HYPERLINK("Melting_Curves/meltCurve_P68036_2_UBE2L3.pdf", "Melting_Curves/meltCurve_P68036_2_UBE2L3.pdf")</f>
        <v>Melting_Curves/meltCurve_P68036_2_UBE2L3.pdf</v>
      </c>
    </row>
    <row r="1440" spans="1:28" x14ac:dyDescent="0.25">
      <c r="A1440" t="s">
        <v>1444</v>
      </c>
      <c r="B1440">
        <v>1</v>
      </c>
      <c r="C1440">
        <v>0.94275343189017902</v>
      </c>
      <c r="D1440">
        <v>0.99842925026399199</v>
      </c>
      <c r="E1440">
        <v>1.0173310454065501</v>
      </c>
      <c r="F1440">
        <v>0.92899947201689503</v>
      </c>
      <c r="G1440">
        <v>0.91742344244984197</v>
      </c>
      <c r="H1440">
        <v>0.92899947201689503</v>
      </c>
      <c r="I1440">
        <v>1.0549234424498399</v>
      </c>
      <c r="J1440">
        <v>2.25857972544879</v>
      </c>
      <c r="K1440">
        <v>1.0005147835269299</v>
      </c>
      <c r="L1440">
        <v>15000</v>
      </c>
      <c r="M1440">
        <v>232.31585422395801</v>
      </c>
      <c r="O1440">
        <v>64.562483144901407</v>
      </c>
      <c r="P1440">
        <v>0.44978880020830703</v>
      </c>
      <c r="Q1440">
        <v>1.5</v>
      </c>
      <c r="R1440">
        <v>0.43541622299361898</v>
      </c>
      <c r="S1440" t="s">
        <v>3442</v>
      </c>
      <c r="T1440" t="s">
        <v>4002</v>
      </c>
      <c r="U1440" t="s">
        <v>4002</v>
      </c>
      <c r="V1440" t="s">
        <v>4002</v>
      </c>
      <c r="W1440" t="s">
        <v>5420</v>
      </c>
      <c r="X1440">
        <v>11</v>
      </c>
      <c r="Y1440" t="s">
        <v>7347</v>
      </c>
      <c r="Z1440" t="s">
        <v>9338</v>
      </c>
      <c r="AA1440">
        <v>1.09047992137512</v>
      </c>
      <c r="AB1440" t="str">
        <f>HYPERLINK("Melting_Curves/meltCurve_P68371_TUBB4B.pdf", "Melting_Curves/meltCurve_P68371_TUBB4B.pdf")</f>
        <v>Melting_Curves/meltCurve_P68371_TUBB4B.pdf</v>
      </c>
    </row>
    <row r="1441" spans="1:28" x14ac:dyDescent="0.25">
      <c r="A1441" t="s">
        <v>1445</v>
      </c>
      <c r="B1441">
        <v>1</v>
      </c>
      <c r="C1441">
        <v>0.91296198198932399</v>
      </c>
      <c r="D1441">
        <v>0.87196935740189896</v>
      </c>
      <c r="E1441">
        <v>0.91068008638604803</v>
      </c>
      <c r="F1441">
        <v>0.90553223856675202</v>
      </c>
      <c r="G1441">
        <v>0.94115969194409399</v>
      </c>
      <c r="H1441">
        <v>0.97168004563791199</v>
      </c>
      <c r="I1441">
        <v>1.1794955380791301</v>
      </c>
      <c r="J1441">
        <v>0.98035939855751597</v>
      </c>
      <c r="K1441">
        <v>0.91831357048748397</v>
      </c>
      <c r="L1441">
        <v>15000</v>
      </c>
      <c r="M1441">
        <v>222.72945396622299</v>
      </c>
      <c r="O1441">
        <v>67.340849735065206</v>
      </c>
      <c r="P1441">
        <v>-6.7559293669623696E-2</v>
      </c>
      <c r="Q1441">
        <v>0.91829548985010501</v>
      </c>
      <c r="R1441">
        <v>-0.14128460240138499</v>
      </c>
      <c r="S1441" t="s">
        <v>3443</v>
      </c>
      <c r="T1441" t="s">
        <v>4002</v>
      </c>
      <c r="U1441" t="s">
        <v>4002</v>
      </c>
      <c r="V1441" t="s">
        <v>4002</v>
      </c>
      <c r="W1441" t="s">
        <v>5421</v>
      </c>
      <c r="X1441">
        <v>5</v>
      </c>
      <c r="Y1441" t="s">
        <v>7348</v>
      </c>
      <c r="Z1441" t="s">
        <v>9339</v>
      </c>
      <c r="AA1441">
        <v>0.99278460850528838</v>
      </c>
      <c r="AB1441" t="str">
        <f>HYPERLINK("Melting_Curves/meltCurve_P68871_HBB.pdf", "Melting_Curves/meltCurve_P68871_HBB.pdf")</f>
        <v>Melting_Curves/meltCurve_P68871_HBB.pdf</v>
      </c>
    </row>
    <row r="1442" spans="1:28" x14ac:dyDescent="0.25">
      <c r="A1442" t="s">
        <v>1446</v>
      </c>
      <c r="B1442">
        <v>1</v>
      </c>
      <c r="C1442">
        <v>0.89887924169143196</v>
      </c>
      <c r="D1442">
        <v>1.0154419905599901</v>
      </c>
      <c r="E1442">
        <v>1.07783151719985</v>
      </c>
      <c r="F1442">
        <v>0.92086708233785897</v>
      </c>
      <c r="G1442">
        <v>0.98339257619019904</v>
      </c>
      <c r="H1442">
        <v>0.78575452090981501</v>
      </c>
      <c r="I1442">
        <v>1.06390458986462</v>
      </c>
      <c r="J1442">
        <v>0.82943884389021605</v>
      </c>
      <c r="K1442">
        <v>0.85729269856069001</v>
      </c>
      <c r="L1442">
        <v>374.67685388105099</v>
      </c>
      <c r="M1442">
        <v>3.57424690084056</v>
      </c>
      <c r="Q1442">
        <v>0</v>
      </c>
      <c r="R1442">
        <v>0.21949258721319001</v>
      </c>
      <c r="S1442" t="s">
        <v>3444</v>
      </c>
      <c r="T1442" t="s">
        <v>4002</v>
      </c>
      <c r="U1442" t="s">
        <v>4002</v>
      </c>
      <c r="V1442" t="s">
        <v>4002</v>
      </c>
      <c r="W1442" t="s">
        <v>5422</v>
      </c>
      <c r="X1442">
        <v>4</v>
      </c>
      <c r="Y1442" t="s">
        <v>7349</v>
      </c>
      <c r="Z1442" t="s">
        <v>9340</v>
      </c>
      <c r="AA1442">
        <v>0.94978117671773832</v>
      </c>
      <c r="AB1442" t="str">
        <f>HYPERLINK("Melting_Curves/meltCurve_P69905_HBA1.pdf", "Melting_Curves/meltCurve_P69905_HBA1.pdf")</f>
        <v>Melting_Curves/meltCurve_P69905_HBA1.pdf</v>
      </c>
    </row>
    <row r="1443" spans="1:28" x14ac:dyDescent="0.25">
      <c r="A1443" t="s">
        <v>1447</v>
      </c>
      <c r="B1443">
        <v>1</v>
      </c>
      <c r="C1443">
        <v>0.91426525164398698</v>
      </c>
      <c r="D1443">
        <v>1.0412526857217299</v>
      </c>
      <c r="E1443">
        <v>1.0354971026759601</v>
      </c>
      <c r="F1443">
        <v>0.86682726740022098</v>
      </c>
      <c r="G1443">
        <v>0.91396575297870997</v>
      </c>
      <c r="H1443">
        <v>0.77562341298261595</v>
      </c>
      <c r="I1443">
        <v>1.0094667621589899</v>
      </c>
      <c r="J1443">
        <v>0.73490461618595004</v>
      </c>
      <c r="K1443">
        <v>0.73129761052151798</v>
      </c>
      <c r="L1443">
        <v>395.827063784259</v>
      </c>
      <c r="M1443">
        <v>4.5740492167165101</v>
      </c>
      <c r="Q1443">
        <v>0</v>
      </c>
      <c r="R1443">
        <v>0.51659418799729995</v>
      </c>
      <c r="S1443" t="s">
        <v>3445</v>
      </c>
      <c r="T1443" t="s">
        <v>4002</v>
      </c>
      <c r="U1443" t="s">
        <v>4002</v>
      </c>
      <c r="V1443" t="s">
        <v>4002</v>
      </c>
      <c r="W1443" t="s">
        <v>5423</v>
      </c>
      <c r="X1443">
        <v>7</v>
      </c>
      <c r="Y1443" t="s">
        <v>7350</v>
      </c>
      <c r="Z1443" t="s">
        <v>9341</v>
      </c>
      <c r="AA1443">
        <v>0.91059381543447093</v>
      </c>
      <c r="AB1443" t="str">
        <f>HYPERLINK("Melting_Curves/meltCurve_P78324_SIRPA.pdf", "Melting_Curves/meltCurve_P78324_SIRPA.pdf")</f>
        <v>Melting_Curves/meltCurve_P78324_SIRPA.pdf</v>
      </c>
    </row>
    <row r="1444" spans="1:28" x14ac:dyDescent="0.25">
      <c r="A1444" t="s">
        <v>1448</v>
      </c>
      <c r="B1444">
        <v>1</v>
      </c>
      <c r="C1444">
        <v>1.0783429040196899</v>
      </c>
      <c r="D1444">
        <v>1.3818191140278899</v>
      </c>
      <c r="E1444">
        <v>1.63776661197703</v>
      </c>
      <c r="F1444">
        <v>1.6628383921246901</v>
      </c>
      <c r="G1444">
        <v>1.92965545529122</v>
      </c>
      <c r="H1444">
        <v>1.6712981952420001</v>
      </c>
      <c r="I1444">
        <v>2.31490976210008</v>
      </c>
      <c r="J1444">
        <v>1.79670836751436</v>
      </c>
      <c r="K1444">
        <v>1.91647867104184</v>
      </c>
      <c r="L1444">
        <v>2058.6251365194798</v>
      </c>
      <c r="M1444">
        <v>46.105719543700999</v>
      </c>
      <c r="O1444">
        <v>44.566342478215297</v>
      </c>
      <c r="P1444">
        <v>0.12931779282942299</v>
      </c>
      <c r="Q1444">
        <v>1.5</v>
      </c>
      <c r="R1444">
        <v>0.172343890796442</v>
      </c>
      <c r="S1444" t="s">
        <v>3446</v>
      </c>
      <c r="T1444" t="s">
        <v>4002</v>
      </c>
      <c r="U1444" t="s">
        <v>4002</v>
      </c>
      <c r="V1444" t="s">
        <v>4002</v>
      </c>
      <c r="W1444" t="s">
        <v>5424</v>
      </c>
      <c r="X1444">
        <v>15</v>
      </c>
      <c r="Y1444" t="s">
        <v>7351</v>
      </c>
      <c r="Z1444" t="s">
        <v>9342</v>
      </c>
      <c r="AA1444">
        <v>1.421280460117534</v>
      </c>
      <c r="AB1444" t="str">
        <f>HYPERLINK("Melting_Curves/meltCurve_P78417_GSTO1.pdf", "Melting_Curves/meltCurve_P78417_GSTO1.pdf")</f>
        <v>Melting_Curves/meltCurve_P78417_GSTO1.pdf</v>
      </c>
    </row>
    <row r="1445" spans="1:28" x14ac:dyDescent="0.25">
      <c r="A1445" t="s">
        <v>1449</v>
      </c>
      <c r="B1445">
        <v>1</v>
      </c>
      <c r="C1445">
        <v>1.0340503432494299</v>
      </c>
      <c r="D1445">
        <v>1.34877192982456</v>
      </c>
      <c r="E1445">
        <v>1.2028680396643801</v>
      </c>
      <c r="F1445">
        <v>0.93687261632341701</v>
      </c>
      <c r="G1445">
        <v>0.82071700991609497</v>
      </c>
      <c r="H1445">
        <v>0.75453852021357704</v>
      </c>
      <c r="I1445">
        <v>1.0398474446987001</v>
      </c>
      <c r="J1445">
        <v>0.91383676582761297</v>
      </c>
      <c r="K1445">
        <v>0.86105263157894696</v>
      </c>
      <c r="L1445">
        <v>13246.3036078232</v>
      </c>
      <c r="M1445">
        <v>250</v>
      </c>
      <c r="O1445">
        <v>52.981822029219998</v>
      </c>
      <c r="P1445">
        <v>-0.14391909904390801</v>
      </c>
      <c r="Q1445">
        <v>0.87799845875249505</v>
      </c>
      <c r="R1445">
        <v>0.26969495623973699</v>
      </c>
      <c r="S1445" t="s">
        <v>3447</v>
      </c>
      <c r="T1445" t="s">
        <v>4002</v>
      </c>
      <c r="U1445" t="s">
        <v>4002</v>
      </c>
      <c r="V1445" t="s">
        <v>4002</v>
      </c>
      <c r="W1445" t="s">
        <v>5425</v>
      </c>
      <c r="X1445">
        <v>2</v>
      </c>
      <c r="Y1445" t="s">
        <v>7352</v>
      </c>
      <c r="Z1445" t="s">
        <v>9343</v>
      </c>
      <c r="AA1445">
        <v>0.9308170092610385</v>
      </c>
      <c r="AB1445" t="str">
        <f>HYPERLINK("Melting_Curves/meltCurve_P80108_GPLD1.pdf", "Melting_Curves/meltCurve_P80108_GPLD1.pdf")</f>
        <v>Melting_Curves/meltCurve_P80108_GPLD1.pdf</v>
      </c>
    </row>
    <row r="1446" spans="1:28" x14ac:dyDescent="0.25">
      <c r="A1446" t="s">
        <v>1450</v>
      </c>
      <c r="B1446">
        <v>1</v>
      </c>
      <c r="C1446">
        <v>0.91315815765810804</v>
      </c>
      <c r="D1446">
        <v>0.98643221101009104</v>
      </c>
      <c r="E1446">
        <v>1.0013987411329801</v>
      </c>
      <c r="F1446">
        <v>0.95084424018383495</v>
      </c>
      <c r="G1446">
        <v>1.0162853431911301</v>
      </c>
      <c r="H1446">
        <v>0.79195723848536304</v>
      </c>
      <c r="I1446">
        <v>1.0977120591467699</v>
      </c>
      <c r="J1446">
        <v>0.79861124987511201</v>
      </c>
      <c r="K1446">
        <v>0.83615745828754096</v>
      </c>
      <c r="L1446">
        <v>496.94849383869803</v>
      </c>
      <c r="M1446">
        <v>5.4696151338935204</v>
      </c>
      <c r="Q1446">
        <v>0</v>
      </c>
      <c r="R1446">
        <v>0.21623951983568099</v>
      </c>
      <c r="S1446" t="s">
        <v>3448</v>
      </c>
      <c r="T1446" t="s">
        <v>4002</v>
      </c>
      <c r="U1446" t="s">
        <v>4002</v>
      </c>
      <c r="V1446" t="s">
        <v>4002</v>
      </c>
      <c r="W1446" t="s">
        <v>5426</v>
      </c>
      <c r="X1446">
        <v>31</v>
      </c>
      <c r="Y1446" t="s">
        <v>7353</v>
      </c>
      <c r="Z1446" t="s">
        <v>9344</v>
      </c>
      <c r="AA1446">
        <v>0.95367895107378986</v>
      </c>
      <c r="AB1446" t="str">
        <f>HYPERLINK("Melting_Curves/meltCurve_P80303_NUCB2.pdf", "Melting_Curves/meltCurve_P80303_NUCB2.pdf")</f>
        <v>Melting_Curves/meltCurve_P80303_NUCB2.pdf</v>
      </c>
    </row>
    <row r="1447" spans="1:28" x14ac:dyDescent="0.25">
      <c r="A1447" t="s">
        <v>1451</v>
      </c>
      <c r="B1447">
        <v>1</v>
      </c>
      <c r="C1447">
        <v>0.80332755809213197</v>
      </c>
      <c r="D1447">
        <v>0.73529861394211204</v>
      </c>
      <c r="E1447">
        <v>0.76602629433346903</v>
      </c>
      <c r="F1447">
        <v>0.78865165103954304</v>
      </c>
      <c r="G1447">
        <v>0.78393803505911097</v>
      </c>
      <c r="H1447">
        <v>0.83864145943742396</v>
      </c>
      <c r="I1447">
        <v>0.87520383204239705</v>
      </c>
      <c r="J1447">
        <v>0.86315226253567101</v>
      </c>
      <c r="K1447">
        <v>0.72875050958010601</v>
      </c>
      <c r="L1447">
        <v>10574.3466777905</v>
      </c>
      <c r="M1447">
        <v>250</v>
      </c>
      <c r="O1447">
        <v>42.294679390923598</v>
      </c>
      <c r="P1447">
        <v>-0.29930207497936501</v>
      </c>
      <c r="Q1447">
        <v>0.79745783267991699</v>
      </c>
      <c r="R1447">
        <v>0.62648785652503203</v>
      </c>
      <c r="S1447" t="s">
        <v>3449</v>
      </c>
      <c r="T1447" t="s">
        <v>4002</v>
      </c>
      <c r="U1447" t="s">
        <v>4002</v>
      </c>
      <c r="V1447" t="s">
        <v>4002</v>
      </c>
      <c r="W1447" t="s">
        <v>5427</v>
      </c>
      <c r="X1447">
        <v>2</v>
      </c>
      <c r="Z1447" t="s">
        <v>9345</v>
      </c>
      <c r="AA1447">
        <v>0.81298345768329472</v>
      </c>
      <c r="AB1447" t="str">
        <f>HYPERLINK("Melting_Curves/meltCurve_P80362_.pdf", "Melting_Curves/meltCurve_P80362_.pdf")</f>
        <v>Melting_Curves/meltCurve_P80362_.pdf</v>
      </c>
    </row>
    <row r="1448" spans="1:28" x14ac:dyDescent="0.25">
      <c r="A1448" t="s">
        <v>1452</v>
      </c>
      <c r="B1448">
        <v>1</v>
      </c>
      <c r="C1448">
        <v>1.0290602446639701</v>
      </c>
      <c r="D1448">
        <v>1.8443210318882099</v>
      </c>
      <c r="E1448">
        <v>3.7144904540103401</v>
      </c>
      <c r="F1448">
        <v>2.2539284434662399</v>
      </c>
      <c r="G1448">
        <v>2.5445308901059498</v>
      </c>
      <c r="H1448">
        <v>2.5470901366637699</v>
      </c>
      <c r="I1448">
        <v>2.2985872959000901</v>
      </c>
      <c r="J1448">
        <v>2.3185494190510298</v>
      </c>
      <c r="K1448">
        <v>2.42360649024927</v>
      </c>
      <c r="L1448">
        <v>10844.485976981299</v>
      </c>
      <c r="M1448">
        <v>250</v>
      </c>
      <c r="O1448">
        <v>43.375168548768002</v>
      </c>
      <c r="P1448">
        <v>0.72045830534520106</v>
      </c>
      <c r="Q1448">
        <v>1.5</v>
      </c>
      <c r="R1448">
        <v>-0.79178874514892394</v>
      </c>
      <c r="S1448" t="s">
        <v>3450</v>
      </c>
      <c r="T1448" t="s">
        <v>4002</v>
      </c>
      <c r="U1448" t="s">
        <v>4002</v>
      </c>
      <c r="V1448" t="s">
        <v>4002</v>
      </c>
      <c r="W1448" t="s">
        <v>5428</v>
      </c>
      <c r="X1448">
        <v>1</v>
      </c>
      <c r="Z1448" t="s">
        <v>9346</v>
      </c>
      <c r="AA1448">
        <v>1.4436628710580439</v>
      </c>
      <c r="AB1448" t="str">
        <f>HYPERLINK("Melting_Curves/meltCurve_P80419_.pdf", "Melting_Curves/meltCurve_P80419_.pdf")</f>
        <v>Melting_Curves/meltCurve_P80419_.pdf</v>
      </c>
    </row>
    <row r="1449" spans="1:28" x14ac:dyDescent="0.25">
      <c r="A1449" t="s">
        <v>1453</v>
      </c>
      <c r="B1449">
        <v>1</v>
      </c>
      <c r="C1449">
        <v>0.90921451730990499</v>
      </c>
      <c r="D1449">
        <v>0.93831712163999603</v>
      </c>
      <c r="E1449">
        <v>1.0131785378098499</v>
      </c>
      <c r="F1449">
        <v>1.0300962242443299</v>
      </c>
      <c r="G1449">
        <v>1.12833385629118</v>
      </c>
      <c r="H1449">
        <v>0.91091413032109603</v>
      </c>
      <c r="I1449">
        <v>1.54303943102186</v>
      </c>
      <c r="J1449">
        <v>1.2110396402050001</v>
      </c>
      <c r="K1449">
        <v>1.28888191611756</v>
      </c>
      <c r="L1449">
        <v>15000</v>
      </c>
      <c r="M1449">
        <v>240.526445159731</v>
      </c>
      <c r="O1449">
        <v>62.358873949862001</v>
      </c>
      <c r="P1449">
        <v>0.33520562842218199</v>
      </c>
      <c r="Q1449">
        <v>1.3476216863910599</v>
      </c>
      <c r="R1449">
        <v>0.730948231247596</v>
      </c>
      <c r="S1449" t="s">
        <v>3451</v>
      </c>
      <c r="T1449" t="s">
        <v>4002</v>
      </c>
      <c r="U1449" t="s">
        <v>4002</v>
      </c>
      <c r="V1449" t="s">
        <v>4002</v>
      </c>
      <c r="W1449" t="s">
        <v>5429</v>
      </c>
      <c r="X1449">
        <v>1</v>
      </c>
      <c r="Y1449" t="s">
        <v>7354</v>
      </c>
      <c r="Z1449" t="s">
        <v>9347</v>
      </c>
      <c r="AA1449">
        <v>1.0884494161818929</v>
      </c>
      <c r="AB1449" t="str">
        <f>HYPERLINK("Melting_Curves/meltCurve_P80511_S100A12.pdf", "Melting_Curves/meltCurve_P80511_S100A12.pdf")</f>
        <v>Melting_Curves/meltCurve_P80511_S100A12.pdf</v>
      </c>
    </row>
    <row r="1450" spans="1:28" x14ac:dyDescent="0.25">
      <c r="A1450" t="s">
        <v>1454</v>
      </c>
      <c r="B1450">
        <v>1</v>
      </c>
      <c r="C1450">
        <v>0.88588524415001602</v>
      </c>
      <c r="D1450">
        <v>0.98899455069986097</v>
      </c>
      <c r="E1450">
        <v>1.2241997771434701</v>
      </c>
      <c r="F1450">
        <v>1.1557248179750601</v>
      </c>
      <c r="G1450">
        <v>1.17201166180758</v>
      </c>
      <c r="H1450">
        <v>1.01286767511792</v>
      </c>
      <c r="I1450">
        <v>1.39584509944591</v>
      </c>
      <c r="J1450">
        <v>1.1750797551631</v>
      </c>
      <c r="K1450">
        <v>1.0684139025842201</v>
      </c>
      <c r="L1450">
        <v>11944.3078565552</v>
      </c>
      <c r="M1450">
        <v>250</v>
      </c>
      <c r="O1450">
        <v>47.774174188248701</v>
      </c>
      <c r="P1450">
        <v>0.22504384246044201</v>
      </c>
      <c r="Q1450">
        <v>1.1720205387968601</v>
      </c>
      <c r="R1450">
        <v>0.46996233191301701</v>
      </c>
      <c r="S1450" t="s">
        <v>3452</v>
      </c>
      <c r="T1450" t="s">
        <v>4002</v>
      </c>
      <c r="U1450" t="s">
        <v>4002</v>
      </c>
      <c r="V1450" t="s">
        <v>4002</v>
      </c>
      <c r="W1450" t="s">
        <v>5430</v>
      </c>
      <c r="X1450">
        <v>17</v>
      </c>
      <c r="Y1450" t="s">
        <v>7355</v>
      </c>
      <c r="Z1450" t="s">
        <v>9348</v>
      </c>
      <c r="AA1450">
        <v>1.127411330491322</v>
      </c>
      <c r="AB1450" t="str">
        <f>HYPERLINK("Melting_Curves/meltCurve_P80723_BASP1.pdf", "Melting_Curves/meltCurve_P80723_BASP1.pdf")</f>
        <v>Melting_Curves/meltCurve_P80723_BASP1.pdf</v>
      </c>
    </row>
    <row r="1451" spans="1:28" x14ac:dyDescent="0.25">
      <c r="A1451" t="s">
        <v>1455</v>
      </c>
      <c r="B1451">
        <v>1</v>
      </c>
      <c r="C1451">
        <v>0.83211096938775497</v>
      </c>
      <c r="D1451">
        <v>0.78118622448979602</v>
      </c>
      <c r="E1451">
        <v>0.76152742346938795</v>
      </c>
      <c r="F1451">
        <v>0.73975605867346905</v>
      </c>
      <c r="G1451">
        <v>0.81712372448979598</v>
      </c>
      <c r="H1451">
        <v>0.74006696428571395</v>
      </c>
      <c r="I1451">
        <v>0.91246811224489799</v>
      </c>
      <c r="J1451">
        <v>0.72649872448979602</v>
      </c>
      <c r="K1451">
        <v>0.75973373724489801</v>
      </c>
      <c r="L1451">
        <v>4787.92384776169</v>
      </c>
      <c r="M1451">
        <v>112.772466321057</v>
      </c>
      <c r="O1451">
        <v>42.443150222066102</v>
      </c>
      <c r="P1451">
        <v>-0.14627565426972</v>
      </c>
      <c r="Q1451">
        <v>0.77979024299873601</v>
      </c>
      <c r="R1451">
        <v>0.62971480089179999</v>
      </c>
      <c r="S1451" t="s">
        <v>3453</v>
      </c>
      <c r="T1451" t="s">
        <v>4002</v>
      </c>
      <c r="U1451" t="s">
        <v>4002</v>
      </c>
      <c r="V1451" t="s">
        <v>4002</v>
      </c>
      <c r="W1451" t="s">
        <v>5431</v>
      </c>
      <c r="X1451">
        <v>3</v>
      </c>
      <c r="Z1451" t="s">
        <v>9349</v>
      </c>
      <c r="AA1451">
        <v>0.79790480274091602</v>
      </c>
      <c r="AB1451" t="str">
        <f>HYPERLINK("Melting_Curves/meltCurve_P80748_.pdf", "Melting_Curves/meltCurve_P80748_.pdf")</f>
        <v>Melting_Curves/meltCurve_P80748_.pdf</v>
      </c>
    </row>
    <row r="1452" spans="1:28" x14ac:dyDescent="0.25">
      <c r="A1452" t="s">
        <v>1456</v>
      </c>
      <c r="B1452">
        <v>1</v>
      </c>
      <c r="C1452">
        <v>0.85416153440084497</v>
      </c>
      <c r="D1452">
        <v>1.3778286116487799</v>
      </c>
      <c r="E1452">
        <v>1.3379553052965001</v>
      </c>
      <c r="F1452">
        <v>1.4750659862748501</v>
      </c>
      <c r="G1452">
        <v>1.6048213971493901</v>
      </c>
      <c r="H1452">
        <v>1.1231039943691701</v>
      </c>
      <c r="I1452">
        <v>1.03181418265001</v>
      </c>
      <c r="J1452">
        <v>1.8511701566074299</v>
      </c>
      <c r="K1452">
        <v>0.87696639099067397</v>
      </c>
      <c r="L1452">
        <v>11127.6093833793</v>
      </c>
      <c r="M1452">
        <v>250</v>
      </c>
      <c r="O1452">
        <v>44.507580221904099</v>
      </c>
      <c r="P1452">
        <v>0.47021522899588902</v>
      </c>
      <c r="Q1452">
        <v>1.3348503394873901</v>
      </c>
      <c r="R1452">
        <v>0.25953641491141799</v>
      </c>
      <c r="S1452" t="s">
        <v>3454</v>
      </c>
      <c r="T1452" t="s">
        <v>4002</v>
      </c>
      <c r="U1452" t="s">
        <v>4002</v>
      </c>
      <c r="V1452" t="s">
        <v>4002</v>
      </c>
      <c r="W1452" t="s">
        <v>5432</v>
      </c>
      <c r="X1452">
        <v>1</v>
      </c>
      <c r="Y1452" t="s">
        <v>7356</v>
      </c>
      <c r="Z1452" t="s">
        <v>9350</v>
      </c>
      <c r="AA1452">
        <v>1.2844801313000549</v>
      </c>
      <c r="AB1452" t="str">
        <f>HYPERLINK("Melting_Curves/meltCurve_P81534_DEFB103A.pdf", "Melting_Curves/meltCurve_P81534_DEFB103A.pdf")</f>
        <v>Melting_Curves/meltCurve_P81534_DEFB103A.pdf</v>
      </c>
    </row>
    <row r="1453" spans="1:28" x14ac:dyDescent="0.25">
      <c r="A1453" t="s">
        <v>1457</v>
      </c>
      <c r="B1453">
        <v>1</v>
      </c>
      <c r="C1453">
        <v>0.91145113083820295</v>
      </c>
      <c r="D1453">
        <v>0.84047820850247601</v>
      </c>
      <c r="E1453">
        <v>1.12606503992506</v>
      </c>
      <c r="F1453">
        <v>1.4345808984252999</v>
      </c>
      <c r="G1453">
        <v>0.77374314136592803</v>
      </c>
      <c r="H1453">
        <v>1.0343043226123001</v>
      </c>
      <c r="I1453">
        <v>0.79667216844359201</v>
      </c>
      <c r="J1453">
        <v>1.2842485613596799</v>
      </c>
      <c r="K1453">
        <v>0.76334924387741399</v>
      </c>
      <c r="L1453">
        <v>15000</v>
      </c>
      <c r="M1453">
        <v>213.114400261669</v>
      </c>
      <c r="Q1453">
        <v>0</v>
      </c>
      <c r="R1453">
        <v>0.11926724726995</v>
      </c>
      <c r="S1453" t="s">
        <v>3455</v>
      </c>
      <c r="T1453" t="s">
        <v>4002</v>
      </c>
      <c r="U1453" t="s">
        <v>4002</v>
      </c>
      <c r="V1453" t="s">
        <v>4002</v>
      </c>
      <c r="W1453" t="s">
        <v>5433</v>
      </c>
      <c r="X1453">
        <v>5</v>
      </c>
      <c r="Y1453" t="s">
        <v>7357</v>
      </c>
      <c r="Z1453" t="s">
        <v>9351</v>
      </c>
      <c r="AA1453">
        <v>0.99708897200793734</v>
      </c>
      <c r="AB1453" t="str">
        <f>HYPERLINK("Melting_Curves/meltCurve_P81605_DCD.pdf", "Melting_Curves/meltCurve_P81605_DCD.pdf")</f>
        <v>Melting_Curves/meltCurve_P81605_DCD.pdf</v>
      </c>
    </row>
    <row r="1454" spans="1:28" x14ac:dyDescent="0.25">
      <c r="A1454" t="s">
        <v>1458</v>
      </c>
      <c r="B1454">
        <v>1</v>
      </c>
      <c r="C1454">
        <v>0.98948820456490405</v>
      </c>
      <c r="D1454">
        <v>0.98618011827366403</v>
      </c>
      <c r="E1454">
        <v>1.15462429591407</v>
      </c>
      <c r="F1454">
        <v>1.16610680392883</v>
      </c>
      <c r="G1454">
        <v>1.23847598124992</v>
      </c>
      <c r="H1454">
        <v>1.3624461957007601</v>
      </c>
      <c r="I1454">
        <v>1.7475380940824801</v>
      </c>
      <c r="J1454">
        <v>2.18831824045572</v>
      </c>
      <c r="K1454">
        <v>1.66081258860945</v>
      </c>
      <c r="L1454">
        <v>1418.4858096545299</v>
      </c>
      <c r="M1454">
        <v>25.6888195138831</v>
      </c>
      <c r="O1454">
        <v>54.886684642001001</v>
      </c>
      <c r="P1454">
        <v>5.8504940611333899E-2</v>
      </c>
      <c r="Q1454">
        <v>1.5</v>
      </c>
      <c r="R1454">
        <v>0.56954338821356698</v>
      </c>
      <c r="S1454" t="s">
        <v>3456</v>
      </c>
      <c r="T1454" t="s">
        <v>4002</v>
      </c>
      <c r="U1454" t="s">
        <v>4002</v>
      </c>
      <c r="V1454" t="s">
        <v>4002</v>
      </c>
      <c r="W1454" t="s">
        <v>5434</v>
      </c>
      <c r="X1454">
        <v>1</v>
      </c>
      <c r="Y1454" t="s">
        <v>7358</v>
      </c>
      <c r="Z1454" t="s">
        <v>9352</v>
      </c>
      <c r="AA1454">
        <v>1.2419590865321379</v>
      </c>
      <c r="AB1454" t="str">
        <f>HYPERLINK("Melting_Curves/meltCurve_P84090_ERH.pdf", "Melting_Curves/meltCurve_P84090_ERH.pdf")</f>
        <v>Melting_Curves/meltCurve_P84090_ERH.pdf</v>
      </c>
    </row>
    <row r="1455" spans="1:28" x14ac:dyDescent="0.25">
      <c r="A1455" t="s">
        <v>1459</v>
      </c>
      <c r="B1455">
        <v>1</v>
      </c>
      <c r="C1455">
        <v>1.0867392096631401</v>
      </c>
      <c r="D1455">
        <v>1.3046805852033101</v>
      </c>
      <c r="E1455">
        <v>1.50580517519654</v>
      </c>
      <c r="F1455">
        <v>1.6437757067735701</v>
      </c>
      <c r="G1455">
        <v>1.7923153017129201</v>
      </c>
      <c r="H1455">
        <v>1.8412557921591099</v>
      </c>
      <c r="I1455">
        <v>2.5461550476388801</v>
      </c>
      <c r="J1455">
        <v>2.1757171864424398</v>
      </c>
      <c r="K1455">
        <v>2.3405529234133402</v>
      </c>
      <c r="L1455">
        <v>1639.46491772636</v>
      </c>
      <c r="M1455">
        <v>36.245479935528699</v>
      </c>
      <c r="O1455">
        <v>45.095236189698099</v>
      </c>
      <c r="P1455">
        <v>0.100469576734925</v>
      </c>
      <c r="Q1455">
        <v>1.5</v>
      </c>
      <c r="R1455">
        <v>-1.79823449039869E-2</v>
      </c>
      <c r="S1455" t="s">
        <v>3457</v>
      </c>
      <c r="T1455" t="s">
        <v>4002</v>
      </c>
      <c r="U1455" t="s">
        <v>4002</v>
      </c>
      <c r="V1455" t="s">
        <v>4002</v>
      </c>
      <c r="W1455" t="s">
        <v>5435</v>
      </c>
      <c r="X1455">
        <v>6</v>
      </c>
      <c r="Y1455" t="s">
        <v>7359</v>
      </c>
      <c r="Z1455" t="s">
        <v>9353</v>
      </c>
      <c r="AA1455">
        <v>1.410752728951836</v>
      </c>
      <c r="AB1455" t="str">
        <f>HYPERLINK("Melting_Curves/meltCurve_P84095_RHOG.pdf", "Melting_Curves/meltCurve_P84095_RHOG.pdf")</f>
        <v>Melting_Curves/meltCurve_P84095_RHOG.pdf</v>
      </c>
    </row>
    <row r="1456" spans="1:28" x14ac:dyDescent="0.25">
      <c r="A1456" t="s">
        <v>1460</v>
      </c>
      <c r="B1456">
        <v>1</v>
      </c>
      <c r="C1456">
        <v>0.87499206399593699</v>
      </c>
      <c r="D1456">
        <v>0.96285950098406403</v>
      </c>
      <c r="E1456">
        <v>0.96597041457685195</v>
      </c>
      <c r="F1456">
        <v>0.99333375658688305</v>
      </c>
      <c r="G1456">
        <v>0.928131547203352</v>
      </c>
      <c r="H1456">
        <v>0.93816265633927998</v>
      </c>
      <c r="I1456">
        <v>1.151355469494</v>
      </c>
      <c r="J1456">
        <v>0.99181004380674198</v>
      </c>
      <c r="K1456">
        <v>1.08989905402832</v>
      </c>
      <c r="L1456">
        <v>4724.1287249206698</v>
      </c>
      <c r="M1456">
        <v>75.711527052446002</v>
      </c>
      <c r="O1456">
        <v>62.352952132573797</v>
      </c>
      <c r="P1456">
        <v>2.23795797003421E-2</v>
      </c>
      <c r="Q1456">
        <v>1.0737236367765499</v>
      </c>
      <c r="R1456">
        <v>0.244261560678178</v>
      </c>
      <c r="S1456" t="s">
        <v>3458</v>
      </c>
      <c r="T1456" t="s">
        <v>4002</v>
      </c>
      <c r="U1456" t="s">
        <v>4002</v>
      </c>
      <c r="V1456" t="s">
        <v>4002</v>
      </c>
      <c r="W1456" t="s">
        <v>5436</v>
      </c>
      <c r="X1456">
        <v>6</v>
      </c>
      <c r="Y1456" t="s">
        <v>7360</v>
      </c>
      <c r="Z1456" t="s">
        <v>9354</v>
      </c>
      <c r="AA1456">
        <v>1.018597924489834</v>
      </c>
      <c r="AB1456" t="str">
        <f>HYPERLINK("Melting_Curves/meltCurve_P98160_HSPG2.pdf", "Melting_Curves/meltCurve_P98160_HSPG2.pdf")</f>
        <v>Melting_Curves/meltCurve_P98160_HSPG2.pdf</v>
      </c>
    </row>
    <row r="1457" spans="1:28" x14ac:dyDescent="0.25">
      <c r="A1457" t="s">
        <v>1461</v>
      </c>
      <c r="B1457">
        <v>1</v>
      </c>
      <c r="C1457">
        <v>1.0327794920484199</v>
      </c>
      <c r="D1457">
        <v>1.17664372181343</v>
      </c>
      <c r="E1457">
        <v>1.28898647044861</v>
      </c>
      <c r="F1457">
        <v>1.3097555186328</v>
      </c>
      <c r="G1457">
        <v>1.5507714217897</v>
      </c>
      <c r="H1457">
        <v>1.4317825777355799</v>
      </c>
      <c r="I1457">
        <v>1.6270353667220501</v>
      </c>
      <c r="J1457">
        <v>1.6706147638262501</v>
      </c>
      <c r="K1457">
        <v>1.44865891288868</v>
      </c>
      <c r="L1457">
        <v>831.60235000084799</v>
      </c>
      <c r="M1457">
        <v>17.031099024268698</v>
      </c>
      <c r="O1457">
        <v>48.170177144318302</v>
      </c>
      <c r="P1457">
        <v>4.4197843621124201E-2</v>
      </c>
      <c r="Q1457">
        <v>1.5</v>
      </c>
      <c r="R1457">
        <v>0.85335782817626304</v>
      </c>
      <c r="S1457" t="s">
        <v>3459</v>
      </c>
      <c r="T1457" t="s">
        <v>4002</v>
      </c>
      <c r="U1457" t="s">
        <v>4002</v>
      </c>
      <c r="V1457" t="s">
        <v>4002</v>
      </c>
      <c r="W1457" t="s">
        <v>5437</v>
      </c>
      <c r="X1457">
        <v>1</v>
      </c>
      <c r="Y1457" t="s">
        <v>7361</v>
      </c>
      <c r="Z1457" t="s">
        <v>9355</v>
      </c>
      <c r="AA1457">
        <v>1.343154226416212</v>
      </c>
      <c r="AB1457" t="str">
        <f>HYPERLINK("Melting_Curves/meltCurve_P98172_EFNB1.pdf", "Melting_Curves/meltCurve_P98172_EFNB1.pdf")</f>
        <v>Melting_Curves/meltCurve_P98172_EFNB1.pdf</v>
      </c>
    </row>
    <row r="1458" spans="1:28" x14ac:dyDescent="0.25">
      <c r="A1458" t="s">
        <v>1462</v>
      </c>
      <c r="B1458">
        <v>1</v>
      </c>
      <c r="C1458">
        <v>1.01391396320003</v>
      </c>
      <c r="D1458">
        <v>1.1817568430074601</v>
      </c>
      <c r="E1458">
        <v>1.2003209511826001</v>
      </c>
      <c r="F1458">
        <v>1.26217699728286</v>
      </c>
      <c r="G1458">
        <v>1.1866987617849301</v>
      </c>
      <c r="H1458">
        <v>1.19587140069661</v>
      </c>
      <c r="I1458">
        <v>1.6600105768003399</v>
      </c>
      <c r="J1458">
        <v>5.4822473877126798</v>
      </c>
      <c r="K1458">
        <v>1.31604573554352</v>
      </c>
      <c r="L1458">
        <v>1228.13585270351</v>
      </c>
      <c r="M1458">
        <v>23.514302578590002</v>
      </c>
      <c r="O1458">
        <v>51.855953810968799</v>
      </c>
      <c r="P1458">
        <v>5.66827421458483E-2</v>
      </c>
      <c r="Q1458">
        <v>1.5</v>
      </c>
      <c r="R1458">
        <v>2.9939035387681799E-2</v>
      </c>
      <c r="S1458" t="s">
        <v>3460</v>
      </c>
      <c r="T1458" t="s">
        <v>4002</v>
      </c>
      <c r="U1458" t="s">
        <v>4002</v>
      </c>
      <c r="V1458" t="s">
        <v>4002</v>
      </c>
      <c r="W1458" t="s">
        <v>5438</v>
      </c>
      <c r="X1458">
        <v>4</v>
      </c>
      <c r="Y1458" t="s">
        <v>7362</v>
      </c>
      <c r="Z1458" t="s">
        <v>9356</v>
      </c>
      <c r="AA1458">
        <v>1.2910391787814399</v>
      </c>
      <c r="AB1458" t="str">
        <f>HYPERLINK("Melting_Curves/meltCurve_Q00610_2_CLTC.pdf", "Melting_Curves/meltCurve_Q00610_2_CLTC.pdf")</f>
        <v>Melting_Curves/meltCurve_Q00610_2_CLTC.pdf</v>
      </c>
    </row>
    <row r="1459" spans="1:28" x14ac:dyDescent="0.25">
      <c r="A1459" t="s">
        <v>1463</v>
      </c>
      <c r="B1459">
        <v>1</v>
      </c>
      <c r="C1459">
        <v>1.0312085376406099</v>
      </c>
      <c r="D1459">
        <v>1.1990193250648999</v>
      </c>
      <c r="E1459">
        <v>1.3701182578598201</v>
      </c>
      <c r="F1459">
        <v>1.30972021920969</v>
      </c>
      <c r="G1459">
        <v>1.4032881453706401</v>
      </c>
      <c r="H1459">
        <v>1.1637727141620999</v>
      </c>
      <c r="I1459">
        <v>1.45734064032305</v>
      </c>
      <c r="J1459">
        <v>1.4933948658782801</v>
      </c>
      <c r="K1459">
        <v>1.32264205364869</v>
      </c>
      <c r="L1459">
        <v>1784.5553364984701</v>
      </c>
      <c r="M1459">
        <v>39.0324330310251</v>
      </c>
      <c r="O1459">
        <v>45.600293987125703</v>
      </c>
      <c r="P1459">
        <v>7.7422054683558506E-2</v>
      </c>
      <c r="Q1459">
        <v>1.36179762509209</v>
      </c>
      <c r="R1459">
        <v>0.72663692755643505</v>
      </c>
      <c r="S1459" t="s">
        <v>3461</v>
      </c>
      <c r="T1459" t="s">
        <v>4002</v>
      </c>
      <c r="U1459" t="s">
        <v>4002</v>
      </c>
      <c r="V1459" t="s">
        <v>4002</v>
      </c>
      <c r="W1459" t="s">
        <v>5439</v>
      </c>
      <c r="X1459">
        <v>2</v>
      </c>
      <c r="Y1459" t="s">
        <v>7363</v>
      </c>
      <c r="Z1459" t="s">
        <v>9357</v>
      </c>
      <c r="AA1459">
        <v>1.2915766424923629</v>
      </c>
      <c r="AB1459" t="str">
        <f>HYPERLINK("Melting_Curves/meltCurve_Q00688_FKBP3.pdf", "Melting_Curves/meltCurve_Q00688_FKBP3.pdf")</f>
        <v>Melting_Curves/meltCurve_Q00688_FKBP3.pdf</v>
      </c>
    </row>
    <row r="1460" spans="1:28" x14ac:dyDescent="0.25">
      <c r="A1460" t="s">
        <v>1464</v>
      </c>
      <c r="B1460">
        <v>1</v>
      </c>
      <c r="C1460">
        <v>0.92859827132656902</v>
      </c>
      <c r="D1460">
        <v>1.0426322602196301</v>
      </c>
      <c r="E1460">
        <v>1.0568847690230601</v>
      </c>
      <c r="F1460">
        <v>0.97539215276907898</v>
      </c>
      <c r="G1460">
        <v>1.0058875109607901</v>
      </c>
      <c r="H1460">
        <v>0.69543613512046398</v>
      </c>
      <c r="I1460">
        <v>1.1261291355241001</v>
      </c>
      <c r="J1460">
        <v>1.3805586872103199</v>
      </c>
      <c r="K1460">
        <v>0.83022255626539698</v>
      </c>
      <c r="L1460">
        <v>1267.2363937607199</v>
      </c>
      <c r="M1460">
        <v>19.6767895548806</v>
      </c>
      <c r="O1460">
        <v>63.748481055301703</v>
      </c>
      <c r="P1460">
        <v>5.4471901636522603E-3</v>
      </c>
      <c r="Q1460">
        <v>1.0705883480248</v>
      </c>
      <c r="R1460">
        <v>2.41572244384206E-2</v>
      </c>
      <c r="S1460" t="s">
        <v>3462</v>
      </c>
      <c r="T1460" t="s">
        <v>4002</v>
      </c>
      <c r="U1460" t="s">
        <v>4002</v>
      </c>
      <c r="V1460" t="s">
        <v>4002</v>
      </c>
      <c r="W1460" t="s">
        <v>5440</v>
      </c>
      <c r="X1460">
        <v>6</v>
      </c>
      <c r="Y1460" t="s">
        <v>7364</v>
      </c>
      <c r="Z1460" t="s">
        <v>9358</v>
      </c>
      <c r="AA1460">
        <v>1.013789619593922</v>
      </c>
      <c r="AB1460" t="str">
        <f>HYPERLINK("Melting_Curves/meltCurve_Q00839_2_HNRNPU.pdf", "Melting_Curves/meltCurve_Q00839_2_HNRNPU.pdf")</f>
        <v>Melting_Curves/meltCurve_Q00839_2_HNRNPU.pdf</v>
      </c>
    </row>
    <row r="1461" spans="1:28" x14ac:dyDescent="0.25">
      <c r="A1461" t="s">
        <v>1465</v>
      </c>
      <c r="B1461">
        <v>1</v>
      </c>
      <c r="C1461">
        <v>0.90218508619930105</v>
      </c>
      <c r="D1461">
        <v>0.99353872360421702</v>
      </c>
      <c r="E1461">
        <v>1.02328996446298</v>
      </c>
      <c r="F1461">
        <v>1.06070662868219</v>
      </c>
      <c r="G1461">
        <v>1.12241181826192</v>
      </c>
      <c r="H1461">
        <v>0.88208170577696898</v>
      </c>
      <c r="I1461">
        <v>1.10533348997034</v>
      </c>
      <c r="J1461">
        <v>0.97146759082498801</v>
      </c>
      <c r="K1461">
        <v>0.92453522864107596</v>
      </c>
      <c r="L1461">
        <v>15000</v>
      </c>
      <c r="M1461">
        <v>223.38230225313899</v>
      </c>
      <c r="O1461">
        <v>67.144073419163902</v>
      </c>
      <c r="P1461">
        <v>-6.2774058227583598E-2</v>
      </c>
      <c r="Q1461">
        <v>0.92452569544864804</v>
      </c>
      <c r="R1461">
        <v>0.10757576356121699</v>
      </c>
      <c r="S1461" t="s">
        <v>3463</v>
      </c>
      <c r="T1461" t="s">
        <v>4002</v>
      </c>
      <c r="U1461" t="s">
        <v>4002</v>
      </c>
      <c r="V1461" t="s">
        <v>4002</v>
      </c>
      <c r="W1461" t="s">
        <v>5441</v>
      </c>
      <c r="X1461">
        <v>11</v>
      </c>
      <c r="Y1461" t="s">
        <v>7365</v>
      </c>
      <c r="Z1461" t="s">
        <v>9359</v>
      </c>
      <c r="AA1461">
        <v>0.99283961959173284</v>
      </c>
      <c r="AB1461" t="str">
        <f>HYPERLINK("Melting_Curves/meltCurve_Q01082_SPTBN1.pdf", "Melting_Curves/meltCurve_Q01082_SPTBN1.pdf")</f>
        <v>Melting_Curves/meltCurve_Q01082_SPTBN1.pdf</v>
      </c>
    </row>
    <row r="1462" spans="1:28" x14ac:dyDescent="0.25">
      <c r="A1462" t="s">
        <v>1466</v>
      </c>
      <c r="B1462">
        <v>1</v>
      </c>
      <c r="C1462">
        <v>0.95518143813656298</v>
      </c>
      <c r="D1462">
        <v>0.98897662773176798</v>
      </c>
      <c r="E1462">
        <v>0.98135203416905503</v>
      </c>
      <c r="F1462">
        <v>0.81308982972118704</v>
      </c>
      <c r="G1462">
        <v>0.91027224217431202</v>
      </c>
      <c r="H1462">
        <v>0.65375508400647997</v>
      </c>
      <c r="I1462">
        <v>1.1695197525689101</v>
      </c>
      <c r="J1462">
        <v>1.6461418197061199</v>
      </c>
      <c r="K1462">
        <v>0.73708180860344197</v>
      </c>
      <c r="L1462">
        <v>15000</v>
      </c>
      <c r="M1462">
        <v>236.39683794929999</v>
      </c>
      <c r="O1462">
        <v>63.448083526714399</v>
      </c>
      <c r="P1462">
        <v>0.17856193890622299</v>
      </c>
      <c r="Q1462">
        <v>1.1917015980977701</v>
      </c>
      <c r="R1462">
        <v>0.147453212860258</v>
      </c>
      <c r="S1462" t="s">
        <v>3464</v>
      </c>
      <c r="T1462" t="s">
        <v>4002</v>
      </c>
      <c r="U1462" t="s">
        <v>4002</v>
      </c>
      <c r="V1462" t="s">
        <v>4002</v>
      </c>
      <c r="W1462" t="s">
        <v>5442</v>
      </c>
      <c r="X1462">
        <v>1</v>
      </c>
      <c r="Y1462" t="s">
        <v>7366</v>
      </c>
      <c r="Z1462" t="s">
        <v>9360</v>
      </c>
      <c r="AA1462">
        <v>1.041814196854187</v>
      </c>
      <c r="AB1462" t="str">
        <f>HYPERLINK("Melting_Curves/meltCurve_Q01105_3_SET.pdf", "Melting_Curves/meltCurve_Q01105_3_SET.pdf")</f>
        <v>Melting_Curves/meltCurve_Q01105_3_SET.pdf</v>
      </c>
    </row>
    <row r="1463" spans="1:28" x14ac:dyDescent="0.25">
      <c r="A1463" t="s">
        <v>1467</v>
      </c>
      <c r="B1463">
        <v>1</v>
      </c>
      <c r="C1463">
        <v>0.95790502472116801</v>
      </c>
      <c r="D1463">
        <v>1.0467172588248801</v>
      </c>
      <c r="E1463">
        <v>1.17166839139933</v>
      </c>
      <c r="F1463">
        <v>1.2131769575715801</v>
      </c>
      <c r="G1463">
        <v>1.9672300793377</v>
      </c>
      <c r="H1463">
        <v>2.3447165689318199</v>
      </c>
      <c r="I1463">
        <v>2.8379901115327102</v>
      </c>
      <c r="J1463">
        <v>2.6754053121766099</v>
      </c>
      <c r="K1463">
        <v>2.5853742669886199</v>
      </c>
      <c r="L1463">
        <v>9146.1728489426096</v>
      </c>
      <c r="M1463">
        <v>172.27281538917501</v>
      </c>
      <c r="O1463">
        <v>53.084059559535099</v>
      </c>
      <c r="P1463">
        <v>0.40566042257043899</v>
      </c>
      <c r="Q1463">
        <v>1.5</v>
      </c>
      <c r="R1463">
        <v>2.2415816004450199E-2</v>
      </c>
      <c r="S1463" t="s">
        <v>3465</v>
      </c>
      <c r="T1463" t="s">
        <v>4002</v>
      </c>
      <c r="U1463" t="s">
        <v>4002</v>
      </c>
      <c r="V1463" t="s">
        <v>4002</v>
      </c>
      <c r="W1463" t="s">
        <v>5443</v>
      </c>
      <c r="X1463">
        <v>6</v>
      </c>
      <c r="Y1463" t="s">
        <v>7367</v>
      </c>
      <c r="Z1463" t="s">
        <v>9361</v>
      </c>
      <c r="AA1463">
        <v>1.2817149719022389</v>
      </c>
      <c r="AB1463" t="str">
        <f>HYPERLINK("Melting_Curves/meltCurve_Q01459_CTBS.pdf", "Melting_Curves/meltCurve_Q01459_CTBS.pdf")</f>
        <v>Melting_Curves/meltCurve_Q01459_CTBS.pdf</v>
      </c>
    </row>
    <row r="1464" spans="1:28" x14ac:dyDescent="0.25">
      <c r="A1464" t="s">
        <v>1468</v>
      </c>
      <c r="B1464">
        <v>1</v>
      </c>
      <c r="C1464">
        <v>0.93135493947676695</v>
      </c>
      <c r="D1464">
        <v>0.97024599765716502</v>
      </c>
      <c r="E1464">
        <v>0.96376415462709897</v>
      </c>
      <c r="F1464">
        <v>0.87434595860991804</v>
      </c>
      <c r="G1464">
        <v>0.96290511518937905</v>
      </c>
      <c r="H1464">
        <v>0.95048809058961303</v>
      </c>
      <c r="I1464">
        <v>1.1059742288168699</v>
      </c>
      <c r="J1464">
        <v>1.24943381491605</v>
      </c>
      <c r="K1464">
        <v>1.0747364310816101</v>
      </c>
      <c r="L1464">
        <v>15000</v>
      </c>
      <c r="M1464">
        <v>235.010916732326</v>
      </c>
      <c r="O1464">
        <v>63.822200189851301</v>
      </c>
      <c r="P1464">
        <v>0.149210118922213</v>
      </c>
      <c r="Q1464">
        <v>1.1620846927722801</v>
      </c>
      <c r="R1464">
        <v>0.60152265076184896</v>
      </c>
      <c r="S1464" t="s">
        <v>3466</v>
      </c>
      <c r="T1464" t="s">
        <v>4002</v>
      </c>
      <c r="U1464" t="s">
        <v>4002</v>
      </c>
      <c r="V1464" t="s">
        <v>4002</v>
      </c>
      <c r="W1464" t="s">
        <v>4644</v>
      </c>
      <c r="X1464">
        <v>20</v>
      </c>
      <c r="Y1464" t="s">
        <v>6617</v>
      </c>
      <c r="Z1464" t="s">
        <v>9362</v>
      </c>
      <c r="AA1464">
        <v>1.0333320411427009</v>
      </c>
      <c r="AB1464" t="str">
        <f>HYPERLINK("Melting_Curves/meltCurve_Q01469_FABP5.pdf", "Melting_Curves/meltCurve_Q01469_FABP5.pdf")</f>
        <v>Melting_Curves/meltCurve_Q01469_FABP5.pdf</v>
      </c>
    </row>
    <row r="1465" spans="1:28" x14ac:dyDescent="0.25">
      <c r="A1465" t="s">
        <v>1469</v>
      </c>
      <c r="B1465">
        <v>1</v>
      </c>
      <c r="C1465">
        <v>1.07396479295859</v>
      </c>
      <c r="D1465">
        <v>1.2679035807161401</v>
      </c>
      <c r="E1465">
        <v>1.3999799959992001</v>
      </c>
      <c r="F1465">
        <v>1.6517303460692101</v>
      </c>
      <c r="G1465">
        <v>2.7651530306061201</v>
      </c>
      <c r="H1465">
        <v>2.1609821964392899</v>
      </c>
      <c r="I1465">
        <v>3.3121124224845002</v>
      </c>
      <c r="J1465">
        <v>1.93488697739548</v>
      </c>
      <c r="K1465">
        <v>2.0276555311062201</v>
      </c>
      <c r="L1465">
        <v>1610.0711973140999</v>
      </c>
      <c r="M1465">
        <v>35.195796688337097</v>
      </c>
      <c r="O1465">
        <v>45.599187271679803</v>
      </c>
      <c r="P1465">
        <v>9.6481743925194499E-2</v>
      </c>
      <c r="Q1465">
        <v>1.5</v>
      </c>
      <c r="R1465">
        <v>-0.16069903871774599</v>
      </c>
      <c r="S1465" t="s">
        <v>3467</v>
      </c>
      <c r="T1465" t="s">
        <v>4002</v>
      </c>
      <c r="U1465" t="s">
        <v>4002</v>
      </c>
      <c r="V1465" t="s">
        <v>4002</v>
      </c>
      <c r="W1465" t="s">
        <v>5444</v>
      </c>
      <c r="X1465">
        <v>22</v>
      </c>
      <c r="Y1465" t="s">
        <v>7368</v>
      </c>
      <c r="Z1465" t="s">
        <v>9363</v>
      </c>
      <c r="AA1465">
        <v>1.402083214098139</v>
      </c>
      <c r="AB1465" t="str">
        <f>HYPERLINK("Melting_Curves/meltCurve_Q01518_2_CAP1.pdf", "Melting_Curves/meltCurve_Q01518_2_CAP1.pdf")</f>
        <v>Melting_Curves/meltCurve_Q01518_2_CAP1.pdf</v>
      </c>
    </row>
    <row r="1466" spans="1:28" x14ac:dyDescent="0.25">
      <c r="A1466" t="s">
        <v>1470</v>
      </c>
      <c r="B1466">
        <v>1</v>
      </c>
      <c r="C1466">
        <v>1.0527351309508499</v>
      </c>
      <c r="D1466">
        <v>1.1625757966714001</v>
      </c>
      <c r="E1466">
        <v>1.07873177654496</v>
      </c>
      <c r="F1466">
        <v>1.00583795639272</v>
      </c>
      <c r="G1466">
        <v>1.1304831634627801</v>
      </c>
      <c r="H1466">
        <v>0.72129402657721597</v>
      </c>
      <c r="I1466">
        <v>1.3087666107599001</v>
      </c>
      <c r="J1466">
        <v>2.8057669978067299</v>
      </c>
      <c r="K1466">
        <v>0.99182363565991505</v>
      </c>
      <c r="L1466">
        <v>15000</v>
      </c>
      <c r="M1466">
        <v>234.85473433906199</v>
      </c>
      <c r="O1466">
        <v>63.864636857883902</v>
      </c>
      <c r="P1466">
        <v>0.45967288453987898</v>
      </c>
      <c r="Q1466">
        <v>1.5</v>
      </c>
      <c r="R1466">
        <v>0.29667146640167402</v>
      </c>
      <c r="S1466" t="s">
        <v>3468</v>
      </c>
      <c r="T1466" t="s">
        <v>4002</v>
      </c>
      <c r="U1466" t="s">
        <v>4002</v>
      </c>
      <c r="V1466" t="s">
        <v>4002</v>
      </c>
      <c r="W1466" t="s">
        <v>5445</v>
      </c>
      <c r="X1466">
        <v>2</v>
      </c>
      <c r="Y1466" t="s">
        <v>7369</v>
      </c>
      <c r="Z1466" t="s">
        <v>9364</v>
      </c>
      <c r="AA1466">
        <v>1.1021153563038351</v>
      </c>
      <c r="AB1466" t="str">
        <f>HYPERLINK("Melting_Curves/meltCurve_Q01581_HMGCS1.pdf", "Melting_Curves/meltCurve_Q01581_HMGCS1.pdf")</f>
        <v>Melting_Curves/meltCurve_Q01581_HMGCS1.pdf</v>
      </c>
    </row>
    <row r="1467" spans="1:28" x14ac:dyDescent="0.25">
      <c r="A1467" t="s">
        <v>1471</v>
      </c>
      <c r="B1467">
        <v>1</v>
      </c>
      <c r="C1467">
        <v>0.918769845410772</v>
      </c>
      <c r="D1467">
        <v>1.40507744368748</v>
      </c>
      <c r="E1467">
        <v>1.2547517180721799</v>
      </c>
      <c r="F1467">
        <v>1.47265246493046</v>
      </c>
      <c r="G1467">
        <v>1.1641448398205201</v>
      </c>
      <c r="H1467">
        <v>0.92306316244540199</v>
      </c>
      <c r="I1467">
        <v>1.5503644847274201</v>
      </c>
      <c r="J1467">
        <v>0.79129708859438597</v>
      </c>
      <c r="K1467">
        <v>1.7675645860974001</v>
      </c>
      <c r="L1467">
        <v>11093.025828666299</v>
      </c>
      <c r="M1467">
        <v>250</v>
      </c>
      <c r="O1467">
        <v>44.369263833770603</v>
      </c>
      <c r="P1467">
        <v>0.41007518520047598</v>
      </c>
      <c r="Q1467">
        <v>1.2911157447417101</v>
      </c>
      <c r="R1467">
        <v>0.18731712529028899</v>
      </c>
      <c r="S1467" t="s">
        <v>3469</v>
      </c>
      <c r="T1467" t="s">
        <v>4002</v>
      </c>
      <c r="U1467" t="s">
        <v>4002</v>
      </c>
      <c r="V1467" t="s">
        <v>4002</v>
      </c>
      <c r="W1467" t="s">
        <v>5446</v>
      </c>
      <c r="X1467">
        <v>24</v>
      </c>
      <c r="Y1467" t="s">
        <v>7370</v>
      </c>
      <c r="Z1467" t="s">
        <v>9365</v>
      </c>
      <c r="AA1467">
        <v>1.2486668044564471</v>
      </c>
      <c r="AB1467" t="str">
        <f>HYPERLINK("Melting_Curves/meltCurve_Q02383_SEMG2.pdf", "Melting_Curves/meltCurve_Q02383_SEMG2.pdf")</f>
        <v>Melting_Curves/meltCurve_Q02383_SEMG2.pdf</v>
      </c>
    </row>
    <row r="1468" spans="1:28" x14ac:dyDescent="0.25">
      <c r="A1468" t="s">
        <v>1472</v>
      </c>
      <c r="B1468">
        <v>1</v>
      </c>
      <c r="C1468">
        <v>0.95910924075048198</v>
      </c>
      <c r="D1468">
        <v>1.0562160266526399</v>
      </c>
      <c r="E1468">
        <v>1.2672979133789199</v>
      </c>
      <c r="F1468">
        <v>1.42517972996668</v>
      </c>
      <c r="G1468">
        <v>1.80753989128529</v>
      </c>
      <c r="H1468">
        <v>1.4961599158337699</v>
      </c>
      <c r="I1468">
        <v>2.1105383131685098</v>
      </c>
      <c r="J1468">
        <v>1.7019112747676699</v>
      </c>
      <c r="K1468">
        <v>1.5689286340522499</v>
      </c>
      <c r="L1468">
        <v>2014.16138677398</v>
      </c>
      <c r="M1468">
        <v>40.4415823332955</v>
      </c>
      <c r="O1468">
        <v>49.682908924106897</v>
      </c>
      <c r="P1468">
        <v>0.101749439058243</v>
      </c>
      <c r="Q1468">
        <v>1.5</v>
      </c>
      <c r="R1468">
        <v>0.59279613089622596</v>
      </c>
      <c r="S1468" t="s">
        <v>3470</v>
      </c>
      <c r="T1468" t="s">
        <v>4002</v>
      </c>
      <c r="U1468" t="s">
        <v>4002</v>
      </c>
      <c r="V1468" t="s">
        <v>4002</v>
      </c>
      <c r="W1468" t="s">
        <v>5447</v>
      </c>
      <c r="X1468">
        <v>22</v>
      </c>
      <c r="Y1468" t="s">
        <v>7371</v>
      </c>
      <c r="Z1468" t="s">
        <v>9366</v>
      </c>
      <c r="AA1468">
        <v>1.3349120278647251</v>
      </c>
      <c r="AB1468" t="str">
        <f>HYPERLINK("Melting_Curves/meltCurve_Q02413_DSG1.pdf", "Melting_Curves/meltCurve_Q02413_DSG1.pdf")</f>
        <v>Melting_Curves/meltCurve_Q02413_DSG1.pdf</v>
      </c>
    </row>
    <row r="1469" spans="1:28" x14ac:dyDescent="0.25">
      <c r="A1469" t="s">
        <v>1473</v>
      </c>
      <c r="B1469">
        <v>1</v>
      </c>
      <c r="C1469">
        <v>0.92382125715459096</v>
      </c>
      <c r="D1469">
        <v>1.04720104720105</v>
      </c>
      <c r="E1469">
        <v>1.1575164908498199</v>
      </c>
      <c r="F1469">
        <v>1.1490464823798201</v>
      </c>
      <c r="G1469">
        <v>1.3164189830856501</v>
      </c>
      <c r="H1469">
        <v>1.0550550550550599</v>
      </c>
      <c r="I1469">
        <v>1.4626164626164599</v>
      </c>
      <c r="J1469">
        <v>1.1040527707194401</v>
      </c>
      <c r="K1469">
        <v>1.1912681912681899</v>
      </c>
      <c r="L1469">
        <v>1392.6230690531299</v>
      </c>
      <c r="M1469">
        <v>28.535519404415101</v>
      </c>
      <c r="O1469">
        <v>48.565357929006602</v>
      </c>
      <c r="P1469">
        <v>3.2210732917224198E-2</v>
      </c>
      <c r="Q1469">
        <v>1.21927943111101</v>
      </c>
      <c r="R1469">
        <v>0.46086216956680698</v>
      </c>
      <c r="S1469" t="s">
        <v>3471</v>
      </c>
      <c r="T1469" t="s">
        <v>4002</v>
      </c>
      <c r="U1469" t="s">
        <v>4002</v>
      </c>
      <c r="V1469" t="s">
        <v>4002</v>
      </c>
      <c r="W1469" t="s">
        <v>5448</v>
      </c>
      <c r="X1469">
        <v>21</v>
      </c>
      <c r="Y1469" t="s">
        <v>7372</v>
      </c>
      <c r="Z1469" t="s">
        <v>9367</v>
      </c>
      <c r="AA1469">
        <v>1.1534579971970651</v>
      </c>
      <c r="AB1469" t="str">
        <f>HYPERLINK("Melting_Curves/meltCurve_Q02487_2_DSC2.pdf", "Melting_Curves/meltCurve_Q02487_2_DSC2.pdf")</f>
        <v>Melting_Curves/meltCurve_Q02487_2_DSC2.pdf</v>
      </c>
    </row>
    <row r="1470" spans="1:28" x14ac:dyDescent="0.25">
      <c r="A1470" t="s">
        <v>1474</v>
      </c>
      <c r="B1470">
        <v>1</v>
      </c>
      <c r="C1470">
        <v>1.0704025536442601</v>
      </c>
      <c r="D1470">
        <v>1.1212094342968599</v>
      </c>
      <c r="E1470">
        <v>1.3205355559496399</v>
      </c>
      <c r="F1470">
        <v>1.32851569427203</v>
      </c>
      <c r="G1470">
        <v>1.7721227167937601</v>
      </c>
      <c r="H1470">
        <v>1.89510551516226</v>
      </c>
      <c r="I1470">
        <v>2.5254477744280899</v>
      </c>
      <c r="J1470">
        <v>2.5022167050895501</v>
      </c>
      <c r="K1470">
        <v>2.6446178400425602</v>
      </c>
      <c r="L1470">
        <v>1359.6609687026</v>
      </c>
      <c r="M1470">
        <v>27.938813414273799</v>
      </c>
      <c r="O1470">
        <v>48.418399757309601</v>
      </c>
      <c r="P1470">
        <v>7.2129240505291695E-2</v>
      </c>
      <c r="Q1470">
        <v>1.5</v>
      </c>
      <c r="R1470">
        <v>3.6002487529479502E-2</v>
      </c>
      <c r="S1470" t="s">
        <v>3472</v>
      </c>
      <c r="T1470" t="s">
        <v>4002</v>
      </c>
      <c r="U1470" t="s">
        <v>4002</v>
      </c>
      <c r="V1470" t="s">
        <v>4002</v>
      </c>
      <c r="W1470" t="s">
        <v>5449</v>
      </c>
      <c r="X1470">
        <v>1</v>
      </c>
      <c r="Y1470" t="s">
        <v>7373</v>
      </c>
      <c r="Z1470" t="s">
        <v>9368</v>
      </c>
      <c r="AA1470">
        <v>1.352060563527542</v>
      </c>
      <c r="AB1470" t="str">
        <f>HYPERLINK("Melting_Curves/meltCurve_Q02742_GCNT1.pdf", "Melting_Curves/meltCurve_Q02742_GCNT1.pdf")</f>
        <v>Melting_Curves/meltCurve_Q02742_GCNT1.pdf</v>
      </c>
    </row>
    <row r="1471" spans="1:28" x14ac:dyDescent="0.25">
      <c r="A1471" t="s">
        <v>1475</v>
      </c>
      <c r="B1471">
        <v>1</v>
      </c>
      <c r="C1471">
        <v>0.97516616755532803</v>
      </c>
      <c r="D1471">
        <v>1.02242348988387</v>
      </c>
      <c r="E1471">
        <v>1.21532393543204</v>
      </c>
      <c r="F1471">
        <v>1.2270104448177599</v>
      </c>
      <c r="G1471">
        <v>1.5284858666277099</v>
      </c>
      <c r="H1471">
        <v>1.6045577386604299</v>
      </c>
      <c r="I1471">
        <v>2.3293404426265401</v>
      </c>
      <c r="J1471">
        <v>2.1851946534219602</v>
      </c>
      <c r="K1471">
        <v>2.12332919436126</v>
      </c>
      <c r="L1471">
        <v>1559.18030942414</v>
      </c>
      <c r="M1471">
        <v>30.147106056602301</v>
      </c>
      <c r="O1471">
        <v>51.493123929882003</v>
      </c>
      <c r="P1471">
        <v>7.3182857731817597E-2</v>
      </c>
      <c r="Q1471">
        <v>1.5</v>
      </c>
      <c r="R1471">
        <v>0.35640056386643698</v>
      </c>
      <c r="S1471" t="s">
        <v>3473</v>
      </c>
      <c r="T1471" t="s">
        <v>4002</v>
      </c>
      <c r="U1471" t="s">
        <v>4002</v>
      </c>
      <c r="V1471" t="s">
        <v>4002</v>
      </c>
      <c r="W1471" t="s">
        <v>5450</v>
      </c>
      <c r="X1471">
        <v>3</v>
      </c>
      <c r="Y1471" t="s">
        <v>7374</v>
      </c>
      <c r="Z1471" t="s">
        <v>9369</v>
      </c>
      <c r="AA1471">
        <v>1.301532400918745</v>
      </c>
      <c r="AB1471" t="str">
        <f>HYPERLINK("Melting_Curves/meltCurve_Q02750_2_MAP2K1.pdf", "Melting_Curves/meltCurve_Q02750_2_MAP2K1.pdf")</f>
        <v>Melting_Curves/meltCurve_Q02750_2_MAP2K1.pdf</v>
      </c>
    </row>
    <row r="1472" spans="1:28" x14ac:dyDescent="0.25">
      <c r="A1472" t="s">
        <v>1476</v>
      </c>
      <c r="B1472">
        <v>1</v>
      </c>
      <c r="C1472">
        <v>0.91474151324674802</v>
      </c>
      <c r="D1472">
        <v>0.79937447322725097</v>
      </c>
      <c r="E1472">
        <v>1.2348060968551</v>
      </c>
      <c r="F1472">
        <v>1.3518892736375001</v>
      </c>
      <c r="G1472">
        <v>1.2035297582176501</v>
      </c>
      <c r="H1472">
        <v>0.73930968652578799</v>
      </c>
      <c r="I1472">
        <v>1.9902109121926901</v>
      </c>
      <c r="J1472">
        <v>0.93051169308569504</v>
      </c>
      <c r="K1472">
        <v>0.94367212648638799</v>
      </c>
      <c r="L1472">
        <v>12021.2244724456</v>
      </c>
      <c r="M1472">
        <v>250</v>
      </c>
      <c r="O1472">
        <v>48.081825081379399</v>
      </c>
      <c r="P1472">
        <v>0.25884792036155901</v>
      </c>
      <c r="Q1472">
        <v>1.1991340688294001</v>
      </c>
      <c r="R1472">
        <v>0.128826461468489</v>
      </c>
      <c r="S1472" t="s">
        <v>3474</v>
      </c>
      <c r="T1472" t="s">
        <v>4002</v>
      </c>
      <c r="U1472" t="s">
        <v>4002</v>
      </c>
      <c r="V1472" t="s">
        <v>4002</v>
      </c>
      <c r="W1472" t="s">
        <v>5451</v>
      </c>
      <c r="X1472">
        <v>1</v>
      </c>
      <c r="Y1472" t="s">
        <v>7375</v>
      </c>
      <c r="Z1472" t="s">
        <v>9370</v>
      </c>
      <c r="AA1472">
        <v>1.145451310492241</v>
      </c>
      <c r="AB1472" t="str">
        <f>HYPERLINK("Melting_Curves/meltCurve_Q02790_FKBP4.pdf", "Melting_Curves/meltCurve_Q02790_FKBP4.pdf")</f>
        <v>Melting_Curves/meltCurve_Q02790_FKBP4.pdf</v>
      </c>
    </row>
    <row r="1473" spans="1:28" x14ac:dyDescent="0.25">
      <c r="A1473" t="s">
        <v>1477</v>
      </c>
      <c r="B1473">
        <v>1</v>
      </c>
      <c r="C1473">
        <v>0.90644655029890597</v>
      </c>
      <c r="D1473">
        <v>0.95997412274921801</v>
      </c>
      <c r="E1473">
        <v>0.97176264810532997</v>
      </c>
      <c r="F1473">
        <v>0.89592792706448898</v>
      </c>
      <c r="G1473">
        <v>0.94556193168885005</v>
      </c>
      <c r="H1473">
        <v>0.79083753638988397</v>
      </c>
      <c r="I1473">
        <v>1.0499694504678301</v>
      </c>
      <c r="J1473">
        <v>0.811563297432641</v>
      </c>
      <c r="K1473">
        <v>0.85148135280516601</v>
      </c>
      <c r="L1473">
        <v>154.63186628868999</v>
      </c>
      <c r="M1473">
        <v>0.36588615893522403</v>
      </c>
      <c r="O1473">
        <v>61.286766398243699</v>
      </c>
      <c r="P1473">
        <v>-3.8251665494321899E-3</v>
      </c>
      <c r="Q1473">
        <v>0</v>
      </c>
      <c r="R1473">
        <v>0.201359111977365</v>
      </c>
      <c r="S1473" t="s">
        <v>3475</v>
      </c>
      <c r="T1473" t="s">
        <v>4002</v>
      </c>
      <c r="U1473" t="s">
        <v>4002</v>
      </c>
      <c r="V1473" t="s">
        <v>4002</v>
      </c>
      <c r="W1473" t="s">
        <v>5452</v>
      </c>
      <c r="X1473">
        <v>34</v>
      </c>
      <c r="Y1473" t="s">
        <v>7376</v>
      </c>
      <c r="Z1473" t="s">
        <v>9371</v>
      </c>
      <c r="AA1473">
        <v>0.91921841231086565</v>
      </c>
      <c r="AB1473" t="str">
        <f>HYPERLINK("Melting_Curves/meltCurve_Q02818_NUCB1.pdf", "Melting_Curves/meltCurve_Q02818_NUCB1.pdf")</f>
        <v>Melting_Curves/meltCurve_Q02818_NUCB1.pdf</v>
      </c>
    </row>
    <row r="1474" spans="1:28" x14ac:dyDescent="0.25">
      <c r="A1474" t="s">
        <v>1478</v>
      </c>
      <c r="B1474">
        <v>1</v>
      </c>
      <c r="C1474">
        <v>0.80604472609834898</v>
      </c>
      <c r="D1474">
        <v>1.07805740052404</v>
      </c>
      <c r="E1474">
        <v>0.978977515081348</v>
      </c>
      <c r="F1474">
        <v>0.91203054861576605</v>
      </c>
      <c r="G1474">
        <v>1.15335242621819</v>
      </c>
      <c r="H1474">
        <v>0.86362805435378698</v>
      </c>
      <c r="I1474">
        <v>1.26051632035423</v>
      </c>
      <c r="J1474">
        <v>1.0154774236792401</v>
      </c>
      <c r="K1474">
        <v>0.904291836776146</v>
      </c>
      <c r="S1474" t="s">
        <v>3476</v>
      </c>
      <c r="T1474" t="s">
        <v>4002</v>
      </c>
      <c r="U1474" t="s">
        <v>4003</v>
      </c>
      <c r="V1474" t="s">
        <v>4002</v>
      </c>
      <c r="W1474" t="s">
        <v>5453</v>
      </c>
      <c r="X1474">
        <v>3</v>
      </c>
      <c r="Y1474" t="s">
        <v>7377</v>
      </c>
      <c r="Z1474" t="s">
        <v>9372</v>
      </c>
      <c r="AB1474" t="str">
        <f>HYPERLINK("Melting_Curves/meltCurve_Q03403_TFF2.pdf", "Melting_Curves/meltCurve_Q03403_TFF2.pdf")</f>
        <v>Melting_Curves/meltCurve_Q03403_TFF2.pdf</v>
      </c>
    </row>
    <row r="1475" spans="1:28" x14ac:dyDescent="0.25">
      <c r="A1475" t="s">
        <v>1479</v>
      </c>
      <c r="B1475">
        <v>1</v>
      </c>
      <c r="C1475">
        <v>0.86261940673705395</v>
      </c>
      <c r="D1475">
        <v>0.96006158873805902</v>
      </c>
      <c r="E1475">
        <v>0.98805932629462001</v>
      </c>
      <c r="F1475">
        <v>1.02743212669683</v>
      </c>
      <c r="G1475">
        <v>1.0222787833081901</v>
      </c>
      <c r="H1475">
        <v>0.76671694318753103</v>
      </c>
      <c r="I1475">
        <v>1.10561211664153</v>
      </c>
      <c r="J1475">
        <v>0.98400578179989895</v>
      </c>
      <c r="K1475">
        <v>0.87660256410256399</v>
      </c>
      <c r="L1475">
        <v>21.061589249631599</v>
      </c>
      <c r="M1475">
        <v>1.0000000000000001E-5</v>
      </c>
      <c r="Q1475">
        <v>0.899010349703249</v>
      </c>
      <c r="R1475">
        <v>3.1419767147811102E-4</v>
      </c>
      <c r="S1475" t="s">
        <v>3477</v>
      </c>
      <c r="T1475" t="s">
        <v>4002</v>
      </c>
      <c r="U1475" t="s">
        <v>4002</v>
      </c>
      <c r="V1475" t="s">
        <v>4002</v>
      </c>
      <c r="W1475" t="s">
        <v>5454</v>
      </c>
      <c r="X1475">
        <v>6</v>
      </c>
      <c r="Y1475" t="s">
        <v>7378</v>
      </c>
      <c r="Z1475" t="s">
        <v>9373</v>
      </c>
      <c r="AA1475">
        <v>0.95928872206052929</v>
      </c>
      <c r="AB1475" t="str">
        <f>HYPERLINK("Melting_Curves/meltCurve_Q03405_PLAUR.pdf", "Melting_Curves/meltCurve_Q03405_PLAUR.pdf")</f>
        <v>Melting_Curves/meltCurve_Q03405_PLAUR.pdf</v>
      </c>
    </row>
    <row r="1476" spans="1:28" x14ac:dyDescent="0.25">
      <c r="A1476" t="s">
        <v>1480</v>
      </c>
      <c r="B1476">
        <v>1</v>
      </c>
      <c r="C1476">
        <v>0.90034497211206799</v>
      </c>
      <c r="D1476">
        <v>1.0304349227842799</v>
      </c>
      <c r="E1476">
        <v>0.99115538790555702</v>
      </c>
      <c r="F1476">
        <v>0.94165565120202899</v>
      </c>
      <c r="G1476">
        <v>1.0432880893273599</v>
      </c>
      <c r="H1476">
        <v>0.72906255709234702</v>
      </c>
      <c r="I1476">
        <v>1.1198160148735601</v>
      </c>
      <c r="J1476">
        <v>0.67172840700261105</v>
      </c>
      <c r="K1476">
        <v>0.92864128273742397</v>
      </c>
      <c r="L1476">
        <v>14701.8333803855</v>
      </c>
      <c r="M1476">
        <v>250</v>
      </c>
      <c r="O1476">
        <v>58.803567129309101</v>
      </c>
      <c r="P1476">
        <v>-0.14633907790792799</v>
      </c>
      <c r="Q1476">
        <v>0.86231583620417596</v>
      </c>
      <c r="R1476">
        <v>0.195957445068761</v>
      </c>
      <c r="S1476" t="s">
        <v>3478</v>
      </c>
      <c r="T1476" t="s">
        <v>4002</v>
      </c>
      <c r="U1476" t="s">
        <v>4002</v>
      </c>
      <c r="V1476" t="s">
        <v>4002</v>
      </c>
      <c r="W1476" t="s">
        <v>5455</v>
      </c>
      <c r="X1476">
        <v>7</v>
      </c>
      <c r="Y1476" t="s">
        <v>7379</v>
      </c>
      <c r="Z1476" t="s">
        <v>9374</v>
      </c>
      <c r="AA1476">
        <v>0.94864577900122349</v>
      </c>
      <c r="AB1476" t="str">
        <f>HYPERLINK("Melting_Curves/meltCurve_Q03591_CFHR1.pdf", "Melting_Curves/meltCurve_Q03591_CFHR1.pdf")</f>
        <v>Melting_Curves/meltCurve_Q03591_CFHR1.pdf</v>
      </c>
    </row>
    <row r="1477" spans="1:28" x14ac:dyDescent="0.25">
      <c r="A1477" t="s">
        <v>1481</v>
      </c>
      <c r="B1477">
        <v>1</v>
      </c>
      <c r="C1477">
        <v>0.93555192009643495</v>
      </c>
      <c r="D1477">
        <v>0.96930428792836199</v>
      </c>
      <c r="E1477">
        <v>0.98605131737558105</v>
      </c>
      <c r="F1477">
        <v>0.83339073531944197</v>
      </c>
      <c r="G1477">
        <v>1.02113828138454</v>
      </c>
      <c r="H1477">
        <v>0.84083864301704803</v>
      </c>
      <c r="I1477">
        <v>1.2785861890821399</v>
      </c>
      <c r="J1477">
        <v>0.89310315136903695</v>
      </c>
      <c r="K1477">
        <v>0.98484587566729798</v>
      </c>
      <c r="L1477">
        <v>10227.678737710599</v>
      </c>
      <c r="M1477">
        <v>250</v>
      </c>
      <c r="O1477">
        <v>40.908107706795398</v>
      </c>
      <c r="P1477">
        <v>-4.3659722769911202E-2</v>
      </c>
      <c r="Q1477">
        <v>0.97142342126195202</v>
      </c>
      <c r="R1477">
        <v>5.1945926909169301E-3</v>
      </c>
      <c r="S1477" t="s">
        <v>3479</v>
      </c>
      <c r="T1477" t="s">
        <v>4002</v>
      </c>
      <c r="U1477" t="s">
        <v>4002</v>
      </c>
      <c r="V1477" t="s">
        <v>4002</v>
      </c>
      <c r="W1477" t="s">
        <v>5456</v>
      </c>
      <c r="X1477">
        <v>4</v>
      </c>
      <c r="Y1477" t="s">
        <v>7380</v>
      </c>
      <c r="Z1477" t="s">
        <v>9375</v>
      </c>
      <c r="AA1477">
        <v>0.97229347480373141</v>
      </c>
      <c r="AB1477" t="str">
        <f>HYPERLINK("Melting_Curves/meltCurve_Q04609_6_FOLH1.pdf", "Melting_Curves/meltCurve_Q04609_6_FOLH1.pdf")</f>
        <v>Melting_Curves/meltCurve_Q04609_6_FOLH1.pdf</v>
      </c>
    </row>
    <row r="1478" spans="1:28" x14ac:dyDescent="0.25">
      <c r="A1478" t="s">
        <v>1482</v>
      </c>
      <c r="B1478">
        <v>1</v>
      </c>
      <c r="C1478">
        <v>1.0870664960078</v>
      </c>
      <c r="D1478">
        <v>1.2037849698299501</v>
      </c>
      <c r="E1478">
        <v>1.49619065033218</v>
      </c>
      <c r="F1478">
        <v>1.6018162979216199</v>
      </c>
      <c r="G1478">
        <v>1.89565429389895</v>
      </c>
      <c r="H1478">
        <v>1.6142500152374</v>
      </c>
      <c r="I1478">
        <v>2.4218930944109198</v>
      </c>
      <c r="J1478">
        <v>1.6372889620283999</v>
      </c>
      <c r="K1478">
        <v>1.9730907539464899</v>
      </c>
      <c r="L1478">
        <v>1885.23738345736</v>
      </c>
      <c r="M1478">
        <v>40.747329216467001</v>
      </c>
      <c r="O1478">
        <v>46.155509555798702</v>
      </c>
      <c r="P1478">
        <v>0.110353585306289</v>
      </c>
      <c r="Q1478">
        <v>1.5</v>
      </c>
      <c r="R1478">
        <v>0.24533094642186401</v>
      </c>
      <c r="S1478" t="s">
        <v>3480</v>
      </c>
      <c r="T1478" t="s">
        <v>4002</v>
      </c>
      <c r="U1478" t="s">
        <v>4002</v>
      </c>
      <c r="V1478" t="s">
        <v>4002</v>
      </c>
      <c r="W1478" t="s">
        <v>5457</v>
      </c>
      <c r="X1478">
        <v>5</v>
      </c>
      <c r="Y1478" t="s">
        <v>7381</v>
      </c>
      <c r="Z1478" t="s">
        <v>9376</v>
      </c>
      <c r="AA1478">
        <v>1.393994156682951</v>
      </c>
      <c r="AB1478" t="str">
        <f>HYPERLINK("Melting_Curves/meltCurve_Q04760_2_GLO1.pdf", "Melting_Curves/meltCurve_Q04760_2_GLO1.pdf")</f>
        <v>Melting_Curves/meltCurve_Q04760_2_GLO1.pdf</v>
      </c>
    </row>
    <row r="1479" spans="1:28" x14ac:dyDescent="0.25">
      <c r="A1479" t="s">
        <v>1483</v>
      </c>
      <c r="B1479">
        <v>1</v>
      </c>
      <c r="C1479">
        <v>0.97396825396825404</v>
      </c>
      <c r="D1479">
        <v>1.0016084656084701</v>
      </c>
      <c r="E1479">
        <v>0.94446560846560801</v>
      </c>
      <c r="F1479">
        <v>0.91111111111111098</v>
      </c>
      <c r="G1479">
        <v>0.87500529100529101</v>
      </c>
      <c r="H1479">
        <v>0.73341798941798897</v>
      </c>
      <c r="I1479">
        <v>0.99166137566137602</v>
      </c>
      <c r="J1479">
        <v>0.88139682539682496</v>
      </c>
      <c r="K1479">
        <v>0.875428571428571</v>
      </c>
      <c r="L1479">
        <v>1551.78752996105</v>
      </c>
      <c r="M1479">
        <v>30.562714912753101</v>
      </c>
      <c r="O1479">
        <v>50.557983496596002</v>
      </c>
      <c r="P1479">
        <v>-1.9379379316560801E-2</v>
      </c>
      <c r="Q1479">
        <v>0.87176839534108197</v>
      </c>
      <c r="R1479">
        <v>0.44192901364406201</v>
      </c>
      <c r="S1479" t="s">
        <v>3481</v>
      </c>
      <c r="T1479" t="s">
        <v>4002</v>
      </c>
      <c r="U1479" t="s">
        <v>4002</v>
      </c>
      <c r="V1479" t="s">
        <v>4002</v>
      </c>
      <c r="W1479" t="s">
        <v>5458</v>
      </c>
      <c r="X1479">
        <v>5</v>
      </c>
      <c r="Y1479" t="s">
        <v>7382</v>
      </c>
      <c r="Z1479" t="s">
        <v>9377</v>
      </c>
      <c r="AA1479">
        <v>0.91859394570049302</v>
      </c>
      <c r="AB1479" t="str">
        <f>HYPERLINK("Melting_Curves/meltCurve_Q04917_YWHAH.pdf", "Melting_Curves/meltCurve_Q04917_YWHAH.pdf")</f>
        <v>Melting_Curves/meltCurve_Q04917_YWHAH.pdf</v>
      </c>
    </row>
    <row r="1480" spans="1:28" x14ac:dyDescent="0.25">
      <c r="A1480" t="s">
        <v>1484</v>
      </c>
      <c r="B1480">
        <v>1</v>
      </c>
      <c r="C1480">
        <v>0.97051355557375696</v>
      </c>
      <c r="D1480">
        <v>0.99688754197722995</v>
      </c>
      <c r="E1480">
        <v>1.1090452398503801</v>
      </c>
      <c r="F1480">
        <v>1.0161629399077201</v>
      </c>
      <c r="G1480">
        <v>1.0503999781581901</v>
      </c>
      <c r="H1480">
        <v>0.99025309198132505</v>
      </c>
      <c r="I1480">
        <v>1.1161165260600101</v>
      </c>
      <c r="J1480">
        <v>1.1855734840418299</v>
      </c>
      <c r="K1480">
        <v>1.0487345400933701</v>
      </c>
      <c r="L1480">
        <v>402.606500622228</v>
      </c>
      <c r="M1480">
        <v>6.3711045909389403</v>
      </c>
      <c r="O1480">
        <v>57.8269586007643</v>
      </c>
      <c r="P1480">
        <v>4.4882132228912502E-3</v>
      </c>
      <c r="Q1480">
        <v>1.1625236192144099</v>
      </c>
      <c r="R1480">
        <v>0.340422667874058</v>
      </c>
      <c r="S1480" t="s">
        <v>3482</v>
      </c>
      <c r="T1480" t="s">
        <v>4002</v>
      </c>
      <c r="U1480" t="s">
        <v>4002</v>
      </c>
      <c r="V1480" t="s">
        <v>4002</v>
      </c>
      <c r="W1480" t="s">
        <v>5459</v>
      </c>
      <c r="X1480">
        <v>4</v>
      </c>
      <c r="Y1480" t="s">
        <v>7383</v>
      </c>
      <c r="Z1480" t="s">
        <v>9378</v>
      </c>
      <c r="AA1480">
        <v>1.048726137609493</v>
      </c>
      <c r="AB1480" t="str">
        <f>HYPERLINK("Melting_Curves/meltCurve_Q05209_PTPN12.pdf", "Melting_Curves/meltCurve_Q05209_PTPN12.pdf")</f>
        <v>Melting_Curves/meltCurve_Q05209_PTPN12.pdf</v>
      </c>
    </row>
    <row r="1481" spans="1:28" x14ac:dyDescent="0.25">
      <c r="A1481" t="s">
        <v>1485</v>
      </c>
      <c r="B1481">
        <v>1</v>
      </c>
      <c r="C1481">
        <v>0.91867197394608302</v>
      </c>
      <c r="D1481">
        <v>1.2085218020626001</v>
      </c>
      <c r="E1481">
        <v>1.3214221096435701</v>
      </c>
      <c r="F1481">
        <v>1.47656956757735</v>
      </c>
      <c r="G1481">
        <v>2.4667993486520698</v>
      </c>
      <c r="H1481">
        <v>2.63452144020264</v>
      </c>
      <c r="I1481">
        <v>6.7185634159580196</v>
      </c>
      <c r="J1481">
        <v>3.8852903926180602</v>
      </c>
      <c r="K1481">
        <v>5.7074362221820198</v>
      </c>
      <c r="L1481">
        <v>1618.4909696847001</v>
      </c>
      <c r="M1481">
        <v>34.340906213828703</v>
      </c>
      <c r="O1481">
        <v>46.971153807852801</v>
      </c>
      <c r="P1481">
        <v>9.1388626627897096E-2</v>
      </c>
      <c r="Q1481">
        <v>1.5</v>
      </c>
      <c r="R1481">
        <v>-0.3795244790872</v>
      </c>
      <c r="S1481" t="s">
        <v>3483</v>
      </c>
      <c r="T1481" t="s">
        <v>4002</v>
      </c>
      <c r="U1481" t="s">
        <v>4002</v>
      </c>
      <c r="V1481" t="s">
        <v>4002</v>
      </c>
      <c r="W1481" t="s">
        <v>5460</v>
      </c>
      <c r="X1481">
        <v>1</v>
      </c>
      <c r="Y1481" t="s">
        <v>7384</v>
      </c>
      <c r="Z1481" t="s">
        <v>9379</v>
      </c>
      <c r="AA1481">
        <v>1.3789132816363769</v>
      </c>
      <c r="AB1481" t="str">
        <f>HYPERLINK("Melting_Curves/meltCurve_Q05315_CLC.pdf", "Melting_Curves/meltCurve_Q05315_CLC.pdf")</f>
        <v>Melting_Curves/meltCurve_Q05315_CLC.pdf</v>
      </c>
    </row>
    <row r="1482" spans="1:28" x14ac:dyDescent="0.25">
      <c r="A1482" t="s">
        <v>1486</v>
      </c>
      <c r="B1482">
        <v>1</v>
      </c>
      <c r="C1482">
        <v>0.90361073963584004</v>
      </c>
      <c r="D1482">
        <v>1.0639080341528599</v>
      </c>
      <c r="E1482">
        <v>1.11958646229812</v>
      </c>
      <c r="F1482">
        <v>1.0043205431540001</v>
      </c>
      <c r="G1482">
        <v>1.21908754243391</v>
      </c>
      <c r="H1482">
        <v>0.92687223536673202</v>
      </c>
      <c r="I1482">
        <v>1.313779446559</v>
      </c>
      <c r="J1482">
        <v>1.1703657031169601</v>
      </c>
      <c r="K1482">
        <v>1.05605133216747</v>
      </c>
      <c r="L1482">
        <v>836.93544024091398</v>
      </c>
      <c r="M1482">
        <v>16.771877963970802</v>
      </c>
      <c r="O1482">
        <v>49.207898750942697</v>
      </c>
      <c r="P1482">
        <v>1.13603145608481E-2</v>
      </c>
      <c r="Q1482">
        <v>1.13331381955567</v>
      </c>
      <c r="R1482">
        <v>0.23970647754742999</v>
      </c>
      <c r="S1482" t="s">
        <v>3484</v>
      </c>
      <c r="T1482" t="s">
        <v>4002</v>
      </c>
      <c r="U1482" t="s">
        <v>4002</v>
      </c>
      <c r="V1482" t="s">
        <v>4002</v>
      </c>
      <c r="W1482" t="s">
        <v>5461</v>
      </c>
      <c r="X1482">
        <v>3</v>
      </c>
      <c r="Y1482" t="s">
        <v>7385</v>
      </c>
      <c r="Z1482" t="s">
        <v>9380</v>
      </c>
      <c r="AA1482">
        <v>1.0867140508371069</v>
      </c>
      <c r="AB1482" t="str">
        <f>HYPERLINK("Melting_Curves/meltCurve_Q05655_PRKCD.pdf", "Melting_Curves/meltCurve_Q05655_PRKCD.pdf")</f>
        <v>Melting_Curves/meltCurve_Q05655_PRKCD.pdf</v>
      </c>
    </row>
    <row r="1483" spans="1:28" x14ac:dyDescent="0.25">
      <c r="A1483" t="s">
        <v>1487</v>
      </c>
      <c r="B1483">
        <v>1</v>
      </c>
      <c r="C1483">
        <v>0.91496171708296703</v>
      </c>
      <c r="D1483">
        <v>1.0305008158654401</v>
      </c>
      <c r="E1483">
        <v>1.0836575875486401</v>
      </c>
      <c r="F1483">
        <v>1.1457261202460101</v>
      </c>
      <c r="G1483">
        <v>1.29785364629095</v>
      </c>
      <c r="H1483">
        <v>1.2003263461779801</v>
      </c>
      <c r="I1483">
        <v>1.80977783356345</v>
      </c>
      <c r="J1483">
        <v>1.4172210367767</v>
      </c>
      <c r="K1483">
        <v>1.4335383456759101</v>
      </c>
      <c r="L1483">
        <v>1015.63303579005</v>
      </c>
      <c r="M1483">
        <v>18.179476614245399</v>
      </c>
      <c r="O1483">
        <v>55.204177117330303</v>
      </c>
      <c r="P1483">
        <v>4.1166131230052402E-2</v>
      </c>
      <c r="Q1483">
        <v>1.5</v>
      </c>
      <c r="R1483">
        <v>0.70889206251012904</v>
      </c>
      <c r="S1483" t="s">
        <v>3485</v>
      </c>
      <c r="T1483" t="s">
        <v>4002</v>
      </c>
      <c r="U1483" t="s">
        <v>4002</v>
      </c>
      <c r="V1483" t="s">
        <v>4002</v>
      </c>
      <c r="W1483" t="s">
        <v>5462</v>
      </c>
      <c r="X1483">
        <v>7</v>
      </c>
      <c r="Y1483" t="s">
        <v>7386</v>
      </c>
      <c r="Z1483" t="s">
        <v>9381</v>
      </c>
      <c r="AA1483">
        <v>1.228217069550958</v>
      </c>
      <c r="AB1483" t="str">
        <f>HYPERLINK("Melting_Curves/meltCurve_Q05707_2_COL14A1.pdf", "Melting_Curves/meltCurve_Q05707_2_COL14A1.pdf")</f>
        <v>Melting_Curves/meltCurve_Q05707_2_COL14A1.pdf</v>
      </c>
    </row>
    <row r="1484" spans="1:28" x14ac:dyDescent="0.25">
      <c r="A1484" t="s">
        <v>1488</v>
      </c>
      <c r="B1484">
        <v>1</v>
      </c>
      <c r="C1484">
        <v>1.00869850648285</v>
      </c>
      <c r="D1484">
        <v>0.95404562612834398</v>
      </c>
      <c r="E1484">
        <v>1.03077301821763</v>
      </c>
      <c r="F1484">
        <v>0.968078122435582</v>
      </c>
      <c r="G1484">
        <v>0.962497948465452</v>
      </c>
      <c r="H1484">
        <v>0.89020187099950798</v>
      </c>
      <c r="I1484">
        <v>1.3176596093878199</v>
      </c>
      <c r="J1484">
        <v>1.1089775151813599</v>
      </c>
      <c r="K1484">
        <v>1.1135729525685201</v>
      </c>
      <c r="L1484">
        <v>4582.0110272258999</v>
      </c>
      <c r="M1484">
        <v>73.468533273267795</v>
      </c>
      <c r="O1484">
        <v>62.320835645984197</v>
      </c>
      <c r="P1484">
        <v>5.1105954131154603E-2</v>
      </c>
      <c r="Q1484">
        <v>1.17340564860411</v>
      </c>
      <c r="R1484">
        <v>0.53989614116604701</v>
      </c>
      <c r="S1484" t="s">
        <v>3486</v>
      </c>
      <c r="T1484" t="s">
        <v>4002</v>
      </c>
      <c r="U1484" t="s">
        <v>4002</v>
      </c>
      <c r="V1484" t="s">
        <v>4002</v>
      </c>
      <c r="W1484" t="s">
        <v>5463</v>
      </c>
      <c r="X1484">
        <v>4</v>
      </c>
      <c r="Y1484" t="s">
        <v>7387</v>
      </c>
      <c r="Z1484" t="s">
        <v>9382</v>
      </c>
      <c r="AA1484">
        <v>1.043902083462418</v>
      </c>
      <c r="AB1484" t="str">
        <f>HYPERLINK("Melting_Curves/meltCurve_Q06828_FMOD.pdf", "Melting_Curves/meltCurve_Q06828_FMOD.pdf")</f>
        <v>Melting_Curves/meltCurve_Q06828_FMOD.pdf</v>
      </c>
    </row>
    <row r="1485" spans="1:28" x14ac:dyDescent="0.25">
      <c r="A1485" t="s">
        <v>1489</v>
      </c>
      <c r="B1485">
        <v>1</v>
      </c>
      <c r="C1485">
        <v>0.917686204248784</v>
      </c>
      <c r="D1485">
        <v>1.0889685180445401</v>
      </c>
      <c r="E1485">
        <v>1.1802405938059899</v>
      </c>
      <c r="F1485">
        <v>1.12024571282314</v>
      </c>
      <c r="G1485">
        <v>1.23117481443563</v>
      </c>
      <c r="H1485">
        <v>1.2572818018940399</v>
      </c>
      <c r="I1485">
        <v>1.3717430253391301</v>
      </c>
      <c r="J1485">
        <v>1.5954440747376499</v>
      </c>
      <c r="K1485">
        <v>1.17527514717174</v>
      </c>
      <c r="L1485">
        <v>630.59743285884304</v>
      </c>
      <c r="M1485">
        <v>11.6264653177704</v>
      </c>
      <c r="O1485">
        <v>52.708040173413004</v>
      </c>
      <c r="P1485">
        <v>2.1928511627420402E-2</v>
      </c>
      <c r="Q1485">
        <v>1.3975392502440001</v>
      </c>
      <c r="R1485">
        <v>0.63938979424313402</v>
      </c>
      <c r="S1485" t="s">
        <v>3487</v>
      </c>
      <c r="T1485" t="s">
        <v>4002</v>
      </c>
      <c r="U1485" t="s">
        <v>4002</v>
      </c>
      <c r="V1485" t="s">
        <v>4002</v>
      </c>
      <c r="W1485" t="s">
        <v>5464</v>
      </c>
      <c r="X1485">
        <v>11</v>
      </c>
      <c r="Y1485" t="s">
        <v>7388</v>
      </c>
      <c r="Z1485" t="s">
        <v>9383</v>
      </c>
      <c r="AA1485">
        <v>1.1984467038776949</v>
      </c>
      <c r="AB1485" t="str">
        <f>HYPERLINK("Melting_Curves/meltCurve_Q06830_PRDX1.pdf", "Melting_Curves/meltCurve_Q06830_PRDX1.pdf")</f>
        <v>Melting_Curves/meltCurve_Q06830_PRDX1.pdf</v>
      </c>
    </row>
    <row r="1486" spans="1:28" x14ac:dyDescent="0.25">
      <c r="A1486" t="s">
        <v>1490</v>
      </c>
      <c r="B1486">
        <v>1</v>
      </c>
      <c r="C1486">
        <v>0.90654699049630405</v>
      </c>
      <c r="D1486">
        <v>1.2334389299542401</v>
      </c>
      <c r="E1486">
        <v>1.07761351636748</v>
      </c>
      <c r="F1486">
        <v>1.39894403379092</v>
      </c>
      <c r="G1486">
        <v>1.3986976416754699</v>
      </c>
      <c r="H1486">
        <v>1.20010559662091</v>
      </c>
      <c r="I1486">
        <v>1.56033086941218</v>
      </c>
      <c r="J1486">
        <v>2.67282646955297</v>
      </c>
      <c r="K1486">
        <v>1.19581133403731</v>
      </c>
      <c r="L1486">
        <v>1028.76925309791</v>
      </c>
      <c r="M1486">
        <v>20.045927471601999</v>
      </c>
      <c r="O1486">
        <v>50.818068095751698</v>
      </c>
      <c r="P1486">
        <v>4.9309659438449699E-2</v>
      </c>
      <c r="Q1486">
        <v>1.5</v>
      </c>
      <c r="R1486">
        <v>0.27765537323109302</v>
      </c>
      <c r="S1486" t="s">
        <v>3488</v>
      </c>
      <c r="T1486" t="s">
        <v>4002</v>
      </c>
      <c r="U1486" t="s">
        <v>4002</v>
      </c>
      <c r="V1486" t="s">
        <v>4002</v>
      </c>
      <c r="W1486" t="s">
        <v>5465</v>
      </c>
      <c r="X1486">
        <v>1</v>
      </c>
      <c r="Y1486" t="s">
        <v>7389</v>
      </c>
      <c r="Z1486" t="s">
        <v>9384</v>
      </c>
      <c r="AA1486">
        <v>1.304417381598264</v>
      </c>
      <c r="AB1486" t="str">
        <f>HYPERLINK("Melting_Curves/meltCurve_Q06S70_TREX2.pdf", "Melting_Curves/meltCurve_Q06S70_TREX2.pdf")</f>
        <v>Melting_Curves/meltCurve_Q06S70_TREX2.pdf</v>
      </c>
    </row>
    <row r="1487" spans="1:28" x14ac:dyDescent="0.25">
      <c r="A1487" t="s">
        <v>1491</v>
      </c>
      <c r="B1487">
        <v>1</v>
      </c>
      <c r="C1487">
        <v>0.96056132296937802</v>
      </c>
      <c r="D1487">
        <v>0.99806980019823699</v>
      </c>
      <c r="E1487">
        <v>1.01413740935886</v>
      </c>
      <c r="F1487">
        <v>0.95315352913558304</v>
      </c>
      <c r="G1487">
        <v>0.95967447441181097</v>
      </c>
      <c r="H1487">
        <v>0.93526005529761602</v>
      </c>
      <c r="I1487">
        <v>1.05438468360374</v>
      </c>
      <c r="J1487">
        <v>2.3437581511815999</v>
      </c>
      <c r="K1487">
        <v>0.90179456414001802</v>
      </c>
      <c r="L1487">
        <v>15000</v>
      </c>
      <c r="M1487">
        <v>232.30916429981701</v>
      </c>
      <c r="O1487">
        <v>64.564342110912705</v>
      </c>
      <c r="P1487">
        <v>0.44976289765719601</v>
      </c>
      <c r="Q1487">
        <v>1.5</v>
      </c>
      <c r="R1487">
        <v>0.3657716357895</v>
      </c>
      <c r="S1487" t="s">
        <v>3489</v>
      </c>
      <c r="T1487" t="s">
        <v>4002</v>
      </c>
      <c r="U1487" t="s">
        <v>4002</v>
      </c>
      <c r="V1487" t="s">
        <v>4002</v>
      </c>
      <c r="W1487" t="s">
        <v>5466</v>
      </c>
      <c r="X1487">
        <v>7</v>
      </c>
      <c r="Y1487" t="s">
        <v>7390</v>
      </c>
      <c r="Z1487" t="s">
        <v>9385</v>
      </c>
      <c r="AA1487">
        <v>1.090448926103174</v>
      </c>
      <c r="AB1487" t="str">
        <f>HYPERLINK("Melting_Curves/meltCurve_Q07065_CKAP4.pdf", "Melting_Curves/meltCurve_Q07065_CKAP4.pdf")</f>
        <v>Melting_Curves/meltCurve_Q07065_CKAP4.pdf</v>
      </c>
    </row>
    <row r="1488" spans="1:28" x14ac:dyDescent="0.25">
      <c r="A1488" t="s">
        <v>1492</v>
      </c>
      <c r="B1488">
        <v>1</v>
      </c>
      <c r="C1488">
        <v>0.93838677594390096</v>
      </c>
      <c r="D1488">
        <v>1.06542785562312</v>
      </c>
      <c r="E1488">
        <v>1.19831048331256</v>
      </c>
      <c r="F1488">
        <v>1.06949427805265</v>
      </c>
      <c r="G1488">
        <v>1.0651634752174799</v>
      </c>
      <c r="H1488">
        <v>1.13660913245458</v>
      </c>
      <c r="I1488">
        <v>1.1854943284108199</v>
      </c>
      <c r="J1488">
        <v>1.06491168435497</v>
      </c>
      <c r="K1488">
        <v>1.0233787815840201</v>
      </c>
      <c r="L1488">
        <v>11478.2382597537</v>
      </c>
      <c r="M1488">
        <v>250</v>
      </c>
      <c r="O1488">
        <v>45.9100154093911</v>
      </c>
      <c r="P1488">
        <v>0.144568940210513</v>
      </c>
      <c r="Q1488">
        <v>1.10619459509565</v>
      </c>
      <c r="R1488">
        <v>0.46842068363936101</v>
      </c>
      <c r="S1488" t="s">
        <v>3490</v>
      </c>
      <c r="T1488" t="s">
        <v>4002</v>
      </c>
      <c r="U1488" t="s">
        <v>4002</v>
      </c>
      <c r="V1488" t="s">
        <v>4002</v>
      </c>
      <c r="W1488" t="s">
        <v>5467</v>
      </c>
      <c r="X1488">
        <v>3</v>
      </c>
      <c r="Y1488" t="s">
        <v>7391</v>
      </c>
      <c r="Z1488" t="s">
        <v>9386</v>
      </c>
      <c r="AA1488">
        <v>1.085255249845019</v>
      </c>
      <c r="AB1488" t="str">
        <f>HYPERLINK("Melting_Curves/meltCurve_Q07654_TFF3.pdf", "Melting_Curves/meltCurve_Q07654_TFF3.pdf")</f>
        <v>Melting_Curves/meltCurve_Q07654_TFF3.pdf</v>
      </c>
    </row>
    <row r="1489" spans="1:28" x14ac:dyDescent="0.25">
      <c r="A1489" t="s">
        <v>1493</v>
      </c>
      <c r="B1489">
        <v>1</v>
      </c>
      <c r="C1489">
        <v>0.88487159683336503</v>
      </c>
      <c r="D1489">
        <v>0.94960417068932201</v>
      </c>
      <c r="E1489">
        <v>0.99242131685653601</v>
      </c>
      <c r="F1489">
        <v>1.0164124348329799</v>
      </c>
      <c r="G1489">
        <v>1.06000193087469</v>
      </c>
      <c r="H1489">
        <v>0.95187294844564596</v>
      </c>
      <c r="I1489">
        <v>1.1550009654373401</v>
      </c>
      <c r="J1489">
        <v>0.99251786059084801</v>
      </c>
      <c r="K1489">
        <v>0.91890326317822002</v>
      </c>
      <c r="L1489">
        <v>15000</v>
      </c>
      <c r="M1489">
        <v>221.59276613201601</v>
      </c>
      <c r="O1489">
        <v>67.686227732722401</v>
      </c>
      <c r="P1489">
        <v>-6.6418662643072404E-2</v>
      </c>
      <c r="Q1489">
        <v>0.91884881911496996</v>
      </c>
      <c r="R1489">
        <v>0.11555162815504</v>
      </c>
      <c r="S1489" t="s">
        <v>3491</v>
      </c>
      <c r="T1489" t="s">
        <v>4002</v>
      </c>
      <c r="U1489" t="s">
        <v>4002</v>
      </c>
      <c r="V1489" t="s">
        <v>4002</v>
      </c>
      <c r="W1489" t="s">
        <v>5468</v>
      </c>
      <c r="X1489">
        <v>6</v>
      </c>
      <c r="Y1489" t="s">
        <v>7392</v>
      </c>
      <c r="Z1489" t="s">
        <v>9387</v>
      </c>
      <c r="AA1489">
        <v>0.99376774030849591</v>
      </c>
      <c r="AB1489" t="str">
        <f>HYPERLINK("Melting_Curves/meltCurve_Q07812_5_BAX.pdf", "Melting_Curves/meltCurve_Q07812_5_BAX.pdf")</f>
        <v>Melting_Curves/meltCurve_Q07812_5_BAX.pdf</v>
      </c>
    </row>
    <row r="1490" spans="1:28" x14ac:dyDescent="0.25">
      <c r="A1490" t="s">
        <v>1494</v>
      </c>
      <c r="B1490">
        <v>1</v>
      </c>
      <c r="C1490">
        <v>0.95824722197262402</v>
      </c>
      <c r="D1490">
        <v>1.02475514421781</v>
      </c>
      <c r="E1490">
        <v>0.93304280109024496</v>
      </c>
      <c r="F1490">
        <v>0.92792104711414602</v>
      </c>
      <c r="G1490">
        <v>0.97738640788330799</v>
      </c>
      <c r="H1490">
        <v>0.78547039266780505</v>
      </c>
      <c r="I1490">
        <v>1.12227813220715</v>
      </c>
      <c r="J1490">
        <v>1.1502680684098601</v>
      </c>
      <c r="K1490">
        <v>1.00134782999371</v>
      </c>
      <c r="L1490">
        <v>1954.91566938036</v>
      </c>
      <c r="M1490">
        <v>30.364150391046898</v>
      </c>
      <c r="O1490">
        <v>64.105044770605403</v>
      </c>
      <c r="P1490">
        <v>9.1541167942264592E-3</v>
      </c>
      <c r="Q1490">
        <v>1.0773045037481099</v>
      </c>
      <c r="R1490">
        <v>0.104977290873622</v>
      </c>
      <c r="S1490" t="s">
        <v>3492</v>
      </c>
      <c r="T1490" t="s">
        <v>4002</v>
      </c>
      <c r="U1490" t="s">
        <v>4002</v>
      </c>
      <c r="V1490" t="s">
        <v>4002</v>
      </c>
      <c r="W1490" t="s">
        <v>5469</v>
      </c>
      <c r="X1490">
        <v>3</v>
      </c>
      <c r="Y1490" t="s">
        <v>7393</v>
      </c>
      <c r="Z1490" t="s">
        <v>9388</v>
      </c>
      <c r="AA1490">
        <v>1.0144605379689891</v>
      </c>
      <c r="AB1490" t="str">
        <f>HYPERLINK("Melting_Curves/meltCurve_Q07960_ARHGAP1.pdf", "Melting_Curves/meltCurve_Q07960_ARHGAP1.pdf")</f>
        <v>Melting_Curves/meltCurve_Q07960_ARHGAP1.pdf</v>
      </c>
    </row>
    <row r="1491" spans="1:28" x14ac:dyDescent="0.25">
      <c r="A1491" t="s">
        <v>1495</v>
      </c>
      <c r="B1491">
        <v>1</v>
      </c>
      <c r="C1491">
        <v>0.93104208380021702</v>
      </c>
      <c r="D1491">
        <v>0.99524238138099497</v>
      </c>
      <c r="E1491">
        <v>1.05881812671063</v>
      </c>
      <c r="F1491">
        <v>1.0620143647017799</v>
      </c>
      <c r="G1491">
        <v>1.20474292327192</v>
      </c>
      <c r="H1491">
        <v>1.02994176968717</v>
      </c>
      <c r="I1491">
        <v>1.2990686823784401</v>
      </c>
      <c r="J1491">
        <v>2.64167233049836</v>
      </c>
      <c r="K1491">
        <v>1.1594996234317301</v>
      </c>
      <c r="L1491">
        <v>15000</v>
      </c>
      <c r="M1491">
        <v>234.77346015473901</v>
      </c>
      <c r="O1491">
        <v>63.886721552648602</v>
      </c>
      <c r="P1491">
        <v>0.45935481179536097</v>
      </c>
      <c r="Q1491">
        <v>1.5</v>
      </c>
      <c r="R1491">
        <v>0.35830079635069201</v>
      </c>
      <c r="S1491" t="s">
        <v>3493</v>
      </c>
      <c r="T1491" t="s">
        <v>4002</v>
      </c>
      <c r="U1491" t="s">
        <v>4002</v>
      </c>
      <c r="V1491" t="s">
        <v>4002</v>
      </c>
      <c r="W1491" t="s">
        <v>5470</v>
      </c>
      <c r="X1491">
        <v>9</v>
      </c>
      <c r="Y1491" t="s">
        <v>7394</v>
      </c>
      <c r="Z1491" t="s">
        <v>9389</v>
      </c>
      <c r="AA1491">
        <v>1.1017467845311451</v>
      </c>
      <c r="AB1491" t="str">
        <f>HYPERLINK("Melting_Curves/meltCurve_Q08188_TGM3.pdf", "Melting_Curves/meltCurve_Q08188_TGM3.pdf")</f>
        <v>Melting_Curves/meltCurve_Q08188_TGM3.pdf</v>
      </c>
    </row>
    <row r="1492" spans="1:28" x14ac:dyDescent="0.25">
      <c r="A1492" t="s">
        <v>1496</v>
      </c>
      <c r="B1492">
        <v>1</v>
      </c>
      <c r="C1492">
        <v>0.97840765227176796</v>
      </c>
      <c r="D1492">
        <v>1.1375369250246199</v>
      </c>
      <c r="E1492">
        <v>1.17020678013785</v>
      </c>
      <c r="F1492">
        <v>0.93603179068786002</v>
      </c>
      <c r="G1492">
        <v>1.0450836967224599</v>
      </c>
      <c r="H1492">
        <v>0.74926149950766596</v>
      </c>
      <c r="I1492">
        <v>1.17949078632719</v>
      </c>
      <c r="J1492">
        <v>0.92031228020818701</v>
      </c>
      <c r="K1492">
        <v>0.84892389928259904</v>
      </c>
      <c r="L1492">
        <v>15000</v>
      </c>
      <c r="M1492">
        <v>223.98977103953899</v>
      </c>
      <c r="O1492">
        <v>66.961994184876005</v>
      </c>
      <c r="P1492">
        <v>-0.126351322762257</v>
      </c>
      <c r="Q1492">
        <v>0.84890849428646598</v>
      </c>
      <c r="R1492">
        <v>0.162647615926553</v>
      </c>
      <c r="S1492" t="s">
        <v>3494</v>
      </c>
      <c r="T1492" t="s">
        <v>4002</v>
      </c>
      <c r="U1492" t="s">
        <v>4002</v>
      </c>
      <c r="V1492" t="s">
        <v>4002</v>
      </c>
      <c r="W1492" t="s">
        <v>5471</v>
      </c>
      <c r="X1492">
        <v>4</v>
      </c>
      <c r="Y1492" t="s">
        <v>7395</v>
      </c>
      <c r="Z1492" t="s">
        <v>9390</v>
      </c>
      <c r="AA1492">
        <v>0.98474840076952697</v>
      </c>
      <c r="AB1492" t="str">
        <f>HYPERLINK("Melting_Curves/meltCurve_Q08209_3_PPP3CA.pdf", "Melting_Curves/meltCurve_Q08209_3_PPP3CA.pdf")</f>
        <v>Melting_Curves/meltCurve_Q08209_3_PPP3CA.pdf</v>
      </c>
    </row>
    <row r="1493" spans="1:28" x14ac:dyDescent="0.25">
      <c r="A1493" t="s">
        <v>1497</v>
      </c>
      <c r="B1493">
        <v>1</v>
      </c>
      <c r="C1493">
        <v>1.1805037113313599</v>
      </c>
      <c r="D1493">
        <v>1.61490110267302</v>
      </c>
      <c r="E1493">
        <v>2.0483760243703601</v>
      </c>
      <c r="F1493">
        <v>2.1425751920024001</v>
      </c>
      <c r="G1493">
        <v>2.6603595486334601</v>
      </c>
      <c r="H1493">
        <v>2.1615823572317301</v>
      </c>
      <c r="I1493">
        <v>3.11043892392843</v>
      </c>
      <c r="J1493">
        <v>2.06077573261252</v>
      </c>
      <c r="K1493">
        <v>2.6828849701806301</v>
      </c>
      <c r="L1493">
        <v>10749.495644725301</v>
      </c>
      <c r="M1493">
        <v>250</v>
      </c>
      <c r="O1493">
        <v>42.995218537847798</v>
      </c>
      <c r="P1493">
        <v>0.72682479599942595</v>
      </c>
      <c r="Q1493">
        <v>1.5</v>
      </c>
      <c r="R1493">
        <v>-0.72003853997302503</v>
      </c>
      <c r="S1493" t="s">
        <v>3495</v>
      </c>
      <c r="T1493" t="s">
        <v>4002</v>
      </c>
      <c r="U1493" t="s">
        <v>4002</v>
      </c>
      <c r="V1493" t="s">
        <v>4002</v>
      </c>
      <c r="W1493" t="s">
        <v>5472</v>
      </c>
      <c r="X1493">
        <v>3</v>
      </c>
      <c r="Y1493" t="s">
        <v>7396</v>
      </c>
      <c r="Z1493" t="s">
        <v>9391</v>
      </c>
      <c r="AA1493">
        <v>1.449995893271925</v>
      </c>
      <c r="AB1493" t="str">
        <f>HYPERLINK("Melting_Curves/meltCurve_Q08345_2_DDR1.pdf", "Melting_Curves/meltCurve_Q08345_2_DDR1.pdf")</f>
        <v>Melting_Curves/meltCurve_Q08345_2_DDR1.pdf</v>
      </c>
    </row>
    <row r="1494" spans="1:28" x14ac:dyDescent="0.25">
      <c r="A1494" t="s">
        <v>1498</v>
      </c>
      <c r="B1494">
        <v>1</v>
      </c>
      <c r="C1494">
        <v>0.55891029900332201</v>
      </c>
      <c r="D1494">
        <v>0.44773421926910301</v>
      </c>
      <c r="E1494">
        <v>0.37102990033222599</v>
      </c>
      <c r="F1494">
        <v>0.348810631229236</v>
      </c>
      <c r="G1494">
        <v>0.381182724252492</v>
      </c>
      <c r="H1494">
        <v>0.30182059800664501</v>
      </c>
      <c r="I1494">
        <v>0.33522923588039899</v>
      </c>
      <c r="J1494">
        <v>0.30652491694352202</v>
      </c>
      <c r="K1494">
        <v>0.322897009966777</v>
      </c>
      <c r="L1494">
        <v>2174.8738559675899</v>
      </c>
      <c r="M1494">
        <v>51.3549449974673</v>
      </c>
      <c r="N1494">
        <v>43.363543471334999</v>
      </c>
      <c r="O1494">
        <v>42.285773479736797</v>
      </c>
      <c r="P1494">
        <v>-0.197509894491258</v>
      </c>
      <c r="Q1494">
        <v>0.34948018913840501</v>
      </c>
      <c r="R1494">
        <v>0.96255402783153299</v>
      </c>
      <c r="S1494" t="s">
        <v>3496</v>
      </c>
      <c r="T1494" t="s">
        <v>4002</v>
      </c>
      <c r="U1494" t="s">
        <v>4002</v>
      </c>
      <c r="V1494" t="s">
        <v>4002</v>
      </c>
      <c r="W1494" t="s">
        <v>5473</v>
      </c>
      <c r="X1494">
        <v>3</v>
      </c>
      <c r="Y1494" t="s">
        <v>7397</v>
      </c>
      <c r="Z1494" t="s">
        <v>9392</v>
      </c>
      <c r="AA1494">
        <v>0.40232125643396083</v>
      </c>
      <c r="AB1494" t="str">
        <f>HYPERLINK("Melting_Curves/meltCurve_Q08380_LGALS3BP.pdf", "Melting_Curves/meltCurve_Q08380_LGALS3BP.pdf")</f>
        <v>Melting_Curves/meltCurve_Q08380_LGALS3BP.pdf</v>
      </c>
    </row>
    <row r="1495" spans="1:28" x14ac:dyDescent="0.25">
      <c r="A1495" t="s">
        <v>1499</v>
      </c>
      <c r="B1495">
        <v>1</v>
      </c>
      <c r="C1495">
        <v>1.0633599326406</v>
      </c>
      <c r="D1495">
        <v>0.97726620357081395</v>
      </c>
      <c r="E1495">
        <v>1.01955718851063</v>
      </c>
      <c r="F1495">
        <v>1.00432477945538</v>
      </c>
      <c r="G1495">
        <v>1.05585854526666</v>
      </c>
      <c r="H1495">
        <v>0.88238896224429297</v>
      </c>
      <c r="I1495">
        <v>1.22393172206594</v>
      </c>
      <c r="J1495">
        <v>1.3602962282565001</v>
      </c>
      <c r="K1495">
        <v>0.95062862391641301</v>
      </c>
      <c r="L1495">
        <v>15000</v>
      </c>
      <c r="M1495">
        <v>239.66856057670299</v>
      </c>
      <c r="O1495">
        <v>62.5820812492464</v>
      </c>
      <c r="P1495">
        <v>0.17083045072686001</v>
      </c>
      <c r="Q1495">
        <v>1.17842847392717</v>
      </c>
      <c r="R1495">
        <v>0.37798268548855901</v>
      </c>
      <c r="S1495" t="s">
        <v>3497</v>
      </c>
      <c r="T1495" t="s">
        <v>4002</v>
      </c>
      <c r="U1495" t="s">
        <v>4002</v>
      </c>
      <c r="V1495" t="s">
        <v>4002</v>
      </c>
      <c r="W1495" t="s">
        <v>5474</v>
      </c>
      <c r="X1495">
        <v>10</v>
      </c>
      <c r="Y1495" t="s">
        <v>7398</v>
      </c>
      <c r="Z1495" t="s">
        <v>9393</v>
      </c>
      <c r="AA1495">
        <v>1.0440717311163361</v>
      </c>
      <c r="AB1495" t="str">
        <f>HYPERLINK("Melting_Curves/meltCurve_Q08554_2_DSC1.pdf", "Melting_Curves/meltCurve_Q08554_2_DSC1.pdf")</f>
        <v>Melting_Curves/meltCurve_Q08554_2_DSC1.pdf</v>
      </c>
    </row>
    <row r="1496" spans="1:28" x14ac:dyDescent="0.25">
      <c r="A1496" t="s">
        <v>1500</v>
      </c>
      <c r="B1496">
        <v>1</v>
      </c>
      <c r="C1496">
        <v>0.87992501270971002</v>
      </c>
      <c r="D1496">
        <v>0.99192933401118499</v>
      </c>
      <c r="E1496">
        <v>1.04400737163193</v>
      </c>
      <c r="F1496">
        <v>0.90496314184036597</v>
      </c>
      <c r="G1496">
        <v>0.94001016776817503</v>
      </c>
      <c r="H1496">
        <v>1.1559481443823101</v>
      </c>
      <c r="I1496">
        <v>1.21873411286223</v>
      </c>
      <c r="J1496">
        <v>1.39743263853584</v>
      </c>
      <c r="K1496">
        <v>1.2366548042704599</v>
      </c>
      <c r="L1496">
        <v>3070.38132100138</v>
      </c>
      <c r="M1496">
        <v>50.143604723388599</v>
      </c>
      <c r="O1496">
        <v>61.134610167369502</v>
      </c>
      <c r="P1496">
        <v>6.1487607873641603E-2</v>
      </c>
      <c r="Q1496">
        <v>1.2998601947844199</v>
      </c>
      <c r="R1496">
        <v>0.81577703526731005</v>
      </c>
      <c r="S1496" t="s">
        <v>3498</v>
      </c>
      <c r="T1496" t="s">
        <v>4002</v>
      </c>
      <c r="U1496" t="s">
        <v>4002</v>
      </c>
      <c r="V1496" t="s">
        <v>4002</v>
      </c>
      <c r="W1496" t="s">
        <v>5475</v>
      </c>
      <c r="X1496">
        <v>3</v>
      </c>
      <c r="Y1496" t="s">
        <v>7399</v>
      </c>
      <c r="Z1496" t="s">
        <v>9394</v>
      </c>
      <c r="AA1496">
        <v>1.086867544725745</v>
      </c>
      <c r="AB1496" t="str">
        <f>HYPERLINK("Melting_Curves/meltCurve_Q08752_PPID.pdf", "Melting_Curves/meltCurve_Q08752_PPID.pdf")</f>
        <v>Melting_Curves/meltCurve_Q08752_PPID.pdf</v>
      </c>
    </row>
    <row r="1497" spans="1:28" x14ac:dyDescent="0.25">
      <c r="A1497" t="s">
        <v>1501</v>
      </c>
      <c r="B1497">
        <v>1</v>
      </c>
      <c r="C1497">
        <v>0.94526283981394499</v>
      </c>
      <c r="D1497">
        <v>0.96235741034523703</v>
      </c>
      <c r="E1497">
        <v>0.89937514164535204</v>
      </c>
      <c r="F1497">
        <v>0.91312418385296901</v>
      </c>
      <c r="G1497">
        <v>1.28425119521697</v>
      </c>
      <c r="H1497">
        <v>1.1112550048024501</v>
      </c>
      <c r="I1497">
        <v>1.43695837515244</v>
      </c>
      <c r="J1497">
        <v>1.0781018983175199</v>
      </c>
      <c r="K1497">
        <v>1.17320123892468</v>
      </c>
      <c r="L1497">
        <v>4096.46717315349</v>
      </c>
      <c r="M1497">
        <v>74.435092786236396</v>
      </c>
      <c r="O1497">
        <v>54.994400830680298</v>
      </c>
      <c r="P1497">
        <v>7.3602992381975402E-2</v>
      </c>
      <c r="Q1497">
        <v>1.2175184625189901</v>
      </c>
      <c r="R1497">
        <v>0.59706131440583599</v>
      </c>
      <c r="S1497" t="s">
        <v>3499</v>
      </c>
      <c r="T1497" t="s">
        <v>4002</v>
      </c>
      <c r="U1497" t="s">
        <v>4002</v>
      </c>
      <c r="V1497" t="s">
        <v>4002</v>
      </c>
      <c r="W1497" t="s">
        <v>5476</v>
      </c>
      <c r="X1497">
        <v>2</v>
      </c>
      <c r="Y1497" t="s">
        <v>7400</v>
      </c>
      <c r="Z1497" t="s">
        <v>9395</v>
      </c>
      <c r="AA1497">
        <v>1.108274570551496</v>
      </c>
      <c r="AB1497" t="str">
        <f>HYPERLINK("Melting_Curves/meltCurve_Q08ET2_SIGLEC14.pdf", "Melting_Curves/meltCurve_Q08ET2_SIGLEC14.pdf")</f>
        <v>Melting_Curves/meltCurve_Q08ET2_SIGLEC14.pdf</v>
      </c>
    </row>
    <row r="1498" spans="1:28" x14ac:dyDescent="0.25">
      <c r="A1498" t="s">
        <v>1502</v>
      </c>
      <c r="B1498">
        <v>1</v>
      </c>
      <c r="C1498">
        <v>0.91348042574573995</v>
      </c>
      <c r="D1498">
        <v>0.98625005710109204</v>
      </c>
      <c r="E1498">
        <v>0.98309807683522898</v>
      </c>
      <c r="F1498">
        <v>0.95938970353113195</v>
      </c>
      <c r="G1498">
        <v>0.97898679822758194</v>
      </c>
      <c r="H1498">
        <v>0.923804303138276</v>
      </c>
      <c r="I1498">
        <v>1.0708053537983599</v>
      </c>
      <c r="J1498">
        <v>1.53953679594354</v>
      </c>
      <c r="K1498">
        <v>0.91270385089762895</v>
      </c>
      <c r="L1498">
        <v>15000</v>
      </c>
      <c r="M1498">
        <v>233.591366917155</v>
      </c>
      <c r="O1498">
        <v>64.209990794092505</v>
      </c>
      <c r="P1498">
        <v>0.20563746845719</v>
      </c>
      <c r="Q1498">
        <v>1.2261039180506801</v>
      </c>
      <c r="R1498">
        <v>0.32035310834881903</v>
      </c>
      <c r="S1498" t="s">
        <v>3500</v>
      </c>
      <c r="T1498" t="s">
        <v>4002</v>
      </c>
      <c r="U1498" t="s">
        <v>4002</v>
      </c>
      <c r="V1498" t="s">
        <v>4002</v>
      </c>
      <c r="W1498" t="s">
        <v>5477</v>
      </c>
      <c r="X1498">
        <v>42</v>
      </c>
      <c r="Y1498" t="s">
        <v>7401</v>
      </c>
      <c r="Z1498" t="s">
        <v>9396</v>
      </c>
      <c r="AA1498">
        <v>1.043573431245002</v>
      </c>
      <c r="AB1498" t="str">
        <f>HYPERLINK("Melting_Curves/meltCurve_Q09666_AHNAK.pdf", "Melting_Curves/meltCurve_Q09666_AHNAK.pdf")</f>
        <v>Melting_Curves/meltCurve_Q09666_AHNAK.pdf</v>
      </c>
    </row>
    <row r="1499" spans="1:28" x14ac:dyDescent="0.25">
      <c r="A1499" t="s">
        <v>1503</v>
      </c>
      <c r="B1499">
        <v>1</v>
      </c>
      <c r="C1499">
        <v>0.95567594188623495</v>
      </c>
      <c r="D1499">
        <v>0.99458261511942903</v>
      </c>
      <c r="E1499">
        <v>1.0006019316534001</v>
      </c>
      <c r="F1499">
        <v>0.92629073298859099</v>
      </c>
      <c r="G1499">
        <v>1.0223261922350799</v>
      </c>
      <c r="H1499">
        <v>0.82719089441571603</v>
      </c>
      <c r="I1499">
        <v>1.07349038277381</v>
      </c>
      <c r="J1499">
        <v>0.83753317464226096</v>
      </c>
      <c r="K1499">
        <v>0.85477030835317003</v>
      </c>
      <c r="L1499">
        <v>461.01163776483003</v>
      </c>
      <c r="M1499">
        <v>4.7637023092656996</v>
      </c>
      <c r="Q1499">
        <v>0</v>
      </c>
      <c r="R1499">
        <v>0.25949745473031599</v>
      </c>
      <c r="S1499" t="s">
        <v>3501</v>
      </c>
      <c r="T1499" t="s">
        <v>4002</v>
      </c>
      <c r="U1499" t="s">
        <v>4002</v>
      </c>
      <c r="V1499" t="s">
        <v>4002</v>
      </c>
      <c r="W1499" t="s">
        <v>5478</v>
      </c>
      <c r="X1499">
        <v>1</v>
      </c>
      <c r="Y1499" t="s">
        <v>7402</v>
      </c>
      <c r="Z1499" t="s">
        <v>9397</v>
      </c>
      <c r="AA1499">
        <v>0.95878450681864824</v>
      </c>
      <c r="AB1499" t="str">
        <f>HYPERLINK("Melting_Curves/meltCurve_Q10469_MGAT2.pdf", "Melting_Curves/meltCurve_Q10469_MGAT2.pdf")</f>
        <v>Melting_Curves/meltCurve_Q10469_MGAT2.pdf</v>
      </c>
    </row>
    <row r="1500" spans="1:28" x14ac:dyDescent="0.25">
      <c r="A1500" t="s">
        <v>1504</v>
      </c>
      <c r="B1500">
        <v>1</v>
      </c>
      <c r="C1500">
        <v>1.02403733955659</v>
      </c>
      <c r="D1500">
        <v>1.1969524332486801</v>
      </c>
      <c r="E1500">
        <v>1.9394604983183501</v>
      </c>
      <c r="F1500">
        <v>2.4744320131786699</v>
      </c>
      <c r="G1500">
        <v>2.6560505182236298</v>
      </c>
      <c r="H1500">
        <v>2.8158418559956102</v>
      </c>
      <c r="I1500">
        <v>3.1177156977143201</v>
      </c>
      <c r="J1500">
        <v>4.2729082298030097</v>
      </c>
      <c r="K1500">
        <v>2.7876999107694398</v>
      </c>
      <c r="L1500">
        <v>11519.822664216899</v>
      </c>
      <c r="M1500">
        <v>250</v>
      </c>
      <c r="O1500">
        <v>46.0763428192232</v>
      </c>
      <c r="P1500">
        <v>0.67822224499636896</v>
      </c>
      <c r="Q1500">
        <v>1.5</v>
      </c>
      <c r="R1500">
        <v>-0.63737196441616895</v>
      </c>
      <c r="S1500" t="s">
        <v>3502</v>
      </c>
      <c r="T1500" t="s">
        <v>4002</v>
      </c>
      <c r="U1500" t="s">
        <v>4002</v>
      </c>
      <c r="V1500" t="s">
        <v>4002</v>
      </c>
      <c r="W1500" t="s">
        <v>5479</v>
      </c>
      <c r="X1500">
        <v>5</v>
      </c>
      <c r="Y1500" t="s">
        <v>7403</v>
      </c>
      <c r="Z1500" t="s">
        <v>9398</v>
      </c>
      <c r="AA1500">
        <v>1.3986380548333031</v>
      </c>
      <c r="AB1500" t="str">
        <f>HYPERLINK("Melting_Curves/meltCurve_Q10567_3_AP1B1.pdf", "Melting_Curves/meltCurve_Q10567_3_AP1B1.pdf")</f>
        <v>Melting_Curves/meltCurve_Q10567_3_AP1B1.pdf</v>
      </c>
    </row>
    <row r="1501" spans="1:28" x14ac:dyDescent="0.25">
      <c r="A1501" t="s">
        <v>1505</v>
      </c>
      <c r="B1501">
        <v>1</v>
      </c>
      <c r="C1501">
        <v>0.89528735632183898</v>
      </c>
      <c r="D1501">
        <v>1.26218390804598</v>
      </c>
      <c r="E1501">
        <v>1.44063218390805</v>
      </c>
      <c r="F1501">
        <v>1.2725287356321799</v>
      </c>
      <c r="G1501">
        <v>1.7102873563218399</v>
      </c>
      <c r="H1501">
        <v>0.81413793103448295</v>
      </c>
      <c r="I1501">
        <v>2.05471264367816</v>
      </c>
      <c r="J1501">
        <v>0.85850574712643701</v>
      </c>
      <c r="K1501">
        <v>1.0245977011494301</v>
      </c>
      <c r="L1501">
        <v>11422.459145053999</v>
      </c>
      <c r="M1501">
        <v>250</v>
      </c>
      <c r="O1501">
        <v>45.686912774402998</v>
      </c>
      <c r="P1501">
        <v>0.42513783844431102</v>
      </c>
      <c r="Q1501">
        <v>1.31077176483272</v>
      </c>
      <c r="R1501">
        <v>0.13588342146542701</v>
      </c>
      <c r="S1501" t="s">
        <v>3503</v>
      </c>
      <c r="T1501" t="s">
        <v>4002</v>
      </c>
      <c r="U1501" t="s">
        <v>4002</v>
      </c>
      <c r="V1501" t="s">
        <v>4002</v>
      </c>
      <c r="W1501" t="s">
        <v>5480</v>
      </c>
      <c r="X1501">
        <v>3</v>
      </c>
      <c r="Y1501" t="s">
        <v>7404</v>
      </c>
      <c r="Z1501" t="s">
        <v>9399</v>
      </c>
      <c r="AA1501">
        <v>1.2518054937588581</v>
      </c>
      <c r="AB1501" t="str">
        <f>HYPERLINK("Melting_Curves/meltCurve_Q12765_SCRN1.pdf", "Melting_Curves/meltCurve_Q12765_SCRN1.pdf")</f>
        <v>Melting_Curves/meltCurve_Q12765_SCRN1.pdf</v>
      </c>
    </row>
    <row r="1502" spans="1:28" x14ac:dyDescent="0.25">
      <c r="A1502" t="s">
        <v>1506</v>
      </c>
      <c r="B1502">
        <v>1</v>
      </c>
      <c r="C1502">
        <v>0.85282059691702194</v>
      </c>
      <c r="D1502">
        <v>1.01648081338144</v>
      </c>
      <c r="E1502">
        <v>0.93768448671695603</v>
      </c>
      <c r="F1502">
        <v>0.97449983601180701</v>
      </c>
      <c r="G1502">
        <v>0.98466710396851398</v>
      </c>
      <c r="H1502">
        <v>0.91538209248934099</v>
      </c>
      <c r="I1502">
        <v>1.00828140373893</v>
      </c>
      <c r="J1502">
        <v>0.86979337487700903</v>
      </c>
      <c r="K1502">
        <v>0.78188750409970498</v>
      </c>
      <c r="L1502">
        <v>1173.94320664218</v>
      </c>
      <c r="M1502">
        <v>15.4859241117579</v>
      </c>
      <c r="Q1502">
        <v>0</v>
      </c>
      <c r="R1502">
        <v>0.37544857503797202</v>
      </c>
      <c r="S1502" t="s">
        <v>3504</v>
      </c>
      <c r="T1502" t="s">
        <v>4002</v>
      </c>
      <c r="U1502" t="s">
        <v>4002</v>
      </c>
      <c r="V1502" t="s">
        <v>4002</v>
      </c>
      <c r="W1502" t="s">
        <v>5481</v>
      </c>
      <c r="X1502">
        <v>6</v>
      </c>
      <c r="Y1502" t="s">
        <v>7405</v>
      </c>
      <c r="Z1502" t="s">
        <v>9400</v>
      </c>
      <c r="AA1502">
        <v>0.96967162174897092</v>
      </c>
      <c r="AB1502" t="str">
        <f>HYPERLINK("Melting_Curves/meltCurve_Q12802_4_AKAP13.pdf", "Melting_Curves/meltCurve_Q12802_4_AKAP13.pdf")</f>
        <v>Melting_Curves/meltCurve_Q12802_4_AKAP13.pdf</v>
      </c>
    </row>
    <row r="1503" spans="1:28" x14ac:dyDescent="0.25">
      <c r="A1503" t="s">
        <v>1507</v>
      </c>
      <c r="B1503">
        <v>1</v>
      </c>
      <c r="C1503">
        <v>1.0097558559897</v>
      </c>
      <c r="D1503">
        <v>1.1408904075669799</v>
      </c>
      <c r="E1503">
        <v>1.3054523844896699</v>
      </c>
      <c r="F1503">
        <v>1.2185906007032099</v>
      </c>
      <c r="G1503">
        <v>1.36552270588818</v>
      </c>
      <c r="H1503">
        <v>1.16926657752687</v>
      </c>
      <c r="I1503">
        <v>1.59906898430149</v>
      </c>
      <c r="J1503">
        <v>1.20680433813698</v>
      </c>
      <c r="K1503">
        <v>1.3007477838854999</v>
      </c>
      <c r="L1503">
        <v>1447.6479442126599</v>
      </c>
      <c r="M1503">
        <v>31.217463666384798</v>
      </c>
      <c r="O1503">
        <v>46.183967731418697</v>
      </c>
      <c r="P1503">
        <v>5.3174332934092697E-2</v>
      </c>
      <c r="Q1503">
        <v>1.3146684892735001</v>
      </c>
      <c r="R1503">
        <v>0.55117848537308101</v>
      </c>
      <c r="S1503" t="s">
        <v>3505</v>
      </c>
      <c r="T1503" t="s">
        <v>4002</v>
      </c>
      <c r="U1503" t="s">
        <v>4002</v>
      </c>
      <c r="V1503" t="s">
        <v>4002</v>
      </c>
      <c r="W1503" t="s">
        <v>5482</v>
      </c>
      <c r="X1503">
        <v>7</v>
      </c>
      <c r="Y1503" t="s">
        <v>7406</v>
      </c>
      <c r="Z1503" t="s">
        <v>9401</v>
      </c>
      <c r="AA1503">
        <v>1.246081369201351</v>
      </c>
      <c r="AB1503" t="str">
        <f>HYPERLINK("Melting_Curves/meltCurve_Q12805_2_EFEMP1.pdf", "Melting_Curves/meltCurve_Q12805_2_EFEMP1.pdf")</f>
        <v>Melting_Curves/meltCurve_Q12805_2_EFEMP1.pdf</v>
      </c>
    </row>
    <row r="1504" spans="1:28" x14ac:dyDescent="0.25">
      <c r="A1504" t="s">
        <v>1508</v>
      </c>
      <c r="B1504">
        <v>1</v>
      </c>
      <c r="C1504">
        <v>0.88197552969262905</v>
      </c>
      <c r="D1504">
        <v>0.97418680990748996</v>
      </c>
      <c r="E1504">
        <v>0.94862230180045803</v>
      </c>
      <c r="F1504">
        <v>0.86799960210882299</v>
      </c>
      <c r="G1504">
        <v>0.95722669849796105</v>
      </c>
      <c r="H1504">
        <v>0.62135680891276202</v>
      </c>
      <c r="I1504">
        <v>0.98627275440167095</v>
      </c>
      <c r="J1504">
        <v>0.64070426738287101</v>
      </c>
      <c r="K1504">
        <v>0.75957425644086296</v>
      </c>
      <c r="L1504">
        <v>254.365540185029</v>
      </c>
      <c r="M1504">
        <v>2.6608032599237101</v>
      </c>
      <c r="O1504">
        <v>66.546515562131702</v>
      </c>
      <c r="P1504">
        <v>-1.0428425145247701E-2</v>
      </c>
      <c r="Q1504">
        <v>0</v>
      </c>
      <c r="R1504">
        <v>0.38102727675737202</v>
      </c>
      <c r="S1504" t="s">
        <v>3506</v>
      </c>
      <c r="T1504" t="s">
        <v>4002</v>
      </c>
      <c r="U1504" t="s">
        <v>4002</v>
      </c>
      <c r="V1504" t="s">
        <v>4002</v>
      </c>
      <c r="W1504" t="s">
        <v>5483</v>
      </c>
      <c r="X1504">
        <v>12</v>
      </c>
      <c r="Y1504" t="s">
        <v>7407</v>
      </c>
      <c r="Z1504" t="s">
        <v>9402</v>
      </c>
      <c r="AA1504">
        <v>0.86804345722210063</v>
      </c>
      <c r="AB1504" t="str">
        <f>HYPERLINK("Melting_Curves/meltCurve_Q12841_FSTL1.pdf", "Melting_Curves/meltCurve_Q12841_FSTL1.pdf")</f>
        <v>Melting_Curves/meltCurve_Q12841_FSTL1.pdf</v>
      </c>
    </row>
    <row r="1505" spans="1:28" x14ac:dyDescent="0.25">
      <c r="A1505" t="s">
        <v>1509</v>
      </c>
      <c r="B1505">
        <v>1</v>
      </c>
      <c r="C1505">
        <v>0.937212073073868</v>
      </c>
      <c r="D1505">
        <v>0.99166004765687099</v>
      </c>
      <c r="E1505">
        <v>0.96973788721207299</v>
      </c>
      <c r="F1505">
        <v>0.90929308975377299</v>
      </c>
      <c r="G1505">
        <v>0.94769658459094497</v>
      </c>
      <c r="H1505">
        <v>0.91270849880857796</v>
      </c>
      <c r="I1505">
        <v>1.20254169976172</v>
      </c>
      <c r="J1505">
        <v>1.53776806989674</v>
      </c>
      <c r="K1505">
        <v>0.99674344718030194</v>
      </c>
      <c r="L1505">
        <v>15000</v>
      </c>
      <c r="M1505">
        <v>235.51594525171001</v>
      </c>
      <c r="O1505">
        <v>63.685365520612599</v>
      </c>
      <c r="P1505">
        <v>0.247085105826788</v>
      </c>
      <c r="Q1505">
        <v>1.26725501860138</v>
      </c>
      <c r="R1505">
        <v>0.49640165433765099</v>
      </c>
      <c r="S1505" t="s">
        <v>3507</v>
      </c>
      <c r="T1505" t="s">
        <v>4002</v>
      </c>
      <c r="U1505" t="s">
        <v>4002</v>
      </c>
      <c r="V1505" t="s">
        <v>4002</v>
      </c>
      <c r="W1505" t="s">
        <v>5484</v>
      </c>
      <c r="X1505">
        <v>11</v>
      </c>
      <c r="Y1505" t="s">
        <v>7408</v>
      </c>
      <c r="Z1505" t="s">
        <v>9403</v>
      </c>
      <c r="AA1505">
        <v>1.056179377505172</v>
      </c>
      <c r="AB1505" t="str">
        <f>HYPERLINK("Melting_Curves/meltCurve_Q12906_5_ILF3.pdf", "Melting_Curves/meltCurve_Q12906_5_ILF3.pdf")</f>
        <v>Melting_Curves/meltCurve_Q12906_5_ILF3.pdf</v>
      </c>
    </row>
    <row r="1506" spans="1:28" x14ac:dyDescent="0.25">
      <c r="A1506" t="s">
        <v>1510</v>
      </c>
      <c r="B1506">
        <v>1</v>
      </c>
      <c r="C1506">
        <v>0.82052230915627</v>
      </c>
      <c r="D1506">
        <v>0.77812433918376001</v>
      </c>
      <c r="E1506">
        <v>0.67234087544935495</v>
      </c>
      <c r="F1506">
        <v>0.60250581518291402</v>
      </c>
      <c r="G1506">
        <v>0.55767604144639504</v>
      </c>
      <c r="H1506">
        <v>0.52238316768872906</v>
      </c>
      <c r="I1506">
        <v>0.61773102135758096</v>
      </c>
      <c r="J1506">
        <v>0.55069782194967198</v>
      </c>
      <c r="K1506">
        <v>0.50497462465637599</v>
      </c>
      <c r="L1506">
        <v>617.42822327476199</v>
      </c>
      <c r="M1506">
        <v>13.4300163461354</v>
      </c>
      <c r="O1506">
        <v>44.990350674683597</v>
      </c>
      <c r="P1506">
        <v>-3.4451946110903103E-2</v>
      </c>
      <c r="Q1506">
        <v>0.53841804964264395</v>
      </c>
      <c r="R1506">
        <v>0.94010503447169802</v>
      </c>
      <c r="S1506" t="s">
        <v>3508</v>
      </c>
      <c r="T1506" t="s">
        <v>4002</v>
      </c>
      <c r="U1506" t="s">
        <v>4002</v>
      </c>
      <c r="V1506" t="s">
        <v>4002</v>
      </c>
      <c r="W1506" t="s">
        <v>5485</v>
      </c>
      <c r="X1506">
        <v>4</v>
      </c>
      <c r="Y1506" t="s">
        <v>7409</v>
      </c>
      <c r="Z1506" t="s">
        <v>9404</v>
      </c>
      <c r="AA1506">
        <v>0.64727579110253475</v>
      </c>
      <c r="AB1506" t="str">
        <f>HYPERLINK("Melting_Curves/meltCurve_Q12913_PTPRJ.pdf", "Melting_Curves/meltCurve_Q12913_PTPRJ.pdf")</f>
        <v>Melting_Curves/meltCurve_Q12913_PTPRJ.pdf</v>
      </c>
    </row>
    <row r="1507" spans="1:28" x14ac:dyDescent="0.25">
      <c r="A1507" t="s">
        <v>1511</v>
      </c>
      <c r="B1507">
        <v>1</v>
      </c>
      <c r="C1507">
        <v>0.91039084842707296</v>
      </c>
      <c r="D1507">
        <v>0.92618820645512701</v>
      </c>
      <c r="E1507">
        <v>0.95301647827863301</v>
      </c>
      <c r="F1507">
        <v>0.94352898452040501</v>
      </c>
      <c r="G1507">
        <v>0.95401516183212998</v>
      </c>
      <c r="H1507">
        <v>0.85532706886377097</v>
      </c>
      <c r="I1507">
        <v>1.22061827590903</v>
      </c>
      <c r="J1507">
        <v>1.0182940669117999</v>
      </c>
      <c r="K1507">
        <v>1.13536701620591</v>
      </c>
      <c r="L1507">
        <v>3768.79334956087</v>
      </c>
      <c r="M1507">
        <v>60.045746027157598</v>
      </c>
      <c r="O1507">
        <v>62.695853584472601</v>
      </c>
      <c r="P1507">
        <v>2.79044336825627E-2</v>
      </c>
      <c r="Q1507">
        <v>1.1165439328518201</v>
      </c>
      <c r="R1507">
        <v>0.316341665929948</v>
      </c>
      <c r="S1507" t="s">
        <v>3509</v>
      </c>
      <c r="T1507" t="s">
        <v>4002</v>
      </c>
      <c r="U1507" t="s">
        <v>4002</v>
      </c>
      <c r="V1507" t="s">
        <v>4002</v>
      </c>
      <c r="W1507" t="s">
        <v>5486</v>
      </c>
      <c r="X1507">
        <v>6</v>
      </c>
      <c r="Y1507" t="s">
        <v>7410</v>
      </c>
      <c r="Z1507" t="s">
        <v>9405</v>
      </c>
      <c r="AA1507">
        <v>1.0278923174527039</v>
      </c>
      <c r="AB1507" t="str">
        <f>HYPERLINK("Melting_Curves/meltCurve_Q13043_STK4.pdf", "Melting_Curves/meltCurve_Q13043_STK4.pdf")</f>
        <v>Melting_Curves/meltCurve_Q13043_STK4.pdf</v>
      </c>
    </row>
    <row r="1508" spans="1:28" x14ac:dyDescent="0.25">
      <c r="A1508" t="s">
        <v>1512</v>
      </c>
      <c r="B1508">
        <v>1</v>
      </c>
      <c r="C1508">
        <v>1.10278488140206</v>
      </c>
      <c r="D1508">
        <v>1.1707998029233</v>
      </c>
      <c r="E1508">
        <v>1.23792318701171</v>
      </c>
      <c r="F1508">
        <v>0.92485277901602403</v>
      </c>
      <c r="G1508">
        <v>1.04741571452033</v>
      </c>
      <c r="H1508">
        <v>0.92895854350937301</v>
      </c>
      <c r="I1508">
        <v>1.0855172090186</v>
      </c>
      <c r="J1508">
        <v>1.2576073950683899</v>
      </c>
      <c r="K1508">
        <v>0.81050137249841603</v>
      </c>
      <c r="L1508">
        <v>15000</v>
      </c>
      <c r="M1508">
        <v>212.83226921359099</v>
      </c>
      <c r="Q1508">
        <v>0</v>
      </c>
      <c r="R1508">
        <v>2.0477337943916402E-2</v>
      </c>
      <c r="S1508" t="s">
        <v>3510</v>
      </c>
      <c r="T1508" t="s">
        <v>4002</v>
      </c>
      <c r="U1508" t="s">
        <v>4002</v>
      </c>
      <c r="V1508" t="s">
        <v>4002</v>
      </c>
      <c r="W1508" t="s">
        <v>5487</v>
      </c>
      <c r="X1508">
        <v>1</v>
      </c>
      <c r="Y1508" t="s">
        <v>7411</v>
      </c>
      <c r="Z1508" t="s">
        <v>9406</v>
      </c>
      <c r="AA1508">
        <v>0.99773475775948106</v>
      </c>
      <c r="AB1508" t="str">
        <f>HYPERLINK("Melting_Curves/meltCurve_Q13045_2_FLII.pdf", "Melting_Curves/meltCurve_Q13045_2_FLII.pdf")</f>
        <v>Melting_Curves/meltCurve_Q13045_2_FLII.pdf</v>
      </c>
    </row>
    <row r="1509" spans="1:28" x14ac:dyDescent="0.25">
      <c r="A1509" t="s">
        <v>1513</v>
      </c>
      <c r="B1509">
        <v>1</v>
      </c>
      <c r="C1509">
        <v>0.78166273697931599</v>
      </c>
      <c r="D1509">
        <v>0.818295090766193</v>
      </c>
      <c r="E1509">
        <v>0.826748710870857</v>
      </c>
      <c r="F1509">
        <v>0.86777081296605096</v>
      </c>
      <c r="G1509">
        <v>0.88511894492686904</v>
      </c>
      <c r="H1509">
        <v>0.56591331684781598</v>
      </c>
      <c r="I1509">
        <v>0.98037073245538398</v>
      </c>
      <c r="J1509">
        <v>0.82776467881994398</v>
      </c>
      <c r="K1509">
        <v>0.69026395997469703</v>
      </c>
      <c r="L1509">
        <v>10260.351073858101</v>
      </c>
      <c r="M1509">
        <v>250</v>
      </c>
      <c r="O1509">
        <v>41.038768248839503</v>
      </c>
      <c r="P1509">
        <v>-0.29716033778350198</v>
      </c>
      <c r="Q1509">
        <v>0.80487844632686301</v>
      </c>
      <c r="R1509">
        <v>0.23243220030525999</v>
      </c>
      <c r="S1509" t="s">
        <v>3511</v>
      </c>
      <c r="T1509" t="s">
        <v>4002</v>
      </c>
      <c r="U1509" t="s">
        <v>4002</v>
      </c>
      <c r="V1509" t="s">
        <v>4002</v>
      </c>
      <c r="W1509" t="s">
        <v>5488</v>
      </c>
      <c r="X1509">
        <v>1</v>
      </c>
      <c r="Y1509" t="s">
        <v>7412</v>
      </c>
      <c r="Z1509" t="s">
        <v>9407</v>
      </c>
      <c r="AA1509">
        <v>0.81166734657935313</v>
      </c>
      <c r="AB1509" t="str">
        <f>HYPERLINK("Melting_Curves/meltCurve_Q13113_PDZK1IP1.pdf", "Melting_Curves/meltCurve_Q13113_PDZK1IP1.pdf")</f>
        <v>Melting_Curves/meltCurve_Q13113_PDZK1IP1.pdf</v>
      </c>
    </row>
    <row r="1510" spans="1:28" x14ac:dyDescent="0.25">
      <c r="A1510" t="s">
        <v>1514</v>
      </c>
      <c r="B1510">
        <v>1</v>
      </c>
      <c r="C1510">
        <v>0.93579790511398597</v>
      </c>
      <c r="D1510">
        <v>1.0426370918053001</v>
      </c>
      <c r="E1510">
        <v>0.98821113164920904</v>
      </c>
      <c r="F1510">
        <v>0.86728280961183002</v>
      </c>
      <c r="G1510">
        <v>0.954569726843294</v>
      </c>
      <c r="H1510">
        <v>0.81010474430067803</v>
      </c>
      <c r="I1510">
        <v>1.0608749229821299</v>
      </c>
      <c r="J1510">
        <v>0.97831176833025302</v>
      </c>
      <c r="K1510">
        <v>1.04202094886014</v>
      </c>
      <c r="L1510">
        <v>12555.8366908971</v>
      </c>
      <c r="M1510">
        <v>250</v>
      </c>
      <c r="O1510">
        <v>50.220133837285701</v>
      </c>
      <c r="P1510">
        <v>-5.9495309558291E-2</v>
      </c>
      <c r="Q1510">
        <v>0.95219420250141396</v>
      </c>
      <c r="R1510">
        <v>6.2588633582783895E-2</v>
      </c>
      <c r="S1510" t="s">
        <v>3512</v>
      </c>
      <c r="T1510" t="s">
        <v>4002</v>
      </c>
      <c r="U1510" t="s">
        <v>4002</v>
      </c>
      <c r="V1510" t="s">
        <v>4002</v>
      </c>
      <c r="W1510" t="s">
        <v>5489</v>
      </c>
      <c r="X1510">
        <v>5</v>
      </c>
      <c r="Y1510" t="s">
        <v>7413</v>
      </c>
      <c r="Z1510" t="s">
        <v>9408</v>
      </c>
      <c r="AA1510">
        <v>0.96848959099931731</v>
      </c>
      <c r="AB1510" t="str">
        <f>HYPERLINK("Melting_Curves/meltCurve_Q13153_PAK1.pdf", "Melting_Curves/meltCurve_Q13153_PAK1.pdf")</f>
        <v>Melting_Curves/meltCurve_Q13153_PAK1.pdf</v>
      </c>
    </row>
    <row r="1511" spans="1:28" x14ac:dyDescent="0.25">
      <c r="A1511" t="s">
        <v>1515</v>
      </c>
      <c r="B1511">
        <v>1</v>
      </c>
      <c r="C1511">
        <v>0.826227666631005</v>
      </c>
      <c r="D1511">
        <v>0.99095966620305997</v>
      </c>
      <c r="E1511">
        <v>0.90973039477907303</v>
      </c>
      <c r="F1511">
        <v>0.84195463785171698</v>
      </c>
      <c r="G1511">
        <v>0.90542420027816395</v>
      </c>
      <c r="H1511">
        <v>0.64140900823793701</v>
      </c>
      <c r="I1511">
        <v>1.1488980421525601</v>
      </c>
      <c r="J1511">
        <v>0.78896972290574496</v>
      </c>
      <c r="K1511">
        <v>0.74601476409543199</v>
      </c>
      <c r="L1511">
        <v>127.582122649301</v>
      </c>
      <c r="M1511">
        <v>0.33116730498566299</v>
      </c>
      <c r="O1511">
        <v>50.823572345448802</v>
      </c>
      <c r="P1511">
        <v>-4.5100031619154804E-3</v>
      </c>
      <c r="Q1511">
        <v>0</v>
      </c>
      <c r="R1511">
        <v>9.9326899038424801E-2</v>
      </c>
      <c r="S1511" t="s">
        <v>3513</v>
      </c>
      <c r="T1511" t="s">
        <v>4002</v>
      </c>
      <c r="U1511" t="s">
        <v>4002</v>
      </c>
      <c r="V1511" t="s">
        <v>4002</v>
      </c>
      <c r="W1511" t="s">
        <v>5490</v>
      </c>
      <c r="X1511">
        <v>2</v>
      </c>
      <c r="Y1511" t="s">
        <v>7414</v>
      </c>
      <c r="Z1511" t="s">
        <v>9409</v>
      </c>
      <c r="AA1511">
        <v>0.88016320773891621</v>
      </c>
      <c r="AB1511" t="str">
        <f>HYPERLINK("Melting_Curves/meltCurve_Q13162_PRDX4.pdf", "Melting_Curves/meltCurve_Q13162_PRDX4.pdf")</f>
        <v>Melting_Curves/meltCurve_Q13162_PRDX4.pdf</v>
      </c>
    </row>
    <row r="1512" spans="1:28" x14ac:dyDescent="0.25">
      <c r="A1512" t="s">
        <v>1516</v>
      </c>
      <c r="B1512">
        <v>1</v>
      </c>
      <c r="C1512">
        <v>0.90292259289113097</v>
      </c>
      <c r="D1512">
        <v>1.01791518240204</v>
      </c>
      <c r="E1512">
        <v>1.04251280584519</v>
      </c>
      <c r="F1512">
        <v>0.93581476377440898</v>
      </c>
      <c r="G1512">
        <v>1.06360019761304</v>
      </c>
      <c r="H1512">
        <v>0.77594321225200902</v>
      </c>
      <c r="I1512">
        <v>1.1992901531501099</v>
      </c>
      <c r="J1512">
        <v>0.79513247874359705</v>
      </c>
      <c r="K1512">
        <v>0.91497438830962796</v>
      </c>
      <c r="L1512">
        <v>693.37935814781099</v>
      </c>
      <c r="M1512">
        <v>7.8232279585062203</v>
      </c>
      <c r="Q1512">
        <v>0</v>
      </c>
      <c r="R1512">
        <v>5.8606922039315897E-2</v>
      </c>
      <c r="S1512" t="s">
        <v>3514</v>
      </c>
      <c r="T1512" t="s">
        <v>4002</v>
      </c>
      <c r="U1512" t="s">
        <v>4002</v>
      </c>
      <c r="V1512" t="s">
        <v>4002</v>
      </c>
      <c r="W1512" t="s">
        <v>5491</v>
      </c>
      <c r="X1512">
        <v>8</v>
      </c>
      <c r="Y1512" t="s">
        <v>7415</v>
      </c>
      <c r="Z1512" t="s">
        <v>9410</v>
      </c>
      <c r="AA1512">
        <v>0.9768045835683995</v>
      </c>
      <c r="AB1512" t="str">
        <f>HYPERLINK("Melting_Curves/meltCurve_Q13177_PAK2.pdf", "Melting_Curves/meltCurve_Q13177_PAK2.pdf")</f>
        <v>Melting_Curves/meltCurve_Q13177_PAK2.pdf</v>
      </c>
    </row>
    <row r="1513" spans="1:28" x14ac:dyDescent="0.25">
      <c r="A1513" t="s">
        <v>1517</v>
      </c>
      <c r="B1513">
        <v>1</v>
      </c>
      <c r="C1513">
        <v>0.97594237558364605</v>
      </c>
      <c r="D1513">
        <v>1.01861974718141</v>
      </c>
      <c r="E1513">
        <v>1.16592643206924</v>
      </c>
      <c r="F1513">
        <v>1.0774399271153601</v>
      </c>
      <c r="G1513">
        <v>1.0799453365220399</v>
      </c>
      <c r="H1513">
        <v>1.00754469878146</v>
      </c>
      <c r="I1513">
        <v>1.3545439016057399</v>
      </c>
      <c r="J1513">
        <v>1.19251793645371</v>
      </c>
      <c r="K1513">
        <v>1.11217401207152</v>
      </c>
      <c r="L1513">
        <v>464.67827207927201</v>
      </c>
      <c r="M1513">
        <v>8.5778563744048899</v>
      </c>
      <c r="O1513">
        <v>51.468664164249503</v>
      </c>
      <c r="P1513">
        <v>8.5502206241732208E-3</v>
      </c>
      <c r="Q1513">
        <v>1.20503286642015</v>
      </c>
      <c r="R1513">
        <v>0.36184669026371202</v>
      </c>
      <c r="S1513" t="s">
        <v>3515</v>
      </c>
      <c r="T1513" t="s">
        <v>4002</v>
      </c>
      <c r="U1513" t="s">
        <v>4002</v>
      </c>
      <c r="V1513" t="s">
        <v>4002</v>
      </c>
      <c r="W1513" t="s">
        <v>5492</v>
      </c>
      <c r="X1513">
        <v>5</v>
      </c>
      <c r="Y1513" t="s">
        <v>7416</v>
      </c>
      <c r="Z1513" t="s">
        <v>9411</v>
      </c>
      <c r="AA1513">
        <v>1.1016111176411501</v>
      </c>
      <c r="AB1513" t="str">
        <f>HYPERLINK("Melting_Curves/meltCurve_Q13185_CBX3.pdf", "Melting_Curves/meltCurve_Q13185_CBX3.pdf")</f>
        <v>Melting_Curves/meltCurve_Q13185_CBX3.pdf</v>
      </c>
    </row>
    <row r="1514" spans="1:28" x14ac:dyDescent="0.25">
      <c r="A1514" t="s">
        <v>1518</v>
      </c>
      <c r="B1514">
        <v>1</v>
      </c>
      <c r="C1514">
        <v>0.90693005701437401</v>
      </c>
      <c r="D1514">
        <v>0.99180920260178296</v>
      </c>
      <c r="E1514">
        <v>1.05701437404641</v>
      </c>
      <c r="F1514">
        <v>0.98675018067935405</v>
      </c>
      <c r="G1514">
        <v>1.0628764153216099</v>
      </c>
      <c r="H1514">
        <v>0.95398699108648499</v>
      </c>
      <c r="I1514">
        <v>1.2503814341925601</v>
      </c>
      <c r="J1514">
        <v>1.2368104071308099</v>
      </c>
      <c r="K1514">
        <v>1.14783586284429</v>
      </c>
      <c r="L1514">
        <v>15000</v>
      </c>
      <c r="M1514">
        <v>240.050695934956</v>
      </c>
      <c r="O1514">
        <v>62.4824702321296</v>
      </c>
      <c r="P1514">
        <v>0.20345476118645001</v>
      </c>
      <c r="Q1514">
        <v>1.21182783347458</v>
      </c>
      <c r="R1514">
        <v>0.80129637919324603</v>
      </c>
      <c r="S1514" t="s">
        <v>3516</v>
      </c>
      <c r="T1514" t="s">
        <v>4002</v>
      </c>
      <c r="U1514" t="s">
        <v>4002</v>
      </c>
      <c r="V1514" t="s">
        <v>4002</v>
      </c>
      <c r="W1514" t="s">
        <v>5493</v>
      </c>
      <c r="X1514">
        <v>12</v>
      </c>
      <c r="Y1514" t="s">
        <v>7417</v>
      </c>
      <c r="Z1514" t="s">
        <v>9412</v>
      </c>
      <c r="AA1514">
        <v>1.053024961798203</v>
      </c>
      <c r="AB1514" t="str">
        <f>HYPERLINK("Melting_Curves/meltCurve_Q13217_DNAJC3.pdf", "Melting_Curves/meltCurve_Q13217_DNAJC3.pdf")</f>
        <v>Melting_Curves/meltCurve_Q13217_DNAJC3.pdf</v>
      </c>
    </row>
    <row r="1515" spans="1:28" x14ac:dyDescent="0.25">
      <c r="A1515" t="s">
        <v>1519</v>
      </c>
      <c r="B1515">
        <v>1</v>
      </c>
      <c r="C1515">
        <v>1.0401069518716599</v>
      </c>
      <c r="D1515">
        <v>1.05859597223802</v>
      </c>
      <c r="E1515">
        <v>1.36801683923086</v>
      </c>
      <c r="F1515">
        <v>1.8601092274433999</v>
      </c>
      <c r="G1515">
        <v>2.3355899419729198</v>
      </c>
      <c r="H1515">
        <v>2.4631357378541399</v>
      </c>
      <c r="I1515">
        <v>2.7994652406417102</v>
      </c>
      <c r="J1515">
        <v>2.61559904425987</v>
      </c>
      <c r="K1515">
        <v>2.52008192058255</v>
      </c>
      <c r="L1515">
        <v>12448.727037644299</v>
      </c>
      <c r="M1515">
        <v>250</v>
      </c>
      <c r="O1515">
        <v>49.791721535179299</v>
      </c>
      <c r="P1515">
        <v>0.62761437098811301</v>
      </c>
      <c r="Q1515">
        <v>1.5</v>
      </c>
      <c r="R1515">
        <v>-0.20618312953826701</v>
      </c>
      <c r="S1515" t="s">
        <v>3517</v>
      </c>
      <c r="T1515" t="s">
        <v>4002</v>
      </c>
      <c r="U1515" t="s">
        <v>4002</v>
      </c>
      <c r="V1515" t="s">
        <v>4002</v>
      </c>
      <c r="W1515" t="s">
        <v>5494</v>
      </c>
      <c r="X1515">
        <v>5</v>
      </c>
      <c r="Y1515" t="s">
        <v>7418</v>
      </c>
      <c r="Z1515" t="s">
        <v>9413</v>
      </c>
      <c r="AA1515">
        <v>1.3367078361793241</v>
      </c>
      <c r="AB1515" t="str">
        <f>HYPERLINK("Melting_Curves/meltCurve_Q13231_3_CHIT1.pdf", "Melting_Curves/meltCurve_Q13231_3_CHIT1.pdf")</f>
        <v>Melting_Curves/meltCurve_Q13231_3_CHIT1.pdf</v>
      </c>
    </row>
    <row r="1516" spans="1:28" x14ac:dyDescent="0.25">
      <c r="A1516" t="s">
        <v>1520</v>
      </c>
      <c r="B1516">
        <v>1</v>
      </c>
      <c r="C1516">
        <v>0.82565718478870798</v>
      </c>
      <c r="D1516">
        <v>0.97660465317045797</v>
      </c>
      <c r="E1516">
        <v>1.03207148098589</v>
      </c>
      <c r="F1516">
        <v>0.99089221737816702</v>
      </c>
      <c r="G1516">
        <v>1.06181206025813</v>
      </c>
      <c r="H1516">
        <v>1.0088056286959901</v>
      </c>
      <c r="I1516">
        <v>1.3953468295420199</v>
      </c>
      <c r="J1516">
        <v>1.1697673414770999</v>
      </c>
      <c r="K1516">
        <v>1.21923425562222</v>
      </c>
      <c r="L1516">
        <v>15000</v>
      </c>
      <c r="M1516">
        <v>242.65114605969001</v>
      </c>
      <c r="O1516">
        <v>61.812941401594301</v>
      </c>
      <c r="P1516">
        <v>0.25658371123547802</v>
      </c>
      <c r="Q1516">
        <v>1.26144848940662</v>
      </c>
      <c r="R1516">
        <v>0.71279257395297702</v>
      </c>
      <c r="S1516" t="s">
        <v>3518</v>
      </c>
      <c r="T1516" t="s">
        <v>4002</v>
      </c>
      <c r="U1516" t="s">
        <v>4002</v>
      </c>
      <c r="V1516" t="s">
        <v>4002</v>
      </c>
      <c r="W1516" t="s">
        <v>5495</v>
      </c>
      <c r="X1516">
        <v>7</v>
      </c>
      <c r="Y1516" t="s">
        <v>7419</v>
      </c>
      <c r="Z1516" t="s">
        <v>9414</v>
      </c>
      <c r="AA1516">
        <v>1.0712830995656299</v>
      </c>
      <c r="AB1516" t="str">
        <f>HYPERLINK("Melting_Curves/meltCurve_Q13332_6_PTPRS.pdf", "Melting_Curves/meltCurve_Q13332_6_PTPRS.pdf")</f>
        <v>Melting_Curves/meltCurve_Q13332_6_PTPRS.pdf</v>
      </c>
    </row>
    <row r="1517" spans="1:28" x14ac:dyDescent="0.25">
      <c r="A1517" t="s">
        <v>1521</v>
      </c>
      <c r="B1517">
        <v>1</v>
      </c>
      <c r="C1517">
        <v>0.91871511762309999</v>
      </c>
      <c r="D1517">
        <v>0.96107484505894902</v>
      </c>
      <c r="E1517">
        <v>0.982595964377319</v>
      </c>
      <c r="F1517">
        <v>0.92680617782719299</v>
      </c>
      <c r="G1517">
        <v>1.0381105447980501</v>
      </c>
      <c r="H1517">
        <v>0.94874561046223604</v>
      </c>
      <c r="I1517">
        <v>1.26958091610616</v>
      </c>
      <c r="J1517">
        <v>1.0184608271595399</v>
      </c>
      <c r="K1517">
        <v>1.0557787783049499</v>
      </c>
      <c r="L1517">
        <v>15000</v>
      </c>
      <c r="M1517">
        <v>240.69003568810601</v>
      </c>
      <c r="O1517">
        <v>62.316509909515602</v>
      </c>
      <c r="P1517">
        <v>0.11054951207114801</v>
      </c>
      <c r="Q1517">
        <v>1.1144885019959601</v>
      </c>
      <c r="R1517">
        <v>0.40884514951553502</v>
      </c>
      <c r="S1517" t="s">
        <v>3519</v>
      </c>
      <c r="T1517" t="s">
        <v>4002</v>
      </c>
      <c r="U1517" t="s">
        <v>4002</v>
      </c>
      <c r="V1517" t="s">
        <v>4002</v>
      </c>
      <c r="W1517" t="s">
        <v>5496</v>
      </c>
      <c r="X1517">
        <v>13</v>
      </c>
      <c r="Y1517" t="s">
        <v>7420</v>
      </c>
      <c r="Z1517" t="s">
        <v>9415</v>
      </c>
      <c r="AA1517">
        <v>1.029292423828843</v>
      </c>
      <c r="AB1517" t="str">
        <f>HYPERLINK("Melting_Curves/meltCurve_Q13421_4_MSLN.pdf", "Melting_Curves/meltCurve_Q13421_4_MSLN.pdf")</f>
        <v>Melting_Curves/meltCurve_Q13421_4_MSLN.pdf</v>
      </c>
    </row>
    <row r="1518" spans="1:28" x14ac:dyDescent="0.25">
      <c r="A1518" t="s">
        <v>1522</v>
      </c>
      <c r="B1518">
        <v>1</v>
      </c>
      <c r="C1518">
        <v>0.99036081423454403</v>
      </c>
      <c r="D1518">
        <v>0.90183173650950799</v>
      </c>
      <c r="E1518">
        <v>0.94140772882145696</v>
      </c>
      <c r="F1518">
        <v>0.85895046448644397</v>
      </c>
      <c r="G1518">
        <v>0.86627449838376203</v>
      </c>
      <c r="H1518">
        <v>0.82953784326858704</v>
      </c>
      <c r="I1518">
        <v>1.11182620344215</v>
      </c>
      <c r="J1518">
        <v>0.82005882524243601</v>
      </c>
      <c r="K1518">
        <v>0.86909927487696204</v>
      </c>
      <c r="L1518">
        <v>3793.4593875109399</v>
      </c>
      <c r="M1518">
        <v>86.184942360167696</v>
      </c>
      <c r="O1518">
        <v>43.991656761134202</v>
      </c>
      <c r="P1518">
        <v>-4.9185755588154703E-2</v>
      </c>
      <c r="Q1518">
        <v>0.89957583769985705</v>
      </c>
      <c r="R1518">
        <v>0.191145700572185</v>
      </c>
      <c r="S1518" t="s">
        <v>3520</v>
      </c>
      <c r="T1518" t="s">
        <v>4002</v>
      </c>
      <c r="U1518" t="s">
        <v>4002</v>
      </c>
      <c r="V1518" t="s">
        <v>4002</v>
      </c>
      <c r="W1518" t="s">
        <v>5497</v>
      </c>
      <c r="X1518">
        <v>2</v>
      </c>
      <c r="Y1518" t="s">
        <v>7421</v>
      </c>
      <c r="Z1518" t="s">
        <v>9416</v>
      </c>
      <c r="AA1518">
        <v>0.91308269243354767</v>
      </c>
      <c r="AB1518" t="str">
        <f>HYPERLINK("Melting_Curves/meltCurve_Q13429_IGF_I.pdf", "Melting_Curves/meltCurve_Q13429_IGF_I.pdf")</f>
        <v>Melting_Curves/meltCurve_Q13429_IGF_I.pdf</v>
      </c>
    </row>
    <row r="1519" spans="1:28" x14ac:dyDescent="0.25">
      <c r="A1519" t="s">
        <v>1523</v>
      </c>
      <c r="B1519">
        <v>1</v>
      </c>
      <c r="C1519">
        <v>0.99335232668565998</v>
      </c>
      <c r="D1519">
        <v>1.05281960837516</v>
      </c>
      <c r="E1519">
        <v>1.0935196490751999</v>
      </c>
      <c r="F1519">
        <v>1.1714376158820601</v>
      </c>
      <c r="G1519">
        <v>1.1572830461719401</v>
      </c>
      <c r="H1519">
        <v>1.03970515081626</v>
      </c>
      <c r="I1519">
        <v>1.5918238140460399</v>
      </c>
      <c r="J1519">
        <v>1.6137113914891701</v>
      </c>
      <c r="K1519">
        <v>1.4412788857233301</v>
      </c>
      <c r="L1519">
        <v>15000</v>
      </c>
      <c r="M1519">
        <v>243.45515000403799</v>
      </c>
      <c r="O1519">
        <v>61.608844052571001</v>
      </c>
      <c r="P1519">
        <v>0.49395341623168598</v>
      </c>
      <c r="Q1519">
        <v>1.5</v>
      </c>
      <c r="R1519">
        <v>0.82741071291602797</v>
      </c>
      <c r="S1519" t="s">
        <v>3521</v>
      </c>
      <c r="T1519" t="s">
        <v>4002</v>
      </c>
      <c r="U1519" t="s">
        <v>4002</v>
      </c>
      <c r="V1519" t="s">
        <v>4002</v>
      </c>
      <c r="W1519" t="s">
        <v>5498</v>
      </c>
      <c r="X1519">
        <v>6</v>
      </c>
      <c r="Y1519" t="s">
        <v>7422</v>
      </c>
      <c r="Z1519" t="s">
        <v>9417</v>
      </c>
      <c r="AA1519">
        <v>1.1397264694575431</v>
      </c>
      <c r="AB1519" t="str">
        <f>HYPERLINK("Melting_Curves/meltCurve_Q13442_PDAP1.pdf", "Melting_Curves/meltCurve_Q13442_PDAP1.pdf")</f>
        <v>Melting_Curves/meltCurve_Q13442_PDAP1.pdf</v>
      </c>
    </row>
    <row r="1520" spans="1:28" x14ac:dyDescent="0.25">
      <c r="A1520" t="s">
        <v>1524</v>
      </c>
      <c r="B1520">
        <v>1</v>
      </c>
      <c r="C1520">
        <v>0.91088970622468501</v>
      </c>
      <c r="D1520">
        <v>0.93165417384422</v>
      </c>
      <c r="E1520">
        <v>0.88314167326225601</v>
      </c>
      <c r="F1520">
        <v>0.64914567717305305</v>
      </c>
      <c r="G1520">
        <v>0.73718515759579095</v>
      </c>
      <c r="H1520">
        <v>1.0386889519996301</v>
      </c>
      <c r="I1520">
        <v>0.720145258159132</v>
      </c>
      <c r="J1520">
        <v>0.80860375250244398</v>
      </c>
      <c r="K1520">
        <v>0.76926300107081302</v>
      </c>
      <c r="L1520">
        <v>951.43736941756003</v>
      </c>
      <c r="M1520">
        <v>20.696352311311699</v>
      </c>
      <c r="O1520">
        <v>45.548524245968999</v>
      </c>
      <c r="P1520">
        <v>-2.3299652517927601E-2</v>
      </c>
      <c r="Q1520">
        <v>0.79489436253586299</v>
      </c>
      <c r="R1520">
        <v>0.31421004432931299</v>
      </c>
      <c r="S1520" t="s">
        <v>3522</v>
      </c>
      <c r="T1520" t="s">
        <v>4002</v>
      </c>
      <c r="U1520" t="s">
        <v>4002</v>
      </c>
      <c r="V1520" t="s">
        <v>4002</v>
      </c>
      <c r="W1520" t="s">
        <v>5499</v>
      </c>
      <c r="X1520">
        <v>1</v>
      </c>
      <c r="Y1520" t="s">
        <v>7423</v>
      </c>
      <c r="Z1520" t="s">
        <v>9418</v>
      </c>
      <c r="AA1520">
        <v>0.83865595950179872</v>
      </c>
      <c r="AB1520" t="str">
        <f>HYPERLINK("Melting_Curves/meltCurve_Q13444_10_ADAM15.pdf", "Melting_Curves/meltCurve_Q13444_10_ADAM15.pdf")</f>
        <v>Melting_Curves/meltCurve_Q13444_10_ADAM15.pdf</v>
      </c>
    </row>
    <row r="1521" spans="1:28" x14ac:dyDescent="0.25">
      <c r="A1521" t="s">
        <v>1525</v>
      </c>
      <c r="B1521">
        <v>1</v>
      </c>
      <c r="C1521">
        <v>0.97992624754654101</v>
      </c>
      <c r="D1521">
        <v>1.0870457384167</v>
      </c>
      <c r="E1521">
        <v>1.0883542496877401</v>
      </c>
      <c r="F1521">
        <v>0.85725331588651599</v>
      </c>
      <c r="G1521">
        <v>0.97371081900909995</v>
      </c>
      <c r="H1521">
        <v>0.88131207993814298</v>
      </c>
      <c r="I1521">
        <v>0.85448759888181802</v>
      </c>
      <c r="J1521">
        <v>0.87462082912032402</v>
      </c>
      <c r="K1521">
        <v>0.76759055492773498</v>
      </c>
      <c r="L1521">
        <v>655.84749485776001</v>
      </c>
      <c r="M1521">
        <v>9.9287578941341099</v>
      </c>
      <c r="O1521">
        <v>63.543293803735899</v>
      </c>
      <c r="P1521">
        <v>-1.26688738546233E-2</v>
      </c>
      <c r="Q1521">
        <v>0.67584272324064798</v>
      </c>
      <c r="R1521">
        <v>0.63629676052650097</v>
      </c>
      <c r="S1521" t="s">
        <v>3523</v>
      </c>
      <c r="T1521" t="s">
        <v>4002</v>
      </c>
      <c r="U1521" t="s">
        <v>4002</v>
      </c>
      <c r="V1521" t="s">
        <v>4002</v>
      </c>
      <c r="W1521" t="s">
        <v>5500</v>
      </c>
      <c r="X1521">
        <v>2</v>
      </c>
      <c r="Y1521" t="s">
        <v>7424</v>
      </c>
      <c r="Z1521" t="s">
        <v>9419</v>
      </c>
      <c r="AA1521">
        <v>0.93498582025132682</v>
      </c>
      <c r="AB1521" t="str">
        <f>HYPERLINK("Melting_Curves/meltCurve_Q13464_ROCK1.pdf", "Melting_Curves/meltCurve_Q13464_ROCK1.pdf")</f>
        <v>Melting_Curves/meltCurve_Q13464_ROCK1.pdf</v>
      </c>
    </row>
    <row r="1522" spans="1:28" x14ac:dyDescent="0.25">
      <c r="A1522" t="s">
        <v>1526</v>
      </c>
      <c r="B1522">
        <v>1</v>
      </c>
      <c r="C1522">
        <v>0.92614139857445599</v>
      </c>
      <c r="D1522">
        <v>1.2269312271238699</v>
      </c>
      <c r="E1522">
        <v>1.78565465870417</v>
      </c>
      <c r="F1522">
        <v>1.83009054132152</v>
      </c>
      <c r="G1522">
        <v>2.0896423296731501</v>
      </c>
      <c r="H1522">
        <v>2.21999614717781</v>
      </c>
      <c r="I1522">
        <v>2.5707313940795</v>
      </c>
      <c r="J1522">
        <v>2.4460283824568201</v>
      </c>
      <c r="K1522">
        <v>2.4543761638733699</v>
      </c>
      <c r="L1522">
        <v>11508.513527299099</v>
      </c>
      <c r="M1522">
        <v>250</v>
      </c>
      <c r="O1522">
        <v>46.031107988235703</v>
      </c>
      <c r="P1522">
        <v>0.67888871753917701</v>
      </c>
      <c r="Q1522">
        <v>1.5</v>
      </c>
      <c r="R1522">
        <v>-0.179714287757515</v>
      </c>
      <c r="S1522" t="s">
        <v>3524</v>
      </c>
      <c r="T1522" t="s">
        <v>4002</v>
      </c>
      <c r="U1522" t="s">
        <v>4002</v>
      </c>
      <c r="V1522" t="s">
        <v>4002</v>
      </c>
      <c r="W1522" t="s">
        <v>5501</v>
      </c>
      <c r="X1522">
        <v>2</v>
      </c>
      <c r="Y1522" t="s">
        <v>7425</v>
      </c>
      <c r="Z1522" t="s">
        <v>9420</v>
      </c>
      <c r="AA1522">
        <v>1.3993920369891371</v>
      </c>
      <c r="AB1522" t="str">
        <f>HYPERLINK("Melting_Curves/meltCurve_Q13637_RAB32.pdf", "Melting_Curves/meltCurve_Q13637_RAB32.pdf")</f>
        <v>Melting_Curves/meltCurve_Q13637_RAB32.pdf</v>
      </c>
    </row>
    <row r="1523" spans="1:28" x14ac:dyDescent="0.25">
      <c r="A1523" t="s">
        <v>1527</v>
      </c>
      <c r="B1523">
        <v>1</v>
      </c>
      <c r="C1523">
        <v>0.99994467113908303</v>
      </c>
      <c r="D1523">
        <v>1.03702884016875</v>
      </c>
      <c r="E1523">
        <v>0.95536344145514895</v>
      </c>
      <c r="F1523">
        <v>1.20823016806141</v>
      </c>
      <c r="G1523">
        <v>1.1041150840307099</v>
      </c>
      <c r="H1523">
        <v>1.3393180717891999</v>
      </c>
      <c r="I1523">
        <v>1.0005117919634801</v>
      </c>
      <c r="J1523">
        <v>5.2711805795698199</v>
      </c>
      <c r="K1523">
        <v>0.95714779721972498</v>
      </c>
      <c r="L1523">
        <v>3570.9786771634499</v>
      </c>
      <c r="M1523">
        <v>59.197571625310999</v>
      </c>
      <c r="O1523">
        <v>60.254335955599899</v>
      </c>
      <c r="P1523">
        <v>0.12280775396861</v>
      </c>
      <c r="Q1523">
        <v>1.5</v>
      </c>
      <c r="R1523">
        <v>7.6552476742888995E-2</v>
      </c>
      <c r="S1523" t="s">
        <v>3525</v>
      </c>
      <c r="T1523" t="s">
        <v>4002</v>
      </c>
      <c r="U1523" t="s">
        <v>4002</v>
      </c>
      <c r="V1523" t="s">
        <v>4002</v>
      </c>
      <c r="W1523" t="s">
        <v>5502</v>
      </c>
      <c r="X1523">
        <v>3</v>
      </c>
      <c r="Y1523" t="s">
        <v>7426</v>
      </c>
      <c r="Z1523" t="s">
        <v>9421</v>
      </c>
      <c r="AA1523">
        <v>1.1603413755558269</v>
      </c>
      <c r="AB1523" t="str">
        <f>HYPERLINK("Melting_Curves/meltCurve_Q13835_2_PKP1.pdf", "Melting_Curves/meltCurve_Q13835_2_PKP1.pdf")</f>
        <v>Melting_Curves/meltCurve_Q13835_2_PKP1.pdf</v>
      </c>
    </row>
    <row r="1524" spans="1:28" x14ac:dyDescent="0.25">
      <c r="A1524" t="s">
        <v>1528</v>
      </c>
      <c r="B1524">
        <v>1</v>
      </c>
      <c r="C1524">
        <v>0.92534391822086903</v>
      </c>
      <c r="D1524">
        <v>1.0238703713773001</v>
      </c>
      <c r="E1524">
        <v>1.0054374422271799</v>
      </c>
      <c r="F1524">
        <v>0.80403458213256496</v>
      </c>
      <c r="G1524">
        <v>0.89070741123375596</v>
      </c>
      <c r="H1524">
        <v>0.82572997661899805</v>
      </c>
      <c r="I1524">
        <v>0.92300581806318305</v>
      </c>
      <c r="J1524">
        <v>0.82562122777445501</v>
      </c>
      <c r="K1524">
        <v>0.92153770866184503</v>
      </c>
      <c r="L1524">
        <v>12804.6270343248</v>
      </c>
      <c r="M1524">
        <v>250</v>
      </c>
      <c r="O1524">
        <v>51.2152354641306</v>
      </c>
      <c r="P1524">
        <v>-0.16461714204015401</v>
      </c>
      <c r="Q1524">
        <v>0.86510552217667203</v>
      </c>
      <c r="R1524">
        <v>0.64118987344331002</v>
      </c>
      <c r="S1524" t="s">
        <v>3526</v>
      </c>
      <c r="T1524" t="s">
        <v>4002</v>
      </c>
      <c r="U1524" t="s">
        <v>4002</v>
      </c>
      <c r="V1524" t="s">
        <v>4002</v>
      </c>
      <c r="W1524" t="s">
        <v>5503</v>
      </c>
      <c r="X1524">
        <v>5</v>
      </c>
      <c r="Y1524" t="s">
        <v>7427</v>
      </c>
      <c r="Z1524" t="s">
        <v>9422</v>
      </c>
      <c r="AA1524">
        <v>0.91556147410021249</v>
      </c>
      <c r="AB1524" t="str">
        <f>HYPERLINK("Melting_Curves/meltCurve_Q14005_3_IL16.pdf", "Melting_Curves/meltCurve_Q14005_3_IL16.pdf")</f>
        <v>Melting_Curves/meltCurve_Q14005_3_IL16.pdf</v>
      </c>
    </row>
    <row r="1525" spans="1:28" x14ac:dyDescent="0.25">
      <c r="A1525" t="s">
        <v>1529</v>
      </c>
      <c r="B1525">
        <v>1</v>
      </c>
      <c r="C1525">
        <v>0.95194243156199698</v>
      </c>
      <c r="D1525">
        <v>1.0832830112721401</v>
      </c>
      <c r="E1525">
        <v>1.1434681964573301</v>
      </c>
      <c r="F1525">
        <v>1.1032105475040299</v>
      </c>
      <c r="G1525">
        <v>1.25130837359098</v>
      </c>
      <c r="H1525">
        <v>1.0871074879227101</v>
      </c>
      <c r="I1525">
        <v>1.3433977455716599</v>
      </c>
      <c r="J1525">
        <v>0.85844404186795498</v>
      </c>
      <c r="K1525">
        <v>1.0054851046698901</v>
      </c>
      <c r="L1525">
        <v>11452.909115042799</v>
      </c>
      <c r="M1525">
        <v>250</v>
      </c>
      <c r="O1525">
        <v>45.808704622325699</v>
      </c>
      <c r="P1525">
        <v>0.15445081968792701</v>
      </c>
      <c r="Q1525">
        <v>1.1132030719982799</v>
      </c>
      <c r="R1525">
        <v>0.15571846917322399</v>
      </c>
      <c r="S1525" t="s">
        <v>3527</v>
      </c>
      <c r="T1525" t="s">
        <v>4002</v>
      </c>
      <c r="U1525" t="s">
        <v>4002</v>
      </c>
      <c r="V1525" t="s">
        <v>4002</v>
      </c>
      <c r="W1525" t="s">
        <v>5504</v>
      </c>
      <c r="X1525">
        <v>8</v>
      </c>
      <c r="Y1525" t="s">
        <v>7428</v>
      </c>
      <c r="Z1525" t="s">
        <v>9423</v>
      </c>
      <c r="AA1525">
        <v>1.091264133929817</v>
      </c>
      <c r="AB1525" t="str">
        <f>HYPERLINK("Melting_Curves/meltCurve_Q14019_COTL1.pdf", "Melting_Curves/meltCurve_Q14019_COTL1.pdf")</f>
        <v>Melting_Curves/meltCurve_Q14019_COTL1.pdf</v>
      </c>
    </row>
    <row r="1526" spans="1:28" x14ac:dyDescent="0.25">
      <c r="A1526" t="s">
        <v>1530</v>
      </c>
      <c r="B1526">
        <v>1</v>
      </c>
      <c r="C1526">
        <v>0.87990132056305304</v>
      </c>
      <c r="D1526">
        <v>1.03012625163256</v>
      </c>
      <c r="E1526">
        <v>1.0580902626614399</v>
      </c>
      <c r="F1526">
        <v>0.99724278043825298</v>
      </c>
      <c r="G1526">
        <v>0.95910608039471801</v>
      </c>
      <c r="H1526">
        <v>0.93575678421129005</v>
      </c>
      <c r="I1526">
        <v>1.0630242345087799</v>
      </c>
      <c r="J1526">
        <v>0.98135248875344605</v>
      </c>
      <c r="K1526">
        <v>0.96977216659410803</v>
      </c>
      <c r="L1526">
        <v>18.742488243867001</v>
      </c>
      <c r="M1526">
        <v>14.9024614049888</v>
      </c>
      <c r="Q1526">
        <v>0.98743723711154197</v>
      </c>
      <c r="R1526">
        <v>-1.4843202222891701E-9</v>
      </c>
      <c r="S1526" t="s">
        <v>3528</v>
      </c>
      <c r="T1526" t="s">
        <v>4002</v>
      </c>
      <c r="U1526" t="s">
        <v>4002</v>
      </c>
      <c r="V1526" t="s">
        <v>4002</v>
      </c>
      <c r="W1526" t="s">
        <v>5505</v>
      </c>
      <c r="X1526">
        <v>4</v>
      </c>
      <c r="Y1526" t="s">
        <v>7429</v>
      </c>
      <c r="Z1526" t="s">
        <v>9424</v>
      </c>
      <c r="AA1526">
        <v>0.98743724313118963</v>
      </c>
      <c r="AB1526" t="str">
        <f>HYPERLINK("Melting_Curves/meltCurve_Q14050_COL9A3.pdf", "Melting_Curves/meltCurve_Q14050_COL9A3.pdf")</f>
        <v>Melting_Curves/meltCurve_Q14050_COL9A3.pdf</v>
      </c>
    </row>
    <row r="1527" spans="1:28" x14ac:dyDescent="0.25">
      <c r="A1527" t="s">
        <v>1531</v>
      </c>
      <c r="B1527">
        <v>1</v>
      </c>
      <c r="C1527">
        <v>0.974566051525671</v>
      </c>
      <c r="D1527">
        <v>1.1855289603508099</v>
      </c>
      <c r="E1527">
        <v>1.35092271149278</v>
      </c>
      <c r="F1527">
        <v>1.30016444363238</v>
      </c>
      <c r="G1527">
        <v>1.3605335282294899</v>
      </c>
      <c r="H1527">
        <v>1.18030330714416</v>
      </c>
      <c r="I1527">
        <v>1.50721724830988</v>
      </c>
      <c r="J1527">
        <v>1.245203727389</v>
      </c>
      <c r="K1527">
        <v>1.31949570619404</v>
      </c>
      <c r="L1527">
        <v>11486.344896856301</v>
      </c>
      <c r="M1527">
        <v>250</v>
      </c>
      <c r="O1527">
        <v>45.942439935397303</v>
      </c>
      <c r="P1527">
        <v>0.43996059956400402</v>
      </c>
      <c r="Q1527">
        <v>1.32340581047802</v>
      </c>
      <c r="R1527">
        <v>0.73749470286910801</v>
      </c>
      <c r="S1527" t="s">
        <v>3529</v>
      </c>
      <c r="T1527" t="s">
        <v>4002</v>
      </c>
      <c r="U1527" t="s">
        <v>4002</v>
      </c>
      <c r="V1527" t="s">
        <v>4002</v>
      </c>
      <c r="W1527" t="s">
        <v>5506</v>
      </c>
      <c r="X1527">
        <v>6</v>
      </c>
      <c r="Y1527" t="s">
        <v>7430</v>
      </c>
      <c r="Z1527" t="s">
        <v>9425</v>
      </c>
      <c r="AA1527">
        <v>1.2592873896904739</v>
      </c>
      <c r="AB1527" t="str">
        <f>HYPERLINK("Melting_Curves/meltCurve_Q14116_2_IL18.pdf", "Melting_Curves/meltCurve_Q14116_2_IL18.pdf")</f>
        <v>Melting_Curves/meltCurve_Q14116_2_IL18.pdf</v>
      </c>
    </row>
    <row r="1528" spans="1:28" x14ac:dyDescent="0.25">
      <c r="A1528" t="s">
        <v>1532</v>
      </c>
      <c r="B1528">
        <v>1</v>
      </c>
      <c r="C1528">
        <v>0.89980837667670399</v>
      </c>
      <c r="D1528">
        <v>0.90952641664385403</v>
      </c>
      <c r="E1528">
        <v>0.90528332877087303</v>
      </c>
      <c r="F1528">
        <v>0.86262432703713798</v>
      </c>
      <c r="G1528">
        <v>0.93899990875079797</v>
      </c>
      <c r="H1528">
        <v>0.87626608267177697</v>
      </c>
      <c r="I1528">
        <v>1.2528515375490501</v>
      </c>
      <c r="J1528">
        <v>0.93411807646683098</v>
      </c>
      <c r="K1528">
        <v>1.1218633086960501</v>
      </c>
      <c r="L1528">
        <v>1238.30202102008</v>
      </c>
      <c r="M1528">
        <v>16.3061952136364</v>
      </c>
      <c r="Q1528">
        <v>1.5</v>
      </c>
      <c r="R1528">
        <v>3.166883854047E-2</v>
      </c>
      <c r="S1528" t="s">
        <v>3530</v>
      </c>
      <c r="T1528" t="s">
        <v>4002</v>
      </c>
      <c r="U1528" t="s">
        <v>4002</v>
      </c>
      <c r="V1528" t="s">
        <v>4002</v>
      </c>
      <c r="W1528" t="s">
        <v>5507</v>
      </c>
      <c r="X1528">
        <v>5</v>
      </c>
      <c r="Y1528" t="s">
        <v>7431</v>
      </c>
      <c r="Z1528" t="s">
        <v>9426</v>
      </c>
      <c r="AA1528">
        <v>1.0132380872199589</v>
      </c>
      <c r="AB1528" t="str">
        <f>HYPERLINK("Melting_Curves/meltCurve_Q14118_DAG1.pdf", "Melting_Curves/meltCurve_Q14118_DAG1.pdf")</f>
        <v>Melting_Curves/meltCurve_Q14118_DAG1.pdf</v>
      </c>
    </row>
    <row r="1529" spans="1:28" x14ac:dyDescent="0.25">
      <c r="A1529" t="s">
        <v>1533</v>
      </c>
      <c r="B1529">
        <v>1</v>
      </c>
      <c r="C1529">
        <v>0.97060944825099205</v>
      </c>
      <c r="D1529">
        <v>1.2044716913090501</v>
      </c>
      <c r="E1529">
        <v>1.8227551388387999</v>
      </c>
      <c r="F1529">
        <v>2.29084024522178</v>
      </c>
      <c r="G1529">
        <v>2.5930400288496198</v>
      </c>
      <c r="H1529">
        <v>2.39001081860801</v>
      </c>
      <c r="I1529">
        <v>3.1042192571222502</v>
      </c>
      <c r="J1529">
        <v>2.4575369635773501</v>
      </c>
      <c r="K1529">
        <v>2.5400288496213501</v>
      </c>
      <c r="S1529" t="s">
        <v>3531</v>
      </c>
      <c r="T1529" t="s">
        <v>4002</v>
      </c>
      <c r="U1529" t="s">
        <v>4003</v>
      </c>
      <c r="V1529" t="s">
        <v>4002</v>
      </c>
      <c r="W1529" t="s">
        <v>5508</v>
      </c>
      <c r="X1529">
        <v>6</v>
      </c>
      <c r="Y1529" t="s">
        <v>7432</v>
      </c>
      <c r="Z1529" t="s">
        <v>9427</v>
      </c>
      <c r="AB1529" t="str">
        <f>HYPERLINK("Melting_Curves/meltCurve_Q14126_DSG2.pdf", "Melting_Curves/meltCurve_Q14126_DSG2.pdf")</f>
        <v>Melting_Curves/meltCurve_Q14126_DSG2.pdf</v>
      </c>
    </row>
    <row r="1530" spans="1:28" x14ac:dyDescent="0.25">
      <c r="A1530" t="s">
        <v>1534</v>
      </c>
      <c r="B1530">
        <v>1</v>
      </c>
      <c r="C1530">
        <v>0.90704304747037801</v>
      </c>
      <c r="D1530">
        <v>1.04367621711275</v>
      </c>
      <c r="E1530">
        <v>1.0001300855312401</v>
      </c>
      <c r="F1530">
        <v>0.92337962210153202</v>
      </c>
      <c r="G1530">
        <v>0.94810671349745801</v>
      </c>
      <c r="H1530">
        <v>0.70130193935846197</v>
      </c>
      <c r="I1530">
        <v>0.90165533838498801</v>
      </c>
      <c r="J1530">
        <v>2.0544841566663399</v>
      </c>
      <c r="K1530">
        <v>0.81631922989365502</v>
      </c>
      <c r="L1530">
        <v>3446.16508170315</v>
      </c>
      <c r="M1530">
        <v>53.3836277448451</v>
      </c>
      <c r="O1530">
        <v>64.464322802137602</v>
      </c>
      <c r="P1530">
        <v>7.5981316504246596E-2</v>
      </c>
      <c r="Q1530">
        <v>1.3670099610209701</v>
      </c>
      <c r="R1530">
        <v>0.19490299490895299</v>
      </c>
      <c r="S1530" t="s">
        <v>3532</v>
      </c>
      <c r="T1530" t="s">
        <v>4002</v>
      </c>
      <c r="U1530" t="s">
        <v>4002</v>
      </c>
      <c r="V1530" t="s">
        <v>4002</v>
      </c>
      <c r="W1530" t="s">
        <v>5509</v>
      </c>
      <c r="X1530">
        <v>8</v>
      </c>
      <c r="Y1530" t="s">
        <v>7433</v>
      </c>
      <c r="Z1530" t="s">
        <v>9428</v>
      </c>
      <c r="AA1530">
        <v>1.065982742259354</v>
      </c>
      <c r="AB1530" t="str">
        <f>HYPERLINK("Melting_Curves/meltCurve_Q14134_2_TRIM29.pdf", "Melting_Curves/meltCurve_Q14134_2_TRIM29.pdf")</f>
        <v>Melting_Curves/meltCurve_Q14134_2_TRIM29.pdf</v>
      </c>
    </row>
    <row r="1531" spans="1:28" x14ac:dyDescent="0.25">
      <c r="A1531" t="s">
        <v>1535</v>
      </c>
      <c r="B1531">
        <v>1</v>
      </c>
      <c r="C1531">
        <v>1.1068765731110799</v>
      </c>
      <c r="D1531">
        <v>0.78809896946383595</v>
      </c>
      <c r="E1531">
        <v>1.2093603077361399</v>
      </c>
      <c r="F1531">
        <v>1.0189485681721</v>
      </c>
      <c r="G1531">
        <v>1.2070332905922001</v>
      </c>
      <c r="H1531">
        <v>1.11411882034478</v>
      </c>
      <c r="I1531">
        <v>0.92826613477703401</v>
      </c>
      <c r="J1531">
        <v>1.353540390369</v>
      </c>
      <c r="K1531">
        <v>1.03293441610866</v>
      </c>
      <c r="L1531">
        <v>12002.7953022362</v>
      </c>
      <c r="M1531">
        <v>250</v>
      </c>
      <c r="O1531">
        <v>48.008109783154303</v>
      </c>
      <c r="P1531">
        <v>0.16072432482347099</v>
      </c>
      <c r="Q1531">
        <v>1.1234571338533199</v>
      </c>
      <c r="R1531">
        <v>0.213294801109917</v>
      </c>
      <c r="S1531" t="s">
        <v>3533</v>
      </c>
      <c r="T1531" t="s">
        <v>4002</v>
      </c>
      <c r="U1531" t="s">
        <v>4002</v>
      </c>
      <c r="V1531" t="s">
        <v>4002</v>
      </c>
      <c r="W1531" t="s">
        <v>5510</v>
      </c>
      <c r="X1531">
        <v>1</v>
      </c>
      <c r="Y1531" t="s">
        <v>7434</v>
      </c>
      <c r="Z1531" t="s">
        <v>9429</v>
      </c>
      <c r="AA1531">
        <v>1.0904788157994809</v>
      </c>
      <c r="AB1531" t="str">
        <f>HYPERLINK("Melting_Curves/meltCurve_Q14166_TTLL12.pdf", "Melting_Curves/meltCurve_Q14166_TTLL12.pdf")</f>
        <v>Melting_Curves/meltCurve_Q14166_TTLL12.pdf</v>
      </c>
    </row>
    <row r="1532" spans="1:28" x14ac:dyDescent="0.25">
      <c r="A1532" t="s">
        <v>1536</v>
      </c>
      <c r="B1532">
        <v>1</v>
      </c>
      <c r="C1532">
        <v>1.0002965828497701</v>
      </c>
      <c r="D1532">
        <v>1.2963249516441</v>
      </c>
      <c r="E1532">
        <v>1.40412637008382</v>
      </c>
      <c r="F1532">
        <v>1.3302385557704699</v>
      </c>
      <c r="G1532">
        <v>1.49671179883946</v>
      </c>
      <c r="H1532">
        <v>1.2797678916827899</v>
      </c>
      <c r="I1532">
        <v>1.66744036105738</v>
      </c>
      <c r="J1532">
        <v>2.5972920696325001</v>
      </c>
      <c r="K1532">
        <v>1.2878658929722799</v>
      </c>
      <c r="L1532">
        <v>945.56715204913803</v>
      </c>
      <c r="M1532">
        <v>20.328658153070801</v>
      </c>
      <c r="O1532">
        <v>46.070906445921104</v>
      </c>
      <c r="P1532">
        <v>5.5157582337830802E-2</v>
      </c>
      <c r="Q1532">
        <v>1.5</v>
      </c>
      <c r="R1532">
        <v>0.27275618585019201</v>
      </c>
      <c r="S1532" t="s">
        <v>3534</v>
      </c>
      <c r="T1532" t="s">
        <v>4002</v>
      </c>
      <c r="U1532" t="s">
        <v>4002</v>
      </c>
      <c r="V1532" t="s">
        <v>4002</v>
      </c>
      <c r="W1532" t="s">
        <v>5511</v>
      </c>
      <c r="X1532">
        <v>2</v>
      </c>
      <c r="Y1532" t="s">
        <v>7435</v>
      </c>
      <c r="Z1532" t="s">
        <v>9430</v>
      </c>
      <c r="AA1532">
        <v>1.3842157686105649</v>
      </c>
      <c r="AB1532" t="str">
        <f>HYPERLINK("Melting_Curves/meltCurve_Q14204_DYNC1H1.pdf", "Melting_Curves/meltCurve_Q14204_DYNC1H1.pdf")</f>
        <v>Melting_Curves/meltCurve_Q14204_DYNC1H1.pdf</v>
      </c>
    </row>
    <row r="1533" spans="1:28" x14ac:dyDescent="0.25">
      <c r="A1533" t="s">
        <v>1537</v>
      </c>
      <c r="B1533">
        <v>1</v>
      </c>
      <c r="C1533">
        <v>0.85402526485800501</v>
      </c>
      <c r="D1533">
        <v>1.0557788075140799</v>
      </c>
      <c r="E1533">
        <v>0.99327039550846996</v>
      </c>
      <c r="F1533">
        <v>0.80643734738218398</v>
      </c>
      <c r="G1533">
        <v>0.92787786729219901</v>
      </c>
      <c r="H1533">
        <v>0.64856082601088305</v>
      </c>
      <c r="I1533">
        <v>0.85154492491684097</v>
      </c>
      <c r="J1533">
        <v>0.77705781691630305</v>
      </c>
      <c r="K1533">
        <v>0.78919033244246195</v>
      </c>
      <c r="L1533">
        <v>5802.0202624451304</v>
      </c>
      <c r="M1533">
        <v>112.68879099205699</v>
      </c>
      <c r="O1533">
        <v>51.4709013016125</v>
      </c>
      <c r="P1533">
        <v>-0.110114571273544</v>
      </c>
      <c r="Q1533">
        <v>0.79881952803786305</v>
      </c>
      <c r="R1533">
        <v>0.51728982719639205</v>
      </c>
      <c r="S1533" t="s">
        <v>3535</v>
      </c>
      <c r="T1533" t="s">
        <v>4002</v>
      </c>
      <c r="U1533" t="s">
        <v>4002</v>
      </c>
      <c r="V1533" t="s">
        <v>4002</v>
      </c>
      <c r="W1533" t="s">
        <v>5512</v>
      </c>
      <c r="X1533">
        <v>3</v>
      </c>
      <c r="Y1533" t="s">
        <v>7436</v>
      </c>
      <c r="Z1533" t="s">
        <v>9431</v>
      </c>
      <c r="AA1533">
        <v>0.87594182099281659</v>
      </c>
      <c r="AB1533" t="str">
        <f>HYPERLINK("Melting_Curves/meltCurve_Q14210_LY6D.pdf", "Melting_Curves/meltCurve_Q14210_LY6D.pdf")</f>
        <v>Melting_Curves/meltCurve_Q14210_LY6D.pdf</v>
      </c>
    </row>
    <row r="1534" spans="1:28" x14ac:dyDescent="0.25">
      <c r="A1534" t="s">
        <v>1538</v>
      </c>
      <c r="B1534">
        <v>1</v>
      </c>
      <c r="C1534">
        <v>1.0548891230745101</v>
      </c>
      <c r="D1534">
        <v>1.15215587793448</v>
      </c>
      <c r="E1534">
        <v>1.24184398753335</v>
      </c>
      <c r="F1534">
        <v>1.17805331958116</v>
      </c>
      <c r="G1534">
        <v>1.47391197112043</v>
      </c>
      <c r="H1534">
        <v>1.2833247382228301</v>
      </c>
      <c r="I1534">
        <v>1.4650552702975399</v>
      </c>
      <c r="J1534">
        <v>1.4416242516648401</v>
      </c>
      <c r="K1534">
        <v>1.4566470100226501</v>
      </c>
      <c r="L1534">
        <v>479.93986925836401</v>
      </c>
      <c r="M1534">
        <v>9.3074883648753897</v>
      </c>
      <c r="O1534">
        <v>49.352360767135501</v>
      </c>
      <c r="P1534">
        <v>2.3205750911879701E-2</v>
      </c>
      <c r="Q1534">
        <v>1.49187352665842</v>
      </c>
      <c r="R1534">
        <v>0.84817340460384805</v>
      </c>
      <c r="S1534" t="s">
        <v>3536</v>
      </c>
      <c r="T1534" t="s">
        <v>4002</v>
      </c>
      <c r="U1534" t="s">
        <v>4002</v>
      </c>
      <c r="V1534" t="s">
        <v>4002</v>
      </c>
      <c r="W1534" t="s">
        <v>5513</v>
      </c>
      <c r="X1534">
        <v>2</v>
      </c>
      <c r="Y1534" t="s">
        <v>7437</v>
      </c>
      <c r="Z1534" t="s">
        <v>9432</v>
      </c>
      <c r="AA1534">
        <v>1.2811824959273499</v>
      </c>
      <c r="AB1534" t="str">
        <f>HYPERLINK("Melting_Curves/meltCurve_Q14289_2_PTK2B.pdf", "Melting_Curves/meltCurve_Q14289_2_PTK2B.pdf")</f>
        <v>Melting_Curves/meltCurve_Q14289_2_PTK2B.pdf</v>
      </c>
    </row>
    <row r="1535" spans="1:28" x14ac:dyDescent="0.25">
      <c r="A1535" t="s">
        <v>1539</v>
      </c>
      <c r="B1535">
        <v>1</v>
      </c>
      <c r="C1535">
        <v>0.99090909090909096</v>
      </c>
      <c r="D1535">
        <v>0.97819175360159005</v>
      </c>
      <c r="E1535">
        <v>1.07342275211128</v>
      </c>
      <c r="F1535">
        <v>0.96726279185295605</v>
      </c>
      <c r="G1535">
        <v>1.1610531544957801</v>
      </c>
      <c r="H1535">
        <v>0.69030303030302997</v>
      </c>
      <c r="I1535">
        <v>1.2979632389468501</v>
      </c>
      <c r="J1535">
        <v>0.58471932439145602</v>
      </c>
      <c r="K1535">
        <v>0.94074515648286094</v>
      </c>
      <c r="L1535">
        <v>3427.5248685031802</v>
      </c>
      <c r="M1535">
        <v>52.143096637339198</v>
      </c>
      <c r="O1535">
        <v>65.636583593364094</v>
      </c>
      <c r="P1535">
        <v>-4.2382588976733498E-2</v>
      </c>
      <c r="Q1535">
        <v>0.786599071044631</v>
      </c>
      <c r="R1535">
        <v>0.137775879022912</v>
      </c>
      <c r="S1535" t="s">
        <v>3537</v>
      </c>
      <c r="T1535" t="s">
        <v>4002</v>
      </c>
      <c r="U1535" t="s">
        <v>4002</v>
      </c>
      <c r="V1535" t="s">
        <v>4002</v>
      </c>
      <c r="W1535" t="s">
        <v>5514</v>
      </c>
      <c r="X1535">
        <v>3</v>
      </c>
      <c r="Y1535" t="s">
        <v>7438</v>
      </c>
      <c r="Z1535" t="s">
        <v>9433</v>
      </c>
      <c r="AA1535">
        <v>0.96978308490734255</v>
      </c>
      <c r="AB1535" t="str">
        <f>HYPERLINK("Melting_Curves/meltCurve_Q14314_FGL2.pdf", "Melting_Curves/meltCurve_Q14314_FGL2.pdf")</f>
        <v>Melting_Curves/meltCurve_Q14314_FGL2.pdf</v>
      </c>
    </row>
    <row r="1536" spans="1:28" x14ac:dyDescent="0.25">
      <c r="A1536" t="s">
        <v>1540</v>
      </c>
      <c r="B1536">
        <v>1</v>
      </c>
      <c r="C1536">
        <v>0.94335280009464495</v>
      </c>
      <c r="D1536">
        <v>1.04451542821497</v>
      </c>
      <c r="E1536">
        <v>1.0255541573903799</v>
      </c>
      <c r="F1536">
        <v>0.78793060798674996</v>
      </c>
      <c r="G1536">
        <v>1.0661332128760299</v>
      </c>
      <c r="H1536">
        <v>0.29215199130986602</v>
      </c>
      <c r="I1536">
        <v>1.0257154841415801</v>
      </c>
      <c r="J1536">
        <v>0.118166467697007</v>
      </c>
      <c r="K1536">
        <v>0.322416889835339</v>
      </c>
      <c r="L1536">
        <v>829.64652247363495</v>
      </c>
      <c r="M1536">
        <v>12.8127686858162</v>
      </c>
      <c r="N1536">
        <v>64.751520766255396</v>
      </c>
      <c r="O1536">
        <v>63.235052902809599</v>
      </c>
      <c r="P1536">
        <v>-5.0664790957572099E-2</v>
      </c>
      <c r="Q1536">
        <v>0</v>
      </c>
      <c r="R1536">
        <v>0.55163259850667101</v>
      </c>
      <c r="S1536" t="s">
        <v>3538</v>
      </c>
      <c r="T1536" t="s">
        <v>4002</v>
      </c>
      <c r="U1536" t="s">
        <v>4002</v>
      </c>
      <c r="V1536" t="s">
        <v>4002</v>
      </c>
      <c r="W1536" t="s">
        <v>5515</v>
      </c>
      <c r="X1536">
        <v>1</v>
      </c>
      <c r="Y1536" t="s">
        <v>7439</v>
      </c>
      <c r="Z1536" t="s">
        <v>9434</v>
      </c>
      <c r="AA1536">
        <v>0.79241933535990616</v>
      </c>
      <c r="AB1536" t="str">
        <f>HYPERLINK("Melting_Curves/meltCurve_Q14332_FZD2.pdf", "Melting_Curves/meltCurve_Q14332_FZD2.pdf")</f>
        <v>Melting_Curves/meltCurve_Q14332_FZD2.pdf</v>
      </c>
    </row>
    <row r="1537" spans="1:28" x14ac:dyDescent="0.25">
      <c r="A1537" t="s">
        <v>1541</v>
      </c>
      <c r="B1537">
        <v>1</v>
      </c>
      <c r="C1537">
        <v>0.98230763364600004</v>
      </c>
      <c r="D1537">
        <v>1.03233432471593</v>
      </c>
      <c r="E1537">
        <v>1.1326927476549999</v>
      </c>
      <c r="F1537">
        <v>1.1858461069168</v>
      </c>
      <c r="G1537">
        <v>1.59635476244948</v>
      </c>
      <c r="H1537">
        <v>1.48509113093876</v>
      </c>
      <c r="I1537">
        <v>2.5713414169145099</v>
      </c>
      <c r="J1537">
        <v>1.66262487607718</v>
      </c>
      <c r="K1537">
        <v>1.9071913368413</v>
      </c>
      <c r="L1537">
        <v>4471.3456337594198</v>
      </c>
      <c r="M1537">
        <v>83.873836208194106</v>
      </c>
      <c r="O1537">
        <v>53.280072340718803</v>
      </c>
      <c r="P1537">
        <v>0.196775764436113</v>
      </c>
      <c r="Q1537">
        <v>1.5</v>
      </c>
      <c r="R1537">
        <v>0.40506204436509402</v>
      </c>
      <c r="S1537" t="s">
        <v>3539</v>
      </c>
      <c r="T1537" t="s">
        <v>4002</v>
      </c>
      <c r="U1537" t="s">
        <v>4002</v>
      </c>
      <c r="V1537" t="s">
        <v>4002</v>
      </c>
      <c r="W1537" t="s">
        <v>5516</v>
      </c>
      <c r="X1537">
        <v>4</v>
      </c>
      <c r="Y1537" t="s">
        <v>7440</v>
      </c>
      <c r="Z1537" t="s">
        <v>9435</v>
      </c>
      <c r="AA1537">
        <v>1.2777440880374149</v>
      </c>
      <c r="AB1537" t="str">
        <f>HYPERLINK("Melting_Curves/meltCurve_Q14435_GALNT3.pdf", "Melting_Curves/meltCurve_Q14435_GALNT3.pdf")</f>
        <v>Melting_Curves/meltCurve_Q14435_GALNT3.pdf</v>
      </c>
    </row>
    <row r="1538" spans="1:28" x14ac:dyDescent="0.25">
      <c r="A1538" t="s">
        <v>1542</v>
      </c>
      <c r="B1538">
        <v>1</v>
      </c>
      <c r="C1538">
        <v>0.86388347097148999</v>
      </c>
      <c r="D1538">
        <v>0.97045275345478699</v>
      </c>
      <c r="E1538">
        <v>1.0209984645391501</v>
      </c>
      <c r="F1538">
        <v>0.98734282275801999</v>
      </c>
      <c r="G1538">
        <v>1.0013279661368599</v>
      </c>
      <c r="H1538">
        <v>0.81296426941112998</v>
      </c>
      <c r="I1538">
        <v>1.0720836618666201</v>
      </c>
      <c r="J1538">
        <v>0.85089430219529405</v>
      </c>
      <c r="K1538">
        <v>0.928829314852471</v>
      </c>
      <c r="L1538">
        <v>129.30108894266999</v>
      </c>
      <c r="M1538">
        <v>1.0000000000000001E-5</v>
      </c>
      <c r="O1538">
        <v>53.889819693909999</v>
      </c>
      <c r="P1538">
        <v>-1.8655654477361099E-3</v>
      </c>
      <c r="Q1538">
        <v>0.45081558566680002</v>
      </c>
      <c r="R1538">
        <v>3.2369113399591601E-2</v>
      </c>
      <c r="S1538" t="s">
        <v>3540</v>
      </c>
      <c r="T1538" t="s">
        <v>4002</v>
      </c>
      <c r="U1538" t="s">
        <v>4002</v>
      </c>
      <c r="V1538" t="s">
        <v>4002</v>
      </c>
      <c r="W1538" t="s">
        <v>5517</v>
      </c>
      <c r="X1538">
        <v>4</v>
      </c>
      <c r="Y1538" t="s">
        <v>7441</v>
      </c>
      <c r="Z1538" t="s">
        <v>9436</v>
      </c>
      <c r="AA1538">
        <v>0.9522441308157481</v>
      </c>
      <c r="AB1538" t="str">
        <f>HYPERLINK("Melting_Curves/meltCurve_Q14508_WFDC2.pdf", "Melting_Curves/meltCurve_Q14508_WFDC2.pdf")</f>
        <v>Melting_Curves/meltCurve_Q14508_WFDC2.pdf</v>
      </c>
    </row>
    <row r="1539" spans="1:28" x14ac:dyDescent="0.25">
      <c r="A1539" t="s">
        <v>1543</v>
      </c>
      <c r="B1539">
        <v>1</v>
      </c>
      <c r="C1539">
        <v>0.92012937595129396</v>
      </c>
      <c r="D1539">
        <v>0.97319888381532205</v>
      </c>
      <c r="E1539">
        <v>1.11397767630644</v>
      </c>
      <c r="F1539">
        <v>1.13904109589041</v>
      </c>
      <c r="G1539">
        <v>1.2418188736681901</v>
      </c>
      <c r="H1539">
        <v>1.1251775748351101</v>
      </c>
      <c r="I1539">
        <v>1.5088787417554499</v>
      </c>
      <c r="J1539">
        <v>1.20782597666159</v>
      </c>
      <c r="K1539">
        <v>1.18381532217149</v>
      </c>
      <c r="L1539">
        <v>1176.04732896418</v>
      </c>
      <c r="M1539">
        <v>22.642270618944501</v>
      </c>
      <c r="O1539">
        <v>51.5402644961273</v>
      </c>
      <c r="P1539">
        <v>2.8744930221063201E-2</v>
      </c>
      <c r="Q1539">
        <v>1.2617215206627299</v>
      </c>
      <c r="R1539">
        <v>0.60660138699142097</v>
      </c>
      <c r="S1539" t="s">
        <v>3541</v>
      </c>
      <c r="T1539" t="s">
        <v>4002</v>
      </c>
      <c r="U1539" t="s">
        <v>4002</v>
      </c>
      <c r="V1539" t="s">
        <v>4002</v>
      </c>
      <c r="W1539" t="s">
        <v>5518</v>
      </c>
      <c r="X1539">
        <v>30</v>
      </c>
      <c r="Y1539" t="s">
        <v>7442</v>
      </c>
      <c r="Z1539" t="s">
        <v>9437</v>
      </c>
      <c r="AA1539">
        <v>1.154669870304982</v>
      </c>
      <c r="AB1539" t="str">
        <f>HYPERLINK("Melting_Curves/meltCurve_Q14515_SPARCL1.pdf", "Melting_Curves/meltCurve_Q14515_SPARCL1.pdf")</f>
        <v>Melting_Curves/meltCurve_Q14515_SPARCL1.pdf</v>
      </c>
    </row>
    <row r="1540" spans="1:28" x14ac:dyDescent="0.25">
      <c r="A1540" t="s">
        <v>1544</v>
      </c>
      <c r="B1540">
        <v>1</v>
      </c>
      <c r="C1540">
        <v>0.91673789032219599</v>
      </c>
      <c r="D1540">
        <v>1.0079903003319399</v>
      </c>
      <c r="E1540">
        <v>1.2479378267178201</v>
      </c>
      <c r="F1540">
        <v>1.3656258074774901</v>
      </c>
      <c r="G1540">
        <v>1.6879608833058399</v>
      </c>
      <c r="H1540">
        <v>1.65715251137922</v>
      </c>
      <c r="I1540">
        <v>2.3887420246069402</v>
      </c>
      <c r="J1540">
        <v>1.78259227604301</v>
      </c>
      <c r="K1540">
        <v>1.9934010454970099</v>
      </c>
      <c r="L1540">
        <v>1869.59439146728</v>
      </c>
      <c r="M1540">
        <v>37.202324732101999</v>
      </c>
      <c r="O1540">
        <v>50.1102260135007</v>
      </c>
      <c r="P1540">
        <v>9.2801487556991899E-2</v>
      </c>
      <c r="Q1540">
        <v>1.5</v>
      </c>
      <c r="R1540">
        <v>0.430386709301597</v>
      </c>
      <c r="S1540" t="s">
        <v>3542</v>
      </c>
      <c r="T1540" t="s">
        <v>4002</v>
      </c>
      <c r="U1540" t="s">
        <v>4002</v>
      </c>
      <c r="V1540" t="s">
        <v>4002</v>
      </c>
      <c r="W1540" t="s">
        <v>5519</v>
      </c>
      <c r="X1540">
        <v>3</v>
      </c>
      <c r="Y1540" t="s">
        <v>7443</v>
      </c>
      <c r="Z1540" t="s">
        <v>9438</v>
      </c>
      <c r="AA1540">
        <v>1.327076125978194</v>
      </c>
      <c r="AB1540" t="str">
        <f>HYPERLINK("Melting_Curves/meltCurve_Q14520_2_HABP2.pdf", "Melting_Curves/meltCurve_Q14520_2_HABP2.pdf")</f>
        <v>Melting_Curves/meltCurve_Q14520_2_HABP2.pdf</v>
      </c>
    </row>
    <row r="1541" spans="1:28" x14ac:dyDescent="0.25">
      <c r="A1541" t="s">
        <v>1545</v>
      </c>
      <c r="B1541">
        <v>1</v>
      </c>
      <c r="C1541">
        <v>0.89772599029454903</v>
      </c>
      <c r="D1541">
        <v>0.97709062182597906</v>
      </c>
      <c r="E1541">
        <v>0.95279878117593997</v>
      </c>
      <c r="F1541">
        <v>0.92946620020313697</v>
      </c>
      <c r="G1541">
        <v>1.06023586502652</v>
      </c>
      <c r="H1541">
        <v>0.97150434488206705</v>
      </c>
      <c r="I1541">
        <v>1.27601286536508</v>
      </c>
      <c r="J1541">
        <v>1.21831621713125</v>
      </c>
      <c r="K1541">
        <v>1.1393747883986001</v>
      </c>
      <c r="L1541">
        <v>15000</v>
      </c>
      <c r="M1541">
        <v>240.53746085184301</v>
      </c>
      <c r="O1541">
        <v>62.356019067662203</v>
      </c>
      <c r="P1541">
        <v>0.203763194675532</v>
      </c>
      <c r="Q1541">
        <v>1.2112912559645499</v>
      </c>
      <c r="R1541">
        <v>0.78281617015600002</v>
      </c>
      <c r="S1541" t="s">
        <v>3543</v>
      </c>
      <c r="T1541" t="s">
        <v>4002</v>
      </c>
      <c r="U1541" t="s">
        <v>4002</v>
      </c>
      <c r="V1541" t="s">
        <v>4002</v>
      </c>
      <c r="W1541" t="s">
        <v>5520</v>
      </c>
      <c r="X1541">
        <v>10</v>
      </c>
      <c r="Y1541" t="s">
        <v>7444</v>
      </c>
      <c r="Z1541" t="s">
        <v>9439</v>
      </c>
      <c r="AA1541">
        <v>1.0537814024073531</v>
      </c>
      <c r="AB1541" t="str">
        <f>HYPERLINK("Melting_Curves/meltCurve_Q14574_2_DSC3.pdf", "Melting_Curves/meltCurve_Q14574_2_DSC3.pdf")</f>
        <v>Melting_Curves/meltCurve_Q14574_2_DSC3.pdf</v>
      </c>
    </row>
    <row r="1542" spans="1:28" x14ac:dyDescent="0.25">
      <c r="A1542" t="s">
        <v>1546</v>
      </c>
      <c r="B1542">
        <v>1</v>
      </c>
      <c r="C1542">
        <v>0.94021635075626997</v>
      </c>
      <c r="D1542">
        <v>1.0511679111621699</v>
      </c>
      <c r="E1542">
        <v>1.0652881485736201</v>
      </c>
      <c r="F1542">
        <v>0.93140915182845097</v>
      </c>
      <c r="G1542">
        <v>1.0020582040972601</v>
      </c>
      <c r="H1542">
        <v>0.87205628948879998</v>
      </c>
      <c r="I1542">
        <v>1.13057629714723</v>
      </c>
      <c r="J1542">
        <v>0.86889718552555995</v>
      </c>
      <c r="K1542">
        <v>0.90259429446678197</v>
      </c>
      <c r="L1542">
        <v>15000</v>
      </c>
      <c r="M1542">
        <v>228.121488785808</v>
      </c>
      <c r="O1542">
        <v>65.749383182467199</v>
      </c>
      <c r="P1542">
        <v>-9.9590528889467594E-2</v>
      </c>
      <c r="Q1542">
        <v>0.885183708628418</v>
      </c>
      <c r="R1542">
        <v>0.29320395001516297</v>
      </c>
      <c r="S1542" t="s">
        <v>3544</v>
      </c>
      <c r="T1542" t="s">
        <v>4002</v>
      </c>
      <c r="U1542" t="s">
        <v>4002</v>
      </c>
      <c r="V1542" t="s">
        <v>4002</v>
      </c>
      <c r="W1542" t="s">
        <v>5521</v>
      </c>
      <c r="X1542">
        <v>18</v>
      </c>
      <c r="Y1542" t="s">
        <v>7445</v>
      </c>
      <c r="Z1542" t="s">
        <v>9440</v>
      </c>
      <c r="AA1542">
        <v>0.98376725137572452</v>
      </c>
      <c r="AB1542" t="str">
        <f>HYPERLINK("Melting_Curves/meltCurve_Q14624_ITIH4.pdf", "Melting_Curves/meltCurve_Q14624_ITIH4.pdf")</f>
        <v>Melting_Curves/meltCurve_Q14624_ITIH4.pdf</v>
      </c>
    </row>
    <row r="1543" spans="1:28" x14ac:dyDescent="0.25">
      <c r="A1543" t="s">
        <v>1547</v>
      </c>
      <c r="B1543">
        <v>1</v>
      </c>
      <c r="C1543">
        <v>0.93544749823819595</v>
      </c>
      <c r="D1543">
        <v>0.95412262156448202</v>
      </c>
      <c r="E1543">
        <v>1.03312191684285</v>
      </c>
      <c r="F1543">
        <v>0.95771670190274805</v>
      </c>
      <c r="G1543">
        <v>1.06434108527132</v>
      </c>
      <c r="H1543">
        <v>0.85341789992952799</v>
      </c>
      <c r="I1543">
        <v>1.0436927413671599</v>
      </c>
      <c r="J1543">
        <v>0.787244538407329</v>
      </c>
      <c r="K1543">
        <v>0.87709654686398897</v>
      </c>
      <c r="L1543">
        <v>1415.2744216449601</v>
      </c>
      <c r="M1543">
        <v>21.8158896564372</v>
      </c>
      <c r="O1543">
        <v>64.335843376512003</v>
      </c>
      <c r="P1543">
        <v>-1.57106583783733E-2</v>
      </c>
      <c r="Q1543">
        <v>0.814679090324539</v>
      </c>
      <c r="R1543">
        <v>0.30707158616686803</v>
      </c>
      <c r="S1543" t="s">
        <v>3545</v>
      </c>
      <c r="T1543" t="s">
        <v>4002</v>
      </c>
      <c r="U1543" t="s">
        <v>4002</v>
      </c>
      <c r="V1543" t="s">
        <v>4002</v>
      </c>
      <c r="W1543" t="s">
        <v>5522</v>
      </c>
      <c r="X1543">
        <v>3</v>
      </c>
      <c r="Y1543" t="s">
        <v>7446</v>
      </c>
      <c r="Z1543" t="s">
        <v>9441</v>
      </c>
      <c r="AA1543">
        <v>0.96676005256590325</v>
      </c>
      <c r="AB1543" t="str">
        <f>HYPERLINK("Melting_Curves/meltCurve_Q14677_2_CLINT1.pdf", "Melting_Curves/meltCurve_Q14677_2_CLINT1.pdf")</f>
        <v>Melting_Curves/meltCurve_Q14677_2_CLINT1.pdf</v>
      </c>
    </row>
    <row r="1544" spans="1:28" x14ac:dyDescent="0.25">
      <c r="A1544" t="s">
        <v>1548</v>
      </c>
      <c r="B1544">
        <v>1</v>
      </c>
      <c r="C1544">
        <v>0.84386046120181801</v>
      </c>
      <c r="D1544">
        <v>1.0293405992257201</v>
      </c>
      <c r="E1544">
        <v>1.07894293889918</v>
      </c>
      <c r="F1544">
        <v>1.00395556303653</v>
      </c>
      <c r="G1544">
        <v>1.07736492173035</v>
      </c>
      <c r="H1544">
        <v>0.93333403467429699</v>
      </c>
      <c r="I1544">
        <v>1.2885036189193699</v>
      </c>
      <c r="J1544">
        <v>1.1633142568591099</v>
      </c>
      <c r="K1544">
        <v>1.03776721090725</v>
      </c>
      <c r="L1544">
        <v>15000</v>
      </c>
      <c r="M1544">
        <v>240.452213671973</v>
      </c>
      <c r="O1544">
        <v>62.378121955295597</v>
      </c>
      <c r="P1544">
        <v>0.15720392176458001</v>
      </c>
      <c r="Q1544">
        <v>1.16312744107599</v>
      </c>
      <c r="R1544">
        <v>0.44465528181192598</v>
      </c>
      <c r="S1544" t="s">
        <v>3546</v>
      </c>
      <c r="T1544" t="s">
        <v>4002</v>
      </c>
      <c r="U1544" t="s">
        <v>4002</v>
      </c>
      <c r="V1544" t="s">
        <v>4002</v>
      </c>
      <c r="W1544" t="s">
        <v>5523</v>
      </c>
      <c r="X1544">
        <v>4</v>
      </c>
      <c r="Y1544" t="s">
        <v>7447</v>
      </c>
      <c r="Z1544" t="s">
        <v>9442</v>
      </c>
      <c r="AA1544">
        <v>1.0414017011493859</v>
      </c>
      <c r="AB1544" t="str">
        <f>HYPERLINK("Melting_Curves/meltCurve_Q14696_MESDC2.pdf", "Melting_Curves/meltCurve_Q14696_MESDC2.pdf")</f>
        <v>Melting_Curves/meltCurve_Q14696_MESDC2.pdf</v>
      </c>
    </row>
    <row r="1545" spans="1:28" x14ac:dyDescent="0.25">
      <c r="A1545" t="s">
        <v>1549</v>
      </c>
      <c r="B1545">
        <v>1</v>
      </c>
      <c r="C1545">
        <v>0.93957839965311396</v>
      </c>
      <c r="D1545">
        <v>0.95410426603515597</v>
      </c>
      <c r="E1545">
        <v>0.90262166038491098</v>
      </c>
      <c r="F1545">
        <v>0.891164404122611</v>
      </c>
      <c r="G1545">
        <v>0.79215169607418001</v>
      </c>
      <c r="H1545">
        <v>0.3772555952103</v>
      </c>
      <c r="I1545">
        <v>0.75077549114439102</v>
      </c>
      <c r="J1545">
        <v>0.58817250925586195</v>
      </c>
      <c r="K1545">
        <v>0.53660651746105903</v>
      </c>
      <c r="L1545">
        <v>1287.90521702009</v>
      </c>
      <c r="M1545">
        <v>23.260649890430098</v>
      </c>
      <c r="O1545">
        <v>54.964063522604</v>
      </c>
      <c r="P1545">
        <v>-4.64237899550934E-2</v>
      </c>
      <c r="Q1545">
        <v>0.56121710812205705</v>
      </c>
      <c r="R1545">
        <v>0.744984897956812</v>
      </c>
      <c r="S1545" t="s">
        <v>3547</v>
      </c>
      <c r="T1545" t="s">
        <v>4002</v>
      </c>
      <c r="U1545" t="s">
        <v>4002</v>
      </c>
      <c r="V1545" t="s">
        <v>4002</v>
      </c>
      <c r="W1545" t="s">
        <v>5524</v>
      </c>
      <c r="X1545">
        <v>2</v>
      </c>
      <c r="Y1545" t="s">
        <v>7448</v>
      </c>
      <c r="Z1545" t="s">
        <v>9443</v>
      </c>
      <c r="AA1545">
        <v>0.79057178524119665</v>
      </c>
      <c r="AB1545" t="str">
        <f>HYPERLINK("Melting_Curves/meltCurve_Q14764_MVP.pdf", "Melting_Curves/meltCurve_Q14764_MVP.pdf")</f>
        <v>Melting_Curves/meltCurve_Q14764_MVP.pdf</v>
      </c>
    </row>
    <row r="1546" spans="1:28" x14ac:dyDescent="0.25">
      <c r="A1546" t="s">
        <v>1550</v>
      </c>
      <c r="B1546">
        <v>1</v>
      </c>
      <c r="C1546">
        <v>0.98402744579736201</v>
      </c>
      <c r="D1546">
        <v>1.12089086358651</v>
      </c>
      <c r="E1546">
        <v>1.20002249655522</v>
      </c>
      <c r="F1546">
        <v>1.1490959196873001</v>
      </c>
      <c r="G1546">
        <v>1.24001012344985</v>
      </c>
      <c r="H1546">
        <v>0.96943280560164202</v>
      </c>
      <c r="I1546">
        <v>1.39397092320238</v>
      </c>
      <c r="J1546">
        <v>1.08886139309918</v>
      </c>
      <c r="K1546">
        <v>1.1089114479345299</v>
      </c>
      <c r="L1546">
        <v>11452.9170058773</v>
      </c>
      <c r="M1546">
        <v>250</v>
      </c>
      <c r="O1546">
        <v>45.808736183823598</v>
      </c>
      <c r="P1546">
        <v>0.224205734022313</v>
      </c>
      <c r="Q1546">
        <v>1.16432930164505</v>
      </c>
      <c r="R1546">
        <v>0.30108994591581401</v>
      </c>
      <c r="S1546" t="s">
        <v>3548</v>
      </c>
      <c r="T1546" t="s">
        <v>4002</v>
      </c>
      <c r="U1546" t="s">
        <v>4002</v>
      </c>
      <c r="V1546" t="s">
        <v>4002</v>
      </c>
      <c r="W1546" t="s">
        <v>5525</v>
      </c>
      <c r="X1546">
        <v>5</v>
      </c>
      <c r="Y1546" t="s">
        <v>7449</v>
      </c>
      <c r="Z1546" t="s">
        <v>9444</v>
      </c>
      <c r="AA1546">
        <v>1.1324818448490399</v>
      </c>
      <c r="AB1546" t="str">
        <f>HYPERLINK("Melting_Curves/meltCurve_Q14766_LTBP1.pdf", "Melting_Curves/meltCurve_Q14766_LTBP1.pdf")</f>
        <v>Melting_Curves/meltCurve_Q14766_LTBP1.pdf</v>
      </c>
    </row>
    <row r="1547" spans="1:28" x14ac:dyDescent="0.25">
      <c r="A1547" t="s">
        <v>1551</v>
      </c>
      <c r="B1547">
        <v>1</v>
      </c>
      <c r="C1547">
        <v>0.92268009198831502</v>
      </c>
      <c r="D1547">
        <v>1.0303934365094201</v>
      </c>
      <c r="E1547">
        <v>1.03977873080987</v>
      </c>
      <c r="F1547">
        <v>0.93809435017714005</v>
      </c>
      <c r="G1547">
        <v>0.96482068494002104</v>
      </c>
      <c r="H1547">
        <v>0.81602337000435099</v>
      </c>
      <c r="I1547">
        <v>0.97544906457828295</v>
      </c>
      <c r="J1547">
        <v>0.79917956367704601</v>
      </c>
      <c r="K1547">
        <v>0.86779787432407196</v>
      </c>
      <c r="L1547">
        <v>1278.9757507310901</v>
      </c>
      <c r="M1547">
        <v>22.358002001335802</v>
      </c>
      <c r="O1547">
        <v>56.752669178839703</v>
      </c>
      <c r="P1547">
        <v>-1.40557074428053E-2</v>
      </c>
      <c r="Q1547">
        <v>0.85728921984182505</v>
      </c>
      <c r="R1547">
        <v>0.50153241294142503</v>
      </c>
      <c r="S1547" t="s">
        <v>3549</v>
      </c>
      <c r="T1547" t="s">
        <v>4002</v>
      </c>
      <c r="U1547" t="s">
        <v>4002</v>
      </c>
      <c r="V1547" t="s">
        <v>4002</v>
      </c>
      <c r="W1547" t="s">
        <v>5526</v>
      </c>
      <c r="X1547">
        <v>10</v>
      </c>
      <c r="Y1547" t="s">
        <v>7450</v>
      </c>
      <c r="Z1547" t="s">
        <v>9445</v>
      </c>
      <c r="AA1547">
        <v>0.94063121897014335</v>
      </c>
      <c r="AB1547" t="str">
        <f>HYPERLINK("Melting_Curves/meltCurve_Q14847_LASP1.pdf", "Melting_Curves/meltCurve_Q14847_LASP1.pdf")</f>
        <v>Melting_Curves/meltCurve_Q14847_LASP1.pdf</v>
      </c>
    </row>
    <row r="1548" spans="1:28" x14ac:dyDescent="0.25">
      <c r="A1548" t="s">
        <v>1552</v>
      </c>
      <c r="B1548">
        <v>1</v>
      </c>
      <c r="C1548">
        <v>1.0235517054683301</v>
      </c>
      <c r="D1548">
        <v>1.39327287493232</v>
      </c>
      <c r="E1548">
        <v>1.69870059556037</v>
      </c>
      <c r="F1548">
        <v>2.06957227937195</v>
      </c>
      <c r="G1548">
        <v>2.82464807796427</v>
      </c>
      <c r="H1548">
        <v>3.0010828370330298</v>
      </c>
      <c r="I1548">
        <v>4.3768272874932297</v>
      </c>
      <c r="J1548">
        <v>4.2041147807254999</v>
      </c>
      <c r="K1548">
        <v>4.0226042230644303</v>
      </c>
      <c r="L1548">
        <v>3163.8201837131701</v>
      </c>
      <c r="M1548">
        <v>70.119408196179506</v>
      </c>
      <c r="O1548">
        <v>45.0838056925232</v>
      </c>
      <c r="P1548">
        <v>0.19441411159518901</v>
      </c>
      <c r="Q1548">
        <v>1.5</v>
      </c>
      <c r="R1548">
        <v>-0.69334252893472403</v>
      </c>
      <c r="S1548" t="s">
        <v>3550</v>
      </c>
      <c r="T1548" t="s">
        <v>4002</v>
      </c>
      <c r="U1548" t="s">
        <v>4002</v>
      </c>
      <c r="V1548" t="s">
        <v>4002</v>
      </c>
      <c r="W1548" t="s">
        <v>5527</v>
      </c>
      <c r="X1548">
        <v>4</v>
      </c>
      <c r="Y1548" t="s">
        <v>7451</v>
      </c>
      <c r="Z1548" t="s">
        <v>9446</v>
      </c>
      <c r="AA1548">
        <v>1.414153301538829</v>
      </c>
      <c r="AB1548" t="str">
        <f>HYPERLINK("Melting_Curves/meltCurve_Q14914_2_PTGR1.pdf", "Melting_Curves/meltCurve_Q14914_2_PTGR1.pdf")</f>
        <v>Melting_Curves/meltCurve_Q14914_2_PTGR1.pdf</v>
      </c>
    </row>
    <row r="1549" spans="1:28" x14ac:dyDescent="0.25">
      <c r="A1549" t="s">
        <v>1553</v>
      </c>
      <c r="B1549">
        <v>1</v>
      </c>
      <c r="C1549">
        <v>1.04293329491428</v>
      </c>
      <c r="D1549">
        <v>1.1716371320174801</v>
      </c>
      <c r="E1549">
        <v>1.1141045958795599</v>
      </c>
      <c r="F1549">
        <v>1.0594054651106899</v>
      </c>
      <c r="G1549">
        <v>1.1562695096768001</v>
      </c>
      <c r="H1549">
        <v>0.76180185371944498</v>
      </c>
      <c r="I1549">
        <v>1.2822840128703801</v>
      </c>
      <c r="J1549">
        <v>0.90126302646112499</v>
      </c>
      <c r="K1549">
        <v>0.88138116505786901</v>
      </c>
      <c r="S1549" t="s">
        <v>3551</v>
      </c>
      <c r="T1549" t="s">
        <v>4002</v>
      </c>
      <c r="U1549" t="s">
        <v>4003</v>
      </c>
      <c r="V1549" t="s">
        <v>4002</v>
      </c>
      <c r="W1549" t="s">
        <v>5528</v>
      </c>
      <c r="X1549">
        <v>6</v>
      </c>
      <c r="Y1549" t="s">
        <v>7452</v>
      </c>
      <c r="Z1549" t="s">
        <v>9447</v>
      </c>
      <c r="AB1549" t="str">
        <f>HYPERLINK("Melting_Curves/meltCurve_Q14974_KPNB1.pdf", "Melting_Curves/meltCurve_Q14974_KPNB1.pdf")</f>
        <v>Melting_Curves/meltCurve_Q14974_KPNB1.pdf</v>
      </c>
    </row>
    <row r="1550" spans="1:28" x14ac:dyDescent="0.25">
      <c r="A1550" t="s">
        <v>1554</v>
      </c>
      <c r="B1550">
        <v>1</v>
      </c>
      <c r="C1550">
        <v>0.92488118017406296</v>
      </c>
      <c r="D1550">
        <v>0.95391230993971599</v>
      </c>
      <c r="E1550">
        <v>1.05742443882065</v>
      </c>
      <c r="F1550">
        <v>1.0492767936135601</v>
      </c>
      <c r="G1550">
        <v>1.0950970104726001</v>
      </c>
      <c r="H1550">
        <v>0.96413801617184103</v>
      </c>
      <c r="I1550">
        <v>1.2270641729934399</v>
      </c>
      <c r="J1550">
        <v>1.0803242598193501</v>
      </c>
      <c r="K1550">
        <v>0.97273830833487596</v>
      </c>
      <c r="L1550">
        <v>9256.6892882761895</v>
      </c>
      <c r="M1550">
        <v>187.18957279195899</v>
      </c>
      <c r="O1550">
        <v>49.4452419929965</v>
      </c>
      <c r="P1550">
        <v>6.13045960159656E-2</v>
      </c>
      <c r="Q1550">
        <v>1.06477327171864</v>
      </c>
      <c r="R1550">
        <v>0.24877993108291099</v>
      </c>
      <c r="S1550" t="s">
        <v>3552</v>
      </c>
      <c r="T1550" t="s">
        <v>4002</v>
      </c>
      <c r="U1550" t="s">
        <v>4002</v>
      </c>
      <c r="V1550" t="s">
        <v>4002</v>
      </c>
      <c r="W1550" t="s">
        <v>5529</v>
      </c>
      <c r="X1550">
        <v>7</v>
      </c>
      <c r="Y1550" t="s">
        <v>7453</v>
      </c>
      <c r="Z1550" t="s">
        <v>9448</v>
      </c>
      <c r="AA1550">
        <v>1.044357760474254</v>
      </c>
      <c r="AB1550" t="str">
        <f>HYPERLINK("Melting_Curves/meltCurve_Q14CN2_CLCA4.pdf", "Melting_Curves/meltCurve_Q14CN2_CLCA4.pdf")</f>
        <v>Melting_Curves/meltCurve_Q14CN2_CLCA4.pdf</v>
      </c>
    </row>
    <row r="1551" spans="1:28" x14ac:dyDescent="0.25">
      <c r="A1551" t="s">
        <v>1555</v>
      </c>
      <c r="B1551">
        <v>1</v>
      </c>
      <c r="C1551">
        <v>1.2350777484164801</v>
      </c>
      <c r="D1551">
        <v>1.0991541290982201</v>
      </c>
      <c r="E1551">
        <v>1.5950708433478999</v>
      </c>
      <c r="F1551">
        <v>1.51725603197578</v>
      </c>
      <c r="G1551">
        <v>1.38194324564781</v>
      </c>
      <c r="H1551">
        <v>1.37995139894034</v>
      </c>
      <c r="I1551">
        <v>2.0664745641175499</v>
      </c>
      <c r="J1551">
        <v>1.18816311896636</v>
      </c>
      <c r="K1551">
        <v>1.33267823708287</v>
      </c>
      <c r="L1551">
        <v>1098.87676636885</v>
      </c>
      <c r="M1551">
        <v>23.929020927496801</v>
      </c>
      <c r="O1551">
        <v>45.6052296714522</v>
      </c>
      <c r="P1551">
        <v>6.5116489277383602E-2</v>
      </c>
      <c r="Q1551">
        <v>1.4964022643958601</v>
      </c>
      <c r="R1551">
        <v>0.33065219267239798</v>
      </c>
      <c r="S1551" t="s">
        <v>3553</v>
      </c>
      <c r="T1551" t="s">
        <v>4002</v>
      </c>
      <c r="U1551" t="s">
        <v>4002</v>
      </c>
      <c r="V1551" t="s">
        <v>4002</v>
      </c>
      <c r="W1551" t="s">
        <v>5530</v>
      </c>
      <c r="X1551">
        <v>2</v>
      </c>
      <c r="Y1551" t="s">
        <v>7454</v>
      </c>
      <c r="Z1551" t="s">
        <v>9449</v>
      </c>
      <c r="AA1551">
        <v>1.3933104117254209</v>
      </c>
      <c r="AB1551" t="str">
        <f>HYPERLINK("Melting_Curves/meltCurve_Q15029_2_EFTUD2.pdf", "Melting_Curves/meltCurve_Q15029_2_EFTUD2.pdf")</f>
        <v>Melting_Curves/meltCurve_Q15029_2_EFTUD2.pdf</v>
      </c>
    </row>
    <row r="1552" spans="1:28" x14ac:dyDescent="0.25">
      <c r="A1552" t="s">
        <v>1556</v>
      </c>
      <c r="B1552">
        <v>1</v>
      </c>
      <c r="C1552">
        <v>0.92235132180883395</v>
      </c>
      <c r="D1552">
        <v>1.0549370470831101</v>
      </c>
      <c r="E1552">
        <v>1.06109064410348</v>
      </c>
      <c r="F1552">
        <v>0.94324116432533101</v>
      </c>
      <c r="G1552">
        <v>1.02242824177159</v>
      </c>
      <c r="H1552">
        <v>0.78300473665033798</v>
      </c>
      <c r="I1552">
        <v>1.0406461276871399</v>
      </c>
      <c r="J1552">
        <v>1.1019796769361601</v>
      </c>
      <c r="K1552">
        <v>0.83891340431561501</v>
      </c>
      <c r="L1552">
        <v>15000</v>
      </c>
      <c r="M1552">
        <v>212.635475875271</v>
      </c>
      <c r="Q1552">
        <v>0</v>
      </c>
      <c r="R1552">
        <v>0.21396444694034999</v>
      </c>
      <c r="S1552" t="s">
        <v>3554</v>
      </c>
      <c r="T1552" t="s">
        <v>4002</v>
      </c>
      <c r="U1552" t="s">
        <v>4002</v>
      </c>
      <c r="V1552" t="s">
        <v>4002</v>
      </c>
      <c r="W1552" t="s">
        <v>5531</v>
      </c>
      <c r="X1552">
        <v>5</v>
      </c>
      <c r="Y1552" t="s">
        <v>7455</v>
      </c>
      <c r="Z1552" t="s">
        <v>9450</v>
      </c>
      <c r="AA1552">
        <v>0.99810590560511347</v>
      </c>
      <c r="AB1552" t="str">
        <f>HYPERLINK("Melting_Curves/meltCurve_Q15056_2_EIF4H.pdf", "Melting_Curves/meltCurve_Q15056_2_EIF4H.pdf")</f>
        <v>Melting_Curves/meltCurve_Q15056_2_EIF4H.pdf</v>
      </c>
    </row>
    <row r="1553" spans="1:28" x14ac:dyDescent="0.25">
      <c r="A1553" t="s">
        <v>1557</v>
      </c>
      <c r="B1553">
        <v>1</v>
      </c>
      <c r="C1553">
        <v>0.95244117601136702</v>
      </c>
      <c r="D1553">
        <v>1.1178821802738601</v>
      </c>
      <c r="E1553">
        <v>1.0263088044717199</v>
      </c>
      <c r="F1553">
        <v>1.12476774868456</v>
      </c>
      <c r="G1553">
        <v>1.0640467156931599</v>
      </c>
      <c r="H1553">
        <v>1.0432651021905801</v>
      </c>
      <c r="I1553">
        <v>1.14901556669321</v>
      </c>
      <c r="J1553">
        <v>1.7201430199697101</v>
      </c>
      <c r="K1553">
        <v>1.0613611878776501</v>
      </c>
      <c r="L1553">
        <v>15000</v>
      </c>
      <c r="M1553">
        <v>233.89193812719699</v>
      </c>
      <c r="O1553">
        <v>64.127498752917404</v>
      </c>
      <c r="P1553">
        <v>0.35628742062344398</v>
      </c>
      <c r="Q1553">
        <v>1.3907414475218001</v>
      </c>
      <c r="R1553">
        <v>0.39821329953024398</v>
      </c>
      <c r="S1553" t="s">
        <v>3555</v>
      </c>
      <c r="T1553" t="s">
        <v>4002</v>
      </c>
      <c r="U1553" t="s">
        <v>4002</v>
      </c>
      <c r="V1553" t="s">
        <v>4002</v>
      </c>
      <c r="W1553" t="s">
        <v>5532</v>
      </c>
      <c r="X1553">
        <v>2</v>
      </c>
      <c r="Y1553" t="s">
        <v>7456</v>
      </c>
      <c r="Z1553" t="s">
        <v>9451</v>
      </c>
      <c r="AA1553">
        <v>1.076376429769633</v>
      </c>
      <c r="AB1553" t="str">
        <f>HYPERLINK("Melting_Curves/meltCurve_Q15075_EEA1.pdf", "Melting_Curves/meltCurve_Q15075_EEA1.pdf")</f>
        <v>Melting_Curves/meltCurve_Q15075_EEA1.pdf</v>
      </c>
    </row>
    <row r="1554" spans="1:28" x14ac:dyDescent="0.25">
      <c r="A1554" t="s">
        <v>1558</v>
      </c>
      <c r="B1554">
        <v>1</v>
      </c>
      <c r="C1554">
        <v>0.90078809347282895</v>
      </c>
      <c r="D1554">
        <v>0.96537331466073495</v>
      </c>
      <c r="E1554">
        <v>0.95323612598511698</v>
      </c>
      <c r="F1554">
        <v>0.88832138836257801</v>
      </c>
      <c r="G1554">
        <v>0.92692973062031503</v>
      </c>
      <c r="H1554">
        <v>0.83985501276876195</v>
      </c>
      <c r="I1554">
        <v>1.1196968448801401</v>
      </c>
      <c r="J1554">
        <v>1.16588406513442</v>
      </c>
      <c r="K1554">
        <v>1.16478567701897</v>
      </c>
      <c r="L1554">
        <v>15000</v>
      </c>
      <c r="M1554">
        <v>235.338457546504</v>
      </c>
      <c r="O1554">
        <v>63.7333891287292</v>
      </c>
      <c r="P1554">
        <v>0.15263245421551</v>
      </c>
      <c r="Q1554">
        <v>1.16534115549191</v>
      </c>
      <c r="R1554">
        <v>0.546930891134771</v>
      </c>
      <c r="S1554" t="s">
        <v>3556</v>
      </c>
      <c r="T1554" t="s">
        <v>4002</v>
      </c>
      <c r="U1554" t="s">
        <v>4002</v>
      </c>
      <c r="V1554" t="s">
        <v>4002</v>
      </c>
      <c r="W1554" t="s">
        <v>5533</v>
      </c>
      <c r="X1554">
        <v>5</v>
      </c>
      <c r="Y1554" t="s">
        <v>7457</v>
      </c>
      <c r="Z1554" t="s">
        <v>9452</v>
      </c>
      <c r="AA1554">
        <v>1.0344913998159091</v>
      </c>
      <c r="AB1554" t="str">
        <f>HYPERLINK("Melting_Curves/meltCurve_Q15080_NCF4.pdf", "Melting_Curves/meltCurve_Q15080_NCF4.pdf")</f>
        <v>Melting_Curves/meltCurve_Q15080_NCF4.pdf</v>
      </c>
    </row>
    <row r="1555" spans="1:28" x14ac:dyDescent="0.25">
      <c r="A1555" t="s">
        <v>1559</v>
      </c>
      <c r="B1555">
        <v>1</v>
      </c>
      <c r="C1555">
        <v>1.0675057569161901</v>
      </c>
      <c r="D1555">
        <v>1.0893978107946101</v>
      </c>
      <c r="E1555">
        <v>1.1444118482066801</v>
      </c>
      <c r="F1555">
        <v>1.04271158638529</v>
      </c>
      <c r="G1555">
        <v>0.97877038579224596</v>
      </c>
      <c r="H1555">
        <v>0.99823349421153895</v>
      </c>
      <c r="I1555">
        <v>1.1982587300085199</v>
      </c>
      <c r="J1555">
        <v>1.0623324185356899</v>
      </c>
      <c r="K1555">
        <v>1.00160878205735</v>
      </c>
      <c r="L1555">
        <v>10274.7493569095</v>
      </c>
      <c r="M1555">
        <v>250</v>
      </c>
      <c r="O1555">
        <v>41.096365136520802</v>
      </c>
      <c r="P1555">
        <v>9.8554341596521294E-2</v>
      </c>
      <c r="Q1555">
        <v>1.0648036067687601</v>
      </c>
      <c r="R1555">
        <v>8.4250537086925203E-2</v>
      </c>
      <c r="S1555" t="s">
        <v>3557</v>
      </c>
      <c r="T1555" t="s">
        <v>4002</v>
      </c>
      <c r="U1555" t="s">
        <v>4002</v>
      </c>
      <c r="V1555" t="s">
        <v>4002</v>
      </c>
      <c r="W1555" t="s">
        <v>5534</v>
      </c>
      <c r="X1555">
        <v>2</v>
      </c>
      <c r="Y1555" t="s">
        <v>7458</v>
      </c>
      <c r="Z1555" t="s">
        <v>9453</v>
      </c>
      <c r="AA1555">
        <v>1.0624246191466471</v>
      </c>
      <c r="AB1555" t="str">
        <f>HYPERLINK("Melting_Curves/meltCurve_Q15113_PCOLCE.pdf", "Melting_Curves/meltCurve_Q15113_PCOLCE.pdf")</f>
        <v>Melting_Curves/meltCurve_Q15113_PCOLCE.pdf</v>
      </c>
    </row>
    <row r="1556" spans="1:28" x14ac:dyDescent="0.25">
      <c r="A1556" t="s">
        <v>1560</v>
      </c>
      <c r="B1556">
        <v>1</v>
      </c>
      <c r="C1556">
        <v>0.94281404641562405</v>
      </c>
      <c r="D1556">
        <v>1.00629812908518</v>
      </c>
      <c r="E1556">
        <v>1.00717139908439</v>
      </c>
      <c r="F1556">
        <v>0.959512027309535</v>
      </c>
      <c r="G1556">
        <v>1.0272566090661299</v>
      </c>
      <c r="H1556">
        <v>0.83966233560030701</v>
      </c>
      <c r="I1556">
        <v>1.10497763899547</v>
      </c>
      <c r="J1556">
        <v>1.54391489586917</v>
      </c>
      <c r="K1556">
        <v>0.90587207917648005</v>
      </c>
      <c r="L1556">
        <v>15000</v>
      </c>
      <c r="M1556">
        <v>234.24266762801901</v>
      </c>
      <c r="O1556">
        <v>64.031495929835003</v>
      </c>
      <c r="P1556">
        <v>0.20566923315822699</v>
      </c>
      <c r="Q1556">
        <v>1.2248831471967001</v>
      </c>
      <c r="R1556">
        <v>0.300131661458994</v>
      </c>
      <c r="S1556" t="s">
        <v>3558</v>
      </c>
      <c r="T1556" t="s">
        <v>4002</v>
      </c>
      <c r="U1556" t="s">
        <v>4002</v>
      </c>
      <c r="V1556" t="s">
        <v>4002</v>
      </c>
      <c r="W1556" t="s">
        <v>5535</v>
      </c>
      <c r="X1556">
        <v>70</v>
      </c>
      <c r="Y1556" t="s">
        <v>7459</v>
      </c>
      <c r="Z1556" t="s">
        <v>9454</v>
      </c>
      <c r="AA1556">
        <v>1.044676812118396</v>
      </c>
      <c r="AB1556" t="str">
        <f>HYPERLINK("Melting_Curves/meltCurve_Q15149_7_PLEC.pdf", "Melting_Curves/meltCurve_Q15149_7_PLEC.pdf")</f>
        <v>Melting_Curves/meltCurve_Q15149_7_PLEC.pdf</v>
      </c>
    </row>
    <row r="1557" spans="1:28" x14ac:dyDescent="0.25">
      <c r="A1557" t="s">
        <v>1561</v>
      </c>
      <c r="B1557">
        <v>1</v>
      </c>
      <c r="C1557">
        <v>1.0241695303550999</v>
      </c>
      <c r="D1557">
        <v>1.0717067583047</v>
      </c>
      <c r="E1557">
        <v>1.0046391752577299</v>
      </c>
      <c r="F1557">
        <v>0.98379152348224497</v>
      </c>
      <c r="G1557">
        <v>1.0227949599083599</v>
      </c>
      <c r="H1557">
        <v>1.0147766323024101</v>
      </c>
      <c r="I1557">
        <v>1.3403780068728499</v>
      </c>
      <c r="J1557">
        <v>1.0514318442153501</v>
      </c>
      <c r="K1557">
        <v>1.0429553264604801</v>
      </c>
      <c r="L1557">
        <v>15000</v>
      </c>
      <c r="M1557">
        <v>243.73965807584801</v>
      </c>
      <c r="O1557">
        <v>61.5369295451422</v>
      </c>
      <c r="P1557">
        <v>0.14349636384409101</v>
      </c>
      <c r="Q1557">
        <v>1.1449140560518201</v>
      </c>
      <c r="R1557">
        <v>0.33539653229968103</v>
      </c>
      <c r="S1557" t="s">
        <v>3559</v>
      </c>
      <c r="T1557" t="s">
        <v>4002</v>
      </c>
      <c r="U1557" t="s">
        <v>4002</v>
      </c>
      <c r="V1557" t="s">
        <v>4002</v>
      </c>
      <c r="W1557" t="s">
        <v>5536</v>
      </c>
      <c r="X1557">
        <v>1</v>
      </c>
      <c r="Y1557" t="s">
        <v>7460</v>
      </c>
      <c r="Z1557" t="s">
        <v>9455</v>
      </c>
      <c r="AA1557">
        <v>1.040844116762194</v>
      </c>
      <c r="AB1557" t="str">
        <f>HYPERLINK("Melting_Curves/meltCurve_Q15166_PON3.pdf", "Melting_Curves/meltCurve_Q15166_PON3.pdf")</f>
        <v>Melting_Curves/meltCurve_Q15166_PON3.pdf</v>
      </c>
    </row>
    <row r="1558" spans="1:28" x14ac:dyDescent="0.25">
      <c r="A1558" t="s">
        <v>1562</v>
      </c>
      <c r="B1558">
        <v>1</v>
      </c>
      <c r="C1558">
        <v>0.95785213167835903</v>
      </c>
      <c r="D1558">
        <v>1.0237992444684301</v>
      </c>
      <c r="E1558">
        <v>1.0075013491635201</v>
      </c>
      <c r="F1558">
        <v>0.91084727468969195</v>
      </c>
      <c r="G1558">
        <v>1.0011872638963799</v>
      </c>
      <c r="H1558">
        <v>1.1016189962223399</v>
      </c>
      <c r="I1558">
        <v>1.09185105234754</v>
      </c>
      <c r="J1558">
        <v>1.2399352401511099</v>
      </c>
      <c r="K1558">
        <v>1.084565569347</v>
      </c>
      <c r="L1558">
        <v>2808.79667380816</v>
      </c>
      <c r="M1558">
        <v>46.573707915369198</v>
      </c>
      <c r="O1558">
        <v>60.197762579166898</v>
      </c>
      <c r="P1558">
        <v>2.8051637966198299E-2</v>
      </c>
      <c r="Q1558">
        <v>1.1450297989765299</v>
      </c>
      <c r="R1558">
        <v>0.66710958572750501</v>
      </c>
      <c r="S1558" t="s">
        <v>3560</v>
      </c>
      <c r="T1558" t="s">
        <v>4002</v>
      </c>
      <c r="U1558" t="s">
        <v>4002</v>
      </c>
      <c r="V1558" t="s">
        <v>4002</v>
      </c>
      <c r="W1558" t="s">
        <v>5537</v>
      </c>
      <c r="X1558">
        <v>2</v>
      </c>
      <c r="Y1558" t="s">
        <v>7461</v>
      </c>
      <c r="Z1558" t="s">
        <v>9456</v>
      </c>
      <c r="AA1558">
        <v>1.046420245921684</v>
      </c>
      <c r="AB1558" t="str">
        <f>HYPERLINK("Melting_Curves/meltCurve_Q15181_PPA1.pdf", "Melting_Curves/meltCurve_Q15181_PPA1.pdf")</f>
        <v>Melting_Curves/meltCurve_Q15181_PPA1.pdf</v>
      </c>
    </row>
    <row r="1559" spans="1:28" x14ac:dyDescent="0.25">
      <c r="A1559" t="s">
        <v>1563</v>
      </c>
      <c r="B1559">
        <v>1</v>
      </c>
      <c r="C1559">
        <v>0.87097087378640803</v>
      </c>
      <c r="D1559">
        <v>0.74543689320388296</v>
      </c>
      <c r="E1559">
        <v>0.89053398058252398</v>
      </c>
      <c r="F1559">
        <v>0.90791262135922302</v>
      </c>
      <c r="G1559">
        <v>0.77616504854368895</v>
      </c>
      <c r="H1559">
        <v>0.88514563106796096</v>
      </c>
      <c r="I1559">
        <v>1.2487864077669899</v>
      </c>
      <c r="J1559">
        <v>1.62</v>
      </c>
      <c r="K1559">
        <v>1.27563106796117</v>
      </c>
      <c r="L1559">
        <v>15000</v>
      </c>
      <c r="M1559">
        <v>234.59823313954399</v>
      </c>
      <c r="O1559">
        <v>63.934454515344598</v>
      </c>
      <c r="P1559">
        <v>0.41079826286020898</v>
      </c>
      <c r="Q1559">
        <v>1.4478151815351901</v>
      </c>
      <c r="R1559">
        <v>0.67110439980399805</v>
      </c>
      <c r="S1559" t="s">
        <v>3561</v>
      </c>
      <c r="T1559" t="s">
        <v>4002</v>
      </c>
      <c r="U1559" t="s">
        <v>4002</v>
      </c>
      <c r="V1559" t="s">
        <v>4002</v>
      </c>
      <c r="W1559" t="s">
        <v>5538</v>
      </c>
      <c r="X1559">
        <v>1</v>
      </c>
      <c r="Y1559" t="s">
        <v>7462</v>
      </c>
      <c r="Z1559" t="s">
        <v>9457</v>
      </c>
      <c r="AA1559">
        <v>1.0904150274166751</v>
      </c>
      <c r="AB1559" t="str">
        <f>HYPERLINK("Melting_Curves/meltCurve_Q15208_STK38.pdf", "Melting_Curves/meltCurve_Q15208_STK38.pdf")</f>
        <v>Melting_Curves/meltCurve_Q15208_STK38.pdf</v>
      </c>
    </row>
    <row r="1560" spans="1:28" x14ac:dyDescent="0.25">
      <c r="A1560" t="s">
        <v>1564</v>
      </c>
      <c r="B1560">
        <v>1</v>
      </c>
      <c r="C1560">
        <v>1.1833545037830699</v>
      </c>
      <c r="D1560">
        <v>1.26840448445353</v>
      </c>
      <c r="E1560">
        <v>1.1417131496106501</v>
      </c>
      <c r="F1560">
        <v>1.1134644060308201</v>
      </c>
      <c r="G1560">
        <v>1.04953885237753</v>
      </c>
      <c r="H1560">
        <v>0.99668636438946301</v>
      </c>
      <c r="I1560">
        <v>1.2906058430441301</v>
      </c>
      <c r="J1560">
        <v>1.12531065333849</v>
      </c>
      <c r="K1560">
        <v>0.99845363671508303</v>
      </c>
      <c r="L1560">
        <v>10243.416001580899</v>
      </c>
      <c r="M1560">
        <v>250</v>
      </c>
      <c r="O1560">
        <v>40.9710428864595</v>
      </c>
      <c r="P1560">
        <v>0.19789252095495799</v>
      </c>
      <c r="Q1560">
        <v>1.1297258043342</v>
      </c>
      <c r="R1560">
        <v>0.14434640386518999</v>
      </c>
      <c r="S1560" t="s">
        <v>3562</v>
      </c>
      <c r="T1560" t="s">
        <v>4002</v>
      </c>
      <c r="U1560" t="s">
        <v>4002</v>
      </c>
      <c r="V1560" t="s">
        <v>4002</v>
      </c>
      <c r="W1560" t="s">
        <v>5539</v>
      </c>
      <c r="X1560">
        <v>2</v>
      </c>
      <c r="Y1560" t="s">
        <v>7463</v>
      </c>
      <c r="Z1560" t="s">
        <v>9458</v>
      </c>
      <c r="AA1560">
        <v>1.12550464087366</v>
      </c>
      <c r="AB1560" t="str">
        <f>HYPERLINK("Melting_Curves/meltCurve_Q15223_3_PVRL1.pdf", "Melting_Curves/meltCurve_Q15223_3_PVRL1.pdf")</f>
        <v>Melting_Curves/meltCurve_Q15223_3_PVRL1.pdf</v>
      </c>
    </row>
    <row r="1561" spans="1:28" x14ac:dyDescent="0.25">
      <c r="A1561" t="s">
        <v>1565</v>
      </c>
      <c r="B1561">
        <v>1</v>
      </c>
      <c r="C1561">
        <v>0.94829937771716</v>
      </c>
      <c r="D1561">
        <v>1.0258929332537701</v>
      </c>
      <c r="E1561">
        <v>0.98798056431676795</v>
      </c>
      <c r="F1561">
        <v>0.91707868041940199</v>
      </c>
      <c r="G1561">
        <v>0.99367061631574505</v>
      </c>
      <c r="H1561">
        <v>0.75950473105447103</v>
      </c>
      <c r="I1561">
        <v>1.11005029409258</v>
      </c>
      <c r="J1561">
        <v>1.59040150029835</v>
      </c>
      <c r="K1561">
        <v>0.89968885857983105</v>
      </c>
      <c r="L1561">
        <v>15000</v>
      </c>
      <c r="M1561">
        <v>234.17143856927501</v>
      </c>
      <c r="O1561">
        <v>64.0509622296277</v>
      </c>
      <c r="P1561">
        <v>0.22396180387171599</v>
      </c>
      <c r="Q1561">
        <v>1.2450336232696699</v>
      </c>
      <c r="R1561">
        <v>0.29242531456890802</v>
      </c>
      <c r="S1561" t="s">
        <v>3563</v>
      </c>
      <c r="T1561" t="s">
        <v>4002</v>
      </c>
      <c r="U1561" t="s">
        <v>4002</v>
      </c>
      <c r="V1561" t="s">
        <v>4002</v>
      </c>
      <c r="W1561" t="s">
        <v>5540</v>
      </c>
      <c r="X1561">
        <v>9</v>
      </c>
      <c r="Y1561" t="s">
        <v>7464</v>
      </c>
      <c r="Z1561" t="s">
        <v>9459</v>
      </c>
      <c r="AA1561">
        <v>1.04852092010987</v>
      </c>
      <c r="AB1561" t="str">
        <f>HYPERLINK("Melting_Curves/meltCurve_Q15233_2_NONO.pdf", "Melting_Curves/meltCurve_Q15233_2_NONO.pdf")</f>
        <v>Melting_Curves/meltCurve_Q15233_2_NONO.pdf</v>
      </c>
    </row>
    <row r="1562" spans="1:28" x14ac:dyDescent="0.25">
      <c r="A1562" t="s">
        <v>1566</v>
      </c>
      <c r="B1562">
        <v>1</v>
      </c>
      <c r="C1562">
        <v>0.97197930378344599</v>
      </c>
      <c r="D1562">
        <v>1.05873919899907</v>
      </c>
      <c r="E1562">
        <v>1.04476794953668</v>
      </c>
      <c r="F1562">
        <v>0.97862607358365195</v>
      </c>
      <c r="G1562">
        <v>1.11994161268881</v>
      </c>
      <c r="H1562">
        <v>0.76632042643589804</v>
      </c>
      <c r="I1562">
        <v>1.3163210780800001</v>
      </c>
      <c r="J1562">
        <v>1.25870270692958</v>
      </c>
      <c r="K1562">
        <v>0.96105774869996996</v>
      </c>
      <c r="L1562">
        <v>3273.1336451759198</v>
      </c>
      <c r="M1562">
        <v>52.196008019468302</v>
      </c>
      <c r="O1562">
        <v>62.616664221077002</v>
      </c>
      <c r="P1562">
        <v>3.33904459625365E-2</v>
      </c>
      <c r="Q1562">
        <v>1.16022656346697</v>
      </c>
      <c r="R1562">
        <v>0.18868567961604599</v>
      </c>
      <c r="S1562" t="s">
        <v>3564</v>
      </c>
      <c r="T1562" t="s">
        <v>4002</v>
      </c>
      <c r="U1562" t="s">
        <v>4002</v>
      </c>
      <c r="V1562" t="s">
        <v>4002</v>
      </c>
      <c r="W1562" t="s">
        <v>5541</v>
      </c>
      <c r="X1562">
        <v>8</v>
      </c>
      <c r="Y1562" t="s">
        <v>7465</v>
      </c>
      <c r="Z1562" t="s">
        <v>9460</v>
      </c>
      <c r="AA1562">
        <v>1.038572850753775</v>
      </c>
      <c r="AB1562" t="str">
        <f>HYPERLINK("Melting_Curves/meltCurve_Q15365_PCBP1.pdf", "Melting_Curves/meltCurve_Q15365_PCBP1.pdf")</f>
        <v>Melting_Curves/meltCurve_Q15365_PCBP1.pdf</v>
      </c>
    </row>
    <row r="1563" spans="1:28" x14ac:dyDescent="0.25">
      <c r="A1563" t="s">
        <v>1567</v>
      </c>
      <c r="B1563">
        <v>1</v>
      </c>
      <c r="C1563">
        <v>0.88069756833573098</v>
      </c>
      <c r="D1563">
        <v>1.1943576967612901</v>
      </c>
      <c r="E1563">
        <v>1.3593459419628799</v>
      </c>
      <c r="F1563">
        <v>1.64925085090705</v>
      </c>
      <c r="G1563">
        <v>1.91210217902383</v>
      </c>
      <c r="H1563">
        <v>1.6319169093652399</v>
      </c>
      <c r="I1563">
        <v>2.49373662233763</v>
      </c>
      <c r="J1563">
        <v>1.7906944103301901</v>
      </c>
      <c r="K1563">
        <v>1.9786308291518999</v>
      </c>
      <c r="L1563">
        <v>1784.6223076922199</v>
      </c>
      <c r="M1563">
        <v>37.985014266834497</v>
      </c>
      <c r="O1563">
        <v>46.852629135051998</v>
      </c>
      <c r="P1563">
        <v>0.10134200514694899</v>
      </c>
      <c r="Q1563">
        <v>1.5</v>
      </c>
      <c r="R1563">
        <v>0.29230048028812999</v>
      </c>
      <c r="S1563" t="s">
        <v>3565</v>
      </c>
      <c r="T1563" t="s">
        <v>4002</v>
      </c>
      <c r="U1563" t="s">
        <v>4002</v>
      </c>
      <c r="V1563" t="s">
        <v>4002</v>
      </c>
      <c r="W1563" t="s">
        <v>5542</v>
      </c>
      <c r="X1563">
        <v>1</v>
      </c>
      <c r="Y1563" t="s">
        <v>7466</v>
      </c>
      <c r="Z1563" t="s">
        <v>9461</v>
      </c>
      <c r="AA1563">
        <v>1.3818072101634451</v>
      </c>
      <c r="AB1563" t="str">
        <f>HYPERLINK("Melting_Curves/meltCurve_Q15375_3_EPHA7.pdf", "Melting_Curves/meltCurve_Q15375_3_EPHA7.pdf")</f>
        <v>Melting_Curves/meltCurve_Q15375_3_EPHA7.pdf</v>
      </c>
    </row>
    <row r="1564" spans="1:28" x14ac:dyDescent="0.25">
      <c r="A1564" t="s">
        <v>1568</v>
      </c>
      <c r="B1564">
        <v>1</v>
      </c>
      <c r="C1564">
        <v>1.0909324869177299</v>
      </c>
      <c r="D1564">
        <v>1.1723942695376199</v>
      </c>
      <c r="E1564">
        <v>1.1334991850390299</v>
      </c>
      <c r="F1564">
        <v>1.5057390409196201</v>
      </c>
      <c r="G1564">
        <v>2.1388007205970698</v>
      </c>
      <c r="H1564">
        <v>2.9249378056103601</v>
      </c>
      <c r="I1564">
        <v>2.8547653770266801</v>
      </c>
      <c r="J1564">
        <v>3.5165136827657202</v>
      </c>
      <c r="K1564">
        <v>2.6723856910011201</v>
      </c>
      <c r="L1564">
        <v>12550.495242322</v>
      </c>
      <c r="M1564">
        <v>250</v>
      </c>
      <c r="O1564">
        <v>50.198768383895299</v>
      </c>
      <c r="P1564">
        <v>0.62252523414276195</v>
      </c>
      <c r="Q1564">
        <v>1.5</v>
      </c>
      <c r="R1564">
        <v>-0.240213653695069</v>
      </c>
      <c r="S1564" t="s">
        <v>3566</v>
      </c>
      <c r="T1564" t="s">
        <v>4002</v>
      </c>
      <c r="U1564" t="s">
        <v>4002</v>
      </c>
      <c r="V1564" t="s">
        <v>4002</v>
      </c>
      <c r="W1564" t="s">
        <v>5543</v>
      </c>
      <c r="X1564">
        <v>2</v>
      </c>
      <c r="Y1564" t="s">
        <v>7467</v>
      </c>
      <c r="Z1564" t="s">
        <v>9462</v>
      </c>
      <c r="AA1564">
        <v>1.3299229319975581</v>
      </c>
      <c r="AB1564" t="str">
        <f>HYPERLINK("Melting_Curves/meltCurve_Q15404_2_RSU1.pdf", "Melting_Curves/meltCurve_Q15404_2_RSU1.pdf")</f>
        <v>Melting_Curves/meltCurve_Q15404_2_RSU1.pdf</v>
      </c>
    </row>
    <row r="1565" spans="1:28" x14ac:dyDescent="0.25">
      <c r="A1565" t="s">
        <v>1569</v>
      </c>
      <c r="B1565">
        <v>1</v>
      </c>
      <c r="C1565">
        <v>0.94343117697349699</v>
      </c>
      <c r="D1565">
        <v>0.993374180678256</v>
      </c>
      <c r="E1565">
        <v>1.1880165289256199</v>
      </c>
      <c r="F1565">
        <v>1.0589911655742399</v>
      </c>
      <c r="G1565">
        <v>1.0032060416073001</v>
      </c>
      <c r="H1565">
        <v>0.95504417212881199</v>
      </c>
      <c r="I1565">
        <v>1.3134083784554</v>
      </c>
      <c r="J1565">
        <v>1.30500142490738</v>
      </c>
      <c r="K1565">
        <v>1.0609860359076699</v>
      </c>
      <c r="L1565">
        <v>467.61322924552798</v>
      </c>
      <c r="M1565">
        <v>7.4754753129565001</v>
      </c>
      <c r="O1565">
        <v>58.545618120769099</v>
      </c>
      <c r="P1565">
        <v>8.7118600770965792E-3</v>
      </c>
      <c r="Q1565">
        <v>1.2725178623915301</v>
      </c>
      <c r="R1565">
        <v>0.26899300653191599</v>
      </c>
      <c r="S1565" t="s">
        <v>3567</v>
      </c>
      <c r="T1565" t="s">
        <v>4002</v>
      </c>
      <c r="U1565" t="s">
        <v>4002</v>
      </c>
      <c r="V1565" t="s">
        <v>4002</v>
      </c>
      <c r="W1565" t="s">
        <v>5544</v>
      </c>
      <c r="X1565">
        <v>2</v>
      </c>
      <c r="Y1565" t="s">
        <v>7468</v>
      </c>
      <c r="Z1565" t="s">
        <v>9463</v>
      </c>
      <c r="AA1565">
        <v>1.0810233160196061</v>
      </c>
      <c r="AB1565" t="str">
        <f>HYPERLINK("Melting_Curves/meltCurve_Q15424_2_SAFB.pdf", "Melting_Curves/meltCurve_Q15424_2_SAFB.pdf")</f>
        <v>Melting_Curves/meltCurve_Q15424_2_SAFB.pdf</v>
      </c>
    </row>
    <row r="1566" spans="1:28" x14ac:dyDescent="0.25">
      <c r="A1566" t="s">
        <v>1570</v>
      </c>
      <c r="B1566">
        <v>1</v>
      </c>
      <c r="C1566">
        <v>0.91472759226713496</v>
      </c>
      <c r="D1566">
        <v>1.0132864674868201</v>
      </c>
      <c r="E1566">
        <v>1.0017926186291699</v>
      </c>
      <c r="F1566">
        <v>0.93149384885764497</v>
      </c>
      <c r="G1566">
        <v>0.97029876977152896</v>
      </c>
      <c r="H1566">
        <v>1.0028119507908599</v>
      </c>
      <c r="I1566">
        <v>1.0446748681898099</v>
      </c>
      <c r="J1566">
        <v>1.11469244288225</v>
      </c>
      <c r="K1566">
        <v>0.75145869947275901</v>
      </c>
      <c r="L1566">
        <v>15000</v>
      </c>
      <c r="M1566">
        <v>213.179233024605</v>
      </c>
      <c r="Q1566">
        <v>0</v>
      </c>
      <c r="R1566">
        <v>0.66226530570540099</v>
      </c>
      <c r="S1566" t="s">
        <v>3568</v>
      </c>
      <c r="T1566" t="s">
        <v>4002</v>
      </c>
      <c r="U1566" t="s">
        <v>4002</v>
      </c>
      <c r="V1566" t="s">
        <v>4002</v>
      </c>
      <c r="W1566" t="s">
        <v>5545</v>
      </c>
      <c r="X1566">
        <v>2</v>
      </c>
      <c r="Y1566" t="s">
        <v>7469</v>
      </c>
      <c r="Z1566" t="s">
        <v>9464</v>
      </c>
      <c r="AA1566">
        <v>0.99691955311942637</v>
      </c>
      <c r="AB1566" t="str">
        <f>HYPERLINK("Melting_Curves/meltCurve_Q15691_MAPRE1.pdf", "Melting_Curves/meltCurve_Q15691_MAPRE1.pdf")</f>
        <v>Melting_Curves/meltCurve_Q15691_MAPRE1.pdf</v>
      </c>
    </row>
    <row r="1567" spans="1:28" x14ac:dyDescent="0.25">
      <c r="A1567" t="s">
        <v>1571</v>
      </c>
      <c r="B1567">
        <v>1</v>
      </c>
      <c r="C1567">
        <v>0.93049818571852405</v>
      </c>
      <c r="D1567">
        <v>1.0112850589926701</v>
      </c>
      <c r="E1567">
        <v>1.0366279467810799</v>
      </c>
      <c r="F1567">
        <v>1.0027955909537001</v>
      </c>
      <c r="G1567">
        <v>1.1034482758620701</v>
      </c>
      <c r="H1567">
        <v>0.93007599443163902</v>
      </c>
      <c r="I1567">
        <v>1.1546361167530099</v>
      </c>
      <c r="J1567">
        <v>1.05034345831717</v>
      </c>
      <c r="K1567">
        <v>1.0662041580136501</v>
      </c>
      <c r="L1567">
        <v>667.45208190138806</v>
      </c>
      <c r="M1567">
        <v>11.8932136292206</v>
      </c>
      <c r="O1567">
        <v>54.6043578299264</v>
      </c>
      <c r="P1567">
        <v>4.1011211138661597E-3</v>
      </c>
      <c r="Q1567">
        <v>1.07529779750335</v>
      </c>
      <c r="R1567">
        <v>0.22711451988692699</v>
      </c>
      <c r="S1567" t="s">
        <v>3569</v>
      </c>
      <c r="T1567" t="s">
        <v>4002</v>
      </c>
      <c r="U1567" t="s">
        <v>4002</v>
      </c>
      <c r="V1567" t="s">
        <v>4002</v>
      </c>
      <c r="W1567" t="s">
        <v>5546</v>
      </c>
      <c r="X1567">
        <v>4</v>
      </c>
      <c r="Y1567" t="s">
        <v>7470</v>
      </c>
      <c r="Z1567" t="s">
        <v>9465</v>
      </c>
      <c r="AA1567">
        <v>1.0333274546017379</v>
      </c>
      <c r="AB1567" t="str">
        <f>HYPERLINK("Melting_Curves/meltCurve_Q15828_CST6.pdf", "Melting_Curves/meltCurve_Q15828_CST6.pdf")</f>
        <v>Melting_Curves/meltCurve_Q15828_CST6.pdf</v>
      </c>
    </row>
    <row r="1568" spans="1:28" x14ac:dyDescent="0.25">
      <c r="A1568" t="s">
        <v>1572</v>
      </c>
      <c r="B1568">
        <v>1</v>
      </c>
      <c r="C1568">
        <v>0.90186669014704601</v>
      </c>
      <c r="D1568">
        <v>0.99938364004578695</v>
      </c>
      <c r="E1568">
        <v>0.96984238795456501</v>
      </c>
      <c r="F1568">
        <v>0.77383992251474898</v>
      </c>
      <c r="G1568">
        <v>0.77353174253764201</v>
      </c>
      <c r="H1568">
        <v>0.71154354142819398</v>
      </c>
      <c r="I1568">
        <v>0.85013647970414696</v>
      </c>
      <c r="J1568">
        <v>0.85079686536937604</v>
      </c>
      <c r="K1568">
        <v>0.80976490270317902</v>
      </c>
      <c r="L1568">
        <v>12587.8896692541</v>
      </c>
      <c r="M1568">
        <v>250</v>
      </c>
      <c r="O1568">
        <v>50.348337386887302</v>
      </c>
      <c r="P1568">
        <v>-0.25455722476586301</v>
      </c>
      <c r="Q1568">
        <v>0.79493547521736996</v>
      </c>
      <c r="R1568">
        <v>0.74139881547794895</v>
      </c>
      <c r="S1568" t="s">
        <v>3570</v>
      </c>
      <c r="T1568" t="s">
        <v>4002</v>
      </c>
      <c r="U1568" t="s">
        <v>4002</v>
      </c>
      <c r="V1568" t="s">
        <v>4002</v>
      </c>
      <c r="W1568" t="s">
        <v>5547</v>
      </c>
      <c r="X1568">
        <v>4</v>
      </c>
      <c r="Y1568" t="s">
        <v>7471</v>
      </c>
      <c r="Z1568" t="s">
        <v>9466</v>
      </c>
      <c r="AA1568">
        <v>0.86571151135261848</v>
      </c>
      <c r="AB1568" t="str">
        <f>HYPERLINK("Melting_Curves/meltCurve_Q15833_2_STXBP2.pdf", "Melting_Curves/meltCurve_Q15833_2_STXBP2.pdf")</f>
        <v>Melting_Curves/meltCurve_Q15833_2_STXBP2.pdf</v>
      </c>
    </row>
    <row r="1569" spans="1:28" x14ac:dyDescent="0.25">
      <c r="A1569" t="s">
        <v>1573</v>
      </c>
      <c r="B1569">
        <v>1</v>
      </c>
      <c r="C1569">
        <v>0.86468267017428502</v>
      </c>
      <c r="D1569">
        <v>1.0503535021374499</v>
      </c>
      <c r="E1569">
        <v>0.95597665241696805</v>
      </c>
      <c r="F1569">
        <v>0.82468760276224895</v>
      </c>
      <c r="G1569">
        <v>0.84030746464978601</v>
      </c>
      <c r="H1569">
        <v>0.70975830318973998</v>
      </c>
      <c r="I1569">
        <v>0.88478296612956298</v>
      </c>
      <c r="J1569">
        <v>0.87006741203551496</v>
      </c>
      <c r="K1569">
        <v>0.876685300887866</v>
      </c>
      <c r="L1569">
        <v>12550.798728936399</v>
      </c>
      <c r="M1569">
        <v>250</v>
      </c>
      <c r="O1569">
        <v>50.199982249958097</v>
      </c>
      <c r="P1569">
        <v>-0.20619845004895701</v>
      </c>
      <c r="Q1569">
        <v>0.83438146369409805</v>
      </c>
      <c r="R1569">
        <v>0.490071120711004</v>
      </c>
      <c r="S1569" t="s">
        <v>3571</v>
      </c>
      <c r="T1569" t="s">
        <v>4002</v>
      </c>
      <c r="U1569" t="s">
        <v>4002</v>
      </c>
      <c r="V1569" t="s">
        <v>4002</v>
      </c>
      <c r="W1569" t="s">
        <v>5548</v>
      </c>
      <c r="X1569">
        <v>2</v>
      </c>
      <c r="Y1569" t="s">
        <v>7472</v>
      </c>
      <c r="Z1569" t="s">
        <v>9467</v>
      </c>
      <c r="AA1569">
        <v>0.89072399590498452</v>
      </c>
      <c r="AB1569" t="str">
        <f>HYPERLINK("Melting_Curves/meltCurve_Q15836_VAMP3.pdf", "Melting_Curves/meltCurve_Q15836_VAMP3.pdf")</f>
        <v>Melting_Curves/meltCurve_Q15836_VAMP3.pdf</v>
      </c>
    </row>
    <row r="1570" spans="1:28" x14ac:dyDescent="0.25">
      <c r="A1570" t="s">
        <v>1574</v>
      </c>
      <c r="B1570">
        <v>1</v>
      </c>
      <c r="C1570">
        <v>0.86760186227672498</v>
      </c>
      <c r="D1570">
        <v>0.97392203998417703</v>
      </c>
      <c r="E1570">
        <v>0.92900830721480099</v>
      </c>
      <c r="F1570">
        <v>0.82250555335788</v>
      </c>
      <c r="G1570">
        <v>0.86440677966101698</v>
      </c>
      <c r="H1570">
        <v>0.81407662112406098</v>
      </c>
      <c r="I1570">
        <v>0.88576818914889099</v>
      </c>
      <c r="J1570">
        <v>0.80032255119739504</v>
      </c>
      <c r="K1570">
        <v>0.82999117548610901</v>
      </c>
      <c r="L1570">
        <v>356.59748434901798</v>
      </c>
      <c r="M1570">
        <v>7.3321080393144404</v>
      </c>
      <c r="O1570">
        <v>45.409457478535202</v>
      </c>
      <c r="P1570">
        <v>-7.8651272207558905E-3</v>
      </c>
      <c r="Q1570">
        <v>0.80546184589260805</v>
      </c>
      <c r="R1570">
        <v>0.569718703761116</v>
      </c>
      <c r="S1570" t="s">
        <v>3572</v>
      </c>
      <c r="T1570" t="s">
        <v>4002</v>
      </c>
      <c r="U1570" t="s">
        <v>4002</v>
      </c>
      <c r="V1570" t="s">
        <v>4002</v>
      </c>
      <c r="W1570" t="s">
        <v>5549</v>
      </c>
      <c r="X1570">
        <v>2</v>
      </c>
      <c r="Y1570" t="s">
        <v>7473</v>
      </c>
      <c r="Z1570" t="s">
        <v>9468</v>
      </c>
      <c r="AA1570">
        <v>0.87621365572338139</v>
      </c>
      <c r="AB1570" t="str">
        <f>HYPERLINK("Melting_Curves/meltCurve_Q15847_ADIRF.pdf", "Melting_Curves/meltCurve_Q15847_ADIRF.pdf")</f>
        <v>Melting_Curves/meltCurve_Q15847_ADIRF.pdf</v>
      </c>
    </row>
    <row r="1571" spans="1:28" x14ac:dyDescent="0.25">
      <c r="A1571" t="s">
        <v>1575</v>
      </c>
      <c r="B1571">
        <v>1</v>
      </c>
      <c r="C1571">
        <v>0.95574867379308504</v>
      </c>
      <c r="D1571">
        <v>0.949590808519713</v>
      </c>
      <c r="E1571">
        <v>0.85682296803774705</v>
      </c>
      <c r="F1571">
        <v>0.79988270732812605</v>
      </c>
      <c r="G1571">
        <v>0.79089915495961405</v>
      </c>
      <c r="H1571">
        <v>0.75651107616026403</v>
      </c>
      <c r="I1571">
        <v>0.85988857196171997</v>
      </c>
      <c r="J1571">
        <v>0.78626076293551606</v>
      </c>
      <c r="K1571">
        <v>0.79511102817689905</v>
      </c>
      <c r="L1571">
        <v>1059.65749394003</v>
      </c>
      <c r="M1571">
        <v>22.188276562936199</v>
      </c>
      <c r="O1571">
        <v>47.374692837939797</v>
      </c>
      <c r="P1571">
        <v>-2.4049801108620199E-2</v>
      </c>
      <c r="Q1571">
        <v>0.79460732956220903</v>
      </c>
      <c r="R1571">
        <v>0.89049856630327096</v>
      </c>
      <c r="S1571" t="s">
        <v>3573</v>
      </c>
      <c r="T1571" t="s">
        <v>4002</v>
      </c>
      <c r="U1571" t="s">
        <v>4002</v>
      </c>
      <c r="V1571" t="s">
        <v>4002</v>
      </c>
      <c r="W1571" t="s">
        <v>5550</v>
      </c>
      <c r="X1571">
        <v>2</v>
      </c>
      <c r="Y1571" t="s">
        <v>7474</v>
      </c>
      <c r="Z1571" t="s">
        <v>9469</v>
      </c>
      <c r="AA1571">
        <v>0.85006674178996966</v>
      </c>
      <c r="AB1571" t="str">
        <f>HYPERLINK("Melting_Curves/meltCurve_Q15904_ATP6AP1.pdf", "Melting_Curves/meltCurve_Q15904_ATP6AP1.pdf")</f>
        <v>Melting_Curves/meltCurve_Q15904_ATP6AP1.pdf</v>
      </c>
    </row>
    <row r="1572" spans="1:28" x14ac:dyDescent="0.25">
      <c r="A1572" t="s">
        <v>1576</v>
      </c>
      <c r="B1572">
        <v>1</v>
      </c>
      <c r="C1572">
        <v>1.0496067755595899</v>
      </c>
      <c r="D1572">
        <v>1.3324595012435301</v>
      </c>
      <c r="E1572">
        <v>1.52665187873899</v>
      </c>
      <c r="F1572">
        <v>1.5798212005108601</v>
      </c>
      <c r="G1572">
        <v>1.9116085232237701</v>
      </c>
      <c r="H1572">
        <v>1.5762586542985799</v>
      </c>
      <c r="I1572">
        <v>2.1976204880016099</v>
      </c>
      <c r="J1572">
        <v>1.7633931572225601</v>
      </c>
      <c r="K1572">
        <v>2.0529676682126801</v>
      </c>
      <c r="L1572">
        <v>2051.8078701148902</v>
      </c>
      <c r="M1572">
        <v>45.346212728629901</v>
      </c>
      <c r="O1572">
        <v>45.159878429105298</v>
      </c>
      <c r="P1572">
        <v>0.12551592008160301</v>
      </c>
      <c r="Q1572">
        <v>1.5</v>
      </c>
      <c r="R1572">
        <v>0.26779280007281803</v>
      </c>
      <c r="S1572" t="s">
        <v>3574</v>
      </c>
      <c r="T1572" t="s">
        <v>4002</v>
      </c>
      <c r="U1572" t="s">
        <v>4002</v>
      </c>
      <c r="V1572" t="s">
        <v>4002</v>
      </c>
      <c r="W1572" t="s">
        <v>5551</v>
      </c>
      <c r="X1572">
        <v>9</v>
      </c>
      <c r="Y1572" t="s">
        <v>7475</v>
      </c>
      <c r="Z1572" t="s">
        <v>9470</v>
      </c>
      <c r="AA1572">
        <v>1.4112924131940401</v>
      </c>
      <c r="AB1572" t="str">
        <f>HYPERLINK("Melting_Curves/meltCurve_Q15907_RAB11B.pdf", "Melting_Curves/meltCurve_Q15907_RAB11B.pdf")</f>
        <v>Melting_Curves/meltCurve_Q15907_RAB11B.pdf</v>
      </c>
    </row>
    <row r="1573" spans="1:28" x14ac:dyDescent="0.25">
      <c r="A1573" t="s">
        <v>1577</v>
      </c>
      <c r="B1573">
        <v>1</v>
      </c>
      <c r="C1573">
        <v>0.94990541289102104</v>
      </c>
      <c r="D1573">
        <v>0.99420980570449102</v>
      </c>
      <c r="E1573">
        <v>0.97558502910774603</v>
      </c>
      <c r="F1573">
        <v>0.87320101589690502</v>
      </c>
      <c r="G1573">
        <v>0.95090876785919598</v>
      </c>
      <c r="H1573">
        <v>0.60760459452962501</v>
      </c>
      <c r="I1573">
        <v>0.99826503203419803</v>
      </c>
      <c r="J1573">
        <v>0.60411375536951695</v>
      </c>
      <c r="K1573">
        <v>0.67331389333082503</v>
      </c>
      <c r="L1573">
        <v>385.84375770618499</v>
      </c>
      <c r="M1573">
        <v>4.8581741855041001</v>
      </c>
      <c r="O1573">
        <v>68.8428723549289</v>
      </c>
      <c r="P1573">
        <v>-1.7761517592119198E-2</v>
      </c>
      <c r="Q1573">
        <v>0</v>
      </c>
      <c r="R1573">
        <v>0.52105864251647205</v>
      </c>
      <c r="S1573" t="s">
        <v>3575</v>
      </c>
      <c r="T1573" t="s">
        <v>4002</v>
      </c>
      <c r="U1573" t="s">
        <v>4002</v>
      </c>
      <c r="V1573" t="s">
        <v>4002</v>
      </c>
      <c r="W1573" t="s">
        <v>5552</v>
      </c>
      <c r="X1573">
        <v>11</v>
      </c>
      <c r="Y1573" t="s">
        <v>7476</v>
      </c>
      <c r="Z1573" t="s">
        <v>9471</v>
      </c>
      <c r="AA1573">
        <v>0.87066410886994428</v>
      </c>
      <c r="AB1573" t="str">
        <f>HYPERLINK("Melting_Curves/meltCurve_Q15942_ZYX.pdf", "Melting_Curves/meltCurve_Q15942_ZYX.pdf")</f>
        <v>Melting_Curves/meltCurve_Q15942_ZYX.pdf</v>
      </c>
    </row>
    <row r="1574" spans="1:28" x14ac:dyDescent="0.25">
      <c r="A1574" t="s">
        <v>1578</v>
      </c>
      <c r="B1574">
        <v>1</v>
      </c>
      <c r="C1574">
        <v>0.91427155599603604</v>
      </c>
      <c r="D1574">
        <v>0.95639246778989095</v>
      </c>
      <c r="E1574">
        <v>0.955118221718816</v>
      </c>
      <c r="F1574">
        <v>0.91469630468639396</v>
      </c>
      <c r="G1574">
        <v>1.0271839161829299</v>
      </c>
      <c r="H1574">
        <v>0.94357921563075198</v>
      </c>
      <c r="I1574">
        <v>1.1648024918589801</v>
      </c>
      <c r="J1574">
        <v>0.94407475576950295</v>
      </c>
      <c r="K1574">
        <v>0.98562933597621405</v>
      </c>
      <c r="L1574">
        <v>4.2143154155302601E-3</v>
      </c>
      <c r="M1574">
        <v>10.3796535766324</v>
      </c>
      <c r="Q1574">
        <v>0.98058493269652902</v>
      </c>
      <c r="R1574">
        <v>-2.33917469838474E-8</v>
      </c>
      <c r="S1574" t="s">
        <v>3576</v>
      </c>
      <c r="T1574" t="s">
        <v>4002</v>
      </c>
      <c r="U1574" t="s">
        <v>4002</v>
      </c>
      <c r="V1574" t="s">
        <v>4002</v>
      </c>
      <c r="W1574" t="s">
        <v>5553</v>
      </c>
      <c r="X1574">
        <v>2</v>
      </c>
      <c r="Y1574" t="s">
        <v>7477</v>
      </c>
      <c r="Z1574" t="s">
        <v>9472</v>
      </c>
      <c r="AA1574">
        <v>0.98058553571870033</v>
      </c>
      <c r="AB1574" t="str">
        <f>HYPERLINK("Melting_Curves/meltCurve_Q16270_2_IGFBP7.pdf", "Melting_Curves/meltCurve_Q16270_2_IGFBP7.pdf")</f>
        <v>Melting_Curves/meltCurve_Q16270_2_IGFBP7.pdf</v>
      </c>
    </row>
    <row r="1575" spans="1:28" x14ac:dyDescent="0.25">
      <c r="A1575" t="s">
        <v>1579</v>
      </c>
      <c r="B1575">
        <v>1</v>
      </c>
      <c r="C1575">
        <v>1.1388452655889101</v>
      </c>
      <c r="D1575">
        <v>0.962909930715935</v>
      </c>
      <c r="E1575">
        <v>1.1505311778291001</v>
      </c>
      <c r="F1575">
        <v>1.03450346420323</v>
      </c>
      <c r="G1575">
        <v>0.86586605080831403</v>
      </c>
      <c r="H1575">
        <v>0.75163972286374103</v>
      </c>
      <c r="I1575">
        <v>1.0379676674364899</v>
      </c>
      <c r="J1575">
        <v>0.72443418013856797</v>
      </c>
      <c r="K1575">
        <v>0.98900692840646598</v>
      </c>
      <c r="L1575">
        <v>5651.8760140869099</v>
      </c>
      <c r="M1575">
        <v>102.309706308023</v>
      </c>
      <c r="O1575">
        <v>55.221699157383</v>
      </c>
      <c r="P1575">
        <v>-5.88463463264884E-2</v>
      </c>
      <c r="Q1575">
        <v>0.87295062438441795</v>
      </c>
      <c r="R1575">
        <v>0.35599441326007297</v>
      </c>
      <c r="S1575" t="s">
        <v>3577</v>
      </c>
      <c r="T1575" t="s">
        <v>4002</v>
      </c>
      <c r="U1575" t="s">
        <v>4002</v>
      </c>
      <c r="V1575" t="s">
        <v>4002</v>
      </c>
      <c r="W1575" t="s">
        <v>5554</v>
      </c>
      <c r="X1575">
        <v>1</v>
      </c>
      <c r="Y1575" t="s">
        <v>7478</v>
      </c>
      <c r="Z1575" t="s">
        <v>9473</v>
      </c>
      <c r="AA1575">
        <v>0.93757725046114726</v>
      </c>
      <c r="AB1575" t="str">
        <f>HYPERLINK("Melting_Curves/meltCurve_Q16348_2_SLC15A2.pdf", "Melting_Curves/meltCurve_Q16348_2_SLC15A2.pdf")</f>
        <v>Melting_Curves/meltCurve_Q16348_2_SLC15A2.pdf</v>
      </c>
    </row>
    <row r="1576" spans="1:28" x14ac:dyDescent="0.25">
      <c r="A1576" t="s">
        <v>1580</v>
      </c>
      <c r="B1576">
        <v>1</v>
      </c>
      <c r="C1576">
        <v>0.92975838184124104</v>
      </c>
      <c r="D1576">
        <v>1.0156092484797199</v>
      </c>
      <c r="E1576">
        <v>1.0389255633963099</v>
      </c>
      <c r="F1576">
        <v>0.97782185945172495</v>
      </c>
      <c r="G1576">
        <v>0.93323794348151301</v>
      </c>
      <c r="H1576">
        <v>0.71379792527072305</v>
      </c>
      <c r="I1576">
        <v>0.98149653669799397</v>
      </c>
      <c r="J1576">
        <v>0.69418880686806905</v>
      </c>
      <c r="K1576">
        <v>0.78238106077851099</v>
      </c>
      <c r="L1576">
        <v>14292.319442607601</v>
      </c>
      <c r="M1576">
        <v>250</v>
      </c>
      <c r="O1576">
        <v>57.165626958295903</v>
      </c>
      <c r="P1576">
        <v>-0.22635318327401299</v>
      </c>
      <c r="Q1576">
        <v>0.79296608168945004</v>
      </c>
      <c r="R1576">
        <v>0.60163391571957703</v>
      </c>
      <c r="S1576" t="s">
        <v>3578</v>
      </c>
      <c r="T1576" t="s">
        <v>4002</v>
      </c>
      <c r="U1576" t="s">
        <v>4002</v>
      </c>
      <c r="V1576" t="s">
        <v>4002</v>
      </c>
      <c r="W1576" t="s">
        <v>5555</v>
      </c>
      <c r="X1576">
        <v>3</v>
      </c>
      <c r="Y1576" t="s">
        <v>7479</v>
      </c>
      <c r="Z1576" t="s">
        <v>9474</v>
      </c>
      <c r="AA1576">
        <v>0.91147428202855896</v>
      </c>
      <c r="AB1576" t="str">
        <f>HYPERLINK("Melting_Curves/meltCurve_Q16378_PRR4.pdf", "Melting_Curves/meltCurve_Q16378_PRR4.pdf")</f>
        <v>Melting_Curves/meltCurve_Q16378_PRR4.pdf</v>
      </c>
    </row>
    <row r="1577" spans="1:28" x14ac:dyDescent="0.25">
      <c r="A1577" t="s">
        <v>1581</v>
      </c>
      <c r="B1577">
        <v>1</v>
      </c>
      <c r="C1577">
        <v>1.12208936438011</v>
      </c>
      <c r="D1577">
        <v>1.10378168087419</v>
      </c>
      <c r="E1577">
        <v>1.0883059671605899</v>
      </c>
      <c r="F1577">
        <v>1.00208822014989</v>
      </c>
      <c r="G1577">
        <v>1.02543051661994</v>
      </c>
      <c r="H1577">
        <v>0.52503003604325205</v>
      </c>
      <c r="I1577">
        <v>1.17938669260255</v>
      </c>
      <c r="J1577">
        <v>0.41632816522684402</v>
      </c>
      <c r="K1577">
        <v>0.77799073173522504</v>
      </c>
      <c r="L1577">
        <v>14674.450004161699</v>
      </c>
      <c r="M1577">
        <v>250</v>
      </c>
      <c r="O1577">
        <v>58.694044602765501</v>
      </c>
      <c r="P1577">
        <v>-0.29316632440808699</v>
      </c>
      <c r="Q1577">
        <v>0.72468612720356096</v>
      </c>
      <c r="R1577">
        <v>0.39329857958630698</v>
      </c>
      <c r="S1577" t="s">
        <v>3579</v>
      </c>
      <c r="T1577" t="s">
        <v>4002</v>
      </c>
      <c r="U1577" t="s">
        <v>4002</v>
      </c>
      <c r="V1577" t="s">
        <v>4002</v>
      </c>
      <c r="W1577" t="s">
        <v>5556</v>
      </c>
      <c r="X1577">
        <v>1</v>
      </c>
      <c r="Y1577" t="s">
        <v>7480</v>
      </c>
      <c r="Z1577" t="s">
        <v>9475</v>
      </c>
      <c r="AA1577">
        <v>0.89630661282315505</v>
      </c>
      <c r="AB1577" t="str">
        <f>HYPERLINK("Melting_Curves/meltCurve_Q16512_3_PKN1.pdf", "Melting_Curves/meltCurve_Q16512_3_PKN1.pdf")</f>
        <v>Melting_Curves/meltCurve_Q16512_3_PKN1.pdf</v>
      </c>
    </row>
    <row r="1578" spans="1:28" x14ac:dyDescent="0.25">
      <c r="A1578" t="s">
        <v>1582</v>
      </c>
      <c r="B1578">
        <v>1</v>
      </c>
      <c r="C1578">
        <v>0.91168003290150101</v>
      </c>
      <c r="D1578">
        <v>1.0203463796924599</v>
      </c>
      <c r="E1578">
        <v>1.06598578837937</v>
      </c>
      <c r="F1578">
        <v>0.96479082413690698</v>
      </c>
      <c r="G1578">
        <v>1.01121849795508</v>
      </c>
      <c r="H1578">
        <v>0.84057623323508601</v>
      </c>
      <c r="I1578">
        <v>1.1371352845751399</v>
      </c>
      <c r="J1578">
        <v>1.1748577695524001</v>
      </c>
      <c r="K1578">
        <v>0.95682820389791401</v>
      </c>
      <c r="L1578">
        <v>1849.0096860771901</v>
      </c>
      <c r="M1578">
        <v>29.188260601670201</v>
      </c>
      <c r="O1578">
        <v>63.052601098372598</v>
      </c>
      <c r="P1578">
        <v>8.50691036099872E-3</v>
      </c>
      <c r="Q1578">
        <v>1.0735061174635301</v>
      </c>
      <c r="R1578">
        <v>0.110389604101817</v>
      </c>
      <c r="S1578" t="s">
        <v>3580</v>
      </c>
      <c r="T1578" t="s">
        <v>4002</v>
      </c>
      <c r="U1578" t="s">
        <v>4002</v>
      </c>
      <c r="V1578" t="s">
        <v>4002</v>
      </c>
      <c r="W1578" t="s">
        <v>5557</v>
      </c>
      <c r="X1578">
        <v>7</v>
      </c>
      <c r="Y1578" t="s">
        <v>7481</v>
      </c>
      <c r="Z1578" t="s">
        <v>9476</v>
      </c>
      <c r="AA1578">
        <v>1.0161174852424379</v>
      </c>
      <c r="AB1578" t="str">
        <f>HYPERLINK("Melting_Curves/meltCurve_Q16543_CDC37.pdf", "Melting_Curves/meltCurve_Q16543_CDC37.pdf")</f>
        <v>Melting_Curves/meltCurve_Q16543_CDC37.pdf</v>
      </c>
    </row>
    <row r="1579" spans="1:28" x14ac:dyDescent="0.25">
      <c r="A1579" t="s">
        <v>1583</v>
      </c>
      <c r="B1579">
        <v>1</v>
      </c>
      <c r="C1579">
        <v>1.0751059246810399</v>
      </c>
      <c r="D1579">
        <v>1.1596089663171301</v>
      </c>
      <c r="E1579">
        <v>1.2400880535895999</v>
      </c>
      <c r="F1579">
        <v>1.3754112718062801</v>
      </c>
      <c r="G1579">
        <v>1.1496674320070099</v>
      </c>
      <c r="H1579">
        <v>1.06968542145004</v>
      </c>
      <c r="I1579">
        <v>1.59945084858096</v>
      </c>
      <c r="J1579">
        <v>1.3170165928941699</v>
      </c>
      <c r="K1579">
        <v>0.97708713044713202</v>
      </c>
      <c r="L1579">
        <v>1287.7091915306801</v>
      </c>
      <c r="M1579">
        <v>28.906429579265499</v>
      </c>
      <c r="O1579">
        <v>44.3359339050659</v>
      </c>
      <c r="P1579">
        <v>4.0317177132986298E-2</v>
      </c>
      <c r="Q1579">
        <v>1.2473479057649099</v>
      </c>
      <c r="R1579">
        <v>0.21527776991059699</v>
      </c>
      <c r="S1579" t="s">
        <v>3581</v>
      </c>
      <c r="T1579" t="s">
        <v>4002</v>
      </c>
      <c r="U1579" t="s">
        <v>4002</v>
      </c>
      <c r="V1579" t="s">
        <v>4002</v>
      </c>
      <c r="W1579" t="s">
        <v>5558</v>
      </c>
      <c r="X1579">
        <v>2</v>
      </c>
      <c r="Y1579" t="s">
        <v>7482</v>
      </c>
      <c r="Z1579" t="s">
        <v>9477</v>
      </c>
      <c r="AA1579">
        <v>1.2080296053298409</v>
      </c>
      <c r="AB1579" t="str">
        <f>HYPERLINK("Melting_Curves/meltCurve_Q16555_2_DPYSL2.pdf", "Melting_Curves/meltCurve_Q16555_2_DPYSL2.pdf")</f>
        <v>Melting_Curves/meltCurve_Q16555_2_DPYSL2.pdf</v>
      </c>
    </row>
    <row r="1580" spans="1:28" x14ac:dyDescent="0.25">
      <c r="A1580" t="s">
        <v>1584</v>
      </c>
      <c r="B1580">
        <v>1</v>
      </c>
      <c r="C1580">
        <v>0.90870240429849103</v>
      </c>
      <c r="D1580">
        <v>1.0039674892594399</v>
      </c>
      <c r="E1580">
        <v>1.02515388190485</v>
      </c>
      <c r="F1580">
        <v>0.96135665461305597</v>
      </c>
      <c r="G1580">
        <v>1.0057811986351799</v>
      </c>
      <c r="H1580">
        <v>1.0023578221884699</v>
      </c>
      <c r="I1580">
        <v>1.11673486969632</v>
      </c>
      <c r="J1580">
        <v>1.07354591518642</v>
      </c>
      <c r="K1580">
        <v>1.0219912261808899</v>
      </c>
      <c r="L1580">
        <v>15000</v>
      </c>
      <c r="M1580">
        <v>242.66494506435501</v>
      </c>
      <c r="O1580">
        <v>61.809426905588303</v>
      </c>
      <c r="P1580">
        <v>6.9446765081303499E-2</v>
      </c>
      <c r="Q1580">
        <v>1.0707554154135701</v>
      </c>
      <c r="R1580">
        <v>0.47520398561176802</v>
      </c>
      <c r="S1580" t="s">
        <v>3582</v>
      </c>
      <c r="T1580" t="s">
        <v>4002</v>
      </c>
      <c r="U1580" t="s">
        <v>4002</v>
      </c>
      <c r="V1580" t="s">
        <v>4002</v>
      </c>
      <c r="W1580" t="s">
        <v>5559</v>
      </c>
      <c r="X1580">
        <v>13</v>
      </c>
      <c r="Y1580" t="s">
        <v>7483</v>
      </c>
      <c r="Z1580" t="s">
        <v>9478</v>
      </c>
      <c r="AA1580">
        <v>1.019299531131211</v>
      </c>
      <c r="AB1580" t="str">
        <f>HYPERLINK("Melting_Curves/meltCurve_Q16610_ECM1.pdf", "Melting_Curves/meltCurve_Q16610_ECM1.pdf")</f>
        <v>Melting_Curves/meltCurve_Q16610_ECM1.pdf</v>
      </c>
    </row>
    <row r="1581" spans="1:28" x14ac:dyDescent="0.25">
      <c r="A1581" t="s">
        <v>1585</v>
      </c>
      <c r="B1581">
        <v>1</v>
      </c>
      <c r="C1581">
        <v>0.83954311935757397</v>
      </c>
      <c r="D1581">
        <v>0.99531148685719995</v>
      </c>
      <c r="E1581">
        <v>0.80627462716345</v>
      </c>
      <c r="F1581">
        <v>1.5100503765773901</v>
      </c>
      <c r="G1581">
        <v>2.7486657688662799</v>
      </c>
      <c r="H1581">
        <v>2.92428550052372</v>
      </c>
      <c r="I1581">
        <v>4.5154371789116698</v>
      </c>
      <c r="J1581">
        <v>3.09342111826026</v>
      </c>
      <c r="K1581">
        <v>3.6519527158461802</v>
      </c>
      <c r="L1581">
        <v>12938.976576437701</v>
      </c>
      <c r="M1581">
        <v>250</v>
      </c>
      <c r="O1581">
        <v>51.752581145004299</v>
      </c>
      <c r="P1581">
        <v>0.60383446366970195</v>
      </c>
      <c r="Q1581">
        <v>1.5</v>
      </c>
      <c r="R1581">
        <v>-0.22523832660257001</v>
      </c>
      <c r="S1581" t="s">
        <v>3583</v>
      </c>
      <c r="T1581" t="s">
        <v>4002</v>
      </c>
      <c r="U1581" t="s">
        <v>4002</v>
      </c>
      <c r="V1581" t="s">
        <v>4002</v>
      </c>
      <c r="W1581" t="s">
        <v>5560</v>
      </c>
      <c r="X1581">
        <v>1</v>
      </c>
      <c r="Y1581" t="s">
        <v>7484</v>
      </c>
      <c r="Z1581" t="s">
        <v>9479</v>
      </c>
      <c r="AA1581">
        <v>1.3040228128324529</v>
      </c>
      <c r="AB1581" t="str">
        <f>HYPERLINK("Melting_Curves/meltCurve_Q16706_MAN2A1.pdf", "Melting_Curves/meltCurve_Q16706_MAN2A1.pdf")</f>
        <v>Melting_Curves/meltCurve_Q16706_MAN2A1.pdf</v>
      </c>
    </row>
    <row r="1582" spans="1:28" x14ac:dyDescent="0.25">
      <c r="A1582" t="s">
        <v>1586</v>
      </c>
      <c r="B1582">
        <v>1</v>
      </c>
      <c r="C1582">
        <v>1.03185556290765</v>
      </c>
      <c r="D1582">
        <v>1.2152944512713899</v>
      </c>
      <c r="E1582">
        <v>1.2529539654031601</v>
      </c>
      <c r="F1582">
        <v>1.44792513470082</v>
      </c>
      <c r="G1582">
        <v>2.3675205595992099</v>
      </c>
      <c r="H1582">
        <v>2.8626524246148</v>
      </c>
      <c r="I1582">
        <v>4.3775404102467199</v>
      </c>
      <c r="J1582">
        <v>3.73759334530674</v>
      </c>
      <c r="K1582">
        <v>3.4797239814727301</v>
      </c>
      <c r="L1582">
        <v>1413.84238645613</v>
      </c>
      <c r="M1582">
        <v>29.826862180138701</v>
      </c>
      <c r="O1582">
        <v>47.190103596107697</v>
      </c>
      <c r="P1582">
        <v>7.90077233217715E-2</v>
      </c>
      <c r="Q1582">
        <v>1.5</v>
      </c>
      <c r="R1582">
        <v>-0.38011533475462</v>
      </c>
      <c r="S1582" t="s">
        <v>3584</v>
      </c>
      <c r="T1582" t="s">
        <v>4002</v>
      </c>
      <c r="U1582" t="s">
        <v>4002</v>
      </c>
      <c r="V1582" t="s">
        <v>4002</v>
      </c>
      <c r="W1582" t="s">
        <v>5561</v>
      </c>
      <c r="X1582">
        <v>3</v>
      </c>
      <c r="Y1582" t="s">
        <v>7485</v>
      </c>
      <c r="Z1582" t="s">
        <v>9480</v>
      </c>
      <c r="AA1582">
        <v>1.3736033713532489</v>
      </c>
      <c r="AB1582" t="str">
        <f>HYPERLINK("Melting_Curves/meltCurve_Q16769_QPCT.pdf", "Melting_Curves/meltCurve_Q16769_QPCT.pdf")</f>
        <v>Melting_Curves/meltCurve_Q16769_QPCT.pdf</v>
      </c>
    </row>
    <row r="1583" spans="1:28" x14ac:dyDescent="0.25">
      <c r="A1583" t="s">
        <v>1587</v>
      </c>
      <c r="B1583">
        <v>1</v>
      </c>
      <c r="C1583">
        <v>0.91600436340969305</v>
      </c>
      <c r="D1583">
        <v>0.92177029764687501</v>
      </c>
      <c r="E1583">
        <v>0.93750973975377905</v>
      </c>
      <c r="F1583">
        <v>1.0476858345021001</v>
      </c>
      <c r="G1583">
        <v>0.78728377746610601</v>
      </c>
      <c r="H1583">
        <v>0.74975066230325704</v>
      </c>
      <c r="I1583">
        <v>0.93680847748168905</v>
      </c>
      <c r="J1583">
        <v>1.1500701262272099</v>
      </c>
      <c r="K1583">
        <v>0.94475611656537295</v>
      </c>
      <c r="L1583">
        <v>10250.7163362842</v>
      </c>
      <c r="M1583">
        <v>250</v>
      </c>
      <c r="O1583">
        <v>41.0002416123545</v>
      </c>
      <c r="P1583">
        <v>-0.103041597150963</v>
      </c>
      <c r="Q1583">
        <v>0.93240431430472204</v>
      </c>
      <c r="R1583">
        <v>3.4330447807695799E-2</v>
      </c>
      <c r="S1583" t="s">
        <v>3585</v>
      </c>
      <c r="T1583" t="s">
        <v>4002</v>
      </c>
      <c r="U1583" t="s">
        <v>4002</v>
      </c>
      <c r="V1583" t="s">
        <v>4002</v>
      </c>
      <c r="W1583" t="s">
        <v>5562</v>
      </c>
      <c r="X1583">
        <v>1</v>
      </c>
      <c r="Y1583" t="s">
        <v>7486</v>
      </c>
      <c r="Z1583" t="s">
        <v>9481</v>
      </c>
      <c r="AA1583">
        <v>0.93466948524090465</v>
      </c>
      <c r="AB1583" t="str">
        <f>HYPERLINK("Melting_Curves/meltCurve_Q17RU2_REL.pdf", "Melting_Curves/meltCurve_Q17RU2_REL.pdf")</f>
        <v>Melting_Curves/meltCurve_Q17RU2_REL.pdf</v>
      </c>
    </row>
    <row r="1584" spans="1:28" x14ac:dyDescent="0.25">
      <c r="A1584" t="s">
        <v>1588</v>
      </c>
      <c r="B1584">
        <v>1</v>
      </c>
      <c r="C1584">
        <v>0.92241960872498296</v>
      </c>
      <c r="D1584">
        <v>1.04372128883035</v>
      </c>
      <c r="E1584">
        <v>0.90272736033923395</v>
      </c>
      <c r="F1584">
        <v>0.789681647338495</v>
      </c>
      <c r="G1584">
        <v>0.84252626168524503</v>
      </c>
      <c r="H1584">
        <v>0.89286517395354803</v>
      </c>
      <c r="I1584">
        <v>0.882007131613608</v>
      </c>
      <c r="J1584">
        <v>1.57403064666388</v>
      </c>
      <c r="K1584">
        <v>0.99514921777121002</v>
      </c>
      <c r="L1584">
        <v>3528.3179543630899</v>
      </c>
      <c r="M1584">
        <v>54.3459608563995</v>
      </c>
      <c r="O1584">
        <v>64.8355553056101</v>
      </c>
      <c r="P1584">
        <v>4.9751753667275599E-2</v>
      </c>
      <c r="Q1584">
        <v>1.23741821724403</v>
      </c>
      <c r="R1584">
        <v>0.241987834515349</v>
      </c>
      <c r="S1584" t="s">
        <v>3586</v>
      </c>
      <c r="T1584" t="s">
        <v>4002</v>
      </c>
      <c r="U1584" t="s">
        <v>4002</v>
      </c>
      <c r="V1584" t="s">
        <v>4002</v>
      </c>
      <c r="W1584" t="s">
        <v>5563</v>
      </c>
      <c r="X1584">
        <v>1</v>
      </c>
      <c r="Y1584" t="s">
        <v>7487</v>
      </c>
      <c r="Z1584" t="s">
        <v>9482</v>
      </c>
      <c r="AA1584">
        <v>1.039822221917827</v>
      </c>
      <c r="AB1584" t="str">
        <f>HYPERLINK("Melting_Curves/meltCurve_Q1L6K4_PDCD8.pdf", "Melting_Curves/meltCurve_Q1L6K4_PDCD8.pdf")</f>
        <v>Melting_Curves/meltCurve_Q1L6K4_PDCD8.pdf</v>
      </c>
    </row>
    <row r="1585" spans="1:28" x14ac:dyDescent="0.25">
      <c r="A1585" t="s">
        <v>1589</v>
      </c>
      <c r="B1585">
        <v>1</v>
      </c>
      <c r="C1585">
        <v>1.06611768085412</v>
      </c>
      <c r="D1585">
        <v>1.3017187724421899</v>
      </c>
      <c r="E1585">
        <v>1.5868722171685701</v>
      </c>
      <c r="F1585">
        <v>1.6872695935270701</v>
      </c>
      <c r="G1585">
        <v>1.9205726049695999</v>
      </c>
      <c r="H1585">
        <v>1.6047302149662499</v>
      </c>
      <c r="I1585">
        <v>2.200794752717</v>
      </c>
      <c r="J1585">
        <v>1.71594771867669</v>
      </c>
      <c r="K1585">
        <v>1.8411930866088999</v>
      </c>
      <c r="L1585">
        <v>2112.7627488489402</v>
      </c>
      <c r="M1585">
        <v>46.483116344031998</v>
      </c>
      <c r="O1585">
        <v>45.368377543843202</v>
      </c>
      <c r="P1585">
        <v>0.128071505150051</v>
      </c>
      <c r="Q1585">
        <v>1.5</v>
      </c>
      <c r="R1585">
        <v>0.30455973866217501</v>
      </c>
      <c r="S1585" t="s">
        <v>3587</v>
      </c>
      <c r="T1585" t="s">
        <v>4002</v>
      </c>
      <c r="U1585" t="s">
        <v>4002</v>
      </c>
      <c r="V1585" t="s">
        <v>4002</v>
      </c>
      <c r="W1585" t="s">
        <v>5564</v>
      </c>
      <c r="X1585">
        <v>6</v>
      </c>
      <c r="Y1585" t="s">
        <v>7488</v>
      </c>
      <c r="Z1585" t="s">
        <v>9483</v>
      </c>
      <c r="AA1585">
        <v>1.407946526355875</v>
      </c>
      <c r="AB1585" t="str">
        <f>HYPERLINK("Melting_Curves/meltCurve_Q24JP5_TMEM132A.pdf", "Melting_Curves/meltCurve_Q24JP5_TMEM132A.pdf")</f>
        <v>Melting_Curves/meltCurve_Q24JP5_TMEM132A.pdf</v>
      </c>
    </row>
    <row r="1586" spans="1:28" x14ac:dyDescent="0.25">
      <c r="A1586" t="s">
        <v>1590</v>
      </c>
      <c r="B1586">
        <v>1</v>
      </c>
      <c r="C1586">
        <v>0.98299314604202803</v>
      </c>
      <c r="D1586">
        <v>0.94465617232808596</v>
      </c>
      <c r="E1586">
        <v>0.94107102508096696</v>
      </c>
      <c r="F1586">
        <v>0.78709045718159198</v>
      </c>
      <c r="G1586">
        <v>0.82771710476764304</v>
      </c>
      <c r="H1586">
        <v>0.79605332529938999</v>
      </c>
      <c r="I1586">
        <v>0.74218573472923099</v>
      </c>
      <c r="J1586">
        <v>0.63847254650900098</v>
      </c>
      <c r="K1586">
        <v>0.73540709497627499</v>
      </c>
      <c r="L1586">
        <v>497.66915351703199</v>
      </c>
      <c r="M1586">
        <v>9.02208906929304</v>
      </c>
      <c r="O1586">
        <v>52.653477741907601</v>
      </c>
      <c r="P1586">
        <v>-1.47862768586077E-2</v>
      </c>
      <c r="Q1586">
        <v>0.65507362327185903</v>
      </c>
      <c r="R1586">
        <v>0.88007889506562298</v>
      </c>
      <c r="S1586" t="s">
        <v>3588</v>
      </c>
      <c r="T1586" t="s">
        <v>4002</v>
      </c>
      <c r="U1586" t="s">
        <v>4002</v>
      </c>
      <c r="V1586" t="s">
        <v>4002</v>
      </c>
      <c r="W1586" t="s">
        <v>5565</v>
      </c>
      <c r="X1586">
        <v>4</v>
      </c>
      <c r="Y1586" t="s">
        <v>7489</v>
      </c>
      <c r="Z1586" t="s">
        <v>9484</v>
      </c>
      <c r="AA1586">
        <v>0.83828486490413667</v>
      </c>
      <c r="AB1586" t="str">
        <f>HYPERLINK("Melting_Curves/meltCurve_Q2I0M4_LRRC26.pdf", "Melting_Curves/meltCurve_Q2I0M4_LRRC26.pdf")</f>
        <v>Melting_Curves/meltCurve_Q2I0M4_LRRC26.pdf</v>
      </c>
    </row>
    <row r="1587" spans="1:28" x14ac:dyDescent="0.25">
      <c r="A1587" t="s">
        <v>1591</v>
      </c>
      <c r="B1587">
        <v>1</v>
      </c>
      <c r="C1587">
        <v>0.926849759545744</v>
      </c>
      <c r="D1587">
        <v>1.02253896517759</v>
      </c>
      <c r="E1587">
        <v>1.1152442204067401</v>
      </c>
      <c r="F1587">
        <v>1.04464337447129</v>
      </c>
      <c r="G1587">
        <v>1.0616200243351299</v>
      </c>
      <c r="H1587">
        <v>0.83307259980300097</v>
      </c>
      <c r="I1587">
        <v>1.15015354307897</v>
      </c>
      <c r="J1587">
        <v>0.89515615041427699</v>
      </c>
      <c r="K1587">
        <v>0.95243061591053901</v>
      </c>
      <c r="L1587">
        <v>1741.2287746444199</v>
      </c>
      <c r="M1587">
        <v>25.1713339799282</v>
      </c>
      <c r="O1587">
        <v>68.742895613648599</v>
      </c>
      <c r="P1587">
        <v>-9.8367042911057592E-3</v>
      </c>
      <c r="Q1587">
        <v>0.89254527613362999</v>
      </c>
      <c r="R1587">
        <v>5.7680511639311802E-2</v>
      </c>
      <c r="S1587" t="s">
        <v>3589</v>
      </c>
      <c r="T1587" t="s">
        <v>4002</v>
      </c>
      <c r="U1587" t="s">
        <v>4002</v>
      </c>
      <c r="V1587" t="s">
        <v>4002</v>
      </c>
      <c r="W1587" t="s">
        <v>5566</v>
      </c>
      <c r="X1587">
        <v>17</v>
      </c>
      <c r="Y1587" t="s">
        <v>7490</v>
      </c>
      <c r="Z1587" t="s">
        <v>9485</v>
      </c>
      <c r="AA1587">
        <v>0.99216100451614031</v>
      </c>
      <c r="AB1587" t="str">
        <f>HYPERLINK("Melting_Curves/meltCurve_Q32MZ4_3_LRRFIP1.pdf", "Melting_Curves/meltCurve_Q32MZ4_3_LRRFIP1.pdf")</f>
        <v>Melting_Curves/meltCurve_Q32MZ4_3_LRRFIP1.pdf</v>
      </c>
    </row>
    <row r="1588" spans="1:28" x14ac:dyDescent="0.25">
      <c r="A1588" t="s">
        <v>1592</v>
      </c>
      <c r="B1588">
        <v>1</v>
      </c>
      <c r="C1588">
        <v>1.02973032367438</v>
      </c>
      <c r="D1588">
        <v>0.95824569114369096</v>
      </c>
      <c r="E1588">
        <v>1.0917862263104501</v>
      </c>
      <c r="F1588">
        <v>1.0485668539855</v>
      </c>
      <c r="G1588">
        <v>1.16430686800825</v>
      </c>
      <c r="H1588">
        <v>0.80303268138008999</v>
      </c>
      <c r="I1588">
        <v>1.3528814659006501</v>
      </c>
      <c r="J1588">
        <v>0.893772433784364</v>
      </c>
      <c r="K1588">
        <v>0.94928787450684904</v>
      </c>
      <c r="L1588">
        <v>15000</v>
      </c>
      <c r="M1588">
        <v>227.86114930234899</v>
      </c>
      <c r="O1588">
        <v>65.824492720233195</v>
      </c>
      <c r="P1588">
        <v>-6.8076561646546602E-2</v>
      </c>
      <c r="Q1588">
        <v>0.92133621489477802</v>
      </c>
      <c r="R1588">
        <v>1.74454025544259E-2</v>
      </c>
      <c r="S1588" t="s">
        <v>3590</v>
      </c>
      <c r="T1588" t="s">
        <v>4002</v>
      </c>
      <c r="U1588" t="s">
        <v>4002</v>
      </c>
      <c r="V1588" t="s">
        <v>4002</v>
      </c>
      <c r="W1588" t="s">
        <v>5567</v>
      </c>
      <c r="X1588">
        <v>4</v>
      </c>
      <c r="Y1588" t="s">
        <v>7491</v>
      </c>
      <c r="Z1588" t="s">
        <v>9486</v>
      </c>
      <c r="AA1588">
        <v>0.98907552851732439</v>
      </c>
      <c r="AB1588" t="str">
        <f>HYPERLINK("Melting_Curves/meltCurve_Q3KQU3_2_MAP7D1.pdf", "Melting_Curves/meltCurve_Q3KQU3_2_MAP7D1.pdf")</f>
        <v>Melting_Curves/meltCurve_Q3KQU3_2_MAP7D1.pdf</v>
      </c>
    </row>
    <row r="1589" spans="1:28" x14ac:dyDescent="0.25">
      <c r="A1589" t="s">
        <v>1593</v>
      </c>
      <c r="B1589">
        <v>1</v>
      </c>
      <c r="C1589">
        <v>0.71477000527790202</v>
      </c>
      <c r="D1589">
        <v>0.80065770776663603</v>
      </c>
      <c r="E1589">
        <v>0.91849701595550304</v>
      </c>
      <c r="F1589">
        <v>0.88999634606796296</v>
      </c>
      <c r="G1589">
        <v>0.89828874182940199</v>
      </c>
      <c r="H1589">
        <v>0.97712232552474498</v>
      </c>
      <c r="I1589">
        <v>1.0171125817059801</v>
      </c>
      <c r="J1589">
        <v>1.1431732369777901</v>
      </c>
      <c r="K1589">
        <v>0.87353335227964801</v>
      </c>
      <c r="L1589">
        <v>15000</v>
      </c>
      <c r="M1589">
        <v>212.35303096276701</v>
      </c>
      <c r="Q1589">
        <v>0</v>
      </c>
      <c r="R1589">
        <v>-0.332708950661181</v>
      </c>
      <c r="S1589" t="s">
        <v>3591</v>
      </c>
      <c r="T1589" t="s">
        <v>4002</v>
      </c>
      <c r="U1589" t="s">
        <v>4002</v>
      </c>
      <c r="V1589" t="s">
        <v>4002</v>
      </c>
      <c r="W1589" t="s">
        <v>5568</v>
      </c>
      <c r="X1589">
        <v>1</v>
      </c>
      <c r="Y1589" t="s">
        <v>7492</v>
      </c>
      <c r="Z1589" t="s">
        <v>9487</v>
      </c>
      <c r="AA1589">
        <v>0.99854189624245815</v>
      </c>
      <c r="AB1589" t="str">
        <f>HYPERLINK("Melting_Curves/meltCurve_Q49AM7_KLK12.pdf", "Melting_Curves/meltCurve_Q49AM7_KLK12.pdf")</f>
        <v>Melting_Curves/meltCurve_Q49AM7_KLK12.pdf</v>
      </c>
    </row>
    <row r="1590" spans="1:28" x14ac:dyDescent="0.25">
      <c r="A1590" t="s">
        <v>1594</v>
      </c>
      <c r="B1590">
        <v>1</v>
      </c>
      <c r="C1590">
        <v>0.91504357879758103</v>
      </c>
      <c r="D1590">
        <v>0.77105567413731801</v>
      </c>
      <c r="E1590">
        <v>0.77952685876912098</v>
      </c>
      <c r="F1590">
        <v>0.74315190323728197</v>
      </c>
      <c r="G1590">
        <v>0.73107879758093197</v>
      </c>
      <c r="H1590">
        <v>0.72285218783351102</v>
      </c>
      <c r="I1590">
        <v>0.79395677694770495</v>
      </c>
      <c r="J1590">
        <v>0.80838669512629002</v>
      </c>
      <c r="K1590">
        <v>0.72883315546069005</v>
      </c>
      <c r="L1590">
        <v>2216.9909470116299</v>
      </c>
      <c r="M1590">
        <v>51.060611514241998</v>
      </c>
      <c r="O1590">
        <v>43.3523647088738</v>
      </c>
      <c r="P1590">
        <v>-7.1204531200062995E-2</v>
      </c>
      <c r="Q1590">
        <v>0.758178970652991</v>
      </c>
      <c r="R1590">
        <v>0.900483731757725</v>
      </c>
      <c r="S1590" t="s">
        <v>3592</v>
      </c>
      <c r="T1590" t="s">
        <v>4002</v>
      </c>
      <c r="U1590" t="s">
        <v>4002</v>
      </c>
      <c r="V1590" t="s">
        <v>4002</v>
      </c>
      <c r="W1590" t="s">
        <v>5569</v>
      </c>
      <c r="X1590">
        <v>1</v>
      </c>
      <c r="Y1590" t="s">
        <v>7493</v>
      </c>
      <c r="Z1590" t="s">
        <v>9488</v>
      </c>
      <c r="AA1590">
        <v>0.78625199980712546</v>
      </c>
      <c r="AB1590" t="str">
        <f>HYPERLINK("Melting_Curves/meltCurve_Q4G0X9_3_CCDC40.pdf", "Melting_Curves/meltCurve_Q4G0X9_3_CCDC40.pdf")</f>
        <v>Melting_Curves/meltCurve_Q4G0X9_3_CCDC40.pdf</v>
      </c>
    </row>
    <row r="1591" spans="1:28" x14ac:dyDescent="0.25">
      <c r="A1591" t="s">
        <v>1595</v>
      </c>
      <c r="B1591">
        <v>1</v>
      </c>
      <c r="C1591">
        <v>0.79139156932453003</v>
      </c>
      <c r="D1591">
        <v>1.01606145251397</v>
      </c>
      <c r="E1591">
        <v>1.0019680040629799</v>
      </c>
      <c r="F1591">
        <v>1.02533011681056</v>
      </c>
      <c r="G1591">
        <v>1.0587227018791301</v>
      </c>
      <c r="H1591">
        <v>1.2713941086846099</v>
      </c>
      <c r="I1591">
        <v>1.35646267140681</v>
      </c>
      <c r="J1591">
        <v>3.5712290502793298</v>
      </c>
      <c r="K1591">
        <v>1.0978923311325499</v>
      </c>
      <c r="L1591">
        <v>4707.74717494164</v>
      </c>
      <c r="M1591">
        <v>77.319185112986503</v>
      </c>
      <c r="O1591">
        <v>60.846487199605797</v>
      </c>
      <c r="P1591">
        <v>0.15884071703583899</v>
      </c>
      <c r="Q1591">
        <v>1.5</v>
      </c>
      <c r="R1591">
        <v>0.22780263094404701</v>
      </c>
      <c r="S1591" t="s">
        <v>3593</v>
      </c>
      <c r="T1591" t="s">
        <v>4002</v>
      </c>
      <c r="U1591" t="s">
        <v>4002</v>
      </c>
      <c r="V1591" t="s">
        <v>4002</v>
      </c>
      <c r="W1591" t="s">
        <v>5570</v>
      </c>
      <c r="X1591">
        <v>1</v>
      </c>
      <c r="Y1591" t="s">
        <v>7494</v>
      </c>
      <c r="Z1591" t="s">
        <v>9489</v>
      </c>
      <c r="AA1591">
        <v>1.15132134642808</v>
      </c>
      <c r="AB1591" t="str">
        <f>HYPERLINK("Melting_Curves/meltCurve_Q4VB95_HAL.pdf", "Melting_Curves/meltCurve_Q4VB95_HAL.pdf")</f>
        <v>Melting_Curves/meltCurve_Q4VB95_HAL.pdf</v>
      </c>
    </row>
    <row r="1592" spans="1:28" x14ac:dyDescent="0.25">
      <c r="A1592" t="s">
        <v>1596</v>
      </c>
      <c r="B1592">
        <v>1</v>
      </c>
      <c r="C1592">
        <v>0.98119009584664496</v>
      </c>
      <c r="D1592">
        <v>1.02783546325879</v>
      </c>
      <c r="E1592">
        <v>1.09329073482428</v>
      </c>
      <c r="F1592">
        <v>1.0176517571885</v>
      </c>
      <c r="G1592">
        <v>1.2927715654952101</v>
      </c>
      <c r="H1592">
        <v>1.4004792332268401</v>
      </c>
      <c r="I1592">
        <v>1.3875</v>
      </c>
      <c r="J1592">
        <v>1.7884185303514399</v>
      </c>
      <c r="K1592">
        <v>1.2664536741214101</v>
      </c>
      <c r="L1592">
        <v>1598.8543056842</v>
      </c>
      <c r="M1592">
        <v>28.267688085982901</v>
      </c>
      <c r="O1592">
        <v>56.280400046067598</v>
      </c>
      <c r="P1592">
        <v>6.0778363141520401E-2</v>
      </c>
      <c r="Q1592">
        <v>1.4840300125821699</v>
      </c>
      <c r="R1592">
        <v>0.72863092452155298</v>
      </c>
      <c r="S1592" t="s">
        <v>3594</v>
      </c>
      <c r="T1592" t="s">
        <v>4002</v>
      </c>
      <c r="U1592" t="s">
        <v>4002</v>
      </c>
      <c r="V1592" t="s">
        <v>4002</v>
      </c>
      <c r="W1592" t="s">
        <v>5571</v>
      </c>
      <c r="X1592">
        <v>1</v>
      </c>
      <c r="Y1592" t="s">
        <v>7495</v>
      </c>
      <c r="Z1592" t="s">
        <v>9490</v>
      </c>
      <c r="AA1592">
        <v>1.213240055734973</v>
      </c>
      <c r="AB1592" t="str">
        <f>HYPERLINK("Melting_Curves/meltCurve_Q53RT3_ASPRV1.pdf", "Melting_Curves/meltCurve_Q53RT3_ASPRV1.pdf")</f>
        <v>Melting_Curves/meltCurve_Q53RT3_ASPRV1.pdf</v>
      </c>
    </row>
    <row r="1593" spans="1:28" x14ac:dyDescent="0.25">
      <c r="A1593" t="s">
        <v>1597</v>
      </c>
      <c r="B1593">
        <v>1</v>
      </c>
      <c r="C1593">
        <v>1.2275513240107101</v>
      </c>
      <c r="D1593">
        <v>1.9003272835465601</v>
      </c>
      <c r="E1593">
        <v>2.4822969354358801</v>
      </c>
      <c r="F1593">
        <v>2.6001785182981298</v>
      </c>
      <c r="G1593">
        <v>2.9218387384706901</v>
      </c>
      <c r="H1593">
        <v>2.3109788753347198</v>
      </c>
      <c r="I1593">
        <v>3.3823266884855698</v>
      </c>
      <c r="J1593">
        <v>2.1056828324903298</v>
      </c>
      <c r="K1593">
        <v>2.54781315084796</v>
      </c>
      <c r="L1593">
        <v>10732.7251637316</v>
      </c>
      <c r="M1593">
        <v>250</v>
      </c>
      <c r="O1593">
        <v>42.928153378277699</v>
      </c>
      <c r="P1593">
        <v>0.72796050119088995</v>
      </c>
      <c r="Q1593">
        <v>1.5</v>
      </c>
      <c r="R1593">
        <v>-1.1085146639700201</v>
      </c>
      <c r="S1593" t="s">
        <v>3595</v>
      </c>
      <c r="T1593" t="s">
        <v>4002</v>
      </c>
      <c r="U1593" t="s">
        <v>4002</v>
      </c>
      <c r="V1593" t="s">
        <v>4002</v>
      </c>
      <c r="W1593" t="s">
        <v>5572</v>
      </c>
      <c r="X1593">
        <v>5</v>
      </c>
      <c r="Y1593" t="s">
        <v>7496</v>
      </c>
      <c r="Z1593" t="s">
        <v>9491</v>
      </c>
      <c r="AA1593">
        <v>1.4511139841926519</v>
      </c>
      <c r="AB1593" t="str">
        <f>HYPERLINK("Melting_Curves/meltCurve_Q53XA7_DKFZp686F13224.pdf", "Melting_Curves/meltCurve_Q53XA7_DKFZp686F13224.pdf")</f>
        <v>Melting_Curves/meltCurve_Q53XA7_DKFZp686F13224.pdf</v>
      </c>
    </row>
    <row r="1594" spans="1:28" x14ac:dyDescent="0.25">
      <c r="A1594" t="s">
        <v>1598</v>
      </c>
      <c r="B1594">
        <v>1</v>
      </c>
      <c r="C1594">
        <v>0.96027581805934703</v>
      </c>
      <c r="D1594">
        <v>1.016538447903</v>
      </c>
      <c r="E1594">
        <v>1.15350799446946</v>
      </c>
      <c r="F1594">
        <v>1.19491615556422</v>
      </c>
      <c r="G1594">
        <v>1.3225085971567301</v>
      </c>
      <c r="H1594">
        <v>1.17669372850711</v>
      </c>
      <c r="I1594">
        <v>1.45111142624171</v>
      </c>
      <c r="J1594">
        <v>1.65290530719325</v>
      </c>
      <c r="K1594">
        <v>1.1761619456163399</v>
      </c>
      <c r="L1594">
        <v>789.137686202086</v>
      </c>
      <c r="M1594">
        <v>14.906695183100799</v>
      </c>
      <c r="O1594">
        <v>52.013163742724601</v>
      </c>
      <c r="P1594">
        <v>2.8554426801967601E-2</v>
      </c>
      <c r="Q1594">
        <v>1.3984927068894</v>
      </c>
      <c r="R1594">
        <v>0.61554637573869397</v>
      </c>
      <c r="S1594" t="s">
        <v>3596</v>
      </c>
      <c r="T1594" t="s">
        <v>4002</v>
      </c>
      <c r="U1594" t="s">
        <v>4002</v>
      </c>
      <c r="V1594" t="s">
        <v>4002</v>
      </c>
      <c r="W1594" t="s">
        <v>5573</v>
      </c>
      <c r="X1594">
        <v>1</v>
      </c>
      <c r="Y1594" t="s">
        <v>7497</v>
      </c>
      <c r="Z1594" t="s">
        <v>9492</v>
      </c>
      <c r="AA1594">
        <v>1.2179573487556621</v>
      </c>
      <c r="AB1594" t="str">
        <f>HYPERLINK("Melting_Curves/meltCurve_Q58FG1_HSP90AA4P.pdf", "Melting_Curves/meltCurve_Q58FG1_HSP90AA4P.pdf")</f>
        <v>Melting_Curves/meltCurve_Q58FG1_HSP90AA4P.pdf</v>
      </c>
    </row>
    <row r="1595" spans="1:28" x14ac:dyDescent="0.25">
      <c r="A1595" t="s">
        <v>1599</v>
      </c>
      <c r="B1595">
        <v>1</v>
      </c>
      <c r="C1595">
        <v>1.32236556022612</v>
      </c>
      <c r="D1595">
        <v>1.0519640527612699</v>
      </c>
      <c r="E1595">
        <v>1.5845050007247401</v>
      </c>
      <c r="F1595">
        <v>1.70213074358603</v>
      </c>
      <c r="G1595">
        <v>2.2630816060298602</v>
      </c>
      <c r="H1595">
        <v>1.90049282504711</v>
      </c>
      <c r="I1595">
        <v>2.8436005218147602</v>
      </c>
      <c r="J1595">
        <v>2.0663139585447201</v>
      </c>
      <c r="K1595">
        <v>3.0020292796057402</v>
      </c>
      <c r="L1595">
        <v>11599.0987613708</v>
      </c>
      <c r="M1595">
        <v>250</v>
      </c>
      <c r="O1595">
        <v>46.393426587942599</v>
      </c>
      <c r="P1595">
        <v>0.67358681480790605</v>
      </c>
      <c r="Q1595">
        <v>1.5</v>
      </c>
      <c r="R1595">
        <v>-0.23897194990415499</v>
      </c>
      <c r="S1595" t="s">
        <v>3597</v>
      </c>
      <c r="T1595" t="s">
        <v>4002</v>
      </c>
      <c r="U1595" t="s">
        <v>4002</v>
      </c>
      <c r="V1595" t="s">
        <v>4002</v>
      </c>
      <c r="W1595" t="s">
        <v>5574</v>
      </c>
      <c r="X1595">
        <v>1</v>
      </c>
      <c r="Y1595" t="s">
        <v>7498</v>
      </c>
      <c r="Z1595" t="s">
        <v>9493</v>
      </c>
      <c r="AA1595">
        <v>1.3933527034330051</v>
      </c>
      <c r="AB1595" t="str">
        <f>HYPERLINK("Melting_Curves/meltCurve_Q5FBE1_F9.pdf", "Melting_Curves/meltCurve_Q5FBE1_F9.pdf")</f>
        <v>Melting_Curves/meltCurve_Q5FBE1_F9.pdf</v>
      </c>
    </row>
    <row r="1596" spans="1:28" x14ac:dyDescent="0.25">
      <c r="A1596" t="s">
        <v>1600</v>
      </c>
      <c r="B1596">
        <v>1</v>
      </c>
      <c r="C1596">
        <v>0.86281685112459805</v>
      </c>
      <c r="D1596">
        <v>0.95175830060692601</v>
      </c>
      <c r="E1596">
        <v>0.96621742234916097</v>
      </c>
      <c r="F1596">
        <v>0.92288468404141399</v>
      </c>
      <c r="G1596">
        <v>0.82872188504105704</v>
      </c>
      <c r="H1596">
        <v>0.86933238129239598</v>
      </c>
      <c r="I1596">
        <v>1.0264191360228501</v>
      </c>
      <c r="J1596">
        <v>1.2031417350946101</v>
      </c>
      <c r="K1596">
        <v>0.94229739378793298</v>
      </c>
      <c r="L1596">
        <v>10222.5924959846</v>
      </c>
      <c r="M1596">
        <v>250</v>
      </c>
      <c r="O1596">
        <v>40.8877532831577</v>
      </c>
      <c r="P1596">
        <v>-7.2422047627724598E-2</v>
      </c>
      <c r="Q1596">
        <v>0.95262120301845099</v>
      </c>
      <c r="R1596">
        <v>1.98531481496627E-2</v>
      </c>
      <c r="S1596" t="s">
        <v>3598</v>
      </c>
      <c r="T1596" t="s">
        <v>4002</v>
      </c>
      <c r="U1596" t="s">
        <v>4002</v>
      </c>
      <c r="V1596" t="s">
        <v>4002</v>
      </c>
      <c r="W1596" t="s">
        <v>5575</v>
      </c>
      <c r="X1596">
        <v>1</v>
      </c>
      <c r="Y1596" t="s">
        <v>7499</v>
      </c>
      <c r="Z1596" t="s">
        <v>9494</v>
      </c>
      <c r="AA1596">
        <v>0.95403169597040793</v>
      </c>
      <c r="AB1596" t="str">
        <f>HYPERLINK("Melting_Curves/meltCurve_Q5H8X8_UTS2.pdf", "Melting_Curves/meltCurve_Q5H8X8_UTS2.pdf")</f>
        <v>Melting_Curves/meltCurve_Q5H8X8_UTS2.pdf</v>
      </c>
    </row>
    <row r="1597" spans="1:28" x14ac:dyDescent="0.25">
      <c r="A1597" t="s">
        <v>1601</v>
      </c>
      <c r="B1597">
        <v>1</v>
      </c>
      <c r="C1597">
        <v>0.98209006140550403</v>
      </c>
      <c r="D1597">
        <v>1.16272458494428</v>
      </c>
      <c r="E1597">
        <v>1.2344780532180999</v>
      </c>
      <c r="F1597">
        <v>1.1957016147373201</v>
      </c>
      <c r="G1597">
        <v>1.3218103252217399</v>
      </c>
      <c r="H1597">
        <v>1.2112235615192199</v>
      </c>
      <c r="I1597">
        <v>1.53951557880373</v>
      </c>
      <c r="J1597">
        <v>1.2812713213554701</v>
      </c>
      <c r="K1597">
        <v>1.3198771889924901</v>
      </c>
      <c r="L1597">
        <v>645.37680204875699</v>
      </c>
      <c r="M1597">
        <v>13.2065900315996</v>
      </c>
      <c r="O1597">
        <v>47.788090164960998</v>
      </c>
      <c r="P1597">
        <v>2.4229666269265E-2</v>
      </c>
      <c r="Q1597">
        <v>1.3506422584945399</v>
      </c>
      <c r="R1597">
        <v>0.69300858477451799</v>
      </c>
      <c r="S1597" t="s">
        <v>3599</v>
      </c>
      <c r="T1597" t="s">
        <v>4002</v>
      </c>
      <c r="U1597" t="s">
        <v>4002</v>
      </c>
      <c r="V1597" t="s">
        <v>4002</v>
      </c>
      <c r="W1597" t="s">
        <v>5576</v>
      </c>
      <c r="X1597">
        <v>8</v>
      </c>
      <c r="Y1597" t="s">
        <v>7500</v>
      </c>
      <c r="Z1597" t="s">
        <v>9495</v>
      </c>
      <c r="AA1597">
        <v>1.2359993259731801</v>
      </c>
      <c r="AB1597" t="str">
        <f>HYPERLINK("Melting_Curves/meltCurve_Q5H9A7_TIMP1.pdf", "Melting_Curves/meltCurve_Q5H9A7_TIMP1.pdf")</f>
        <v>Melting_Curves/meltCurve_Q5H9A7_TIMP1.pdf</v>
      </c>
    </row>
    <row r="1598" spans="1:28" x14ac:dyDescent="0.25">
      <c r="A1598" t="s">
        <v>1602</v>
      </c>
      <c r="B1598">
        <v>1</v>
      </c>
      <c r="C1598">
        <v>1.0043688769527599</v>
      </c>
      <c r="D1598">
        <v>1.0118772931875799</v>
      </c>
      <c r="E1598">
        <v>1.0086621023565501</v>
      </c>
      <c r="F1598">
        <v>0.924348451034535</v>
      </c>
      <c r="G1598">
        <v>0.90545447668041001</v>
      </c>
      <c r="H1598">
        <v>1.0020804175965501</v>
      </c>
      <c r="I1598">
        <v>1.0091160116503399</v>
      </c>
      <c r="J1598">
        <v>1.50272345576276</v>
      </c>
      <c r="K1598">
        <v>0.94961606838900003</v>
      </c>
      <c r="L1598">
        <v>15000</v>
      </c>
      <c r="M1598">
        <v>231.48344015763001</v>
      </c>
      <c r="O1598">
        <v>64.794603498137107</v>
      </c>
      <c r="P1598">
        <v>0.20192564497173901</v>
      </c>
      <c r="Q1598">
        <v>1.2260843267835899</v>
      </c>
      <c r="R1598">
        <v>0.354406871263509</v>
      </c>
      <c r="S1598" t="s">
        <v>3600</v>
      </c>
      <c r="T1598" t="s">
        <v>4002</v>
      </c>
      <c r="U1598" t="s">
        <v>4002</v>
      </c>
      <c r="V1598" t="s">
        <v>4002</v>
      </c>
      <c r="W1598" t="s">
        <v>5577</v>
      </c>
      <c r="X1598">
        <v>9</v>
      </c>
      <c r="Y1598" t="s">
        <v>7501</v>
      </c>
      <c r="Z1598" t="s">
        <v>9496</v>
      </c>
      <c r="AA1598">
        <v>1.0391620924862399</v>
      </c>
      <c r="AB1598" t="str">
        <f>HYPERLINK("Melting_Curves/meltCurve_Q5JP53_TUBB.pdf", "Melting_Curves/meltCurve_Q5JP53_TUBB.pdf")</f>
        <v>Melting_Curves/meltCurve_Q5JP53_TUBB.pdf</v>
      </c>
    </row>
    <row r="1599" spans="1:28" x14ac:dyDescent="0.25">
      <c r="A1599" t="s">
        <v>1603</v>
      </c>
      <c r="B1599">
        <v>1</v>
      </c>
      <c r="C1599">
        <v>0.87871784995934399</v>
      </c>
      <c r="D1599">
        <v>0.95450849488595002</v>
      </c>
      <c r="E1599">
        <v>0.97295331022382003</v>
      </c>
      <c r="F1599">
        <v>0.95365258698164102</v>
      </c>
      <c r="G1599">
        <v>0.93657722429066603</v>
      </c>
      <c r="H1599">
        <v>0.91684854709633201</v>
      </c>
      <c r="I1599">
        <v>0.98378054521333502</v>
      </c>
      <c r="J1599">
        <v>0.83369709419266502</v>
      </c>
      <c r="K1599">
        <v>0.87118586040142099</v>
      </c>
      <c r="L1599">
        <v>144.453975548616</v>
      </c>
      <c r="M1599">
        <v>1.0000000000000001E-5</v>
      </c>
      <c r="O1599">
        <v>60.205208698206398</v>
      </c>
      <c r="P1599">
        <v>-3.0406397571007102E-3</v>
      </c>
      <c r="Q1599">
        <v>0</v>
      </c>
      <c r="R1599">
        <v>0.25034681457107599</v>
      </c>
      <c r="S1599" t="s">
        <v>3601</v>
      </c>
      <c r="T1599" t="s">
        <v>4002</v>
      </c>
      <c r="U1599" t="s">
        <v>4002</v>
      </c>
      <c r="V1599" t="s">
        <v>4002</v>
      </c>
      <c r="W1599" t="s">
        <v>5578</v>
      </c>
      <c r="X1599">
        <v>5</v>
      </c>
      <c r="Y1599" t="s">
        <v>7502</v>
      </c>
      <c r="Z1599" t="s">
        <v>9497</v>
      </c>
      <c r="AA1599">
        <v>0.93191152541230982</v>
      </c>
      <c r="AB1599" t="str">
        <f>HYPERLINK("Melting_Curves/meltCurve_Q5JPT2_SH3KBP1.pdf", "Melting_Curves/meltCurve_Q5JPT2_SH3KBP1.pdf")</f>
        <v>Melting_Curves/meltCurve_Q5JPT2_SH3KBP1.pdf</v>
      </c>
    </row>
    <row r="1600" spans="1:28" x14ac:dyDescent="0.25">
      <c r="A1600" t="s">
        <v>1604</v>
      </c>
      <c r="B1600">
        <v>1</v>
      </c>
      <c r="C1600">
        <v>0.96539002961021303</v>
      </c>
      <c r="D1600">
        <v>0.97898160283481395</v>
      </c>
      <c r="E1600">
        <v>0.95490510169409204</v>
      </c>
      <c r="F1600">
        <v>0.93131401388282098</v>
      </c>
      <c r="G1600">
        <v>0.97796223484296896</v>
      </c>
      <c r="H1600">
        <v>0.70297558370952895</v>
      </c>
      <c r="I1600">
        <v>1.1300422309596601</v>
      </c>
      <c r="J1600">
        <v>1.13368283093054</v>
      </c>
      <c r="K1600">
        <v>0.86762778505897797</v>
      </c>
      <c r="L1600">
        <v>15000</v>
      </c>
      <c r="M1600">
        <v>212.40546397321901</v>
      </c>
      <c r="Q1600">
        <v>0</v>
      </c>
      <c r="R1600">
        <v>3.4878999660127301E-2</v>
      </c>
      <c r="S1600" t="s">
        <v>3602</v>
      </c>
      <c r="T1600" t="s">
        <v>4002</v>
      </c>
      <c r="U1600" t="s">
        <v>4002</v>
      </c>
      <c r="V1600" t="s">
        <v>4002</v>
      </c>
      <c r="W1600" t="s">
        <v>5579</v>
      </c>
      <c r="X1600">
        <v>2</v>
      </c>
      <c r="Y1600" t="s">
        <v>7503</v>
      </c>
      <c r="Z1600" t="s">
        <v>9498</v>
      </c>
      <c r="AA1600">
        <v>0.99846875174268146</v>
      </c>
      <c r="AB1600" t="str">
        <f>HYPERLINK("Melting_Curves/meltCurve_Q5JR95_RPS8.pdf", "Melting_Curves/meltCurve_Q5JR95_RPS8.pdf")</f>
        <v>Melting_Curves/meltCurve_Q5JR95_RPS8.pdf</v>
      </c>
    </row>
    <row r="1601" spans="1:28" x14ac:dyDescent="0.25">
      <c r="A1601" t="s">
        <v>1605</v>
      </c>
      <c r="B1601">
        <v>1</v>
      </c>
      <c r="C1601">
        <v>0.77742221744157902</v>
      </c>
      <c r="D1601">
        <v>0.87802188936994097</v>
      </c>
      <c r="E1601">
        <v>0.88803883077419499</v>
      </c>
      <c r="F1601">
        <v>0.87378653830639696</v>
      </c>
      <c r="G1601">
        <v>0.95066824427891505</v>
      </c>
      <c r="H1601">
        <v>0.76386909403823899</v>
      </c>
      <c r="I1601">
        <v>0.91917874526044097</v>
      </c>
      <c r="J1601">
        <v>0.939091618038562</v>
      </c>
      <c r="K1601">
        <v>0.83650200338828096</v>
      </c>
      <c r="L1601">
        <v>10235.9884059878</v>
      </c>
      <c r="M1601">
        <v>250</v>
      </c>
      <c r="O1601">
        <v>40.941334827155202</v>
      </c>
      <c r="P1601">
        <v>-0.199034843648009</v>
      </c>
      <c r="Q1601">
        <v>0.86961996961578303</v>
      </c>
      <c r="R1601">
        <v>0.30379856666101801</v>
      </c>
      <c r="S1601" t="s">
        <v>3603</v>
      </c>
      <c r="T1601" t="s">
        <v>4002</v>
      </c>
      <c r="U1601" t="s">
        <v>4002</v>
      </c>
      <c r="V1601" t="s">
        <v>4002</v>
      </c>
      <c r="W1601" t="s">
        <v>5580</v>
      </c>
      <c r="X1601">
        <v>2</v>
      </c>
      <c r="Y1601" t="s">
        <v>7504</v>
      </c>
      <c r="Z1601" t="s">
        <v>9499</v>
      </c>
      <c r="AA1601">
        <v>0.87373360621558538</v>
      </c>
      <c r="AB1601" t="str">
        <f>HYPERLINK("Melting_Curves/meltCurve_Q5JSP0_2_FGD3.pdf", "Melting_Curves/meltCurve_Q5JSP0_2_FGD3.pdf")</f>
        <v>Melting_Curves/meltCurve_Q5JSP0_2_FGD3.pdf</v>
      </c>
    </row>
    <row r="1602" spans="1:28" x14ac:dyDescent="0.25">
      <c r="A1602" t="s">
        <v>1606</v>
      </c>
      <c r="B1602">
        <v>1</v>
      </c>
      <c r="C1602">
        <v>0.94858038173013004</v>
      </c>
      <c r="D1602">
        <v>1.0504225619599299</v>
      </c>
      <c r="E1602">
        <v>0.97649795840850795</v>
      </c>
      <c r="F1602">
        <v>0.99971512676858798</v>
      </c>
      <c r="G1602">
        <v>1.04823853385244</v>
      </c>
      <c r="H1602">
        <v>0.78511062577153201</v>
      </c>
      <c r="I1602">
        <v>1.2257145570221299</v>
      </c>
      <c r="J1602">
        <v>1.3084702307473199</v>
      </c>
      <c r="K1602">
        <v>1.0661380685594899</v>
      </c>
      <c r="L1602">
        <v>11577.058871368299</v>
      </c>
      <c r="M1602">
        <v>184.32129241839101</v>
      </c>
      <c r="O1602">
        <v>62.801743731473699</v>
      </c>
      <c r="P1602">
        <v>0.14788455389785499</v>
      </c>
      <c r="Q1602">
        <v>1.2015481926099201</v>
      </c>
      <c r="R1602">
        <v>0.54623925953823405</v>
      </c>
      <c r="S1602" t="s">
        <v>3604</v>
      </c>
      <c r="T1602" t="s">
        <v>4002</v>
      </c>
      <c r="U1602" t="s">
        <v>4002</v>
      </c>
      <c r="V1602" t="s">
        <v>4002</v>
      </c>
      <c r="W1602" t="s">
        <v>5581</v>
      </c>
      <c r="X1602">
        <v>1</v>
      </c>
      <c r="Y1602" t="s">
        <v>7505</v>
      </c>
      <c r="Z1602" t="s">
        <v>9500</v>
      </c>
      <c r="AA1602">
        <v>1.048269392649541</v>
      </c>
      <c r="AB1602" t="str">
        <f>HYPERLINK("Melting_Curves/meltCurve_Q5JTJ3_3_COA6.pdf", "Melting_Curves/meltCurve_Q5JTJ3_3_COA6.pdf")</f>
        <v>Melting_Curves/meltCurve_Q5JTJ3_3_COA6.pdf</v>
      </c>
    </row>
    <row r="1603" spans="1:28" x14ac:dyDescent="0.25">
      <c r="A1603" t="s">
        <v>1607</v>
      </c>
      <c r="B1603">
        <v>1</v>
      </c>
      <c r="C1603">
        <v>1.0853913910586701</v>
      </c>
      <c r="D1603">
        <v>1.15253448562407</v>
      </c>
      <c r="E1603">
        <v>1.2432441415988</v>
      </c>
      <c r="F1603">
        <v>1.29838790094732</v>
      </c>
      <c r="G1603">
        <v>1.4413827488781801</v>
      </c>
      <c r="H1603">
        <v>1.6841615422968299</v>
      </c>
      <c r="I1603">
        <v>3.4545454545454501</v>
      </c>
      <c r="J1603">
        <v>3.0195113844108401</v>
      </c>
      <c r="K1603">
        <v>3.2880172843609801</v>
      </c>
      <c r="L1603">
        <v>1373.1721588205301</v>
      </c>
      <c r="M1603">
        <v>27.4065375279222</v>
      </c>
      <c r="O1603">
        <v>49.839336747087202</v>
      </c>
      <c r="P1603">
        <v>6.8737852616418696E-2</v>
      </c>
      <c r="Q1603">
        <v>1.5</v>
      </c>
      <c r="R1603">
        <v>-8.4666761646435398E-2</v>
      </c>
      <c r="S1603" t="s">
        <v>3605</v>
      </c>
      <c r="T1603" t="s">
        <v>4002</v>
      </c>
      <c r="U1603" t="s">
        <v>4002</v>
      </c>
      <c r="V1603" t="s">
        <v>4002</v>
      </c>
      <c r="W1603" t="s">
        <v>5582</v>
      </c>
      <c r="X1603">
        <v>1</v>
      </c>
      <c r="Y1603" t="s">
        <v>7506</v>
      </c>
      <c r="Z1603" t="s">
        <v>9501</v>
      </c>
      <c r="AA1603">
        <v>1.327884691999804</v>
      </c>
      <c r="AB1603" t="str">
        <f>HYPERLINK("Melting_Curves/meltCurve_Q5JVE8_F10.pdf", "Melting_Curves/meltCurve_Q5JVE8_F10.pdf")</f>
        <v>Melting_Curves/meltCurve_Q5JVE8_F10.pdf</v>
      </c>
    </row>
    <row r="1604" spans="1:28" x14ac:dyDescent="0.25">
      <c r="A1604" t="s">
        <v>1608</v>
      </c>
      <c r="B1604">
        <v>1</v>
      </c>
      <c r="C1604">
        <v>0.784068433544304</v>
      </c>
      <c r="D1604">
        <v>1.18215981012658</v>
      </c>
      <c r="E1604">
        <v>1.21538765822785</v>
      </c>
      <c r="F1604">
        <v>1.16782041139241</v>
      </c>
      <c r="G1604">
        <v>1.16198575949367</v>
      </c>
      <c r="H1604">
        <v>1.20539952531646</v>
      </c>
      <c r="I1604">
        <v>1.39725079113924</v>
      </c>
      <c r="J1604">
        <v>1.02294303797468</v>
      </c>
      <c r="K1604">
        <v>1.07159810126582</v>
      </c>
      <c r="L1604">
        <v>11187.642850534399</v>
      </c>
      <c r="M1604">
        <v>250</v>
      </c>
      <c r="O1604">
        <v>44.747718484174797</v>
      </c>
      <c r="P1604">
        <v>0.24874456396472</v>
      </c>
      <c r="Q1604">
        <v>1.1780919844482001</v>
      </c>
      <c r="R1604">
        <v>0.44795042337025998</v>
      </c>
      <c r="S1604" t="s">
        <v>3606</v>
      </c>
      <c r="T1604" t="s">
        <v>4002</v>
      </c>
      <c r="U1604" t="s">
        <v>4002</v>
      </c>
      <c r="V1604" t="s">
        <v>4002</v>
      </c>
      <c r="W1604" t="s">
        <v>5583</v>
      </c>
      <c r="X1604">
        <v>1</v>
      </c>
      <c r="Y1604" t="s">
        <v>7507</v>
      </c>
      <c r="Z1604" t="s">
        <v>9502</v>
      </c>
      <c r="AA1604">
        <v>1.149876708108045</v>
      </c>
      <c r="AB1604" t="str">
        <f>HYPERLINK("Melting_Curves/meltCurve_Q5JVY0_TRIM32.pdf", "Melting_Curves/meltCurve_Q5JVY0_TRIM32.pdf")</f>
        <v>Melting_Curves/meltCurve_Q5JVY0_TRIM32.pdf</v>
      </c>
    </row>
    <row r="1605" spans="1:28" x14ac:dyDescent="0.25">
      <c r="A1605" t="s">
        <v>1609</v>
      </c>
      <c r="B1605">
        <v>1</v>
      </c>
      <c r="C1605">
        <v>0.92326218965384699</v>
      </c>
      <c r="D1605">
        <v>0.97430116067539496</v>
      </c>
      <c r="E1605">
        <v>0.95162571421250897</v>
      </c>
      <c r="F1605">
        <v>0.92841220630813004</v>
      </c>
      <c r="G1605">
        <v>0.96179763765405202</v>
      </c>
      <c r="H1605">
        <v>0.84385969407363803</v>
      </c>
      <c r="I1605">
        <v>1.00517563862769</v>
      </c>
      <c r="J1605">
        <v>0.970227266904097</v>
      </c>
      <c r="K1605">
        <v>0.882779471674908</v>
      </c>
      <c r="L1605">
        <v>446.78732162761202</v>
      </c>
      <c r="M1605">
        <v>10.4439663937369</v>
      </c>
      <c r="O1605">
        <v>41.300291611725299</v>
      </c>
      <c r="P1605">
        <v>-4.4220657298344396E-3</v>
      </c>
      <c r="Q1605">
        <v>0.93008120764754598</v>
      </c>
      <c r="R1605">
        <v>0.11178519940097301</v>
      </c>
      <c r="S1605" t="s">
        <v>3607</v>
      </c>
      <c r="T1605" t="s">
        <v>4002</v>
      </c>
      <c r="U1605" t="s">
        <v>4002</v>
      </c>
      <c r="V1605" t="s">
        <v>4002</v>
      </c>
      <c r="W1605" t="s">
        <v>5584</v>
      </c>
      <c r="X1605">
        <v>8</v>
      </c>
      <c r="Y1605" t="s">
        <v>7508</v>
      </c>
      <c r="Z1605" t="s">
        <v>9503</v>
      </c>
      <c r="AA1605">
        <v>0.94219492639645097</v>
      </c>
      <c r="AB1605" t="str">
        <f>HYPERLINK("Melting_Curves/meltCurve_Q5JW30_STAU1.pdf", "Melting_Curves/meltCurve_Q5JW30_STAU1.pdf")</f>
        <v>Melting_Curves/meltCurve_Q5JW30_STAU1.pdf</v>
      </c>
    </row>
    <row r="1606" spans="1:28" x14ac:dyDescent="0.25">
      <c r="A1606" t="s">
        <v>1610</v>
      </c>
      <c r="B1606">
        <v>1</v>
      </c>
      <c r="C1606">
        <v>0.77125717713600095</v>
      </c>
      <c r="D1606">
        <v>0.820730139686348</v>
      </c>
      <c r="E1606">
        <v>0.79929728340046302</v>
      </c>
      <c r="F1606">
        <v>0.96477847287685303</v>
      </c>
      <c r="G1606">
        <v>0.80073699545805099</v>
      </c>
      <c r="H1606">
        <v>0.58185791413145904</v>
      </c>
      <c r="I1606">
        <v>1.05501756791499</v>
      </c>
      <c r="J1606">
        <v>0.60913531579398394</v>
      </c>
      <c r="K1606">
        <v>0.74077470220241703</v>
      </c>
      <c r="L1606">
        <v>108.722071650377</v>
      </c>
      <c r="M1606">
        <v>0.51857650661496002</v>
      </c>
      <c r="O1606">
        <v>42.107717097949497</v>
      </c>
      <c r="P1606">
        <v>-6.1319601469007603E-3</v>
      </c>
      <c r="Q1606">
        <v>0</v>
      </c>
      <c r="R1606">
        <v>0.134572422925826</v>
      </c>
      <c r="S1606" t="s">
        <v>3608</v>
      </c>
      <c r="T1606" t="s">
        <v>4002</v>
      </c>
      <c r="U1606" t="s">
        <v>4002</v>
      </c>
      <c r="V1606" t="s">
        <v>4002</v>
      </c>
      <c r="W1606" t="s">
        <v>5585</v>
      </c>
      <c r="X1606">
        <v>1</v>
      </c>
      <c r="Y1606" t="s">
        <v>7509</v>
      </c>
      <c r="Z1606" t="s">
        <v>9504</v>
      </c>
      <c r="AA1606">
        <v>0.81396240903699213</v>
      </c>
      <c r="AB1606" t="str">
        <f>HYPERLINK("Melting_Curves/meltCurve_Q5JXD4_CD164L2.pdf", "Melting_Curves/meltCurve_Q5JXD4_CD164L2.pdf")</f>
        <v>Melting_Curves/meltCurve_Q5JXD4_CD164L2.pdf</v>
      </c>
    </row>
    <row r="1607" spans="1:28" x14ac:dyDescent="0.25">
      <c r="A1607" t="s">
        <v>1611</v>
      </c>
      <c r="B1607">
        <v>1</v>
      </c>
      <c r="C1607">
        <v>1.2955406587000899</v>
      </c>
      <c r="D1607">
        <v>1.8191003594676001</v>
      </c>
      <c r="E1607">
        <v>1.74147478869134</v>
      </c>
      <c r="F1607">
        <v>1.49771689497717</v>
      </c>
      <c r="G1607">
        <v>1.8319246089575401</v>
      </c>
      <c r="H1607">
        <v>1.4702224812979701</v>
      </c>
      <c r="I1607">
        <v>2.7007675119012902</v>
      </c>
      <c r="J1607">
        <v>3.9103274069756102</v>
      </c>
      <c r="K1607">
        <v>2.52200524628388</v>
      </c>
      <c r="S1607" t="s">
        <v>3609</v>
      </c>
      <c r="T1607" t="s">
        <v>4002</v>
      </c>
      <c r="U1607" t="s">
        <v>4003</v>
      </c>
      <c r="V1607" t="s">
        <v>4002</v>
      </c>
      <c r="W1607" t="s">
        <v>5586</v>
      </c>
      <c r="X1607">
        <v>1</v>
      </c>
      <c r="Y1607" t="s">
        <v>7510</v>
      </c>
      <c r="Z1607" t="s">
        <v>9505</v>
      </c>
      <c r="AB1607" t="str">
        <f>HYPERLINK("Melting_Curves/meltCurve_Q5JZG9_CTSA.pdf", "Melting_Curves/meltCurve_Q5JZG9_CTSA.pdf")</f>
        <v>Melting_Curves/meltCurve_Q5JZG9_CTSA.pdf</v>
      </c>
    </row>
    <row r="1608" spans="1:28" x14ac:dyDescent="0.25">
      <c r="A1608" t="s">
        <v>1612</v>
      </c>
      <c r="B1608">
        <v>1</v>
      </c>
      <c r="C1608">
        <v>0.90338250709482804</v>
      </c>
      <c r="D1608">
        <v>0.91020888195740501</v>
      </c>
      <c r="E1608">
        <v>0.75869915373405294</v>
      </c>
      <c r="F1608">
        <v>0.77634034719914102</v>
      </c>
      <c r="G1608">
        <v>1.01897067471173</v>
      </c>
      <c r="H1608">
        <v>0.93004883286886697</v>
      </c>
      <c r="I1608">
        <v>1.21289596809245</v>
      </c>
      <c r="J1608">
        <v>1.37683123258252</v>
      </c>
      <c r="K1608">
        <v>1.3377649374888101</v>
      </c>
      <c r="L1608">
        <v>15000</v>
      </c>
      <c r="M1608">
        <v>234.76314634219099</v>
      </c>
      <c r="O1608">
        <v>63.889567141756302</v>
      </c>
      <c r="P1608">
        <v>0.32822753731229998</v>
      </c>
      <c r="Q1608">
        <v>1.35730155345821</v>
      </c>
      <c r="R1608">
        <v>0.69182809680075497</v>
      </c>
      <c r="S1608" t="s">
        <v>3610</v>
      </c>
      <c r="T1608" t="s">
        <v>4002</v>
      </c>
      <c r="U1608" t="s">
        <v>4002</v>
      </c>
      <c r="V1608" t="s">
        <v>4002</v>
      </c>
      <c r="W1608" t="s">
        <v>5587</v>
      </c>
      <c r="X1608">
        <v>1</v>
      </c>
      <c r="Y1608" t="s">
        <v>7511</v>
      </c>
      <c r="Z1608" t="s">
        <v>9506</v>
      </c>
      <c r="AA1608">
        <v>1.072675131675084</v>
      </c>
      <c r="AB1608" t="str">
        <f>HYPERLINK("Melting_Curves/meltCurve_Q5QPE4_SNX5.pdf", "Melting_Curves/meltCurve_Q5QPE4_SNX5.pdf")</f>
        <v>Melting_Curves/meltCurve_Q5QPE4_SNX5.pdf</v>
      </c>
    </row>
    <row r="1609" spans="1:28" x14ac:dyDescent="0.25">
      <c r="A1609" t="s">
        <v>1613</v>
      </c>
      <c r="B1609">
        <v>1</v>
      </c>
      <c r="C1609">
        <v>0.93645815614900496</v>
      </c>
      <c r="D1609">
        <v>1.0201139649600299</v>
      </c>
      <c r="E1609">
        <v>1.04374681068209</v>
      </c>
      <c r="F1609">
        <v>1.0070483925837701</v>
      </c>
      <c r="G1609">
        <v>1.17292481714577</v>
      </c>
      <c r="H1609">
        <v>1.1531510460962699</v>
      </c>
      <c r="I1609">
        <v>1.1740942337132201</v>
      </c>
      <c r="J1609">
        <v>1.85480098656234</v>
      </c>
      <c r="K1609">
        <v>1.3105970403129801</v>
      </c>
      <c r="L1609">
        <v>15000</v>
      </c>
      <c r="M1609">
        <v>233.74873311655099</v>
      </c>
      <c r="O1609">
        <v>64.166773529945701</v>
      </c>
      <c r="P1609">
        <v>0.45535391779991002</v>
      </c>
      <c r="Q1609">
        <v>1.5</v>
      </c>
      <c r="R1609">
        <v>0.65241022129525195</v>
      </c>
      <c r="S1609" t="s">
        <v>3611</v>
      </c>
      <c r="T1609" t="s">
        <v>4002</v>
      </c>
      <c r="U1609" t="s">
        <v>4002</v>
      </c>
      <c r="V1609" t="s">
        <v>4002</v>
      </c>
      <c r="W1609" t="s">
        <v>5588</v>
      </c>
      <c r="X1609">
        <v>2</v>
      </c>
      <c r="Y1609" t="s">
        <v>7512</v>
      </c>
      <c r="Z1609" t="s">
        <v>9507</v>
      </c>
      <c r="AA1609">
        <v>1.09707773942975</v>
      </c>
      <c r="AB1609" t="str">
        <f>HYPERLINK("Melting_Curves/meltCurve_Q5QPL9_RALY.pdf", "Melting_Curves/meltCurve_Q5QPL9_RALY.pdf")</f>
        <v>Melting_Curves/meltCurve_Q5QPL9_RALY.pdf</v>
      </c>
    </row>
    <row r="1610" spans="1:28" x14ac:dyDescent="0.25">
      <c r="A1610" t="s">
        <v>1614</v>
      </c>
      <c r="B1610">
        <v>1</v>
      </c>
      <c r="C1610">
        <v>1.04447259165435</v>
      </c>
      <c r="D1610">
        <v>0.97734149602420695</v>
      </c>
      <c r="E1610">
        <v>1.24544367039617</v>
      </c>
      <c r="F1610">
        <v>0.89965519667862903</v>
      </c>
      <c r="G1610">
        <v>1.14136936176202</v>
      </c>
      <c r="H1610">
        <v>0.98304130603053996</v>
      </c>
      <c r="I1610">
        <v>1.5391598057842499</v>
      </c>
      <c r="J1610">
        <v>3.6532263739356798</v>
      </c>
      <c r="K1610">
        <v>1.2601505875730099</v>
      </c>
      <c r="L1610">
        <v>15000</v>
      </c>
      <c r="M1610">
        <v>240.51100340032599</v>
      </c>
      <c r="O1610">
        <v>62.362876537708402</v>
      </c>
      <c r="P1610">
        <v>0.48207952147055899</v>
      </c>
      <c r="Q1610">
        <v>1.5</v>
      </c>
      <c r="R1610">
        <v>0.21360362778553399</v>
      </c>
      <c r="S1610" t="s">
        <v>3612</v>
      </c>
      <c r="T1610" t="s">
        <v>4002</v>
      </c>
      <c r="U1610" t="s">
        <v>4002</v>
      </c>
      <c r="V1610" t="s">
        <v>4002</v>
      </c>
      <c r="W1610" t="s">
        <v>5589</v>
      </c>
      <c r="X1610">
        <v>1</v>
      </c>
      <c r="Y1610" t="s">
        <v>7513</v>
      </c>
      <c r="Z1610" t="s">
        <v>9508</v>
      </c>
      <c r="AA1610">
        <v>1.127154053132345</v>
      </c>
      <c r="AB1610" t="str">
        <f>HYPERLINK("Melting_Curves/meltCurve_Q5R3E4_MAPK13.pdf", "Melting_Curves/meltCurve_Q5R3E4_MAPK13.pdf")</f>
        <v>Melting_Curves/meltCurve_Q5R3E4_MAPK13.pdf</v>
      </c>
    </row>
    <row r="1611" spans="1:28" x14ac:dyDescent="0.25">
      <c r="A1611" t="s">
        <v>1615</v>
      </c>
      <c r="B1611">
        <v>1</v>
      </c>
      <c r="C1611">
        <v>0.98170772414713903</v>
      </c>
      <c r="D1611">
        <v>1.0377194739301701</v>
      </c>
      <c r="E1611">
        <v>1.0570131517457799</v>
      </c>
      <c r="F1611">
        <v>0.99078710194272002</v>
      </c>
      <c r="G1611">
        <v>1.07383670471994</v>
      </c>
      <c r="H1611">
        <v>0.92816609920555404</v>
      </c>
      <c r="I1611">
        <v>1.19600774417518</v>
      </c>
      <c r="J1611">
        <v>0.889044662527539</v>
      </c>
      <c r="K1611">
        <v>1.0018692836637999</v>
      </c>
      <c r="L1611">
        <v>2219.0925242805502</v>
      </c>
      <c r="M1611">
        <v>32.6133495296231</v>
      </c>
      <c r="O1611">
        <v>67.788165170475693</v>
      </c>
      <c r="P1611">
        <v>-3.5640097809738901E-3</v>
      </c>
      <c r="Q1611">
        <v>0.97036838516830404</v>
      </c>
      <c r="R1611">
        <v>-2.8961266541185599E-2</v>
      </c>
      <c r="S1611" t="s">
        <v>3613</v>
      </c>
      <c r="T1611" t="s">
        <v>4002</v>
      </c>
      <c r="U1611" t="s">
        <v>4002</v>
      </c>
      <c r="V1611" t="s">
        <v>4002</v>
      </c>
      <c r="W1611" t="s">
        <v>5590</v>
      </c>
      <c r="X1611">
        <v>3</v>
      </c>
      <c r="Y1611" t="s">
        <v>7514</v>
      </c>
      <c r="Z1611" t="s">
        <v>9509</v>
      </c>
      <c r="AA1611">
        <v>0.99748434881143488</v>
      </c>
      <c r="AB1611" t="str">
        <f>HYPERLINK("Melting_Curves/meltCurve_Q5SGD2_2_PPM1L.pdf", "Melting_Curves/meltCurve_Q5SGD2_2_PPM1L.pdf")</f>
        <v>Melting_Curves/meltCurve_Q5SGD2_2_PPM1L.pdf</v>
      </c>
    </row>
    <row r="1612" spans="1:28" x14ac:dyDescent="0.25">
      <c r="A1612" t="s">
        <v>1616</v>
      </c>
      <c r="B1612">
        <v>1</v>
      </c>
      <c r="C1612">
        <v>1.0439205833087</v>
      </c>
      <c r="D1612">
        <v>1.1336092225835099</v>
      </c>
      <c r="E1612">
        <v>1.30049758596906</v>
      </c>
      <c r="F1612">
        <v>1.1083850625677401</v>
      </c>
      <c r="G1612">
        <v>1.29825598581141</v>
      </c>
      <c r="H1612">
        <v>1.05062075081289</v>
      </c>
      <c r="I1612">
        <v>1.34835944428022</v>
      </c>
      <c r="J1612">
        <v>0.99536900187210597</v>
      </c>
      <c r="K1612">
        <v>1.2010542910631601</v>
      </c>
      <c r="L1612">
        <v>1802.0683818463799</v>
      </c>
      <c r="M1612">
        <v>40.587194087617704</v>
      </c>
      <c r="O1612">
        <v>44.292551473934303</v>
      </c>
      <c r="P1612">
        <v>4.2320106618059398E-2</v>
      </c>
      <c r="Q1612">
        <v>1.18473429785332</v>
      </c>
      <c r="R1612">
        <v>0.27146684476025401</v>
      </c>
      <c r="S1612" t="s">
        <v>3614</v>
      </c>
      <c r="T1612" t="s">
        <v>4002</v>
      </c>
      <c r="U1612" t="s">
        <v>4002</v>
      </c>
      <c r="V1612" t="s">
        <v>4002</v>
      </c>
      <c r="W1612" t="s">
        <v>5591</v>
      </c>
      <c r="X1612">
        <v>2</v>
      </c>
      <c r="Y1612" t="s">
        <v>7515</v>
      </c>
      <c r="Z1612" t="s">
        <v>9510</v>
      </c>
      <c r="AA1612">
        <v>1.157029754681925</v>
      </c>
      <c r="AB1612" t="str">
        <f>HYPERLINK("Melting_Curves/meltCurve_Q5SPY9_NPDC1.pdf", "Melting_Curves/meltCurve_Q5SPY9_NPDC1.pdf")</f>
        <v>Melting_Curves/meltCurve_Q5SPY9_NPDC1.pdf</v>
      </c>
    </row>
    <row r="1613" spans="1:28" x14ac:dyDescent="0.25">
      <c r="A1613" t="s">
        <v>1617</v>
      </c>
      <c r="B1613">
        <v>1</v>
      </c>
      <c r="C1613">
        <v>0.96826506360967401</v>
      </c>
      <c r="D1613">
        <v>0.830197120089473</v>
      </c>
      <c r="E1613">
        <v>0.76904795190829001</v>
      </c>
      <c r="F1613">
        <v>0.85947155039843404</v>
      </c>
      <c r="G1613">
        <v>0.89584789598769698</v>
      </c>
      <c r="H1613">
        <v>0.62460506081364497</v>
      </c>
      <c r="I1613">
        <v>1.0343911645463399</v>
      </c>
      <c r="J1613">
        <v>1.1010485111142201</v>
      </c>
      <c r="K1613">
        <v>0.81163148329372303</v>
      </c>
      <c r="L1613">
        <v>10775.2915377305</v>
      </c>
      <c r="M1613">
        <v>250</v>
      </c>
      <c r="O1613">
        <v>43.098416371177599</v>
      </c>
      <c r="P1613">
        <v>-0.194641628218125</v>
      </c>
      <c r="Q1613">
        <v>0.865780091287777</v>
      </c>
      <c r="R1613">
        <v>0.127760570810173</v>
      </c>
      <c r="S1613" t="s">
        <v>3615</v>
      </c>
      <c r="T1613" t="s">
        <v>4002</v>
      </c>
      <c r="U1613" t="s">
        <v>4002</v>
      </c>
      <c r="V1613" t="s">
        <v>4002</v>
      </c>
      <c r="W1613" t="s">
        <v>5592</v>
      </c>
      <c r="X1613">
        <v>1</v>
      </c>
      <c r="Y1613" t="s">
        <v>7516</v>
      </c>
      <c r="Z1613" t="s">
        <v>9511</v>
      </c>
      <c r="AA1613">
        <v>0.87966485185856791</v>
      </c>
      <c r="AB1613" t="str">
        <f>HYPERLINK("Melting_Curves/meltCurve_Q5SQ17_CLIC3.pdf", "Melting_Curves/meltCurve_Q5SQ17_CLIC3.pdf")</f>
        <v>Melting_Curves/meltCurve_Q5SQ17_CLIC3.pdf</v>
      </c>
    </row>
    <row r="1614" spans="1:28" x14ac:dyDescent="0.25">
      <c r="A1614" t="s">
        <v>1618</v>
      </c>
      <c r="B1614">
        <v>1</v>
      </c>
      <c r="C1614">
        <v>0.89544877064494399</v>
      </c>
      <c r="D1614">
        <v>0.85666243180629298</v>
      </c>
      <c r="E1614">
        <v>0.769486585456991</v>
      </c>
      <c r="F1614">
        <v>0.74714146924743996</v>
      </c>
      <c r="G1614">
        <v>0.69370749570286205</v>
      </c>
      <c r="H1614">
        <v>0.76126597414244102</v>
      </c>
      <c r="I1614">
        <v>0.861445332934758</v>
      </c>
      <c r="J1614">
        <v>1.11456542859278</v>
      </c>
      <c r="K1614">
        <v>0.668036768552425</v>
      </c>
      <c r="L1614">
        <v>1343.49656357454</v>
      </c>
      <c r="M1614">
        <v>31.1692623060366</v>
      </c>
      <c r="O1614">
        <v>42.926993425762298</v>
      </c>
      <c r="P1614">
        <v>-3.5465537340587897E-2</v>
      </c>
      <c r="Q1614">
        <v>0.80462542195367703</v>
      </c>
      <c r="R1614">
        <v>0.212450690444973</v>
      </c>
      <c r="S1614" t="s">
        <v>3616</v>
      </c>
      <c r="T1614" t="s">
        <v>4002</v>
      </c>
      <c r="U1614" t="s">
        <v>4002</v>
      </c>
      <c r="V1614" t="s">
        <v>4002</v>
      </c>
      <c r="W1614" t="s">
        <v>5593</v>
      </c>
      <c r="X1614">
        <v>2</v>
      </c>
      <c r="Y1614" t="s">
        <v>7517</v>
      </c>
      <c r="Z1614" t="s">
        <v>9512</v>
      </c>
      <c r="AA1614">
        <v>0.82642455694089423</v>
      </c>
      <c r="AB1614" t="str">
        <f>HYPERLINK("Melting_Curves/meltCurve_Q5SRN7_HLA_A.pdf", "Melting_Curves/meltCurve_Q5SRN7_HLA_A.pdf")</f>
        <v>Melting_Curves/meltCurve_Q5SRN7_HLA_A.pdf</v>
      </c>
    </row>
    <row r="1615" spans="1:28" x14ac:dyDescent="0.25">
      <c r="A1615" t="s">
        <v>1619</v>
      </c>
      <c r="B1615">
        <v>1</v>
      </c>
      <c r="C1615">
        <v>0.93142631292920297</v>
      </c>
      <c r="D1615">
        <v>1.07899807321773</v>
      </c>
      <c r="E1615">
        <v>1.10577540635344</v>
      </c>
      <c r="F1615">
        <v>1.09100340892248</v>
      </c>
      <c r="G1615">
        <v>1.2095746257596001</v>
      </c>
      <c r="H1615">
        <v>1.0085964132206899</v>
      </c>
      <c r="I1615">
        <v>1.57037695766019</v>
      </c>
      <c r="J1615">
        <v>0.89644780396225499</v>
      </c>
      <c r="K1615">
        <v>1.17716515982412</v>
      </c>
      <c r="L1615">
        <v>944.97468665920098</v>
      </c>
      <c r="M1615">
        <v>19.2193176872414</v>
      </c>
      <c r="O1615">
        <v>48.644945189648602</v>
      </c>
      <c r="P1615">
        <v>1.6809629127179E-2</v>
      </c>
      <c r="Q1615">
        <v>1.1701771709050499</v>
      </c>
      <c r="R1615">
        <v>0.16438670817021001</v>
      </c>
      <c r="S1615" t="s">
        <v>3617</v>
      </c>
      <c r="T1615" t="s">
        <v>4002</v>
      </c>
      <c r="U1615" t="s">
        <v>4002</v>
      </c>
      <c r="V1615" t="s">
        <v>4002</v>
      </c>
      <c r="W1615" t="s">
        <v>5594</v>
      </c>
      <c r="X1615">
        <v>2</v>
      </c>
      <c r="Y1615" t="s">
        <v>7518</v>
      </c>
      <c r="Z1615" t="s">
        <v>9513</v>
      </c>
      <c r="AA1615">
        <v>1.1155923593355319</v>
      </c>
      <c r="AB1615" t="str">
        <f>HYPERLINK("Melting_Curves/meltCurve_Q5SRP5_APOM.pdf", "Melting_Curves/meltCurve_Q5SRP5_APOM.pdf")</f>
        <v>Melting_Curves/meltCurve_Q5SRP5_APOM.pdf</v>
      </c>
    </row>
    <row r="1616" spans="1:28" x14ac:dyDescent="0.25">
      <c r="A1616" t="s">
        <v>1620</v>
      </c>
      <c r="B1616">
        <v>1</v>
      </c>
      <c r="C1616">
        <v>0.99123469850385404</v>
      </c>
      <c r="D1616">
        <v>1.06989572313737</v>
      </c>
      <c r="E1616">
        <v>1.13072389300287</v>
      </c>
      <c r="F1616">
        <v>1.0553876379023699</v>
      </c>
      <c r="G1616">
        <v>1.07820764696993</v>
      </c>
      <c r="H1616">
        <v>0.97272177724044095</v>
      </c>
      <c r="I1616">
        <v>1.16638960253891</v>
      </c>
      <c r="J1616">
        <v>1.00166238476651</v>
      </c>
      <c r="K1616">
        <v>1.05160949070576</v>
      </c>
      <c r="L1616">
        <v>11117.4436451987</v>
      </c>
      <c r="M1616">
        <v>250</v>
      </c>
      <c r="O1616">
        <v>44.466904039790499</v>
      </c>
      <c r="P1616">
        <v>9.2521763599360901E-2</v>
      </c>
      <c r="Q1616">
        <v>1.0658265390481101</v>
      </c>
      <c r="R1616">
        <v>0.22096679063893199</v>
      </c>
      <c r="S1616" t="s">
        <v>3618</v>
      </c>
      <c r="T1616" t="s">
        <v>4002</v>
      </c>
      <c r="U1616" t="s">
        <v>4002</v>
      </c>
      <c r="V1616" t="s">
        <v>4002</v>
      </c>
      <c r="W1616" t="s">
        <v>5595</v>
      </c>
      <c r="X1616">
        <v>2</v>
      </c>
      <c r="Y1616" t="s">
        <v>7519</v>
      </c>
      <c r="Z1616" t="s">
        <v>9514</v>
      </c>
      <c r="AA1616">
        <v>1.056013741998046</v>
      </c>
      <c r="AB1616" t="str">
        <f>HYPERLINK("Melting_Curves/meltCurve_Q5SSJ5_HP1BP3.pdf", "Melting_Curves/meltCurve_Q5SSJ5_HP1BP3.pdf")</f>
        <v>Melting_Curves/meltCurve_Q5SSJ5_HP1BP3.pdf</v>
      </c>
    </row>
    <row r="1617" spans="1:28" x14ac:dyDescent="0.25">
      <c r="A1617" t="s">
        <v>1621</v>
      </c>
      <c r="B1617">
        <v>1</v>
      </c>
      <c r="C1617">
        <v>0.87379180863639505</v>
      </c>
      <c r="D1617">
        <v>0.92528335998887401</v>
      </c>
      <c r="E1617">
        <v>0.92003337737292301</v>
      </c>
      <c r="F1617">
        <v>0.88060635560809397</v>
      </c>
      <c r="G1617">
        <v>0.95243724358528603</v>
      </c>
      <c r="H1617">
        <v>0.65993324525415498</v>
      </c>
      <c r="I1617">
        <v>1.02079132188304</v>
      </c>
      <c r="J1617">
        <v>0.63243168068979905</v>
      </c>
      <c r="K1617">
        <v>0.77960503442041595</v>
      </c>
      <c r="L1617">
        <v>201.82007790476001</v>
      </c>
      <c r="M1617">
        <v>1.75742293047998</v>
      </c>
      <c r="O1617">
        <v>62.783880282486002</v>
      </c>
      <c r="P1617">
        <v>-7.8450357570707709E-3</v>
      </c>
      <c r="Q1617">
        <v>0</v>
      </c>
      <c r="R1617">
        <v>0.29106707664360798</v>
      </c>
      <c r="S1617" t="s">
        <v>3619</v>
      </c>
      <c r="T1617" t="s">
        <v>4002</v>
      </c>
      <c r="U1617" t="s">
        <v>4002</v>
      </c>
      <c r="V1617" t="s">
        <v>4002</v>
      </c>
      <c r="W1617" t="s">
        <v>5596</v>
      </c>
      <c r="X1617">
        <v>2</v>
      </c>
      <c r="Y1617" t="s">
        <v>7520</v>
      </c>
      <c r="Z1617" t="s">
        <v>9515</v>
      </c>
      <c r="AA1617">
        <v>0.86741512586869063</v>
      </c>
      <c r="AB1617" t="str">
        <f>HYPERLINK("Melting_Curves/meltCurve_Q5STX8_AIF1.pdf", "Melting_Curves/meltCurve_Q5STX8_AIF1.pdf")</f>
        <v>Melting_Curves/meltCurve_Q5STX8_AIF1.pdf</v>
      </c>
    </row>
    <row r="1618" spans="1:28" x14ac:dyDescent="0.25">
      <c r="A1618" t="s">
        <v>1622</v>
      </c>
      <c r="B1618">
        <v>1</v>
      </c>
      <c r="C1618">
        <v>1.06616353185</v>
      </c>
      <c r="D1618">
        <v>0.89528017831306494</v>
      </c>
      <c r="E1618">
        <v>0.78801861338130097</v>
      </c>
      <c r="F1618">
        <v>0.89840847769131504</v>
      </c>
      <c r="G1618">
        <v>0.99624604074609902</v>
      </c>
      <c r="H1618">
        <v>0.72560904078520305</v>
      </c>
      <c r="I1618">
        <v>1.1168810855198801</v>
      </c>
      <c r="J1618">
        <v>0.95440503656199904</v>
      </c>
      <c r="K1618">
        <v>0.95714229851796795</v>
      </c>
      <c r="L1618">
        <v>11125.7585853415</v>
      </c>
      <c r="M1618">
        <v>250</v>
      </c>
      <c r="O1618">
        <v>44.500184827317298</v>
      </c>
      <c r="P1618">
        <v>-0.117286172641393</v>
      </c>
      <c r="Q1618">
        <v>0.91649189530171904</v>
      </c>
      <c r="R1618">
        <v>0.153666963069827</v>
      </c>
      <c r="S1618" t="s">
        <v>3620</v>
      </c>
      <c r="T1618" t="s">
        <v>4002</v>
      </c>
      <c r="U1618" t="s">
        <v>4002</v>
      </c>
      <c r="V1618" t="s">
        <v>4002</v>
      </c>
      <c r="W1618" t="s">
        <v>5597</v>
      </c>
      <c r="X1618">
        <v>1</v>
      </c>
      <c r="Y1618" t="s">
        <v>7521</v>
      </c>
      <c r="Z1618" t="s">
        <v>9516</v>
      </c>
      <c r="AA1618">
        <v>0.92903307957074788</v>
      </c>
      <c r="AB1618" t="str">
        <f>HYPERLINK("Melting_Curves/meltCurve_Q5SVK8_DNMBP.pdf", "Melting_Curves/meltCurve_Q5SVK8_DNMBP.pdf")</f>
        <v>Melting_Curves/meltCurve_Q5SVK8_DNMBP.pdf</v>
      </c>
    </row>
    <row r="1619" spans="1:28" x14ac:dyDescent="0.25">
      <c r="A1619" t="s">
        <v>1623</v>
      </c>
      <c r="B1619">
        <v>1</v>
      </c>
      <c r="C1619">
        <v>0.89891871017571001</v>
      </c>
      <c r="D1619">
        <v>1.01193924180987</v>
      </c>
      <c r="E1619">
        <v>1.06230288987578</v>
      </c>
      <c r="F1619">
        <v>1.0836390551586501</v>
      </c>
      <c r="G1619">
        <v>1.16924116624831</v>
      </c>
      <c r="H1619">
        <v>0.99069962026131198</v>
      </c>
      <c r="I1619">
        <v>1.3349102143270899</v>
      </c>
      <c r="J1619">
        <v>1.9326768359400099</v>
      </c>
      <c r="K1619">
        <v>1.1509944004634101</v>
      </c>
      <c r="L1619">
        <v>15000</v>
      </c>
      <c r="M1619">
        <v>235.08260682580399</v>
      </c>
      <c r="O1619">
        <v>63.802752780448003</v>
      </c>
      <c r="P1619">
        <v>0.46056526587192098</v>
      </c>
      <c r="Q1619">
        <v>1.5</v>
      </c>
      <c r="R1619">
        <v>0.54407971041233305</v>
      </c>
      <c r="S1619" t="s">
        <v>3621</v>
      </c>
      <c r="T1619" t="s">
        <v>4002</v>
      </c>
      <c r="U1619" t="s">
        <v>4002</v>
      </c>
      <c r="V1619" t="s">
        <v>4002</v>
      </c>
      <c r="W1619" t="s">
        <v>5598</v>
      </c>
      <c r="X1619">
        <v>3</v>
      </c>
      <c r="Y1619" t="s">
        <v>7522</v>
      </c>
      <c r="Z1619" t="s">
        <v>9517</v>
      </c>
      <c r="AA1619">
        <v>1.1031473801783549</v>
      </c>
      <c r="AB1619" t="str">
        <f>HYPERLINK("Melting_Curves/meltCurve_Q5T0D2_CMPK1.pdf", "Melting_Curves/meltCurve_Q5T0D2_CMPK1.pdf")</f>
        <v>Melting_Curves/meltCurve_Q5T0D2_CMPK1.pdf</v>
      </c>
    </row>
    <row r="1620" spans="1:28" x14ac:dyDescent="0.25">
      <c r="A1620" t="s">
        <v>1624</v>
      </c>
      <c r="B1620">
        <v>1</v>
      </c>
      <c r="C1620">
        <v>0.89307967101437202</v>
      </c>
      <c r="D1620">
        <v>1.03638780427017</v>
      </c>
      <c r="E1620">
        <v>0.97499376921159697</v>
      </c>
      <c r="F1620">
        <v>1.1934036720112999</v>
      </c>
      <c r="G1620">
        <v>0.94683060563263299</v>
      </c>
      <c r="H1620">
        <v>1.1353327241006901</v>
      </c>
      <c r="I1620">
        <v>1.2728254548475499</v>
      </c>
      <c r="J1620">
        <v>1.2527207776023901</v>
      </c>
      <c r="K1620">
        <v>1.3642103514164701</v>
      </c>
      <c r="L1620">
        <v>878.01567434326796</v>
      </c>
      <c r="M1620">
        <v>13.4385578783432</v>
      </c>
      <c r="O1620">
        <v>63.939686104861103</v>
      </c>
      <c r="P1620">
        <v>2.6276020870613499E-2</v>
      </c>
      <c r="Q1620">
        <v>1.5</v>
      </c>
      <c r="R1620">
        <v>0.73037072810427806</v>
      </c>
      <c r="S1620" t="s">
        <v>3622</v>
      </c>
      <c r="T1620" t="s">
        <v>4002</v>
      </c>
      <c r="U1620" t="s">
        <v>4002</v>
      </c>
      <c r="V1620" t="s">
        <v>4002</v>
      </c>
      <c r="W1620" t="s">
        <v>5599</v>
      </c>
      <c r="X1620">
        <v>1</v>
      </c>
      <c r="Y1620" t="s">
        <v>7523</v>
      </c>
      <c r="Z1620" t="s">
        <v>9518</v>
      </c>
      <c r="AA1620">
        <v>1.095596988701562</v>
      </c>
      <c r="AB1620" t="str">
        <f>HYPERLINK("Melting_Curves/meltCurve_Q5T0Z8_C6orf132.pdf", "Melting_Curves/meltCurve_Q5T0Z8_C6orf132.pdf")</f>
        <v>Melting_Curves/meltCurve_Q5T0Z8_C6orf132.pdf</v>
      </c>
    </row>
    <row r="1621" spans="1:28" x14ac:dyDescent="0.25">
      <c r="A1621" t="s">
        <v>1625</v>
      </c>
      <c r="B1621">
        <v>1</v>
      </c>
      <c r="C1621">
        <v>0.87926593689633004</v>
      </c>
      <c r="D1621">
        <v>1.0008048937540199</v>
      </c>
      <c r="E1621">
        <v>0.99991951062459805</v>
      </c>
      <c r="F1621">
        <v>0.91194462330972303</v>
      </c>
      <c r="G1621">
        <v>1.0664037347070201</v>
      </c>
      <c r="H1621">
        <v>0.76863329040566597</v>
      </c>
      <c r="I1621">
        <v>1.46901159047006</v>
      </c>
      <c r="J1621">
        <v>0.77142627173213096</v>
      </c>
      <c r="K1621">
        <v>0.89987121699935602</v>
      </c>
      <c r="L1621">
        <v>1.0000000000000001E-5</v>
      </c>
      <c r="M1621">
        <v>1.0000000000000001E-5</v>
      </c>
      <c r="Q1621">
        <v>0.953456441135491</v>
      </c>
      <c r="R1621">
        <v>-1.52174939316296E-10</v>
      </c>
      <c r="S1621" t="s">
        <v>3623</v>
      </c>
      <c r="T1621" t="s">
        <v>4002</v>
      </c>
      <c r="U1621" t="s">
        <v>4002</v>
      </c>
      <c r="V1621" t="s">
        <v>4002</v>
      </c>
      <c r="W1621" t="s">
        <v>5600</v>
      </c>
      <c r="X1621">
        <v>6</v>
      </c>
      <c r="Y1621" t="s">
        <v>7524</v>
      </c>
      <c r="Z1621" t="s">
        <v>9519</v>
      </c>
      <c r="AA1621">
        <v>0.97672810637939089</v>
      </c>
      <c r="AB1621" t="str">
        <f>HYPERLINK("Melting_Curves/meltCurve_Q5T123_SH3BGRL3.pdf", "Melting_Curves/meltCurve_Q5T123_SH3BGRL3.pdf")</f>
        <v>Melting_Curves/meltCurve_Q5T123_SH3BGRL3.pdf</v>
      </c>
    </row>
    <row r="1622" spans="1:28" x14ac:dyDescent="0.25">
      <c r="A1622" t="s">
        <v>1626</v>
      </c>
      <c r="B1622">
        <v>1</v>
      </c>
      <c r="C1622">
        <v>0.93437313560044299</v>
      </c>
      <c r="D1622">
        <v>0.84023693854939097</v>
      </c>
      <c r="E1622">
        <v>0.97349356515810104</v>
      </c>
      <c r="F1622">
        <v>0.89320719338617605</v>
      </c>
      <c r="G1622">
        <v>0.943151794085059</v>
      </c>
      <c r="H1622">
        <v>0.83010312792977103</v>
      </c>
      <c r="I1622">
        <v>0.97835165771754895</v>
      </c>
      <c r="J1622">
        <v>1.1704593880508001</v>
      </c>
      <c r="K1622">
        <v>0.87795107815562901</v>
      </c>
      <c r="L1622">
        <v>10270.435682434299</v>
      </c>
      <c r="M1622">
        <v>250</v>
      </c>
      <c r="O1622">
        <v>41.079113507678599</v>
      </c>
      <c r="P1622">
        <v>-9.4444031238903006E-2</v>
      </c>
      <c r="Q1622">
        <v>0.93792516640510704</v>
      </c>
      <c r="R1622">
        <v>3.9749420784704302E-2</v>
      </c>
      <c r="S1622" t="s">
        <v>3624</v>
      </c>
      <c r="T1622" t="s">
        <v>4002</v>
      </c>
      <c r="U1622" t="s">
        <v>4002</v>
      </c>
      <c r="V1622" t="s">
        <v>4002</v>
      </c>
      <c r="W1622" t="s">
        <v>5601</v>
      </c>
      <c r="X1622">
        <v>1</v>
      </c>
      <c r="Y1622" t="s">
        <v>7525</v>
      </c>
      <c r="Z1622" t="s">
        <v>9520</v>
      </c>
      <c r="AA1622">
        <v>0.94016831211582452</v>
      </c>
      <c r="AB1622" t="str">
        <f>HYPERLINK("Melting_Curves/meltCurve_Q5T1M5_2_FKBP15.pdf", "Melting_Curves/meltCurve_Q5T1M5_2_FKBP15.pdf")</f>
        <v>Melting_Curves/meltCurve_Q5T1M5_2_FKBP15.pdf</v>
      </c>
    </row>
    <row r="1623" spans="1:28" x14ac:dyDescent="0.25">
      <c r="A1623" t="s">
        <v>1627</v>
      </c>
      <c r="B1623">
        <v>1</v>
      </c>
      <c r="C1623">
        <v>0.92976162379041805</v>
      </c>
      <c r="D1623">
        <v>1.1672409723861199</v>
      </c>
      <c r="E1623">
        <v>1.07514751003068</v>
      </c>
      <c r="F1623">
        <v>1.0373849421760699</v>
      </c>
      <c r="G1623">
        <v>1.24158602784989</v>
      </c>
      <c r="H1623">
        <v>1.3451498701911699</v>
      </c>
      <c r="I1623">
        <v>1.49346235544017</v>
      </c>
      <c r="J1623">
        <v>1.3506726457399101</v>
      </c>
      <c r="K1623">
        <v>1.2337974982298801</v>
      </c>
      <c r="L1623">
        <v>2159.6360758395099</v>
      </c>
      <c r="M1623">
        <v>38.695071433522799</v>
      </c>
      <c r="O1623">
        <v>55.663222930134097</v>
      </c>
      <c r="P1623">
        <v>6.2318794008733698E-2</v>
      </c>
      <c r="Q1623">
        <v>1.35858380676752</v>
      </c>
      <c r="R1623">
        <v>0.74779267059801302</v>
      </c>
      <c r="S1623" t="s">
        <v>3625</v>
      </c>
      <c r="T1623" t="s">
        <v>4002</v>
      </c>
      <c r="U1623" t="s">
        <v>4002</v>
      </c>
      <c r="V1623" t="s">
        <v>4002</v>
      </c>
      <c r="W1623" t="s">
        <v>5602</v>
      </c>
      <c r="X1623">
        <v>1</v>
      </c>
      <c r="Y1623" t="s">
        <v>7526</v>
      </c>
      <c r="Z1623" t="s">
        <v>9521</v>
      </c>
      <c r="AA1623">
        <v>1.168122159296582</v>
      </c>
      <c r="AB1623" t="str">
        <f>HYPERLINK("Melting_Curves/meltCurve_Q5T205_NCSTN.pdf", "Melting_Curves/meltCurve_Q5T205_NCSTN.pdf")</f>
        <v>Melting_Curves/meltCurve_Q5T205_NCSTN.pdf</v>
      </c>
    </row>
    <row r="1624" spans="1:28" x14ac:dyDescent="0.25">
      <c r="A1624" t="s">
        <v>1628</v>
      </c>
      <c r="B1624">
        <v>1</v>
      </c>
      <c r="C1624">
        <v>0.99772031060767996</v>
      </c>
      <c r="D1624">
        <v>0.992448528887939</v>
      </c>
      <c r="E1624">
        <v>1.28613663888295</v>
      </c>
      <c r="F1624">
        <v>1.12174966160861</v>
      </c>
      <c r="G1624">
        <v>1.24349932321721</v>
      </c>
      <c r="H1624">
        <v>1.2274346370307001</v>
      </c>
      <c r="I1624">
        <v>1.70990952482724</v>
      </c>
      <c r="J1624">
        <v>1.7821828025931501</v>
      </c>
      <c r="K1624">
        <v>1.3831659186435801</v>
      </c>
      <c r="L1624">
        <v>845.70847311713305</v>
      </c>
      <c r="M1624">
        <v>15.4880832260495</v>
      </c>
      <c r="O1624">
        <v>53.717823209004202</v>
      </c>
      <c r="P1624">
        <v>3.6043585127663098E-2</v>
      </c>
      <c r="Q1624">
        <v>1.5</v>
      </c>
      <c r="R1624">
        <v>0.641654859114001</v>
      </c>
      <c r="S1624" t="s">
        <v>3626</v>
      </c>
      <c r="T1624" t="s">
        <v>4002</v>
      </c>
      <c r="U1624" t="s">
        <v>4002</v>
      </c>
      <c r="V1624" t="s">
        <v>4002</v>
      </c>
      <c r="W1624" t="s">
        <v>5603</v>
      </c>
      <c r="X1624">
        <v>3</v>
      </c>
      <c r="Y1624" t="s">
        <v>7527</v>
      </c>
      <c r="Z1624" t="s">
        <v>9522</v>
      </c>
      <c r="AA1624">
        <v>1.247062262965861</v>
      </c>
      <c r="AB1624" t="str">
        <f>HYPERLINK("Melting_Curves/meltCurve_Q5T6H7_XPNPEP1.pdf", "Melting_Curves/meltCurve_Q5T6H7_XPNPEP1.pdf")</f>
        <v>Melting_Curves/meltCurve_Q5T6H7_XPNPEP1.pdf</v>
      </c>
    </row>
    <row r="1625" spans="1:28" x14ac:dyDescent="0.25">
      <c r="A1625" t="s">
        <v>1629</v>
      </c>
      <c r="B1625">
        <v>1</v>
      </c>
      <c r="C1625">
        <v>0.97272466581373795</v>
      </c>
      <c r="D1625">
        <v>1.04979706180791</v>
      </c>
      <c r="E1625">
        <v>1.04315745356686</v>
      </c>
      <c r="F1625">
        <v>0.93477301804385204</v>
      </c>
      <c r="G1625">
        <v>1.01261746150792</v>
      </c>
      <c r="H1625">
        <v>0.89958971191600101</v>
      </c>
      <c r="I1625">
        <v>1.07195482419376</v>
      </c>
      <c r="J1625">
        <v>1.53041867031367</v>
      </c>
      <c r="K1625">
        <v>0.98407376362112298</v>
      </c>
      <c r="L1625">
        <v>15000</v>
      </c>
      <c r="M1625">
        <v>233.43100696101001</v>
      </c>
      <c r="O1625">
        <v>64.254090561906807</v>
      </c>
      <c r="P1625">
        <v>0.23362703016366601</v>
      </c>
      <c r="Q1625">
        <v>1.25723222432423</v>
      </c>
      <c r="R1625">
        <v>0.40010351482621698</v>
      </c>
      <c r="S1625" t="s">
        <v>3627</v>
      </c>
      <c r="T1625" t="s">
        <v>4002</v>
      </c>
      <c r="U1625" t="s">
        <v>4002</v>
      </c>
      <c r="V1625" t="s">
        <v>4002</v>
      </c>
      <c r="W1625" t="s">
        <v>5604</v>
      </c>
      <c r="X1625">
        <v>11</v>
      </c>
      <c r="Y1625" t="s">
        <v>7528</v>
      </c>
      <c r="Z1625" t="s">
        <v>9523</v>
      </c>
      <c r="AA1625">
        <v>1.0491939813638029</v>
      </c>
      <c r="AB1625" t="str">
        <f>HYPERLINK("Melting_Curves/meltCurve_Q5T6W5_HNRNPK.pdf", "Melting_Curves/meltCurve_Q5T6W5_HNRNPK.pdf")</f>
        <v>Melting_Curves/meltCurve_Q5T6W5_HNRNPK.pdf</v>
      </c>
    </row>
    <row r="1626" spans="1:28" x14ac:dyDescent="0.25">
      <c r="A1626" t="s">
        <v>1630</v>
      </c>
      <c r="B1626">
        <v>1</v>
      </c>
      <c r="C1626">
        <v>1.1431874229346499</v>
      </c>
      <c r="D1626">
        <v>0.895422318125771</v>
      </c>
      <c r="E1626">
        <v>0.97456843403205895</v>
      </c>
      <c r="F1626">
        <v>1.26672318125771</v>
      </c>
      <c r="G1626">
        <v>1.7598643649815</v>
      </c>
      <c r="H1626">
        <v>1.4628545006165199</v>
      </c>
      <c r="I1626">
        <v>1.36683107274969</v>
      </c>
      <c r="J1626">
        <v>2.5655055487052998</v>
      </c>
      <c r="K1626">
        <v>0.88386251541307004</v>
      </c>
      <c r="L1626">
        <v>13242.898775579</v>
      </c>
      <c r="M1626">
        <v>250</v>
      </c>
      <c r="O1626">
        <v>52.968223715226003</v>
      </c>
      <c r="P1626">
        <v>0.58997656834432399</v>
      </c>
      <c r="Q1626">
        <v>1.5</v>
      </c>
      <c r="R1626">
        <v>0.31710731848677998</v>
      </c>
      <c r="S1626" t="s">
        <v>3628</v>
      </c>
      <c r="T1626" t="s">
        <v>4002</v>
      </c>
      <c r="U1626" t="s">
        <v>4002</v>
      </c>
      <c r="V1626" t="s">
        <v>4002</v>
      </c>
      <c r="W1626" t="s">
        <v>5605</v>
      </c>
      <c r="X1626">
        <v>6</v>
      </c>
      <c r="Y1626" t="s">
        <v>7529</v>
      </c>
      <c r="Z1626" t="s">
        <v>9524</v>
      </c>
      <c r="AA1626">
        <v>1.2837602661322409</v>
      </c>
      <c r="AB1626" t="str">
        <f>HYPERLINK("Melting_Curves/meltCurve_Q5T749_KPRP.pdf", "Melting_Curves/meltCurve_Q5T749_KPRP.pdf")</f>
        <v>Melting_Curves/meltCurve_Q5T749_KPRP.pdf</v>
      </c>
    </row>
    <row r="1627" spans="1:28" x14ac:dyDescent="0.25">
      <c r="A1627" t="s">
        <v>1631</v>
      </c>
      <c r="B1627">
        <v>1</v>
      </c>
      <c r="C1627">
        <v>1.0079321158457899</v>
      </c>
      <c r="D1627">
        <v>1.1334317161655301</v>
      </c>
      <c r="E1627">
        <v>0.87560720654245805</v>
      </c>
      <c r="F1627">
        <v>0.89073356699256001</v>
      </c>
      <c r="G1627">
        <v>2.384922830966</v>
      </c>
      <c r="H1627">
        <v>0.69962491545225403</v>
      </c>
      <c r="I1627">
        <v>0.66537539199409701</v>
      </c>
      <c r="J1627">
        <v>2.0546639611387798</v>
      </c>
      <c r="K1627">
        <v>0.59857959786017301</v>
      </c>
      <c r="L1627">
        <v>4169.9532839815702</v>
      </c>
      <c r="M1627">
        <v>77.050244799784906</v>
      </c>
      <c r="O1627">
        <v>54.083501479688103</v>
      </c>
      <c r="P1627">
        <v>9.7037902093879302E-2</v>
      </c>
      <c r="Q1627">
        <v>1.27245330676766</v>
      </c>
      <c r="R1627">
        <v>6.0491663656734099E-2</v>
      </c>
      <c r="S1627" t="s">
        <v>3629</v>
      </c>
      <c r="T1627" t="s">
        <v>4002</v>
      </c>
      <c r="U1627" t="s">
        <v>4002</v>
      </c>
      <c r="V1627" t="s">
        <v>4002</v>
      </c>
      <c r="W1627" t="s">
        <v>5606</v>
      </c>
      <c r="X1627">
        <v>1</v>
      </c>
      <c r="Y1627" t="s">
        <v>7530</v>
      </c>
      <c r="Z1627" t="s">
        <v>9525</v>
      </c>
      <c r="AA1627">
        <v>1.143946313596597</v>
      </c>
      <c r="AB1627" t="str">
        <f>HYPERLINK("Melting_Curves/meltCurve_Q5T750_XP32.pdf", "Melting_Curves/meltCurve_Q5T750_XP32.pdf")</f>
        <v>Melting_Curves/meltCurve_Q5T750_XP32.pdf</v>
      </c>
    </row>
    <row r="1628" spans="1:28" x14ac:dyDescent="0.25">
      <c r="A1628" t="s">
        <v>1632</v>
      </c>
      <c r="B1628">
        <v>1</v>
      </c>
      <c r="C1628">
        <v>0.79195120334151003</v>
      </c>
      <c r="D1628">
        <v>0.95312603593449596</v>
      </c>
      <c r="E1628">
        <v>0.69462308559305197</v>
      </c>
      <c r="F1628">
        <v>0.84107936086985302</v>
      </c>
      <c r="G1628">
        <v>0.829543194324737</v>
      </c>
      <c r="H1628">
        <v>1.1070741894848499</v>
      </c>
      <c r="I1628">
        <v>0.95206523901080697</v>
      </c>
      <c r="J1628">
        <v>0.98720413710800203</v>
      </c>
      <c r="K1628">
        <v>1.1036928992905899</v>
      </c>
      <c r="L1628">
        <v>15000</v>
      </c>
      <c r="M1628">
        <v>212.944941624367</v>
      </c>
      <c r="Q1628">
        <v>1.5</v>
      </c>
      <c r="R1628">
        <v>-0.26962923070387101</v>
      </c>
      <c r="S1628" t="s">
        <v>3630</v>
      </c>
      <c r="T1628" t="s">
        <v>4002</v>
      </c>
      <c r="U1628" t="s">
        <v>4002</v>
      </c>
      <c r="V1628" t="s">
        <v>4002</v>
      </c>
      <c r="W1628" t="s">
        <v>5607</v>
      </c>
      <c r="X1628">
        <v>1</v>
      </c>
      <c r="Y1628" t="s">
        <v>7531</v>
      </c>
      <c r="Z1628" t="s">
        <v>9526</v>
      </c>
      <c r="AA1628">
        <v>1.001253034605363</v>
      </c>
      <c r="AB1628" t="str">
        <f>HYPERLINK("Melting_Curves/meltCurve_Q5T760_SRSF11.pdf", "Melting_Curves/meltCurve_Q5T760_SRSF11.pdf")</f>
        <v>Melting_Curves/meltCurve_Q5T760_SRSF11.pdf</v>
      </c>
    </row>
    <row r="1629" spans="1:28" x14ac:dyDescent="0.25">
      <c r="A1629" t="s">
        <v>1633</v>
      </c>
      <c r="B1629">
        <v>1</v>
      </c>
      <c r="C1629">
        <v>0.86171607178866705</v>
      </c>
      <c r="D1629">
        <v>1.0440108892922</v>
      </c>
      <c r="E1629">
        <v>0.997378503730591</v>
      </c>
      <c r="F1629">
        <v>0.92967332123412005</v>
      </c>
      <c r="G1629">
        <v>0.99072393627747501</v>
      </c>
      <c r="H1629">
        <v>0.77651744303286996</v>
      </c>
      <c r="I1629">
        <v>0.97948175035289398</v>
      </c>
      <c r="J1629">
        <v>2.4227162734422301</v>
      </c>
      <c r="K1629">
        <v>0.90784432345230903</v>
      </c>
      <c r="L1629">
        <v>15000</v>
      </c>
      <c r="M1629">
        <v>230.802622329912</v>
      </c>
      <c r="O1629">
        <v>64.985718034685405</v>
      </c>
      <c r="P1629">
        <v>0.443948753115813</v>
      </c>
      <c r="Q1629">
        <v>1.5</v>
      </c>
      <c r="R1629">
        <v>0.36820757911331298</v>
      </c>
      <c r="S1629" t="s">
        <v>3631</v>
      </c>
      <c r="T1629" t="s">
        <v>4002</v>
      </c>
      <c r="U1629" t="s">
        <v>4002</v>
      </c>
      <c r="V1629" t="s">
        <v>4002</v>
      </c>
      <c r="W1629" t="s">
        <v>5608</v>
      </c>
      <c r="X1629">
        <v>3</v>
      </c>
      <c r="Y1629" t="s">
        <v>7532</v>
      </c>
      <c r="Z1629" t="s">
        <v>9527</v>
      </c>
      <c r="AA1629">
        <v>1.0834231530838929</v>
      </c>
      <c r="AB1629" t="str">
        <f>HYPERLINK("Melting_Curves/meltCurve_Q5T8U3_RPL7A.pdf", "Melting_Curves/meltCurve_Q5T8U3_RPL7A.pdf")</f>
        <v>Melting_Curves/meltCurve_Q5T8U3_RPL7A.pdf</v>
      </c>
    </row>
    <row r="1630" spans="1:28" x14ac:dyDescent="0.25">
      <c r="A1630" t="s">
        <v>1634</v>
      </c>
      <c r="B1630">
        <v>1</v>
      </c>
      <c r="C1630">
        <v>0.98093492978235297</v>
      </c>
      <c r="D1630">
        <v>1.1050327309349299</v>
      </c>
      <c r="E1630">
        <v>1.2973899177530399</v>
      </c>
      <c r="F1630">
        <v>1.2626447714429601</v>
      </c>
      <c r="G1630">
        <v>1.49541207407822</v>
      </c>
      <c r="H1630">
        <v>1.1782017568399299</v>
      </c>
      <c r="I1630">
        <v>1.89433782800873</v>
      </c>
      <c r="J1630">
        <v>1.3847843115313601</v>
      </c>
      <c r="K1630">
        <v>1.62325854641079</v>
      </c>
      <c r="L1630">
        <v>803.92777615652301</v>
      </c>
      <c r="M1630">
        <v>15.9750772246956</v>
      </c>
      <c r="O1630">
        <v>49.5551125917466</v>
      </c>
      <c r="P1630">
        <v>4.0299418935967599E-2</v>
      </c>
      <c r="Q1630">
        <v>1.5</v>
      </c>
      <c r="R1630">
        <v>0.59818902754565395</v>
      </c>
      <c r="S1630" t="s">
        <v>3632</v>
      </c>
      <c r="T1630" t="s">
        <v>4002</v>
      </c>
      <c r="U1630" t="s">
        <v>4002</v>
      </c>
      <c r="V1630" t="s">
        <v>4002</v>
      </c>
      <c r="W1630" t="s">
        <v>5609</v>
      </c>
      <c r="X1630">
        <v>12</v>
      </c>
      <c r="Y1630" t="s">
        <v>7533</v>
      </c>
      <c r="Z1630" t="s">
        <v>9528</v>
      </c>
      <c r="AA1630">
        <v>1.3173729064751389</v>
      </c>
      <c r="AB1630" t="str">
        <f>HYPERLINK("Melting_Curves/meltCurve_Q5T985_ITIH2.pdf", "Melting_Curves/meltCurve_Q5T985_ITIH2.pdf")</f>
        <v>Melting_Curves/meltCurve_Q5T985_ITIH2.pdf</v>
      </c>
    </row>
    <row r="1631" spans="1:28" x14ac:dyDescent="0.25">
      <c r="A1631" t="s">
        <v>1635</v>
      </c>
      <c r="B1631">
        <v>1</v>
      </c>
      <c r="C1631">
        <v>0.85108075488259805</v>
      </c>
      <c r="D1631">
        <v>0.92075378538512198</v>
      </c>
      <c r="E1631">
        <v>1.06226684222076</v>
      </c>
      <c r="F1631">
        <v>1.1349846390169001</v>
      </c>
      <c r="G1631">
        <v>1.1785988588984</v>
      </c>
      <c r="H1631">
        <v>0.943959842001317</v>
      </c>
      <c r="I1631">
        <v>1.3071648014044299</v>
      </c>
      <c r="J1631">
        <v>0.90764208909370203</v>
      </c>
      <c r="K1631">
        <v>1.0276771999122201</v>
      </c>
      <c r="L1631">
        <v>12445.8233509479</v>
      </c>
      <c r="M1631">
        <v>250</v>
      </c>
      <c r="O1631">
        <v>49.780107564039703</v>
      </c>
      <c r="P1631">
        <v>0.10463253090508599</v>
      </c>
      <c r="Q1631">
        <v>1.0833378982583599</v>
      </c>
      <c r="R1631">
        <v>0.193088259718001</v>
      </c>
      <c r="S1631" t="s">
        <v>3633</v>
      </c>
      <c r="T1631" t="s">
        <v>4002</v>
      </c>
      <c r="U1631" t="s">
        <v>4002</v>
      </c>
      <c r="V1631" t="s">
        <v>4002</v>
      </c>
      <c r="W1631" t="s">
        <v>5610</v>
      </c>
      <c r="X1631">
        <v>2</v>
      </c>
      <c r="Y1631" t="s">
        <v>7534</v>
      </c>
      <c r="Z1631" t="s">
        <v>9529</v>
      </c>
      <c r="AA1631">
        <v>1.0561533134402079</v>
      </c>
      <c r="AB1631" t="str">
        <f>HYPERLINK("Melting_Curves/meltCurve_Q5TBC7_BCL2L15.pdf", "Melting_Curves/meltCurve_Q5TBC7_BCL2L15.pdf")</f>
        <v>Melting_Curves/meltCurve_Q5TBC7_BCL2L15.pdf</v>
      </c>
    </row>
    <row r="1632" spans="1:28" x14ac:dyDescent="0.25">
      <c r="A1632" t="s">
        <v>1636</v>
      </c>
      <c r="B1632">
        <v>1</v>
      </c>
      <c r="C1632">
        <v>0.83313282001924904</v>
      </c>
      <c r="D1632">
        <v>0.93100336862367705</v>
      </c>
      <c r="E1632">
        <v>0.93768046198267596</v>
      </c>
      <c r="F1632">
        <v>0.95554619826756504</v>
      </c>
      <c r="G1632">
        <v>0.99819538017324305</v>
      </c>
      <c r="H1632">
        <v>0.89888113570741102</v>
      </c>
      <c r="I1632">
        <v>1.13642925890279</v>
      </c>
      <c r="J1632">
        <v>1.4742540904716099</v>
      </c>
      <c r="K1632">
        <v>1.08235081809432</v>
      </c>
      <c r="L1632">
        <v>15000</v>
      </c>
      <c r="M1632">
        <v>234.33616928765699</v>
      </c>
      <c r="O1632">
        <v>64.005943057026897</v>
      </c>
      <c r="P1632">
        <v>0.25472408281588599</v>
      </c>
      <c r="Q1632">
        <v>1.27829856836346</v>
      </c>
      <c r="R1632">
        <v>0.57152807660050298</v>
      </c>
      <c r="S1632" t="s">
        <v>3634</v>
      </c>
      <c r="T1632" t="s">
        <v>4002</v>
      </c>
      <c r="U1632" t="s">
        <v>4002</v>
      </c>
      <c r="V1632" t="s">
        <v>4002</v>
      </c>
      <c r="W1632" t="s">
        <v>5611</v>
      </c>
      <c r="X1632">
        <v>2</v>
      </c>
      <c r="Y1632" t="s">
        <v>7535</v>
      </c>
      <c r="Z1632" t="s">
        <v>9530</v>
      </c>
      <c r="AA1632">
        <v>1.055525750250462</v>
      </c>
      <c r="AB1632" t="str">
        <f>HYPERLINK("Melting_Curves/meltCurve_Q5TBK7_UCHL3.pdf", "Melting_Curves/meltCurve_Q5TBK7_UCHL3.pdf")</f>
        <v>Melting_Curves/meltCurve_Q5TBK7_UCHL3.pdf</v>
      </c>
    </row>
    <row r="1633" spans="1:28" x14ac:dyDescent="0.25">
      <c r="A1633" t="s">
        <v>1637</v>
      </c>
      <c r="B1633">
        <v>1</v>
      </c>
      <c r="C1633">
        <v>1.0034027356647099</v>
      </c>
      <c r="D1633">
        <v>1.05154639175258</v>
      </c>
      <c r="E1633">
        <v>1.1515396536621501</v>
      </c>
      <c r="F1633">
        <v>1.32986321676437</v>
      </c>
      <c r="G1633">
        <v>1.9473418233272699</v>
      </c>
      <c r="H1633">
        <v>1.96007681423085</v>
      </c>
      <c r="I1633">
        <v>2.54009163802978</v>
      </c>
      <c r="J1633">
        <v>2.2626507647732601</v>
      </c>
      <c r="K1633">
        <v>2.12869752712081</v>
      </c>
      <c r="L1633">
        <v>2325.8095282419299</v>
      </c>
      <c r="M1633">
        <v>45.3386977085732</v>
      </c>
      <c r="O1633">
        <v>51.199063508631497</v>
      </c>
      <c r="P1633">
        <v>0.110692368417644</v>
      </c>
      <c r="Q1633">
        <v>1.5</v>
      </c>
      <c r="R1633">
        <v>0.20593271860352999</v>
      </c>
      <c r="S1633" t="s">
        <v>3635</v>
      </c>
      <c r="T1633" t="s">
        <v>4002</v>
      </c>
      <c r="U1633" t="s">
        <v>4002</v>
      </c>
      <c r="V1633" t="s">
        <v>4002</v>
      </c>
      <c r="W1633" t="s">
        <v>5612</v>
      </c>
      <c r="X1633">
        <v>6</v>
      </c>
      <c r="Y1633" t="s">
        <v>7536</v>
      </c>
      <c r="Z1633" t="s">
        <v>9531</v>
      </c>
      <c r="AA1633">
        <v>1.310313297888116</v>
      </c>
      <c r="AB1633" t="str">
        <f>HYPERLINK("Melting_Curves/meltCurve_Q5TD07_NQO2.pdf", "Melting_Curves/meltCurve_Q5TD07_NQO2.pdf")</f>
        <v>Melting_Curves/meltCurve_Q5TD07_NQO2.pdf</v>
      </c>
    </row>
    <row r="1634" spans="1:28" x14ac:dyDescent="0.25">
      <c r="A1634" t="s">
        <v>1638</v>
      </c>
      <c r="B1634">
        <v>1</v>
      </c>
      <c r="C1634">
        <v>0.96134460531335997</v>
      </c>
      <c r="D1634">
        <v>1.0261250225908201</v>
      </c>
      <c r="E1634">
        <v>1.0810458041326101</v>
      </c>
      <c r="F1634">
        <v>1.0229121066688101</v>
      </c>
      <c r="G1634">
        <v>1.09590554027189</v>
      </c>
      <c r="H1634">
        <v>1.13566537480672</v>
      </c>
      <c r="I1634">
        <v>1.2663908913833599</v>
      </c>
      <c r="J1634">
        <v>1.28958412819535</v>
      </c>
      <c r="K1634">
        <v>1.0913873772565701</v>
      </c>
      <c r="L1634">
        <v>1222.33977913232</v>
      </c>
      <c r="M1634">
        <v>21.460422433268199</v>
      </c>
      <c r="O1634">
        <v>56.4701981447554</v>
      </c>
      <c r="P1634">
        <v>2.0187426053566802E-2</v>
      </c>
      <c r="Q1634">
        <v>1.21247673665308</v>
      </c>
      <c r="R1634">
        <v>0.67008115042163896</v>
      </c>
      <c r="S1634" t="s">
        <v>3636</v>
      </c>
      <c r="T1634" t="s">
        <v>4002</v>
      </c>
      <c r="U1634" t="s">
        <v>4002</v>
      </c>
      <c r="V1634" t="s">
        <v>4002</v>
      </c>
      <c r="W1634" t="s">
        <v>5613</v>
      </c>
      <c r="X1634">
        <v>1</v>
      </c>
      <c r="Y1634" t="s">
        <v>7537</v>
      </c>
      <c r="Z1634" t="s">
        <v>9532</v>
      </c>
      <c r="AA1634">
        <v>1.08998495532538</v>
      </c>
      <c r="AB1634" t="str">
        <f>HYPERLINK("Melting_Curves/meltCurve_Q5TEJ0_RPA2.pdf", "Melting_Curves/meltCurve_Q5TEJ0_RPA2.pdf")</f>
        <v>Melting_Curves/meltCurve_Q5TEJ0_RPA2.pdf</v>
      </c>
    </row>
    <row r="1635" spans="1:28" x14ac:dyDescent="0.25">
      <c r="A1635" t="s">
        <v>1639</v>
      </c>
      <c r="B1635">
        <v>1</v>
      </c>
      <c r="C1635">
        <v>1.12179746221612</v>
      </c>
      <c r="D1635">
        <v>1.98868504000647</v>
      </c>
      <c r="E1635">
        <v>2.2806110078396502</v>
      </c>
      <c r="F1635">
        <v>2.62911177564051</v>
      </c>
      <c r="G1635">
        <v>4.2487674775721302</v>
      </c>
      <c r="H1635">
        <v>1.4237452517578599</v>
      </c>
      <c r="I1635">
        <v>4.9097227834801602</v>
      </c>
      <c r="J1635">
        <v>1.10482502222581</v>
      </c>
      <c r="K1635">
        <v>2.4388588054635099</v>
      </c>
      <c r="S1635" t="s">
        <v>3637</v>
      </c>
      <c r="T1635" t="s">
        <v>4002</v>
      </c>
      <c r="U1635" t="s">
        <v>4003</v>
      </c>
      <c r="V1635" t="s">
        <v>4002</v>
      </c>
      <c r="W1635" t="s">
        <v>5614</v>
      </c>
      <c r="X1635">
        <v>1</v>
      </c>
      <c r="Y1635" t="s">
        <v>7538</v>
      </c>
      <c r="Z1635" t="s">
        <v>9533</v>
      </c>
      <c r="AB1635" t="str">
        <f>HYPERLINK("Melting_Curves/meltCurve_Q5TFE4_NT5DC1.pdf", "Melting_Curves/meltCurve_Q5TFE4_NT5DC1.pdf")</f>
        <v>Melting_Curves/meltCurve_Q5TFE4_NT5DC1.pdf</v>
      </c>
    </row>
    <row r="1636" spans="1:28" x14ac:dyDescent="0.25">
      <c r="A1636" t="s">
        <v>1640</v>
      </c>
      <c r="B1636">
        <v>1</v>
      </c>
      <c r="C1636">
        <v>1.0112228225219699</v>
      </c>
      <c r="D1636">
        <v>1.2178133982134101</v>
      </c>
      <c r="E1636">
        <v>1.3597385714456101</v>
      </c>
      <c r="F1636">
        <v>1.07258458859589</v>
      </c>
      <c r="G1636">
        <v>1.14277195367753</v>
      </c>
      <c r="H1636">
        <v>1.0443068923157699</v>
      </c>
      <c r="I1636">
        <v>1.1974191086145001</v>
      </c>
      <c r="J1636">
        <v>1.0965329707681799</v>
      </c>
      <c r="K1636">
        <v>1.0032917099001799</v>
      </c>
      <c r="L1636">
        <v>10830.277755979099</v>
      </c>
      <c r="M1636">
        <v>250</v>
      </c>
      <c r="O1636">
        <v>43.318339089652802</v>
      </c>
      <c r="P1636">
        <v>0.20460069955556101</v>
      </c>
      <c r="Q1636">
        <v>1.1418073984565</v>
      </c>
      <c r="R1636">
        <v>0.24450583065548301</v>
      </c>
      <c r="S1636" t="s">
        <v>3638</v>
      </c>
      <c r="T1636" t="s">
        <v>4002</v>
      </c>
      <c r="U1636" t="s">
        <v>4002</v>
      </c>
      <c r="V1636" t="s">
        <v>4002</v>
      </c>
      <c r="W1636" t="s">
        <v>5615</v>
      </c>
      <c r="X1636">
        <v>2</v>
      </c>
      <c r="Y1636" t="s">
        <v>7539</v>
      </c>
      <c r="Z1636" t="s">
        <v>9534</v>
      </c>
      <c r="AA1636">
        <v>1.126098013331019</v>
      </c>
      <c r="AB1636" t="str">
        <f>HYPERLINK("Melting_Curves/meltCurve_Q5TGY6_FGR.pdf", "Melting_Curves/meltCurve_Q5TGY6_FGR.pdf")</f>
        <v>Melting_Curves/meltCurve_Q5TGY6_FGR.pdf</v>
      </c>
    </row>
    <row r="1637" spans="1:28" x14ac:dyDescent="0.25">
      <c r="A1637" t="s">
        <v>1641</v>
      </c>
      <c r="B1637">
        <v>1</v>
      </c>
      <c r="C1637">
        <v>1.01335086477192</v>
      </c>
      <c r="D1637">
        <v>1.0971309126462401</v>
      </c>
      <c r="E1637">
        <v>1.0934897677084401</v>
      </c>
      <c r="F1637">
        <v>1.0434577391187101</v>
      </c>
      <c r="G1637">
        <v>1.0820269040153701</v>
      </c>
      <c r="H1637">
        <v>0.97592798624456401</v>
      </c>
      <c r="I1637">
        <v>1.24483328276188</v>
      </c>
      <c r="J1637">
        <v>2.6632615218637299</v>
      </c>
      <c r="K1637">
        <v>1.01894743939854</v>
      </c>
      <c r="L1637">
        <v>15000</v>
      </c>
      <c r="M1637">
        <v>234.334727018564</v>
      </c>
      <c r="O1637">
        <v>64.006336939332201</v>
      </c>
      <c r="P1637">
        <v>0.45763970158124601</v>
      </c>
      <c r="Q1637">
        <v>1.5</v>
      </c>
      <c r="R1637">
        <v>0.31569255628735998</v>
      </c>
      <c r="S1637" t="s">
        <v>3639</v>
      </c>
      <c r="T1637" t="s">
        <v>4002</v>
      </c>
      <c r="U1637" t="s">
        <v>4002</v>
      </c>
      <c r="V1637" t="s">
        <v>4002</v>
      </c>
      <c r="W1637" t="s">
        <v>5616</v>
      </c>
      <c r="X1637">
        <v>7</v>
      </c>
      <c r="Y1637" t="s">
        <v>7540</v>
      </c>
      <c r="Z1637" t="s">
        <v>9535</v>
      </c>
      <c r="AA1637">
        <v>1.099752749759954</v>
      </c>
      <c r="AB1637" t="str">
        <f>HYPERLINK("Melting_Curves/meltCurve_Q5VTE0_EEF1A1P5.pdf", "Melting_Curves/meltCurve_Q5VTE0_EEF1A1P5.pdf")</f>
        <v>Melting_Curves/meltCurve_Q5VTE0_EEF1A1P5.pdf</v>
      </c>
    </row>
    <row r="1638" spans="1:28" x14ac:dyDescent="0.25">
      <c r="A1638" t="s">
        <v>1642</v>
      </c>
      <c r="B1638">
        <v>1</v>
      </c>
      <c r="C1638">
        <v>0.92711755342567803</v>
      </c>
      <c r="D1638">
        <v>0.96640363057540601</v>
      </c>
      <c r="E1638">
        <v>0.98902699224438695</v>
      </c>
      <c r="F1638">
        <v>0.92904798997527704</v>
      </c>
      <c r="G1638">
        <v>0.88667998780776902</v>
      </c>
      <c r="H1638">
        <v>0.81423781623598701</v>
      </c>
      <c r="I1638">
        <v>0.90937108409252598</v>
      </c>
      <c r="J1638">
        <v>0.72970501574829805</v>
      </c>
      <c r="K1638">
        <v>0.76905882751380095</v>
      </c>
      <c r="L1638">
        <v>312.03470510988899</v>
      </c>
      <c r="M1638">
        <v>3.3307545893250299</v>
      </c>
      <c r="Q1638">
        <v>0</v>
      </c>
      <c r="R1638">
        <v>0.77095670678743899</v>
      </c>
      <c r="S1638" t="s">
        <v>3640</v>
      </c>
      <c r="T1638" t="s">
        <v>4002</v>
      </c>
      <c r="U1638" t="s">
        <v>4002</v>
      </c>
      <c r="V1638" t="s">
        <v>4002</v>
      </c>
      <c r="W1638" t="s">
        <v>5617</v>
      </c>
      <c r="X1638">
        <v>3</v>
      </c>
      <c r="Y1638" t="s">
        <v>7541</v>
      </c>
      <c r="Z1638" t="s">
        <v>9536</v>
      </c>
      <c r="AA1638">
        <v>0.89826806917538482</v>
      </c>
      <c r="AB1638" t="str">
        <f>HYPERLINK("Melting_Curves/meltCurve_Q5VU13_VSIG8.pdf", "Melting_Curves/meltCurve_Q5VU13_VSIG8.pdf")</f>
        <v>Melting_Curves/meltCurve_Q5VU13_VSIG8.pdf</v>
      </c>
    </row>
    <row r="1639" spans="1:28" x14ac:dyDescent="0.25">
      <c r="A1639" t="s">
        <v>1643</v>
      </c>
      <c r="B1639">
        <v>1</v>
      </c>
      <c r="C1639">
        <v>1.08831733913485</v>
      </c>
      <c r="D1639">
        <v>0.87664669060235201</v>
      </c>
      <c r="E1639">
        <v>0.87146804052160198</v>
      </c>
      <c r="F1639">
        <v>0.83584480066201305</v>
      </c>
      <c r="G1639">
        <v>1.0424569224403699</v>
      </c>
      <c r="H1639">
        <v>1.3412436768415601</v>
      </c>
      <c r="I1639">
        <v>0.95192397528128903</v>
      </c>
      <c r="J1639">
        <v>11.510751037732099</v>
      </c>
      <c r="K1639">
        <v>1.17341804252366</v>
      </c>
      <c r="L1639">
        <v>5032.9078755704704</v>
      </c>
      <c r="M1639">
        <v>83.179071786174902</v>
      </c>
      <c r="O1639">
        <v>60.471953531344298</v>
      </c>
      <c r="P1639">
        <v>0.171937311988549</v>
      </c>
      <c r="Q1639">
        <v>1.5</v>
      </c>
      <c r="R1639">
        <v>-1.43737486033282E-2</v>
      </c>
      <c r="S1639" t="s">
        <v>3641</v>
      </c>
      <c r="T1639" t="s">
        <v>4002</v>
      </c>
      <c r="U1639" t="s">
        <v>4002</v>
      </c>
      <c r="V1639" t="s">
        <v>4002</v>
      </c>
      <c r="W1639" t="s">
        <v>5618</v>
      </c>
      <c r="X1639">
        <v>1</v>
      </c>
      <c r="Y1639" t="s">
        <v>7542</v>
      </c>
      <c r="Z1639" t="s">
        <v>9537</v>
      </c>
      <c r="AA1639">
        <v>1.157738045602922</v>
      </c>
      <c r="AB1639" t="str">
        <f>HYPERLINK("Melting_Curves/meltCurve_Q5VVC9_RPL11.pdf", "Melting_Curves/meltCurve_Q5VVC9_RPL11.pdf")</f>
        <v>Melting_Curves/meltCurve_Q5VVC9_RPL11.pdf</v>
      </c>
    </row>
    <row r="1640" spans="1:28" x14ac:dyDescent="0.25">
      <c r="A1640" t="s">
        <v>1644</v>
      </c>
      <c r="B1640">
        <v>1</v>
      </c>
      <c r="C1640">
        <v>0.93318846305808001</v>
      </c>
      <c r="D1640">
        <v>1.0191031212959301</v>
      </c>
      <c r="E1640">
        <v>1.1153694192018999</v>
      </c>
      <c r="F1640">
        <v>1.0715329909126801</v>
      </c>
      <c r="G1640">
        <v>1.0622283682339</v>
      </c>
      <c r="H1640">
        <v>0.87145397076254405</v>
      </c>
      <c r="I1640">
        <v>1.1657842749901199</v>
      </c>
      <c r="J1640">
        <v>0.73690241011457902</v>
      </c>
      <c r="K1640">
        <v>0.95507704464638499</v>
      </c>
      <c r="L1640">
        <v>5319.2027938705296</v>
      </c>
      <c r="M1640">
        <v>81.054054617244404</v>
      </c>
      <c r="O1640">
        <v>65.5854594485006</v>
      </c>
      <c r="P1640">
        <v>-4.2268529476727899E-2</v>
      </c>
      <c r="Q1640">
        <v>0.86319250127762004</v>
      </c>
      <c r="R1640">
        <v>0.24835873496342101</v>
      </c>
      <c r="S1640" t="s">
        <v>3642</v>
      </c>
      <c r="T1640" t="s">
        <v>4002</v>
      </c>
      <c r="U1640" t="s">
        <v>4002</v>
      </c>
      <c r="V1640" t="s">
        <v>4002</v>
      </c>
      <c r="W1640" t="s">
        <v>5619</v>
      </c>
      <c r="X1640">
        <v>7</v>
      </c>
      <c r="Y1640" t="s">
        <v>7543</v>
      </c>
      <c r="Z1640" t="s">
        <v>9538</v>
      </c>
      <c r="AA1640">
        <v>0.9801736435699806</v>
      </c>
      <c r="AB1640" t="str">
        <f>HYPERLINK("Melting_Curves/meltCurve_Q5VY30_RBP4.pdf", "Melting_Curves/meltCurve_Q5VY30_RBP4.pdf")</f>
        <v>Melting_Curves/meltCurve_Q5VY30_RBP4.pdf</v>
      </c>
    </row>
    <row r="1641" spans="1:28" x14ac:dyDescent="0.25">
      <c r="A1641" t="s">
        <v>1645</v>
      </c>
      <c r="B1641">
        <v>1</v>
      </c>
      <c r="C1641">
        <v>0.87388263910002995</v>
      </c>
      <c r="D1641">
        <v>1.07727576771055</v>
      </c>
      <c r="E1641">
        <v>0.99044086348434202</v>
      </c>
      <c r="F1641">
        <v>0.97088476740650698</v>
      </c>
      <c r="G1641">
        <v>1.05045910611128</v>
      </c>
      <c r="H1641">
        <v>0.86491942839768898</v>
      </c>
      <c r="I1641">
        <v>1.2001824262693801</v>
      </c>
      <c r="J1641">
        <v>0.99435694740042602</v>
      </c>
      <c r="K1641">
        <v>1.11040437823047</v>
      </c>
      <c r="L1641">
        <v>15000</v>
      </c>
      <c r="M1641">
        <v>239.98102072017099</v>
      </c>
      <c r="O1641">
        <v>62.5006021257051</v>
      </c>
      <c r="P1641">
        <v>9.74603774467553E-2</v>
      </c>
      <c r="Q1641">
        <v>1.1015302334139301</v>
      </c>
      <c r="R1641">
        <v>0.308968905012796</v>
      </c>
      <c r="S1641" t="s">
        <v>3643</v>
      </c>
      <c r="T1641" t="s">
        <v>4002</v>
      </c>
      <c r="U1641" t="s">
        <v>4002</v>
      </c>
      <c r="V1641" t="s">
        <v>4002</v>
      </c>
      <c r="W1641" t="s">
        <v>5620</v>
      </c>
      <c r="X1641">
        <v>4</v>
      </c>
      <c r="Y1641" t="s">
        <v>7544</v>
      </c>
      <c r="Z1641" t="s">
        <v>9539</v>
      </c>
      <c r="AA1641">
        <v>1.0253537428846009</v>
      </c>
      <c r="AB1641" t="str">
        <f>HYPERLINK("Melting_Curves/meltCurve_Q5VY93_ARHGEF2.pdf", "Melting_Curves/meltCurve_Q5VY93_ARHGEF2.pdf")</f>
        <v>Melting_Curves/meltCurve_Q5VY93_ARHGEF2.pdf</v>
      </c>
    </row>
    <row r="1642" spans="1:28" x14ac:dyDescent="0.25">
      <c r="A1642" t="s">
        <v>1646</v>
      </c>
      <c r="B1642">
        <v>1</v>
      </c>
      <c r="C1642">
        <v>0.95230125523012499</v>
      </c>
      <c r="D1642">
        <v>0.97191126549301299</v>
      </c>
      <c r="E1642">
        <v>0.88710823399384198</v>
      </c>
      <c r="F1642">
        <v>0.85527749269756004</v>
      </c>
      <c r="G1642">
        <v>1.32751243388332</v>
      </c>
      <c r="H1642">
        <v>1.35692744927765</v>
      </c>
      <c r="I1642">
        <v>1.90368674508566</v>
      </c>
      <c r="J1642">
        <v>1.87005605115655</v>
      </c>
      <c r="K1642">
        <v>1.8749506591931799</v>
      </c>
      <c r="L1642">
        <v>8190.2493017100996</v>
      </c>
      <c r="M1642">
        <v>144.329395502404</v>
      </c>
      <c r="O1642">
        <v>56.736006908491603</v>
      </c>
      <c r="P1642">
        <v>0.31798443128172199</v>
      </c>
      <c r="Q1642">
        <v>1.5</v>
      </c>
      <c r="R1642">
        <v>0.70906832216890503</v>
      </c>
      <c r="S1642" t="s">
        <v>3644</v>
      </c>
      <c r="T1642" t="s">
        <v>4002</v>
      </c>
      <c r="U1642" t="s">
        <v>4002</v>
      </c>
      <c r="V1642" t="s">
        <v>4002</v>
      </c>
      <c r="W1642" t="s">
        <v>5621</v>
      </c>
      <c r="X1642">
        <v>2</v>
      </c>
      <c r="Y1642" t="s">
        <v>7545</v>
      </c>
      <c r="Z1642" t="s">
        <v>9540</v>
      </c>
      <c r="AA1642">
        <v>1.2207351245313129</v>
      </c>
      <c r="AB1642" t="str">
        <f>HYPERLINK("Melting_Curves/meltCurve_Q5VZA6_ACO1.pdf", "Melting_Curves/meltCurve_Q5VZA6_ACO1.pdf")</f>
        <v>Melting_Curves/meltCurve_Q5VZA6_ACO1.pdf</v>
      </c>
    </row>
    <row r="1643" spans="1:28" x14ac:dyDescent="0.25">
      <c r="A1643" t="s">
        <v>1647</v>
      </c>
      <c r="B1643">
        <v>1</v>
      </c>
      <c r="C1643">
        <v>0.89523097518994399</v>
      </c>
      <c r="D1643">
        <v>0.85049637498478703</v>
      </c>
      <c r="E1643">
        <v>0.97066954117912996</v>
      </c>
      <c r="F1643">
        <v>1.0224976963332599</v>
      </c>
      <c r="G1643">
        <v>0.967939913416903</v>
      </c>
      <c r="H1643">
        <v>0.84755811325347297</v>
      </c>
      <c r="I1643">
        <v>1.0998661265365</v>
      </c>
      <c r="J1643">
        <v>0.92817775614166298</v>
      </c>
      <c r="K1643">
        <v>0.98311803466801095</v>
      </c>
      <c r="L1643">
        <v>7.13789592781419E-5</v>
      </c>
      <c r="M1643">
        <v>13.216640865471399</v>
      </c>
      <c r="Q1643">
        <v>0.95655539699277603</v>
      </c>
      <c r="R1643">
        <v>-1.98951966012828E-13</v>
      </c>
      <c r="S1643" t="s">
        <v>3645</v>
      </c>
      <c r="T1643" t="s">
        <v>4002</v>
      </c>
      <c r="U1643" t="s">
        <v>4002</v>
      </c>
      <c r="V1643" t="s">
        <v>4002</v>
      </c>
      <c r="W1643" t="s">
        <v>5622</v>
      </c>
      <c r="X1643">
        <v>2</v>
      </c>
      <c r="Y1643" t="s">
        <v>7546</v>
      </c>
      <c r="Z1643" t="s">
        <v>9541</v>
      </c>
      <c r="AA1643">
        <v>0.95655547606453939</v>
      </c>
      <c r="AB1643" t="str">
        <f>HYPERLINK("Melting_Curves/meltCurve_Q5VZR0_GLIPR2.pdf", "Melting_Curves/meltCurve_Q5VZR0_GLIPR2.pdf")</f>
        <v>Melting_Curves/meltCurve_Q5VZR0_GLIPR2.pdf</v>
      </c>
    </row>
    <row r="1644" spans="1:28" x14ac:dyDescent="0.25">
      <c r="A1644" t="s">
        <v>1648</v>
      </c>
      <c r="B1644">
        <v>1</v>
      </c>
      <c r="C1644">
        <v>1.1093267632391399</v>
      </c>
      <c r="D1644">
        <v>1.10831750178105</v>
      </c>
      <c r="E1644">
        <v>1.05274875326526</v>
      </c>
      <c r="F1644">
        <v>1.1015791973403</v>
      </c>
      <c r="G1644">
        <v>1.18668368558537</v>
      </c>
      <c r="H1644">
        <v>1.07798028971741</v>
      </c>
      <c r="I1644">
        <v>1.39533364996438</v>
      </c>
      <c r="J1644">
        <v>1.2063345998575199</v>
      </c>
      <c r="K1644">
        <v>1.16424246022322</v>
      </c>
      <c r="L1644">
        <v>282.45297346355801</v>
      </c>
      <c r="M1644">
        <v>4.9564256246646199</v>
      </c>
      <c r="O1644">
        <v>49.634737249707399</v>
      </c>
      <c r="P1644">
        <v>8.0712630511021507E-3</v>
      </c>
      <c r="Q1644">
        <v>1.3212809996748101</v>
      </c>
      <c r="R1644">
        <v>0.40903065526362398</v>
      </c>
      <c r="S1644" t="s">
        <v>3646</v>
      </c>
      <c r="T1644" t="s">
        <v>4002</v>
      </c>
      <c r="U1644" t="s">
        <v>4002</v>
      </c>
      <c r="V1644" t="s">
        <v>4002</v>
      </c>
      <c r="W1644" t="s">
        <v>5623</v>
      </c>
      <c r="X1644">
        <v>2</v>
      </c>
      <c r="Y1644" t="s">
        <v>7547</v>
      </c>
      <c r="Z1644" t="s">
        <v>9542</v>
      </c>
      <c r="AA1644">
        <v>1.140498944289744</v>
      </c>
      <c r="AB1644" t="str">
        <f>HYPERLINK("Melting_Curves/meltCurve_Q5VZZ6_CELF2.pdf", "Melting_Curves/meltCurve_Q5VZZ6_CELF2.pdf")</f>
        <v>Melting_Curves/meltCurve_Q5VZZ6_CELF2.pdf</v>
      </c>
    </row>
    <row r="1645" spans="1:28" x14ac:dyDescent="0.25">
      <c r="A1645" t="s">
        <v>1649</v>
      </c>
      <c r="B1645">
        <v>1</v>
      </c>
      <c r="C1645">
        <v>0.94276036811910002</v>
      </c>
      <c r="D1645">
        <v>0.98461356684302404</v>
      </c>
      <c r="E1645">
        <v>1.0036890680180099</v>
      </c>
      <c r="F1645">
        <v>0.87851019416838405</v>
      </c>
      <c r="G1645">
        <v>0.797678906670518</v>
      </c>
      <c r="H1645">
        <v>0.94463772301794602</v>
      </c>
      <c r="I1645">
        <v>1.0764070315474401</v>
      </c>
      <c r="J1645">
        <v>1.32767063580628</v>
      </c>
      <c r="K1645">
        <v>1.0497564689973899</v>
      </c>
      <c r="L1645">
        <v>15000</v>
      </c>
      <c r="M1645">
        <v>233.99035686598401</v>
      </c>
      <c r="O1645">
        <v>64.1005227784634</v>
      </c>
      <c r="P1645">
        <v>0.172215079636626</v>
      </c>
      <c r="Q1645">
        <v>1.1887099420105101</v>
      </c>
      <c r="R1645">
        <v>0.43299865797510001</v>
      </c>
      <c r="S1645" t="s">
        <v>3647</v>
      </c>
      <c r="T1645" t="s">
        <v>4002</v>
      </c>
      <c r="U1645" t="s">
        <v>4002</v>
      </c>
      <c r="V1645" t="s">
        <v>4002</v>
      </c>
      <c r="W1645" t="s">
        <v>5624</v>
      </c>
      <c r="X1645">
        <v>2</v>
      </c>
      <c r="Y1645" t="s">
        <v>7548</v>
      </c>
      <c r="Z1645" t="s">
        <v>9543</v>
      </c>
      <c r="AA1645">
        <v>1.0370559726855091</v>
      </c>
      <c r="AB1645" t="str">
        <f>HYPERLINK("Melting_Curves/meltCurve_Q5W0H4_TPT1.pdf", "Melting_Curves/meltCurve_Q5W0H4_TPT1.pdf")</f>
        <v>Melting_Curves/meltCurve_Q5W0H4_TPT1.pdf</v>
      </c>
    </row>
    <row r="1646" spans="1:28" x14ac:dyDescent="0.25">
      <c r="A1646" t="s">
        <v>1650</v>
      </c>
      <c r="B1646">
        <v>1</v>
      </c>
      <c r="C1646">
        <v>1.1790968922318501</v>
      </c>
      <c r="D1646">
        <v>1.3777094503595699</v>
      </c>
      <c r="E1646">
        <v>1.3521713719411499</v>
      </c>
      <c r="F1646">
        <v>1.4078215129723299</v>
      </c>
      <c r="G1646">
        <v>1.31354661652225</v>
      </c>
      <c r="H1646">
        <v>1.3474703326302899</v>
      </c>
      <c r="I1646">
        <v>1.59194978781796</v>
      </c>
      <c r="J1646">
        <v>2.15767539958834</v>
      </c>
      <c r="K1646">
        <v>1.6008182349503199</v>
      </c>
      <c r="L1646">
        <v>662.24134935957397</v>
      </c>
      <c r="M1646">
        <v>14.7418337897694</v>
      </c>
      <c r="O1646">
        <v>44.120236489459103</v>
      </c>
      <c r="P1646">
        <v>4.1770581442087902E-2</v>
      </c>
      <c r="Q1646">
        <v>1.5</v>
      </c>
      <c r="R1646">
        <v>0.39351414804352702</v>
      </c>
      <c r="S1646" t="s">
        <v>3648</v>
      </c>
      <c r="T1646" t="s">
        <v>4002</v>
      </c>
      <c r="U1646" t="s">
        <v>4002</v>
      </c>
      <c r="V1646" t="s">
        <v>4002</v>
      </c>
      <c r="W1646" t="s">
        <v>5625</v>
      </c>
      <c r="X1646">
        <v>2</v>
      </c>
      <c r="Y1646" t="s">
        <v>7549</v>
      </c>
      <c r="Z1646" t="s">
        <v>9544</v>
      </c>
      <c r="AA1646">
        <v>1.401161712717736</v>
      </c>
      <c r="AB1646" t="str">
        <f>HYPERLINK("Melting_Curves/meltCurve_Q5W0J0_RAB18.pdf", "Melting_Curves/meltCurve_Q5W0J0_RAB18.pdf")</f>
        <v>Melting_Curves/meltCurve_Q5W0J0_RAB18.pdf</v>
      </c>
    </row>
    <row r="1647" spans="1:28" x14ac:dyDescent="0.25">
      <c r="A1647" t="s">
        <v>1651</v>
      </c>
      <c r="B1647">
        <v>1</v>
      </c>
      <c r="C1647">
        <v>1.2232313161088999</v>
      </c>
      <c r="D1647">
        <v>1.4846974163343201</v>
      </c>
      <c r="E1647">
        <v>1.67407230795908</v>
      </c>
      <c r="F1647">
        <v>1.89734697416334</v>
      </c>
      <c r="G1647">
        <v>3.02323565111843</v>
      </c>
      <c r="H1647">
        <v>1.8037324432113799</v>
      </c>
      <c r="I1647">
        <v>4.7123721172186599</v>
      </c>
      <c r="J1647">
        <v>1.7486994971388901</v>
      </c>
      <c r="K1647">
        <v>1.7614010750823601</v>
      </c>
      <c r="L1647">
        <v>2686.5303952650302</v>
      </c>
      <c r="M1647">
        <v>62.404385061340001</v>
      </c>
      <c r="O1647">
        <v>43.006187934038003</v>
      </c>
      <c r="P1647">
        <v>0.18138199336208999</v>
      </c>
      <c r="Q1647">
        <v>1.5</v>
      </c>
      <c r="R1647">
        <v>-0.23846929546491899</v>
      </c>
      <c r="S1647" t="s">
        <v>3649</v>
      </c>
      <c r="T1647" t="s">
        <v>4002</v>
      </c>
      <c r="U1647" t="s">
        <v>4002</v>
      </c>
      <c r="V1647" t="s">
        <v>4002</v>
      </c>
      <c r="W1647" t="s">
        <v>5626</v>
      </c>
      <c r="X1647">
        <v>1</v>
      </c>
      <c r="Y1647" t="s">
        <v>7550</v>
      </c>
      <c r="Z1647" t="s">
        <v>9545</v>
      </c>
      <c r="AA1647">
        <v>1.4484702505986471</v>
      </c>
      <c r="AB1647" t="str">
        <f>HYPERLINK("Melting_Curves/meltCurve_Q68CR8_DKFZp781M17165.pdf", "Melting_Curves/meltCurve_Q68CR8_DKFZp781M17165.pdf")</f>
        <v>Melting_Curves/meltCurve_Q68CR8_DKFZp781M17165.pdf</v>
      </c>
    </row>
    <row r="1648" spans="1:28" x14ac:dyDescent="0.25">
      <c r="A1648" t="s">
        <v>1652</v>
      </c>
      <c r="B1648">
        <v>1</v>
      </c>
      <c r="C1648">
        <v>1.030793599031</v>
      </c>
      <c r="D1648">
        <v>0.98996063450653404</v>
      </c>
      <c r="E1648">
        <v>0.94619272786564501</v>
      </c>
      <c r="F1648">
        <v>1.37147981644965</v>
      </c>
      <c r="G1648">
        <v>1.2181640306538399</v>
      </c>
      <c r="H1648">
        <v>1.05466912021616</v>
      </c>
      <c r="I1648">
        <v>1.4240292562484</v>
      </c>
      <c r="J1648">
        <v>1.15357201090121</v>
      </c>
      <c r="K1648">
        <v>1.14283384966574</v>
      </c>
      <c r="L1648">
        <v>12840.254590615399</v>
      </c>
      <c r="M1648">
        <v>250</v>
      </c>
      <c r="O1648">
        <v>51.357732967566001</v>
      </c>
      <c r="P1648">
        <v>0.276801233911736</v>
      </c>
      <c r="Q1648">
        <v>1.2274541353714401</v>
      </c>
      <c r="R1648">
        <v>0.556660211125519</v>
      </c>
      <c r="S1648" t="s">
        <v>3650</v>
      </c>
      <c r="T1648" t="s">
        <v>4002</v>
      </c>
      <c r="U1648" t="s">
        <v>4002</v>
      </c>
      <c r="V1648" t="s">
        <v>4002</v>
      </c>
      <c r="W1648" t="s">
        <v>5627</v>
      </c>
      <c r="X1648">
        <v>2</v>
      </c>
      <c r="Y1648" t="s">
        <v>7551</v>
      </c>
      <c r="Z1648" t="s">
        <v>9546</v>
      </c>
      <c r="AA1648">
        <v>1.1412966128729991</v>
      </c>
      <c r="AB1648" t="str">
        <f>HYPERLINK("Melting_Curves/meltCurve_Q6EMK4_VASN.pdf", "Melting_Curves/meltCurve_Q6EMK4_VASN.pdf")</f>
        <v>Melting_Curves/meltCurve_Q6EMK4_VASN.pdf</v>
      </c>
    </row>
    <row r="1649" spans="1:28" x14ac:dyDescent="0.25">
      <c r="A1649" t="s">
        <v>1653</v>
      </c>
      <c r="B1649">
        <v>1</v>
      </c>
      <c r="C1649">
        <v>0.97350127074301096</v>
      </c>
      <c r="D1649">
        <v>1.0595941097324</v>
      </c>
      <c r="E1649">
        <v>1.3326169831065899</v>
      </c>
      <c r="F1649">
        <v>1.3458289729406501</v>
      </c>
      <c r="G1649">
        <v>1.3496038271789501</v>
      </c>
      <c r="H1649">
        <v>1.34369860965765</v>
      </c>
      <c r="I1649">
        <v>1.4045821497981801</v>
      </c>
      <c r="J1649">
        <v>1.29722305277321</v>
      </c>
      <c r="K1649">
        <v>1.2757325459710001</v>
      </c>
      <c r="L1649">
        <v>4536.1215512979597</v>
      </c>
      <c r="M1649">
        <v>97.076883502496202</v>
      </c>
      <c r="O1649">
        <v>46.7072839650871</v>
      </c>
      <c r="P1649">
        <v>0.17442928252197101</v>
      </c>
      <c r="Q1649">
        <v>1.33569753036059</v>
      </c>
      <c r="R1649">
        <v>0.95371056197344195</v>
      </c>
      <c r="S1649" t="s">
        <v>3651</v>
      </c>
      <c r="T1649" t="s">
        <v>4002</v>
      </c>
      <c r="U1649" t="s">
        <v>4002</v>
      </c>
      <c r="V1649" t="s">
        <v>4002</v>
      </c>
      <c r="W1649" t="s">
        <v>5628</v>
      </c>
      <c r="X1649">
        <v>2</v>
      </c>
      <c r="Y1649" t="s">
        <v>7552</v>
      </c>
      <c r="Z1649" t="s">
        <v>9547</v>
      </c>
      <c r="AA1649">
        <v>1.2602389972770931</v>
      </c>
      <c r="AB1649" t="str">
        <f>HYPERLINK("Melting_Curves/meltCurve_Q6GMV3_PTRHD1.pdf", "Melting_Curves/meltCurve_Q6GMV3_PTRHD1.pdf")</f>
        <v>Melting_Curves/meltCurve_Q6GMV3_PTRHD1.pdf</v>
      </c>
    </row>
    <row r="1650" spans="1:28" x14ac:dyDescent="0.25">
      <c r="A1650" t="s">
        <v>1654</v>
      </c>
      <c r="B1650">
        <v>1</v>
      </c>
      <c r="C1650">
        <v>0.85308690523004305</v>
      </c>
      <c r="D1650">
        <v>0.80570192685804198</v>
      </c>
      <c r="E1650">
        <v>0.74738497837200202</v>
      </c>
      <c r="F1650">
        <v>0.664058198977586</v>
      </c>
      <c r="G1650">
        <v>0.68505701926857998</v>
      </c>
      <c r="H1650">
        <v>0.74451435312622904</v>
      </c>
      <c r="I1650">
        <v>0.685764844671648</v>
      </c>
      <c r="J1650">
        <v>0.65898545025560396</v>
      </c>
      <c r="K1650">
        <v>0.64243020055053102</v>
      </c>
      <c r="L1650">
        <v>755.540570050881</v>
      </c>
      <c r="M1650">
        <v>16.964304271430901</v>
      </c>
      <c r="O1650">
        <v>43.9320175001045</v>
      </c>
      <c r="P1650">
        <v>-3.1079736324661999E-2</v>
      </c>
      <c r="Q1650">
        <v>0.67807449986430102</v>
      </c>
      <c r="R1650">
        <v>0.904701756696773</v>
      </c>
      <c r="S1650" t="s">
        <v>3652</v>
      </c>
      <c r="T1650" t="s">
        <v>4002</v>
      </c>
      <c r="U1650" t="s">
        <v>4002</v>
      </c>
      <c r="V1650" t="s">
        <v>4002</v>
      </c>
      <c r="W1650" t="s">
        <v>5629</v>
      </c>
      <c r="X1650">
        <v>4</v>
      </c>
      <c r="Y1650" t="s">
        <v>7553</v>
      </c>
      <c r="Z1650" t="s">
        <v>9548</v>
      </c>
      <c r="AA1650">
        <v>0.73514155807109582</v>
      </c>
      <c r="AB1650" t="str">
        <f>HYPERLINK("Melting_Curves/meltCurve_Q6MZM9_C4orf40.pdf", "Melting_Curves/meltCurve_Q6MZM9_C4orf40.pdf")</f>
        <v>Melting_Curves/meltCurve_Q6MZM9_C4orf40.pdf</v>
      </c>
    </row>
    <row r="1651" spans="1:28" x14ac:dyDescent="0.25">
      <c r="A1651" t="s">
        <v>1655</v>
      </c>
      <c r="B1651">
        <v>1</v>
      </c>
      <c r="C1651">
        <v>0.837137876649788</v>
      </c>
      <c r="D1651">
        <v>0.93600066406574201</v>
      </c>
      <c r="E1651">
        <v>0.91068315763260599</v>
      </c>
      <c r="F1651">
        <v>1.23142691126422</v>
      </c>
      <c r="G1651">
        <v>1.79912011289118</v>
      </c>
      <c r="H1651">
        <v>1.5349049555906</v>
      </c>
      <c r="I1651">
        <v>2.0630862455383099</v>
      </c>
      <c r="J1651">
        <v>1.7825184693284599</v>
      </c>
      <c r="K1651">
        <v>1.4773802606458</v>
      </c>
      <c r="L1651">
        <v>13257.8895552867</v>
      </c>
      <c r="M1651">
        <v>250</v>
      </c>
      <c r="O1651">
        <v>53.028164484998399</v>
      </c>
      <c r="P1651">
        <v>0.58930947921635102</v>
      </c>
      <c r="Q1651">
        <v>1.5</v>
      </c>
      <c r="R1651">
        <v>0.69220485570326196</v>
      </c>
      <c r="S1651" t="s">
        <v>3653</v>
      </c>
      <c r="T1651" t="s">
        <v>4002</v>
      </c>
      <c r="U1651" t="s">
        <v>4002</v>
      </c>
      <c r="V1651" t="s">
        <v>4002</v>
      </c>
      <c r="W1651" t="s">
        <v>5630</v>
      </c>
      <c r="X1651">
        <v>1</v>
      </c>
      <c r="Y1651" t="s">
        <v>7554</v>
      </c>
      <c r="Z1651" t="s">
        <v>9549</v>
      </c>
      <c r="AA1651">
        <v>1.2827608282012251</v>
      </c>
      <c r="AB1651" t="str">
        <f>HYPERLINK("Melting_Curves/meltCurve_Q6NVW1_EPHB2.pdf", "Melting_Curves/meltCurve_Q6NVW1_EPHB2.pdf")</f>
        <v>Melting_Curves/meltCurve_Q6NVW1_EPHB2.pdf</v>
      </c>
    </row>
    <row r="1652" spans="1:28" x14ac:dyDescent="0.25">
      <c r="A1652" t="s">
        <v>1656</v>
      </c>
      <c r="B1652">
        <v>1</v>
      </c>
      <c r="C1652">
        <v>0.94587033822612498</v>
      </c>
      <c r="D1652">
        <v>0.89089806029761198</v>
      </c>
      <c r="E1652">
        <v>1.10918620131785</v>
      </c>
      <c r="F1652">
        <v>1.0719088626367099</v>
      </c>
      <c r="G1652">
        <v>0.96071723487082705</v>
      </c>
      <c r="H1652">
        <v>0.624547093816883</v>
      </c>
      <c r="I1652">
        <v>1.01754326833954</v>
      </c>
      <c r="J1652">
        <v>0.69200694315711397</v>
      </c>
      <c r="K1652">
        <v>0.82495492003572701</v>
      </c>
      <c r="L1652">
        <v>14333.824205557599</v>
      </c>
      <c r="M1652">
        <v>250</v>
      </c>
      <c r="O1652">
        <v>57.331627958791501</v>
      </c>
      <c r="P1652">
        <v>-0.229189521210725</v>
      </c>
      <c r="Q1652">
        <v>0.78976306724204504</v>
      </c>
      <c r="R1652">
        <v>0.46031656078777999</v>
      </c>
      <c r="S1652" t="s">
        <v>3654</v>
      </c>
      <c r="T1652" t="s">
        <v>4002</v>
      </c>
      <c r="U1652" t="s">
        <v>4002</v>
      </c>
      <c r="V1652" t="s">
        <v>4002</v>
      </c>
      <c r="W1652" t="s">
        <v>5631</v>
      </c>
      <c r="X1652">
        <v>1</v>
      </c>
      <c r="Y1652" t="s">
        <v>7555</v>
      </c>
      <c r="Z1652" t="s">
        <v>9550</v>
      </c>
      <c r="AA1652">
        <v>0.91126820956422583</v>
      </c>
      <c r="AB1652" t="str">
        <f>HYPERLINK("Melting_Curves/meltCurve_Q6NX70_SCGB2A2.pdf", "Melting_Curves/meltCurve_Q6NX70_SCGB2A2.pdf")</f>
        <v>Melting_Curves/meltCurve_Q6NX70_SCGB2A2.pdf</v>
      </c>
    </row>
    <row r="1653" spans="1:28" x14ac:dyDescent="0.25">
      <c r="A1653" t="s">
        <v>1657</v>
      </c>
      <c r="B1653">
        <v>1</v>
      </c>
      <c r="C1653">
        <v>0.909175401456085</v>
      </c>
      <c r="D1653">
        <v>1.0762121133887499</v>
      </c>
      <c r="E1653">
        <v>1.12340579335984</v>
      </c>
      <c r="F1653">
        <v>1.08338927040843</v>
      </c>
      <c r="G1653">
        <v>1.10393969122735</v>
      </c>
      <c r="H1653">
        <v>0.89451128207776098</v>
      </c>
      <c r="I1653">
        <v>1.3208034285124199</v>
      </c>
      <c r="J1653">
        <v>1.0407910362988599</v>
      </c>
      <c r="K1653">
        <v>1.07786440852997</v>
      </c>
      <c r="L1653">
        <v>11427.875909263201</v>
      </c>
      <c r="M1653">
        <v>250</v>
      </c>
      <c r="O1653">
        <v>45.708578449427698</v>
      </c>
      <c r="P1653">
        <v>0.12593465754042599</v>
      </c>
      <c r="Q1653">
        <v>1.09210070657956</v>
      </c>
      <c r="R1653">
        <v>0.19738305747741</v>
      </c>
      <c r="S1653" t="s">
        <v>3655</v>
      </c>
      <c r="T1653" t="s">
        <v>4002</v>
      </c>
      <c r="U1653" t="s">
        <v>4002</v>
      </c>
      <c r="V1653" t="s">
        <v>4002</v>
      </c>
      <c r="W1653" t="s">
        <v>5632</v>
      </c>
      <c r="X1653">
        <v>5</v>
      </c>
      <c r="Y1653" t="s">
        <v>7556</v>
      </c>
      <c r="Z1653" t="s">
        <v>9551</v>
      </c>
      <c r="AA1653">
        <v>1.074558867299843</v>
      </c>
      <c r="AB1653" t="str">
        <f>HYPERLINK("Melting_Curves/meltCurve_Q6NYC8_PPP1R18.pdf", "Melting_Curves/meltCurve_Q6NYC8_PPP1R18.pdf")</f>
        <v>Melting_Curves/meltCurve_Q6NYC8_PPP1R18.pdf</v>
      </c>
    </row>
    <row r="1654" spans="1:28" x14ac:dyDescent="0.25">
      <c r="A1654" t="s">
        <v>1658</v>
      </c>
      <c r="B1654">
        <v>1</v>
      </c>
      <c r="C1654">
        <v>0.92319790017137005</v>
      </c>
      <c r="D1654">
        <v>0.94530250113885295</v>
      </c>
      <c r="E1654">
        <v>0.94002039089784994</v>
      </c>
      <c r="F1654">
        <v>0.85453046703833102</v>
      </c>
      <c r="G1654">
        <v>0.88777413826764096</v>
      </c>
      <c r="H1654">
        <v>0.85446538970476604</v>
      </c>
      <c r="I1654">
        <v>0.889617996051975</v>
      </c>
      <c r="J1654">
        <v>0.86142866439619104</v>
      </c>
      <c r="K1654">
        <v>0.81187227488665703</v>
      </c>
      <c r="L1654">
        <v>321.17644846752802</v>
      </c>
      <c r="M1654">
        <v>6.2932180110663998</v>
      </c>
      <c r="O1654">
        <v>46.608951115678302</v>
      </c>
      <c r="P1654">
        <v>-6.2854751187320099E-3</v>
      </c>
      <c r="Q1654">
        <v>0.81430035550010804</v>
      </c>
      <c r="R1654">
        <v>0.74946855382335698</v>
      </c>
      <c r="S1654" t="s">
        <v>3656</v>
      </c>
      <c r="T1654" t="s">
        <v>4002</v>
      </c>
      <c r="U1654" t="s">
        <v>4002</v>
      </c>
      <c r="V1654" t="s">
        <v>4002</v>
      </c>
      <c r="W1654" t="s">
        <v>5633</v>
      </c>
      <c r="X1654">
        <v>2</v>
      </c>
      <c r="Y1654" t="s">
        <v>7557</v>
      </c>
      <c r="Z1654" t="s">
        <v>9552</v>
      </c>
      <c r="AA1654">
        <v>0.8948193747558848</v>
      </c>
      <c r="AB1654" t="str">
        <f>HYPERLINK("Melting_Curves/meltCurve_Q6P163_APOC2.pdf", "Melting_Curves/meltCurve_Q6P163_APOC2.pdf")</f>
        <v>Melting_Curves/meltCurve_Q6P163_APOC2.pdf</v>
      </c>
    </row>
    <row r="1655" spans="1:28" x14ac:dyDescent="0.25">
      <c r="A1655" t="s">
        <v>1659</v>
      </c>
      <c r="B1655">
        <v>1</v>
      </c>
      <c r="C1655">
        <v>0.87033072654987098</v>
      </c>
      <c r="D1655">
        <v>1.0980820481453999</v>
      </c>
      <c r="E1655">
        <v>1.0230678491852001</v>
      </c>
      <c r="F1655">
        <v>1.0601599021364001</v>
      </c>
      <c r="G1655">
        <v>1.2094455852156101</v>
      </c>
      <c r="H1655">
        <v>1.1452225960068201</v>
      </c>
      <c r="I1655">
        <v>0.92332561492419896</v>
      </c>
      <c r="J1655">
        <v>7.9680195727205199</v>
      </c>
      <c r="K1655">
        <v>1.03613089256848</v>
      </c>
      <c r="L1655">
        <v>15000</v>
      </c>
      <c r="M1655">
        <v>231.26781371398999</v>
      </c>
      <c r="O1655">
        <v>64.855019831309207</v>
      </c>
      <c r="P1655">
        <v>0.44574001300014499</v>
      </c>
      <c r="Q1655">
        <v>1.5</v>
      </c>
      <c r="R1655">
        <v>2.5832490186936501E-2</v>
      </c>
      <c r="S1655" t="s">
        <v>3657</v>
      </c>
      <c r="T1655" t="s">
        <v>4002</v>
      </c>
      <c r="U1655" t="s">
        <v>4002</v>
      </c>
      <c r="V1655" t="s">
        <v>4002</v>
      </c>
      <c r="W1655" t="s">
        <v>4108</v>
      </c>
      <c r="X1655">
        <v>1</v>
      </c>
      <c r="Y1655" t="s">
        <v>7558</v>
      </c>
      <c r="Z1655" t="s">
        <v>9553</v>
      </c>
      <c r="AA1655">
        <v>1.08560234781293</v>
      </c>
      <c r="AB1655" t="str">
        <f>HYPERLINK("Melting_Curves/meltCurve_Q6P452_ANXA4.pdf", "Melting_Curves/meltCurve_Q6P452_ANXA4.pdf")</f>
        <v>Melting_Curves/meltCurve_Q6P452_ANXA4.pdf</v>
      </c>
    </row>
    <row r="1656" spans="1:28" x14ac:dyDescent="0.25">
      <c r="A1656" t="s">
        <v>1660</v>
      </c>
      <c r="B1656">
        <v>1</v>
      </c>
      <c r="C1656">
        <v>1.02332574297892</v>
      </c>
      <c r="D1656">
        <v>1.22562328487184</v>
      </c>
      <c r="E1656">
        <v>1.5493081100017501</v>
      </c>
      <c r="F1656">
        <v>1.56448881882408</v>
      </c>
      <c r="G1656">
        <v>1.78037601448006</v>
      </c>
      <c r="H1656">
        <v>1.46596017983301</v>
      </c>
      <c r="I1656">
        <v>2.4775208734746301</v>
      </c>
      <c r="J1656">
        <v>1.9981607987388299</v>
      </c>
      <c r="K1656">
        <v>1.95305657733403</v>
      </c>
      <c r="L1656">
        <v>7378.4267949668601</v>
      </c>
      <c r="M1656">
        <v>160.20495844749399</v>
      </c>
      <c r="O1656">
        <v>46.049002799187598</v>
      </c>
      <c r="P1656">
        <v>0.43487638372362802</v>
      </c>
      <c r="Q1656">
        <v>1.5</v>
      </c>
      <c r="R1656">
        <v>0.22897997640214399</v>
      </c>
      <c r="S1656" t="s">
        <v>3658</v>
      </c>
      <c r="T1656" t="s">
        <v>4002</v>
      </c>
      <c r="U1656" t="s">
        <v>4002</v>
      </c>
      <c r="V1656" t="s">
        <v>4002</v>
      </c>
      <c r="W1656" t="s">
        <v>5634</v>
      </c>
      <c r="X1656">
        <v>2</v>
      </c>
      <c r="Y1656" t="s">
        <v>7559</v>
      </c>
      <c r="Z1656" t="s">
        <v>9554</v>
      </c>
      <c r="AA1656">
        <v>1.3989653881736239</v>
      </c>
      <c r="AB1656" t="str">
        <f>HYPERLINK("Melting_Curves/meltCurve_Q6P4A8_PLBD1.pdf", "Melting_Curves/meltCurve_Q6P4A8_PLBD1.pdf")</f>
        <v>Melting_Curves/meltCurve_Q6P4A8_PLBD1.pdf</v>
      </c>
    </row>
    <row r="1657" spans="1:28" x14ac:dyDescent="0.25">
      <c r="A1657" t="s">
        <v>1661</v>
      </c>
      <c r="B1657">
        <v>1</v>
      </c>
      <c r="C1657">
        <v>0.93851519359318003</v>
      </c>
      <c r="D1657">
        <v>1.1492879516905099</v>
      </c>
      <c r="E1657">
        <v>1.18039633588444</v>
      </c>
      <c r="F1657">
        <v>1.0937449543061999</v>
      </c>
      <c r="G1657">
        <v>1.2696311126898501</v>
      </c>
      <c r="H1657">
        <v>1.3005242139481801</v>
      </c>
      <c r="I1657">
        <v>1.37501210966513</v>
      </c>
      <c r="J1657">
        <v>0.99961249071592295</v>
      </c>
      <c r="K1657">
        <v>1.2284044305228099</v>
      </c>
      <c r="L1657">
        <v>11456.090059870599</v>
      </c>
      <c r="M1657">
        <v>250</v>
      </c>
      <c r="O1657">
        <v>45.8214276814263</v>
      </c>
      <c r="P1657">
        <v>0.28201981326581599</v>
      </c>
      <c r="Q1657">
        <v>1.20676080787482</v>
      </c>
      <c r="R1657">
        <v>0.45786668632990002</v>
      </c>
      <c r="S1657" t="s">
        <v>3659</v>
      </c>
      <c r="T1657" t="s">
        <v>4002</v>
      </c>
      <c r="U1657" t="s">
        <v>4002</v>
      </c>
      <c r="V1657" t="s">
        <v>4002</v>
      </c>
      <c r="W1657" t="s">
        <v>5635</v>
      </c>
      <c r="X1657">
        <v>11</v>
      </c>
      <c r="Y1657" t="s">
        <v>7560</v>
      </c>
      <c r="Z1657" t="s">
        <v>9555</v>
      </c>
      <c r="AA1657">
        <v>1.1666025323401741</v>
      </c>
      <c r="AB1657" t="str">
        <f>HYPERLINK("Melting_Curves/meltCurve_Q6P5S2_C6orf58.pdf", "Melting_Curves/meltCurve_Q6P5S2_C6orf58.pdf")</f>
        <v>Melting_Curves/meltCurve_Q6P5S2_C6orf58.pdf</v>
      </c>
    </row>
    <row r="1658" spans="1:28" x14ac:dyDescent="0.25">
      <c r="A1658" t="s">
        <v>1662</v>
      </c>
      <c r="B1658">
        <v>1</v>
      </c>
      <c r="C1658">
        <v>0.62060875079264399</v>
      </c>
      <c r="D1658">
        <v>0.64235890932149697</v>
      </c>
      <c r="E1658">
        <v>0.68256182625237805</v>
      </c>
      <c r="F1658">
        <v>0.74741069541323202</v>
      </c>
      <c r="G1658">
        <v>0.72959205242020697</v>
      </c>
      <c r="H1658">
        <v>0.71253434791798798</v>
      </c>
      <c r="I1658">
        <v>0.74263369266539803</v>
      </c>
      <c r="J1658">
        <v>0.76267173958993895</v>
      </c>
      <c r="K1658">
        <v>0.73024730500951196</v>
      </c>
      <c r="L1658">
        <v>10247.876214268499</v>
      </c>
      <c r="M1658">
        <v>250</v>
      </c>
      <c r="O1658">
        <v>40.988881664954199</v>
      </c>
      <c r="P1658">
        <v>-0.44547691970933401</v>
      </c>
      <c r="Q1658">
        <v>0.707846388344616</v>
      </c>
      <c r="R1658">
        <v>0.79905877143017601</v>
      </c>
      <c r="S1658" t="s">
        <v>3660</v>
      </c>
      <c r="T1658" t="s">
        <v>4002</v>
      </c>
      <c r="U1658" t="s">
        <v>4002</v>
      </c>
      <c r="V1658" t="s">
        <v>4002</v>
      </c>
      <c r="W1658" t="s">
        <v>5636</v>
      </c>
      <c r="X1658">
        <v>1</v>
      </c>
      <c r="Y1658" t="s">
        <v>7561</v>
      </c>
      <c r="Z1658" t="s">
        <v>9556</v>
      </c>
      <c r="AA1658">
        <v>0.71752619810274287</v>
      </c>
      <c r="AB1658" t="str">
        <f>HYPERLINK("Melting_Curves/meltCurve_Q6PL18_ATAD2.pdf", "Melting_Curves/meltCurve_Q6PL18_ATAD2.pdf")</f>
        <v>Melting_Curves/meltCurve_Q6PL18_ATAD2.pdf</v>
      </c>
    </row>
    <row r="1659" spans="1:28" x14ac:dyDescent="0.25">
      <c r="A1659" t="s">
        <v>1663</v>
      </c>
      <c r="B1659">
        <v>1</v>
      </c>
      <c r="C1659">
        <v>0.90455163986781095</v>
      </c>
      <c r="D1659">
        <v>1.01885639701186</v>
      </c>
      <c r="E1659">
        <v>0.93773778777527805</v>
      </c>
      <c r="F1659">
        <v>0.98803077008525697</v>
      </c>
      <c r="G1659">
        <v>0.89352661834541403</v>
      </c>
      <c r="H1659">
        <v>1.05740231608764</v>
      </c>
      <c r="I1659">
        <v>1.0916437557277301</v>
      </c>
      <c r="J1659">
        <v>1.13105057069066</v>
      </c>
      <c r="K1659">
        <v>0.93709905856869102</v>
      </c>
      <c r="S1659" t="s">
        <v>3661</v>
      </c>
      <c r="T1659" t="s">
        <v>4002</v>
      </c>
      <c r="U1659" t="s">
        <v>4003</v>
      </c>
      <c r="V1659" t="s">
        <v>4002</v>
      </c>
      <c r="W1659" t="s">
        <v>5637</v>
      </c>
      <c r="X1659">
        <v>1</v>
      </c>
      <c r="Y1659" t="s">
        <v>7562</v>
      </c>
      <c r="Z1659" t="s">
        <v>9557</v>
      </c>
      <c r="AB1659" t="str">
        <f>HYPERLINK("Melting_Curves/meltCurve_Q6PL24_TMED8.pdf", "Melting_Curves/meltCurve_Q6PL24_TMED8.pdf")</f>
        <v>Melting_Curves/meltCurve_Q6PL24_TMED8.pdf</v>
      </c>
    </row>
    <row r="1660" spans="1:28" x14ac:dyDescent="0.25">
      <c r="A1660" t="s">
        <v>1664</v>
      </c>
      <c r="B1660">
        <v>1</v>
      </c>
      <c r="C1660">
        <v>1.0138921871289499</v>
      </c>
      <c r="D1660">
        <v>0.98715269532177596</v>
      </c>
      <c r="E1660">
        <v>1.07437663262883</v>
      </c>
      <c r="F1660">
        <v>0.89684160531940105</v>
      </c>
      <c r="G1660">
        <v>0.86240797910235101</v>
      </c>
      <c r="H1660">
        <v>0.66328663025409595</v>
      </c>
      <c r="I1660">
        <v>0.89605794348135803</v>
      </c>
      <c r="J1660">
        <v>0.87651389218712905</v>
      </c>
      <c r="K1660">
        <v>0.72716694371883195</v>
      </c>
      <c r="L1660">
        <v>13243.7914740659</v>
      </c>
      <c r="M1660">
        <v>250</v>
      </c>
      <c r="O1660">
        <v>52.971800415152103</v>
      </c>
      <c r="P1660">
        <v>-0.229973092833057</v>
      </c>
      <c r="Q1660">
        <v>0.805086669619687</v>
      </c>
      <c r="R1660">
        <v>0.67265042220268501</v>
      </c>
      <c r="S1660" t="s">
        <v>3662</v>
      </c>
      <c r="T1660" t="s">
        <v>4002</v>
      </c>
      <c r="U1660" t="s">
        <v>4002</v>
      </c>
      <c r="V1660" t="s">
        <v>4002</v>
      </c>
      <c r="W1660" t="s">
        <v>5638</v>
      </c>
      <c r="X1660">
        <v>1</v>
      </c>
      <c r="Y1660" t="s">
        <v>7563</v>
      </c>
      <c r="Z1660" t="s">
        <v>9558</v>
      </c>
      <c r="AA1660">
        <v>0.88940588406326393</v>
      </c>
      <c r="AB1660" t="str">
        <f>HYPERLINK("Melting_Curves/meltCurve_Q6RW13_2_AGTRAP.pdf", "Melting_Curves/meltCurve_Q6RW13_2_AGTRAP.pdf")</f>
        <v>Melting_Curves/meltCurve_Q6RW13_2_AGTRAP.pdf</v>
      </c>
    </row>
    <row r="1661" spans="1:28" x14ac:dyDescent="0.25">
      <c r="A1661" t="s">
        <v>1665</v>
      </c>
      <c r="B1661">
        <v>1</v>
      </c>
      <c r="C1661">
        <v>0.93848314606741601</v>
      </c>
      <c r="D1661">
        <v>1.0697565543071199</v>
      </c>
      <c r="E1661">
        <v>1.1343632958801499</v>
      </c>
      <c r="F1661">
        <v>0.95917602996254703</v>
      </c>
      <c r="G1661">
        <v>0.97696629213483099</v>
      </c>
      <c r="H1661">
        <v>0.82067415730337101</v>
      </c>
      <c r="I1661">
        <v>1.07359550561798</v>
      </c>
      <c r="J1661">
        <v>0.81777153558052396</v>
      </c>
      <c r="K1661">
        <v>0.789316479400749</v>
      </c>
      <c r="L1661">
        <v>855.95721430753497</v>
      </c>
      <c r="M1661">
        <v>10.9114702811779</v>
      </c>
      <c r="Q1661">
        <v>0</v>
      </c>
      <c r="R1661">
        <v>0.423985775814538</v>
      </c>
      <c r="S1661" t="s">
        <v>3663</v>
      </c>
      <c r="T1661" t="s">
        <v>4002</v>
      </c>
      <c r="U1661" t="s">
        <v>4002</v>
      </c>
      <c r="V1661" t="s">
        <v>4002</v>
      </c>
      <c r="W1661" t="s">
        <v>5639</v>
      </c>
      <c r="X1661">
        <v>46</v>
      </c>
      <c r="Y1661" t="s">
        <v>7564</v>
      </c>
      <c r="Z1661" t="s">
        <v>9559</v>
      </c>
      <c r="AA1661">
        <v>0.96103259889138404</v>
      </c>
      <c r="AB1661" t="str">
        <f>HYPERLINK("Melting_Curves/meltCurve_Q6UWP8_SBSN.pdf", "Melting_Curves/meltCurve_Q6UWP8_SBSN.pdf")</f>
        <v>Melting_Curves/meltCurve_Q6UWP8_SBSN.pdf</v>
      </c>
    </row>
    <row r="1662" spans="1:28" x14ac:dyDescent="0.25">
      <c r="A1662" t="s">
        <v>1666</v>
      </c>
      <c r="B1662">
        <v>1</v>
      </c>
      <c r="C1662">
        <v>0.91651351648524304</v>
      </c>
      <c r="D1662">
        <v>0.97661121844713605</v>
      </c>
      <c r="E1662">
        <v>1.12951007649655</v>
      </c>
      <c r="F1662">
        <v>1.00284309567567</v>
      </c>
      <c r="G1662">
        <v>0.98944441826492602</v>
      </c>
      <c r="H1662">
        <v>0.78031195513877805</v>
      </c>
      <c r="I1662">
        <v>1.05976784003267</v>
      </c>
      <c r="J1662">
        <v>0.67467759923346404</v>
      </c>
      <c r="K1662">
        <v>0.80860154249721194</v>
      </c>
      <c r="L1662">
        <v>1056.5919331228499</v>
      </c>
      <c r="M1662">
        <v>16.337697925216901</v>
      </c>
      <c r="O1662">
        <v>63.7263831247881</v>
      </c>
      <c r="P1662">
        <v>-1.9107679738170898E-2</v>
      </c>
      <c r="Q1662">
        <v>0.701897898378119</v>
      </c>
      <c r="R1662">
        <v>0.411966766410374</v>
      </c>
      <c r="S1662" t="s">
        <v>3664</v>
      </c>
      <c r="T1662" t="s">
        <v>4002</v>
      </c>
      <c r="U1662" t="s">
        <v>4002</v>
      </c>
      <c r="V1662" t="s">
        <v>4002</v>
      </c>
      <c r="W1662" t="s">
        <v>5640</v>
      </c>
      <c r="X1662">
        <v>22</v>
      </c>
      <c r="Y1662" t="s">
        <v>7564</v>
      </c>
      <c r="Z1662" t="s">
        <v>9560</v>
      </c>
      <c r="AA1662">
        <v>0.94164303158433538</v>
      </c>
      <c r="AB1662" t="str">
        <f>HYPERLINK("Melting_Curves/meltCurve_Q6UWP8_2_SBSN.pdf", "Melting_Curves/meltCurve_Q6UWP8_2_SBSN.pdf")</f>
        <v>Melting_Curves/meltCurve_Q6UWP8_2_SBSN.pdf</v>
      </c>
    </row>
    <row r="1663" spans="1:28" x14ac:dyDescent="0.25">
      <c r="A1663" t="s">
        <v>1667</v>
      </c>
      <c r="B1663">
        <v>1</v>
      </c>
      <c r="C1663">
        <v>0.96155649320206305</v>
      </c>
      <c r="D1663">
        <v>1.11992498827942</v>
      </c>
      <c r="E1663">
        <v>1.19043600562588</v>
      </c>
      <c r="F1663">
        <v>1.75611814345992</v>
      </c>
      <c r="G1663">
        <v>2.3127988748241899</v>
      </c>
      <c r="H1663">
        <v>2.0937646507266798</v>
      </c>
      <c r="I1663">
        <v>2.69760900140647</v>
      </c>
      <c r="J1663">
        <v>2.2784810126582302</v>
      </c>
      <c r="K1663">
        <v>2.3045475855602402</v>
      </c>
      <c r="L1663">
        <v>12524.2919400061</v>
      </c>
      <c r="M1663">
        <v>250</v>
      </c>
      <c r="O1663">
        <v>50.093961189729498</v>
      </c>
      <c r="P1663">
        <v>0.62382768037798897</v>
      </c>
      <c r="Q1663">
        <v>1.5</v>
      </c>
      <c r="R1663">
        <v>7.1132971484234604E-3</v>
      </c>
      <c r="S1663" t="s">
        <v>3665</v>
      </c>
      <c r="T1663" t="s">
        <v>4002</v>
      </c>
      <c r="U1663" t="s">
        <v>4002</v>
      </c>
      <c r="V1663" t="s">
        <v>4002</v>
      </c>
      <c r="W1663" t="s">
        <v>5641</v>
      </c>
      <c r="X1663">
        <v>1</v>
      </c>
      <c r="Y1663" t="s">
        <v>7565</v>
      </c>
      <c r="Z1663" t="s">
        <v>9561</v>
      </c>
      <c r="AA1663">
        <v>1.331669910791393</v>
      </c>
      <c r="AB1663" t="str">
        <f>HYPERLINK("Melting_Curves/meltCurve_Q6UWY2_PRSS57.pdf", "Melting_Curves/meltCurve_Q6UWY2_PRSS57.pdf")</f>
        <v>Melting_Curves/meltCurve_Q6UWY2_PRSS57.pdf</v>
      </c>
    </row>
    <row r="1664" spans="1:28" x14ac:dyDescent="0.25">
      <c r="A1664" t="s">
        <v>1668</v>
      </c>
      <c r="B1664">
        <v>1</v>
      </c>
      <c r="C1664">
        <v>0.73324795902033002</v>
      </c>
      <c r="D1664">
        <v>0.668576916920122</v>
      </c>
      <c r="E1664">
        <v>0.52767728509684697</v>
      </c>
      <c r="F1664">
        <v>0.55597886985753198</v>
      </c>
      <c r="G1664">
        <v>0.53744197214663003</v>
      </c>
      <c r="H1664">
        <v>0.55828397630862803</v>
      </c>
      <c r="I1664">
        <v>0.75805986873699405</v>
      </c>
      <c r="J1664">
        <v>0.80653113494477302</v>
      </c>
      <c r="K1664">
        <v>0.60089643028653805</v>
      </c>
      <c r="L1664">
        <v>2737.0399893499898</v>
      </c>
      <c r="M1664">
        <v>64.687721069195504</v>
      </c>
      <c r="O1664">
        <v>42.271203078168199</v>
      </c>
      <c r="P1664">
        <v>-0.14299194068284901</v>
      </c>
      <c r="Q1664">
        <v>0.62623883366847499</v>
      </c>
      <c r="R1664">
        <v>0.61681497489211701</v>
      </c>
      <c r="S1664" t="s">
        <v>3666</v>
      </c>
      <c r="T1664" t="s">
        <v>4002</v>
      </c>
      <c r="U1664" t="s">
        <v>4002</v>
      </c>
      <c r="V1664" t="s">
        <v>4002</v>
      </c>
      <c r="W1664" t="s">
        <v>5642</v>
      </c>
      <c r="X1664">
        <v>1</v>
      </c>
      <c r="Y1664" t="s">
        <v>7566</v>
      </c>
      <c r="Z1664" t="s">
        <v>9562</v>
      </c>
      <c r="AA1664">
        <v>0.65562045469535535</v>
      </c>
      <c r="AB1664" t="str">
        <f>HYPERLINK("Melting_Curves/meltCurve_Q6UXB0_3_FAM131A.pdf", "Melting_Curves/meltCurve_Q6UXB0_3_FAM131A.pdf")</f>
        <v>Melting_Curves/meltCurve_Q6UXB0_3_FAM131A.pdf</v>
      </c>
    </row>
    <row r="1665" spans="1:28" x14ac:dyDescent="0.25">
      <c r="A1665" t="s">
        <v>1669</v>
      </c>
      <c r="B1665">
        <v>1</v>
      </c>
      <c r="C1665">
        <v>1.05765449811361</v>
      </c>
      <c r="D1665">
        <v>1.14534512992189</v>
      </c>
      <c r="E1665">
        <v>1.12826133163292</v>
      </c>
      <c r="F1665">
        <v>1.1182581433657499</v>
      </c>
      <c r="G1665">
        <v>1.2282666454115501</v>
      </c>
      <c r="H1665">
        <v>1.0151708379828901</v>
      </c>
      <c r="I1665">
        <v>1.3029650884744099</v>
      </c>
      <c r="J1665">
        <v>1.04677453637281</v>
      </c>
      <c r="K1665">
        <v>1.06025824964132</v>
      </c>
      <c r="L1665">
        <v>10735.1287167601</v>
      </c>
      <c r="M1665">
        <v>250</v>
      </c>
      <c r="O1665">
        <v>42.937766957639603</v>
      </c>
      <c r="P1665">
        <v>0.19019167948464599</v>
      </c>
      <c r="Q1665">
        <v>1.1306624960266001</v>
      </c>
      <c r="R1665">
        <v>0.21946817572388799</v>
      </c>
      <c r="S1665" t="s">
        <v>3667</v>
      </c>
      <c r="T1665" t="s">
        <v>4002</v>
      </c>
      <c r="U1665" t="s">
        <v>4002</v>
      </c>
      <c r="V1665" t="s">
        <v>4002</v>
      </c>
      <c r="W1665" t="s">
        <v>5643</v>
      </c>
      <c r="X1665">
        <v>1</v>
      </c>
      <c r="Y1665" t="s">
        <v>7567</v>
      </c>
      <c r="Z1665" t="s">
        <v>9563</v>
      </c>
      <c r="AA1665">
        <v>1.117845482231604</v>
      </c>
      <c r="AB1665" t="str">
        <f>HYPERLINK("Melting_Curves/meltCurve_Q6UXB3_LYPD2.pdf", "Melting_Curves/meltCurve_Q6UXB3_LYPD2.pdf")</f>
        <v>Melting_Curves/meltCurve_Q6UXB3_LYPD2.pdf</v>
      </c>
    </row>
    <row r="1666" spans="1:28" x14ac:dyDescent="0.25">
      <c r="A1666" t="s">
        <v>1670</v>
      </c>
      <c r="B1666">
        <v>1</v>
      </c>
      <c r="C1666">
        <v>1.03028541908821</v>
      </c>
      <c r="D1666">
        <v>1.0725171122304</v>
      </c>
      <c r="E1666">
        <v>1.1349606095828499</v>
      </c>
      <c r="F1666">
        <v>1.0380343536097101</v>
      </c>
      <c r="G1666">
        <v>1.07077360196306</v>
      </c>
      <c r="H1666">
        <v>0.86129407206509101</v>
      </c>
      <c r="I1666">
        <v>1.3179646131990199</v>
      </c>
      <c r="J1666">
        <v>1.0369365878858301</v>
      </c>
      <c r="K1666">
        <v>0.95382926514270905</v>
      </c>
      <c r="L1666">
        <v>10725.307604142499</v>
      </c>
      <c r="M1666">
        <v>250</v>
      </c>
      <c r="O1666">
        <v>42.8985019527886</v>
      </c>
      <c r="P1666">
        <v>8.8564865732933595E-2</v>
      </c>
      <c r="Q1666">
        <v>1.06078877713502</v>
      </c>
      <c r="R1666">
        <v>2.9628401465737201E-2</v>
      </c>
      <c r="S1666" t="s">
        <v>3668</v>
      </c>
      <c r="T1666" t="s">
        <v>4002</v>
      </c>
      <c r="U1666" t="s">
        <v>4002</v>
      </c>
      <c r="V1666" t="s">
        <v>4002</v>
      </c>
      <c r="W1666" t="s">
        <v>5644</v>
      </c>
      <c r="X1666">
        <v>3</v>
      </c>
      <c r="Y1666" t="s">
        <v>7568</v>
      </c>
      <c r="Z1666" t="s">
        <v>9564</v>
      </c>
      <c r="AA1666">
        <v>1.054905458643363</v>
      </c>
      <c r="AB1666" t="str">
        <f>HYPERLINK("Melting_Curves/meltCurve_Q6UXD5_6_SEZ6L2.pdf", "Melting_Curves/meltCurve_Q6UXD5_6_SEZ6L2.pdf")</f>
        <v>Melting_Curves/meltCurve_Q6UXD5_6_SEZ6L2.pdf</v>
      </c>
    </row>
    <row r="1667" spans="1:28" x14ac:dyDescent="0.25">
      <c r="A1667" t="s">
        <v>1671</v>
      </c>
      <c r="B1667">
        <v>1</v>
      </c>
      <c r="C1667">
        <v>0.83670492122155204</v>
      </c>
      <c r="D1667">
        <v>0.92817545224664499</v>
      </c>
      <c r="E1667">
        <v>1.22792258315503</v>
      </c>
      <c r="F1667">
        <v>0.968901964598327</v>
      </c>
      <c r="G1667">
        <v>1.1151526940284</v>
      </c>
      <c r="H1667">
        <v>0.94235070997860304</v>
      </c>
      <c r="I1667">
        <v>1.4166747714452399</v>
      </c>
      <c r="J1667">
        <v>0.97179537055047704</v>
      </c>
      <c r="K1667">
        <v>1.08976852752383</v>
      </c>
      <c r="L1667">
        <v>11968.2177803581</v>
      </c>
      <c r="M1667">
        <v>250</v>
      </c>
      <c r="O1667">
        <v>47.869807598357703</v>
      </c>
      <c r="P1667">
        <v>0.13663612615387399</v>
      </c>
      <c r="Q1667">
        <v>1.10465192094627</v>
      </c>
      <c r="R1667">
        <v>0.20041817622986599</v>
      </c>
      <c r="S1667" t="s">
        <v>3669</v>
      </c>
      <c r="T1667" t="s">
        <v>4002</v>
      </c>
      <c r="U1667" t="s">
        <v>4002</v>
      </c>
      <c r="V1667" t="s">
        <v>4002</v>
      </c>
      <c r="W1667" t="s">
        <v>5645</v>
      </c>
      <c r="X1667">
        <v>2</v>
      </c>
      <c r="Y1667" t="s">
        <v>7569</v>
      </c>
      <c r="Z1667" t="s">
        <v>9565</v>
      </c>
      <c r="AA1667">
        <v>1.0771794256214251</v>
      </c>
      <c r="AB1667" t="str">
        <f>HYPERLINK("Melting_Curves/meltCurve_Q6UXH1_4_CRELD2.pdf", "Melting_Curves/meltCurve_Q6UXH1_4_CRELD2.pdf")</f>
        <v>Melting_Curves/meltCurve_Q6UXH1_4_CRELD2.pdf</v>
      </c>
    </row>
    <row r="1668" spans="1:28" x14ac:dyDescent="0.25">
      <c r="A1668" t="s">
        <v>1672</v>
      </c>
      <c r="B1668">
        <v>1</v>
      </c>
      <c r="C1668">
        <v>0.94175805915586597</v>
      </c>
      <c r="D1668">
        <v>0.98562645397141901</v>
      </c>
      <c r="E1668">
        <v>1.0261714855433699</v>
      </c>
      <c r="F1668">
        <v>1.01304420073114</v>
      </c>
      <c r="G1668">
        <v>1.1120804253904999</v>
      </c>
      <c r="H1668">
        <v>1.0527583914921901</v>
      </c>
      <c r="I1668">
        <v>1.16650049850449</v>
      </c>
      <c r="J1668">
        <v>3.09845463609172</v>
      </c>
      <c r="K1668">
        <v>1.00240943835161</v>
      </c>
      <c r="L1668">
        <v>15000</v>
      </c>
      <c r="M1668">
        <v>233.68394216948599</v>
      </c>
      <c r="O1668">
        <v>64.184560860187801</v>
      </c>
      <c r="P1668">
        <v>0.45510153941746601</v>
      </c>
      <c r="Q1668">
        <v>1.5</v>
      </c>
      <c r="R1668">
        <v>0.27171759780270299</v>
      </c>
      <c r="S1668" t="s">
        <v>3670</v>
      </c>
      <c r="T1668" t="s">
        <v>4002</v>
      </c>
      <c r="U1668" t="s">
        <v>4002</v>
      </c>
      <c r="V1668" t="s">
        <v>4002</v>
      </c>
      <c r="W1668" t="s">
        <v>5646</v>
      </c>
      <c r="X1668">
        <v>22</v>
      </c>
      <c r="Y1668" t="s">
        <v>7570</v>
      </c>
      <c r="Z1668" t="s">
        <v>9566</v>
      </c>
      <c r="AA1668">
        <v>1.096781150665024</v>
      </c>
      <c r="AB1668" t="str">
        <f>HYPERLINK("Melting_Curves/meltCurve_Q6UYC3_LMNA.pdf", "Melting_Curves/meltCurve_Q6UYC3_LMNA.pdf")</f>
        <v>Melting_Curves/meltCurve_Q6UYC3_LMNA.pdf</v>
      </c>
    </row>
    <row r="1669" spans="1:28" x14ac:dyDescent="0.25">
      <c r="A1669" t="s">
        <v>1673</v>
      </c>
      <c r="B1669">
        <v>1</v>
      </c>
      <c r="C1669">
        <v>0.99894536353476404</v>
      </c>
      <c r="D1669">
        <v>1.1221174581687099</v>
      </c>
      <c r="E1669">
        <v>1.0744699271199001</v>
      </c>
      <c r="F1669">
        <v>0.94360056037400197</v>
      </c>
      <c r="G1669">
        <v>0.99079160698263802</v>
      </c>
      <c r="H1669">
        <v>0.64362731980670196</v>
      </c>
      <c r="I1669">
        <v>1.06592264949865</v>
      </c>
      <c r="J1669">
        <v>0.68719797257945203</v>
      </c>
      <c r="K1669">
        <v>0.720269483228132</v>
      </c>
      <c r="L1669">
        <v>786.40045530393502</v>
      </c>
      <c r="M1669">
        <v>12.2117613879588</v>
      </c>
      <c r="O1669">
        <v>62.743117475888702</v>
      </c>
      <c r="P1669">
        <v>-1.8399756564937999E-2</v>
      </c>
      <c r="Q1669">
        <v>0.62193887214377896</v>
      </c>
      <c r="R1669">
        <v>0.46352502205317703</v>
      </c>
      <c r="S1669" t="s">
        <v>3671</v>
      </c>
      <c r="T1669" t="s">
        <v>4002</v>
      </c>
      <c r="U1669" t="s">
        <v>4002</v>
      </c>
      <c r="V1669" t="s">
        <v>4002</v>
      </c>
      <c r="W1669" t="s">
        <v>5647</v>
      </c>
      <c r="X1669">
        <v>9</v>
      </c>
      <c r="Y1669" t="s">
        <v>7571</v>
      </c>
      <c r="Z1669" t="s">
        <v>9567</v>
      </c>
      <c r="AA1669">
        <v>0.91725163792981779</v>
      </c>
      <c r="AB1669" t="str">
        <f>HYPERLINK("Melting_Curves/meltCurve_Q6WKZ4_RAB11FIP1.pdf", "Melting_Curves/meltCurve_Q6WKZ4_RAB11FIP1.pdf")</f>
        <v>Melting_Curves/meltCurve_Q6WKZ4_RAB11FIP1.pdf</v>
      </c>
    </row>
    <row r="1670" spans="1:28" x14ac:dyDescent="0.25">
      <c r="A1670" t="s">
        <v>1674</v>
      </c>
      <c r="B1670">
        <v>1</v>
      </c>
      <c r="C1670">
        <v>0.92732132080351803</v>
      </c>
      <c r="D1670">
        <v>1.0800068971463099</v>
      </c>
      <c r="E1670">
        <v>1.18346409173205</v>
      </c>
      <c r="F1670">
        <v>1.1784636606604</v>
      </c>
      <c r="G1670">
        <v>1.25433227002328</v>
      </c>
      <c r="H1670">
        <v>1.0686266057418701</v>
      </c>
      <c r="I1670">
        <v>1.39141305284938</v>
      </c>
      <c r="J1670">
        <v>1.30080179325804</v>
      </c>
      <c r="K1670">
        <v>1.1114751271661301</v>
      </c>
      <c r="L1670">
        <v>1697.73695318518</v>
      </c>
      <c r="M1670">
        <v>35.997332631018097</v>
      </c>
      <c r="O1670">
        <v>47.017989142884197</v>
      </c>
      <c r="P1670">
        <v>4.1634825961236598E-2</v>
      </c>
      <c r="Q1670">
        <v>1.21752507429351</v>
      </c>
      <c r="R1670">
        <v>0.55423423658600901</v>
      </c>
      <c r="S1670" t="s">
        <v>3672</v>
      </c>
      <c r="T1670" t="s">
        <v>4002</v>
      </c>
      <c r="U1670" t="s">
        <v>4002</v>
      </c>
      <c r="V1670" t="s">
        <v>4002</v>
      </c>
      <c r="W1670" t="s">
        <v>5648</v>
      </c>
      <c r="X1670">
        <v>2</v>
      </c>
      <c r="Y1670" t="s">
        <v>7572</v>
      </c>
      <c r="Z1670" t="s">
        <v>9568</v>
      </c>
      <c r="AA1670">
        <v>1.1647005155624821</v>
      </c>
      <c r="AB1670" t="str">
        <f>HYPERLINK("Melting_Curves/meltCurve_Q6XPR3_RPTN.pdf", "Melting_Curves/meltCurve_Q6XPR3_RPTN.pdf")</f>
        <v>Melting_Curves/meltCurve_Q6XPR3_RPTN.pdf</v>
      </c>
    </row>
    <row r="1671" spans="1:28" x14ac:dyDescent="0.25">
      <c r="A1671" t="s">
        <v>1675</v>
      </c>
      <c r="B1671">
        <v>1</v>
      </c>
      <c r="C1671">
        <v>1.21174019790194</v>
      </c>
      <c r="D1671">
        <v>0.93251990179302102</v>
      </c>
      <c r="E1671">
        <v>0.97983780968677903</v>
      </c>
      <c r="F1671">
        <v>0.98608734469161496</v>
      </c>
      <c r="G1671">
        <v>1.0464995164050299</v>
      </c>
      <c r="H1671">
        <v>0.99575924410386096</v>
      </c>
      <c r="I1671">
        <v>0.85871586935495903</v>
      </c>
      <c r="J1671">
        <v>0.93847183989286498</v>
      </c>
      <c r="K1671">
        <v>0.97507625920690399</v>
      </c>
      <c r="L1671">
        <v>15000</v>
      </c>
      <c r="M1671">
        <v>243.12064585382601</v>
      </c>
      <c r="O1671">
        <v>61.6935882486178</v>
      </c>
      <c r="P1671">
        <v>-7.4784990188303702E-2</v>
      </c>
      <c r="Q1671">
        <v>0.924091113400897</v>
      </c>
      <c r="R1671">
        <v>0.22031865348815899</v>
      </c>
      <c r="S1671" t="s">
        <v>3673</v>
      </c>
      <c r="T1671" t="s">
        <v>4002</v>
      </c>
      <c r="U1671" t="s">
        <v>4002</v>
      </c>
      <c r="V1671" t="s">
        <v>4002</v>
      </c>
      <c r="W1671" t="s">
        <v>5649</v>
      </c>
      <c r="X1671">
        <v>1</v>
      </c>
      <c r="Y1671" t="s">
        <v>7573</v>
      </c>
      <c r="Z1671" t="s">
        <v>9569</v>
      </c>
      <c r="AA1671">
        <v>0.97900157237169694</v>
      </c>
      <c r="AB1671" t="str">
        <f>HYPERLINK("Melting_Curves/meltCurve_Q6ZQN7_SLCO4C1.pdf", "Melting_Curves/meltCurve_Q6ZQN7_SLCO4C1.pdf")</f>
        <v>Melting_Curves/meltCurve_Q6ZQN7_SLCO4C1.pdf</v>
      </c>
    </row>
    <row r="1672" spans="1:28" x14ac:dyDescent="0.25">
      <c r="A1672" t="s">
        <v>1676</v>
      </c>
      <c r="B1672">
        <v>1</v>
      </c>
      <c r="C1672">
        <v>1.0377430423179601</v>
      </c>
      <c r="D1672">
        <v>1.15135341212352</v>
      </c>
      <c r="E1672">
        <v>1.22617232176897</v>
      </c>
      <c r="F1672">
        <v>1.5660503240564201</v>
      </c>
      <c r="G1672">
        <v>1.9973313000381201</v>
      </c>
      <c r="H1672">
        <v>1.9926610751048399</v>
      </c>
      <c r="I1672">
        <v>3.2824056423942101</v>
      </c>
      <c r="J1672">
        <v>4.56395348837209</v>
      </c>
      <c r="K1672">
        <v>3.2534311856652698</v>
      </c>
      <c r="L1672">
        <v>12509.560003061601</v>
      </c>
      <c r="M1672">
        <v>250</v>
      </c>
      <c r="O1672">
        <v>50.035037909193598</v>
      </c>
      <c r="P1672">
        <v>0.62456233372093095</v>
      </c>
      <c r="Q1672">
        <v>1.5</v>
      </c>
      <c r="R1672">
        <v>-0.23267604290631</v>
      </c>
      <c r="S1672" t="s">
        <v>3674</v>
      </c>
      <c r="T1672" t="s">
        <v>4002</v>
      </c>
      <c r="U1672" t="s">
        <v>4002</v>
      </c>
      <c r="V1672" t="s">
        <v>4002</v>
      </c>
      <c r="W1672" t="s">
        <v>5650</v>
      </c>
      <c r="X1672">
        <v>5</v>
      </c>
      <c r="Y1672" t="s">
        <v>7574</v>
      </c>
      <c r="Z1672" t="s">
        <v>9570</v>
      </c>
      <c r="AA1672">
        <v>1.332652091629666</v>
      </c>
      <c r="AB1672" t="str">
        <f>HYPERLINK("Melting_Curves/meltCurve_Q6ZVX7_NCCRP1.pdf", "Melting_Curves/meltCurve_Q6ZVX7_NCCRP1.pdf")</f>
        <v>Melting_Curves/meltCurve_Q6ZVX7_NCCRP1.pdf</v>
      </c>
    </row>
    <row r="1673" spans="1:28" x14ac:dyDescent="0.25">
      <c r="A1673" t="s">
        <v>1677</v>
      </c>
      <c r="B1673">
        <v>1</v>
      </c>
      <c r="C1673">
        <v>0.96275066065599302</v>
      </c>
      <c r="D1673">
        <v>1.2330949790144601</v>
      </c>
      <c r="E1673">
        <v>1.1838372454531301</v>
      </c>
      <c r="F1673">
        <v>1.35516088916524</v>
      </c>
      <c r="G1673">
        <v>1.3650318669361099</v>
      </c>
      <c r="H1673">
        <v>1.4275415824654101</v>
      </c>
      <c r="I1673">
        <v>1.8558021140991801</v>
      </c>
      <c r="J1673">
        <v>1.9169710865848</v>
      </c>
      <c r="K1673">
        <v>1.3277825275921</v>
      </c>
      <c r="L1673">
        <v>859.36498470906304</v>
      </c>
      <c r="M1673">
        <v>17.2190651293377</v>
      </c>
      <c r="O1673">
        <v>49.249217785396198</v>
      </c>
      <c r="P1673">
        <v>4.3706473213660203E-2</v>
      </c>
      <c r="Q1673">
        <v>1.5</v>
      </c>
      <c r="R1673">
        <v>0.57574948043267304</v>
      </c>
      <c r="S1673" t="s">
        <v>3675</v>
      </c>
      <c r="T1673" t="s">
        <v>4002</v>
      </c>
      <c r="U1673" t="s">
        <v>4002</v>
      </c>
      <c r="V1673" t="s">
        <v>4002</v>
      </c>
      <c r="W1673" t="s">
        <v>5651</v>
      </c>
      <c r="X1673">
        <v>4</v>
      </c>
      <c r="Y1673" t="s">
        <v>7575</v>
      </c>
      <c r="Z1673" t="s">
        <v>9571</v>
      </c>
      <c r="AA1673">
        <v>1.3255849896668841</v>
      </c>
      <c r="AB1673" t="str">
        <f>HYPERLINK("Melting_Curves/meltCurve_Q70J99_UNC13D.pdf", "Melting_Curves/meltCurve_Q70J99_UNC13D.pdf")</f>
        <v>Melting_Curves/meltCurve_Q70J99_UNC13D.pdf</v>
      </c>
    </row>
    <row r="1674" spans="1:28" x14ac:dyDescent="0.25">
      <c r="A1674" t="s">
        <v>1678</v>
      </c>
      <c r="B1674">
        <v>1</v>
      </c>
      <c r="C1674">
        <v>1.0817839444995001</v>
      </c>
      <c r="D1674">
        <v>0.97597621407334001</v>
      </c>
      <c r="E1674">
        <v>0.90723488602576796</v>
      </c>
      <c r="F1674">
        <v>0.69557978196233905</v>
      </c>
      <c r="G1674">
        <v>0.93308225966303304</v>
      </c>
      <c r="H1674">
        <v>0.38094350842418201</v>
      </c>
      <c r="I1674">
        <v>1.06993062438057</v>
      </c>
      <c r="J1674">
        <v>0.429970267591675</v>
      </c>
      <c r="K1674">
        <v>0.43076313181367698</v>
      </c>
      <c r="L1674">
        <v>411.30401709999302</v>
      </c>
      <c r="M1674">
        <v>5.9145689087823197</v>
      </c>
      <c r="N1674">
        <v>69.540829168917696</v>
      </c>
      <c r="O1674">
        <v>62.834752929783001</v>
      </c>
      <c r="P1674">
        <v>-2.3612435519765801E-2</v>
      </c>
      <c r="Q1674">
        <v>0</v>
      </c>
      <c r="R1674">
        <v>0.46830528465243998</v>
      </c>
      <c r="S1674" t="s">
        <v>3676</v>
      </c>
      <c r="T1674" t="s">
        <v>4002</v>
      </c>
      <c r="U1674" t="s">
        <v>4002</v>
      </c>
      <c r="V1674" t="s">
        <v>4002</v>
      </c>
      <c r="W1674" t="s">
        <v>5652</v>
      </c>
      <c r="X1674">
        <v>1</v>
      </c>
      <c r="Y1674" t="s">
        <v>7576</v>
      </c>
      <c r="Z1674" t="s">
        <v>9572</v>
      </c>
      <c r="AA1674">
        <v>0.79431238392786574</v>
      </c>
      <c r="AB1674" t="str">
        <f>HYPERLINK("Melting_Curves/meltCurve_Q7LBR1_CHMP1B.pdf", "Melting_Curves/meltCurve_Q7LBR1_CHMP1B.pdf")</f>
        <v>Melting_Curves/meltCurve_Q7LBR1_CHMP1B.pdf</v>
      </c>
    </row>
    <row r="1675" spans="1:28" x14ac:dyDescent="0.25">
      <c r="A1675" t="s">
        <v>1679</v>
      </c>
      <c r="B1675">
        <v>1</v>
      </c>
      <c r="C1675">
        <v>0.765040355664104</v>
      </c>
      <c r="D1675">
        <v>1.1317903413535799</v>
      </c>
      <c r="E1675">
        <v>1.0418821194832899</v>
      </c>
      <c r="F1675">
        <v>1.0265412429162899</v>
      </c>
      <c r="G1675">
        <v>1.1311797592016599</v>
      </c>
      <c r="H1675">
        <v>1.0394207101833699</v>
      </c>
      <c r="I1675">
        <v>1.3093743441012</v>
      </c>
      <c r="J1675">
        <v>1.20807494895915</v>
      </c>
      <c r="K1675">
        <v>1.13079814535671</v>
      </c>
      <c r="L1675">
        <v>854.17100586529205</v>
      </c>
      <c r="M1675">
        <v>14.9984310758391</v>
      </c>
      <c r="O1675">
        <v>55.967044590252399</v>
      </c>
      <c r="P1675">
        <v>1.3908528104008101E-2</v>
      </c>
      <c r="Q1675">
        <v>1.2075791907351801</v>
      </c>
      <c r="R1675">
        <v>0.421695613397089</v>
      </c>
      <c r="S1675" t="s">
        <v>3677</v>
      </c>
      <c r="T1675" t="s">
        <v>4002</v>
      </c>
      <c r="U1675" t="s">
        <v>4002</v>
      </c>
      <c r="V1675" t="s">
        <v>4002</v>
      </c>
      <c r="W1675" t="s">
        <v>5653</v>
      </c>
      <c r="X1675">
        <v>2</v>
      </c>
      <c r="Y1675" t="s">
        <v>7577</v>
      </c>
      <c r="Z1675" t="s">
        <v>9573</v>
      </c>
      <c r="AA1675">
        <v>1.08698632137687</v>
      </c>
      <c r="AB1675" t="str">
        <f>HYPERLINK("Melting_Curves/meltCurve_Q7LDG7_RASGRP2.pdf", "Melting_Curves/meltCurve_Q7LDG7_RASGRP2.pdf")</f>
        <v>Melting_Curves/meltCurve_Q7LDG7_RASGRP2.pdf</v>
      </c>
    </row>
    <row r="1676" spans="1:28" x14ac:dyDescent="0.25">
      <c r="A1676" t="s">
        <v>1680</v>
      </c>
      <c r="B1676">
        <v>1</v>
      </c>
      <c r="C1676">
        <v>0.84095150254177298</v>
      </c>
      <c r="D1676">
        <v>0.96021106368374798</v>
      </c>
      <c r="E1676">
        <v>0.91696874798910399</v>
      </c>
      <c r="F1676">
        <v>0.75839214088071905</v>
      </c>
      <c r="G1676">
        <v>0.92409000235945205</v>
      </c>
      <c r="H1676">
        <v>0.45395851654833702</v>
      </c>
      <c r="I1676">
        <v>0.86458891915660296</v>
      </c>
      <c r="J1676">
        <v>0.45942815469423598</v>
      </c>
      <c r="K1676">
        <v>0.52467772034061899</v>
      </c>
      <c r="L1676">
        <v>335.02592914201898</v>
      </c>
      <c r="M1676">
        <v>4.7113609024882201</v>
      </c>
      <c r="O1676">
        <v>61.169387044345001</v>
      </c>
      <c r="P1676">
        <v>-1.93998002521521E-2</v>
      </c>
      <c r="Q1676">
        <v>0</v>
      </c>
      <c r="R1676">
        <v>0.578842149658092</v>
      </c>
      <c r="S1676" t="s">
        <v>3678</v>
      </c>
      <c r="T1676" t="s">
        <v>4002</v>
      </c>
      <c r="U1676" t="s">
        <v>4002</v>
      </c>
      <c r="V1676" t="s">
        <v>4002</v>
      </c>
      <c r="W1676" t="s">
        <v>5654</v>
      </c>
      <c r="X1676">
        <v>1</v>
      </c>
      <c r="Y1676" t="s">
        <v>7578</v>
      </c>
      <c r="Z1676" t="s">
        <v>9574</v>
      </c>
      <c r="AA1676">
        <v>0.78061166159479967</v>
      </c>
      <c r="AB1676" t="str">
        <f>HYPERLINK("Melting_Curves/meltCurve_Q7Z3T8_3_ZFYVE16.pdf", "Melting_Curves/meltCurve_Q7Z3T8_3_ZFYVE16.pdf")</f>
        <v>Melting_Curves/meltCurve_Q7Z3T8_3_ZFYVE16.pdf</v>
      </c>
    </row>
    <row r="1677" spans="1:28" x14ac:dyDescent="0.25">
      <c r="A1677" t="s">
        <v>1681</v>
      </c>
      <c r="B1677">
        <v>1</v>
      </c>
      <c r="C1677">
        <v>0.94748452287767704</v>
      </c>
      <c r="D1677">
        <v>1.0597025546146699</v>
      </c>
      <c r="E1677">
        <v>1.21020422685548</v>
      </c>
      <c r="F1677">
        <v>1.0596313954315799</v>
      </c>
      <c r="G1677">
        <v>1.1633814843805601</v>
      </c>
      <c r="H1677">
        <v>0.83690315235181101</v>
      </c>
      <c r="I1677">
        <v>1.2453568633032099</v>
      </c>
      <c r="J1677">
        <v>0.91012595175407396</v>
      </c>
      <c r="K1677">
        <v>1.0286771507863099</v>
      </c>
      <c r="L1677">
        <v>11387.681041371099</v>
      </c>
      <c r="M1677">
        <v>250</v>
      </c>
      <c r="O1677">
        <v>45.547814290267397</v>
      </c>
      <c r="P1677">
        <v>8.9050925742280004E-2</v>
      </c>
      <c r="Q1677">
        <v>1.0648971931634399</v>
      </c>
      <c r="R1677">
        <v>7.5731462876140701E-2</v>
      </c>
      <c r="S1677" t="s">
        <v>3679</v>
      </c>
      <c r="T1677" t="s">
        <v>4002</v>
      </c>
      <c r="U1677" t="s">
        <v>4002</v>
      </c>
      <c r="V1677" t="s">
        <v>4002</v>
      </c>
      <c r="W1677" t="s">
        <v>5655</v>
      </c>
      <c r="X1677">
        <v>3</v>
      </c>
      <c r="Y1677" t="s">
        <v>7579</v>
      </c>
      <c r="Z1677" t="s">
        <v>9575</v>
      </c>
      <c r="AA1677">
        <v>1.0528844579503089</v>
      </c>
      <c r="AB1677" t="str">
        <f>HYPERLINK("Melting_Curves/meltCurve_Q7Z422_2_SZRD1.pdf", "Melting_Curves/meltCurve_Q7Z422_2_SZRD1.pdf")</f>
        <v>Melting_Curves/meltCurve_Q7Z422_2_SZRD1.pdf</v>
      </c>
    </row>
    <row r="1678" spans="1:28" x14ac:dyDescent="0.25">
      <c r="A1678" t="s">
        <v>1682</v>
      </c>
      <c r="B1678">
        <v>1</v>
      </c>
      <c r="C1678">
        <v>0.78658007362403803</v>
      </c>
      <c r="D1678">
        <v>0.96435519109328705</v>
      </c>
      <c r="E1678">
        <v>0.77667374973812597</v>
      </c>
      <c r="F1678">
        <v>0.83500433962828802</v>
      </c>
      <c r="G1678">
        <v>0.81653847304941196</v>
      </c>
      <c r="H1678">
        <v>0.860024541346183</v>
      </c>
      <c r="I1678">
        <v>1.0716188309939201</v>
      </c>
      <c r="J1678">
        <v>0.93460629096459502</v>
      </c>
      <c r="K1678">
        <v>0.73342710920899001</v>
      </c>
      <c r="L1678">
        <v>10238.877887484099</v>
      </c>
      <c r="M1678">
        <v>250</v>
      </c>
      <c r="O1678">
        <v>40.952867704898999</v>
      </c>
      <c r="P1678">
        <v>-0.20707587453110701</v>
      </c>
      <c r="Q1678">
        <v>0.86431430909461704</v>
      </c>
      <c r="R1678">
        <v>0.152698940534957</v>
      </c>
      <c r="S1678" t="s">
        <v>3680</v>
      </c>
      <c r="T1678" t="s">
        <v>4002</v>
      </c>
      <c r="U1678" t="s">
        <v>4002</v>
      </c>
      <c r="V1678" t="s">
        <v>4002</v>
      </c>
      <c r="W1678" t="s">
        <v>5656</v>
      </c>
      <c r="X1678">
        <v>2</v>
      </c>
      <c r="Y1678" t="s">
        <v>7580</v>
      </c>
      <c r="Z1678" t="s">
        <v>9576</v>
      </c>
      <c r="AA1678">
        <v>0.86864748873201314</v>
      </c>
      <c r="AB1678" t="str">
        <f>HYPERLINK("Melting_Curves/meltCurve_Q7Z434_4_MAVS.pdf", "Melting_Curves/meltCurve_Q7Z434_4_MAVS.pdf")</f>
        <v>Melting_Curves/meltCurve_Q7Z434_4_MAVS.pdf</v>
      </c>
    </row>
    <row r="1679" spans="1:28" x14ac:dyDescent="0.25">
      <c r="A1679" t="s">
        <v>1683</v>
      </c>
      <c r="B1679">
        <v>1</v>
      </c>
      <c r="C1679">
        <v>0.901808693165571</v>
      </c>
      <c r="D1679">
        <v>0.856984558192737</v>
      </c>
      <c r="E1679">
        <v>1.0481126680011399</v>
      </c>
      <c r="F1679">
        <v>1.24127823849013</v>
      </c>
      <c r="G1679">
        <v>1.01887331998856</v>
      </c>
      <c r="H1679">
        <v>0.99063482985416096</v>
      </c>
      <c r="I1679">
        <v>1.1548470117243399</v>
      </c>
      <c r="J1679">
        <v>1.0729553903345701</v>
      </c>
      <c r="K1679">
        <v>1.01186731484129</v>
      </c>
      <c r="L1679">
        <v>12482.092817369999</v>
      </c>
      <c r="M1679">
        <v>250</v>
      </c>
      <c r="O1679">
        <v>49.925154371480701</v>
      </c>
      <c r="P1679">
        <v>0.10233144410646999</v>
      </c>
      <c r="Q1679">
        <v>1.08174264616857</v>
      </c>
      <c r="R1679">
        <v>0.300567610539271</v>
      </c>
      <c r="S1679" t="s">
        <v>3681</v>
      </c>
      <c r="T1679" t="s">
        <v>4002</v>
      </c>
      <c r="U1679" t="s">
        <v>4002</v>
      </c>
      <c r="V1679" t="s">
        <v>4002</v>
      </c>
      <c r="W1679" t="s">
        <v>5657</v>
      </c>
      <c r="X1679">
        <v>1</v>
      </c>
      <c r="Y1679" t="s">
        <v>7581</v>
      </c>
      <c r="Z1679" t="s">
        <v>9577</v>
      </c>
      <c r="AA1679">
        <v>1.054683105600249</v>
      </c>
      <c r="AB1679" t="str">
        <f>HYPERLINK("Melting_Curves/meltCurve_Q7Z5L0_VMO1.pdf", "Melting_Curves/meltCurve_Q7Z5L0_VMO1.pdf")</f>
        <v>Melting_Curves/meltCurve_Q7Z5L0_VMO1.pdf</v>
      </c>
    </row>
    <row r="1680" spans="1:28" x14ac:dyDescent="0.25">
      <c r="A1680" t="s">
        <v>1684</v>
      </c>
      <c r="B1680">
        <v>1</v>
      </c>
      <c r="C1680">
        <v>0.91047751259188103</v>
      </c>
      <c r="D1680">
        <v>1.04460106430313</v>
      </c>
      <c r="E1680">
        <v>1.0045740117820801</v>
      </c>
      <c r="F1680">
        <v>1.00147721003079</v>
      </c>
      <c r="G1680">
        <v>1.0981899727694999</v>
      </c>
      <c r="H1680">
        <v>0.83410753377115698</v>
      </c>
      <c r="I1680">
        <v>1.2617687365404799</v>
      </c>
      <c r="J1680">
        <v>0.77234947585740499</v>
      </c>
      <c r="K1680">
        <v>1.0262872194635799</v>
      </c>
      <c r="L1680">
        <v>1319.09133841684</v>
      </c>
      <c r="M1680">
        <v>19.33922052646</v>
      </c>
      <c r="O1680">
        <v>67.491344538798899</v>
      </c>
      <c r="P1680">
        <v>-3.8830895046741399E-3</v>
      </c>
      <c r="Q1680">
        <v>0.94579611991475498</v>
      </c>
      <c r="R1680">
        <v>9.7281824041546301E-3</v>
      </c>
      <c r="S1680" t="s">
        <v>3682</v>
      </c>
      <c r="T1680" t="s">
        <v>4002</v>
      </c>
      <c r="U1680" t="s">
        <v>4002</v>
      </c>
      <c r="V1680" t="s">
        <v>4002</v>
      </c>
      <c r="W1680" t="s">
        <v>5658</v>
      </c>
      <c r="X1680">
        <v>7</v>
      </c>
      <c r="Y1680" t="s">
        <v>7582</v>
      </c>
      <c r="Z1680" t="s">
        <v>9578</v>
      </c>
      <c r="AA1680">
        <v>0.9942299188198841</v>
      </c>
      <c r="AB1680" t="str">
        <f>HYPERLINK("Melting_Curves/meltCurve_Q7Z5R6_APBB1IP.pdf", "Melting_Curves/meltCurve_Q7Z5R6_APBB1IP.pdf")</f>
        <v>Melting_Curves/meltCurve_Q7Z5R6_APBB1IP.pdf</v>
      </c>
    </row>
    <row r="1681" spans="1:28" x14ac:dyDescent="0.25">
      <c r="A1681" t="s">
        <v>1685</v>
      </c>
      <c r="B1681">
        <v>1</v>
      </c>
      <c r="C1681">
        <v>1.02907841663727</v>
      </c>
      <c r="D1681">
        <v>1.0113031608975001</v>
      </c>
      <c r="E1681">
        <v>0.98690244313911901</v>
      </c>
      <c r="F1681">
        <v>1.0806404613284699</v>
      </c>
      <c r="G1681">
        <v>1.53443859945095</v>
      </c>
      <c r="H1681">
        <v>1.2364308390718199</v>
      </c>
      <c r="I1681">
        <v>2.65677959603086</v>
      </c>
      <c r="J1681">
        <v>1.4843642163704101</v>
      </c>
      <c r="K1681">
        <v>2.12980997806849</v>
      </c>
      <c r="L1681">
        <v>13337.3825737027</v>
      </c>
      <c r="M1681">
        <v>250</v>
      </c>
      <c r="O1681">
        <v>53.346119572750901</v>
      </c>
      <c r="P1681">
        <v>0.58579709667145896</v>
      </c>
      <c r="Q1681">
        <v>1.5</v>
      </c>
      <c r="R1681">
        <v>0.373304636848449</v>
      </c>
      <c r="S1681" t="s">
        <v>3683</v>
      </c>
      <c r="T1681" t="s">
        <v>4002</v>
      </c>
      <c r="U1681" t="s">
        <v>4002</v>
      </c>
      <c r="V1681" t="s">
        <v>4002</v>
      </c>
      <c r="W1681" t="s">
        <v>5659</v>
      </c>
      <c r="X1681">
        <v>4</v>
      </c>
      <c r="Y1681" t="s">
        <v>7583</v>
      </c>
      <c r="Z1681" t="s">
        <v>9579</v>
      </c>
      <c r="AA1681">
        <v>1.2774610146221379</v>
      </c>
      <c r="AB1681" t="str">
        <f>HYPERLINK("Melting_Curves/meltCurve_Q7Z6I6_ARHGAP30.pdf", "Melting_Curves/meltCurve_Q7Z6I6_ARHGAP30.pdf")</f>
        <v>Melting_Curves/meltCurve_Q7Z6I6_ARHGAP30.pdf</v>
      </c>
    </row>
    <row r="1682" spans="1:28" x14ac:dyDescent="0.25">
      <c r="A1682" t="s">
        <v>1686</v>
      </c>
      <c r="B1682">
        <v>1</v>
      </c>
      <c r="C1682">
        <v>0.89715546836684601</v>
      </c>
      <c r="D1682">
        <v>0.98249141736145196</v>
      </c>
      <c r="E1682">
        <v>1.0280039234919101</v>
      </c>
      <c r="F1682">
        <v>0.99063266307013198</v>
      </c>
      <c r="G1682">
        <v>0.97886218734673902</v>
      </c>
      <c r="H1682">
        <v>0.82113781265326102</v>
      </c>
      <c r="I1682">
        <v>1.1003433055419301</v>
      </c>
      <c r="J1682">
        <v>0.81025012260912199</v>
      </c>
      <c r="K1682">
        <v>0.914811181951937</v>
      </c>
      <c r="L1682">
        <v>303.47234327238499</v>
      </c>
      <c r="M1682">
        <v>2.1827088951162099</v>
      </c>
      <c r="Q1682">
        <v>0</v>
      </c>
      <c r="R1682">
        <v>9.9587116659146005E-2</v>
      </c>
      <c r="S1682" t="s">
        <v>3684</v>
      </c>
      <c r="T1682" t="s">
        <v>4002</v>
      </c>
      <c r="U1682" t="s">
        <v>4002</v>
      </c>
      <c r="V1682" t="s">
        <v>4002</v>
      </c>
      <c r="W1682" t="s">
        <v>5660</v>
      </c>
      <c r="X1682">
        <v>9</v>
      </c>
      <c r="Y1682" t="s">
        <v>7584</v>
      </c>
      <c r="Z1682" t="s">
        <v>9580</v>
      </c>
      <c r="AA1682">
        <v>0.95878460329597848</v>
      </c>
      <c r="AB1682" t="str">
        <f>HYPERLINK("Melting_Curves/meltCurve_Q7Z6P3_RAB44.pdf", "Melting_Curves/meltCurve_Q7Z6P3_RAB44.pdf")</f>
        <v>Melting_Curves/meltCurve_Q7Z6P3_RAB44.pdf</v>
      </c>
    </row>
    <row r="1683" spans="1:28" x14ac:dyDescent="0.25">
      <c r="A1683" t="s">
        <v>1687</v>
      </c>
      <c r="B1683">
        <v>1</v>
      </c>
      <c r="C1683">
        <v>1.0293947756883399</v>
      </c>
      <c r="D1683">
        <v>0.93665361658430102</v>
      </c>
      <c r="E1683">
        <v>0.914447082985688</v>
      </c>
      <c r="F1683">
        <v>0.81634683268082897</v>
      </c>
      <c r="G1683">
        <v>0.85793594762852199</v>
      </c>
      <c r="H1683">
        <v>0.94743597971888804</v>
      </c>
      <c r="I1683">
        <v>1.0072845131891399</v>
      </c>
      <c r="J1683">
        <v>1.22899685514409</v>
      </c>
      <c r="K1683">
        <v>0.902092291893973</v>
      </c>
      <c r="L1683">
        <v>11115.630070912501</v>
      </c>
      <c r="M1683">
        <v>250</v>
      </c>
      <c r="O1683">
        <v>44.459674971229099</v>
      </c>
      <c r="P1683">
        <v>-6.8322370301839505E-2</v>
      </c>
      <c r="Q1683">
        <v>0.95139855402022899</v>
      </c>
      <c r="R1683">
        <v>5.06477800292775E-2</v>
      </c>
      <c r="S1683" t="s">
        <v>3685</v>
      </c>
      <c r="T1683" t="s">
        <v>4002</v>
      </c>
      <c r="U1683" t="s">
        <v>4002</v>
      </c>
      <c r="V1683" t="s">
        <v>4002</v>
      </c>
      <c r="W1683" t="s">
        <v>5661</v>
      </c>
      <c r="X1683">
        <v>1</v>
      </c>
      <c r="Y1683" t="s">
        <v>7585</v>
      </c>
      <c r="Z1683" t="s">
        <v>9581</v>
      </c>
      <c r="AA1683">
        <v>0.95863184439115412</v>
      </c>
      <c r="AB1683" t="str">
        <f>HYPERLINK("Melting_Curves/meltCurve_Q7Z7H5_3_TMED4.pdf", "Melting_Curves/meltCurve_Q7Z7H5_3_TMED4.pdf")</f>
        <v>Melting_Curves/meltCurve_Q7Z7H5_3_TMED4.pdf</v>
      </c>
    </row>
    <row r="1684" spans="1:28" x14ac:dyDescent="0.25">
      <c r="A1684" t="s">
        <v>1688</v>
      </c>
      <c r="B1684">
        <v>1</v>
      </c>
      <c r="C1684">
        <v>0.99421474944327304</v>
      </c>
      <c r="D1684">
        <v>0.95199773774316299</v>
      </c>
      <c r="E1684">
        <v>0.97414900260395199</v>
      </c>
      <c r="F1684">
        <v>1.1330843279801099</v>
      </c>
      <c r="G1684">
        <v>1.4002427213064499</v>
      </c>
      <c r="H1684">
        <v>1.0806753779264999</v>
      </c>
      <c r="I1684">
        <v>1.7274451815107601</v>
      </c>
      <c r="J1684">
        <v>1.2121926217435901</v>
      </c>
      <c r="K1684">
        <v>1.4717630285963399</v>
      </c>
      <c r="L1684">
        <v>13282.4266212075</v>
      </c>
      <c r="M1684">
        <v>250</v>
      </c>
      <c r="O1684">
        <v>53.126311081259502</v>
      </c>
      <c r="P1684">
        <v>0.44524056744125901</v>
      </c>
      <c r="Q1684">
        <v>1.3784637894899501</v>
      </c>
      <c r="R1684">
        <v>0.58668386452461196</v>
      </c>
      <c r="S1684" t="s">
        <v>3686</v>
      </c>
      <c r="T1684" t="s">
        <v>4002</v>
      </c>
      <c r="U1684" t="s">
        <v>4002</v>
      </c>
      <c r="V1684" t="s">
        <v>4002</v>
      </c>
      <c r="W1684" t="s">
        <v>5662</v>
      </c>
      <c r="X1684">
        <v>2</v>
      </c>
      <c r="Y1684" t="s">
        <v>7586</v>
      </c>
      <c r="Z1684" t="s">
        <v>9582</v>
      </c>
      <c r="AA1684">
        <v>1.212791218470638</v>
      </c>
      <c r="AB1684" t="str">
        <f>HYPERLINK("Melting_Curves/meltCurve_Q7Z7M9_GALNT5.pdf", "Melting_Curves/meltCurve_Q7Z7M9_GALNT5.pdf")</f>
        <v>Melting_Curves/meltCurve_Q7Z7M9_GALNT5.pdf</v>
      </c>
    </row>
    <row r="1685" spans="1:28" x14ac:dyDescent="0.25">
      <c r="A1685" t="s">
        <v>1689</v>
      </c>
      <c r="B1685">
        <v>1</v>
      </c>
      <c r="C1685">
        <v>0.89382603232623203</v>
      </c>
      <c r="D1685">
        <v>0.92936965750947098</v>
      </c>
      <c r="E1685">
        <v>1.0001332647971499</v>
      </c>
      <c r="F1685">
        <v>0.97283301920916898</v>
      </c>
      <c r="G1685">
        <v>1.17571915395892</v>
      </c>
      <c r="H1685">
        <v>1.0845089192224999</v>
      </c>
      <c r="I1685">
        <v>1.41207379062197</v>
      </c>
      <c r="J1685">
        <v>1.2194300074247499</v>
      </c>
      <c r="K1685">
        <v>1.13865250252251</v>
      </c>
      <c r="L1685">
        <v>9494.6391866017693</v>
      </c>
      <c r="M1685">
        <v>168.10506225588301</v>
      </c>
      <c r="O1685">
        <v>56.472396798839</v>
      </c>
      <c r="P1685">
        <v>0.15900976076666601</v>
      </c>
      <c r="Q1685">
        <v>1.2136678557784699</v>
      </c>
      <c r="R1685">
        <v>0.64844025637208502</v>
      </c>
      <c r="S1685" t="s">
        <v>3687</v>
      </c>
      <c r="T1685" t="s">
        <v>4002</v>
      </c>
      <c r="U1685" t="s">
        <v>4002</v>
      </c>
      <c r="V1685" t="s">
        <v>4002</v>
      </c>
      <c r="W1685" t="s">
        <v>5663</v>
      </c>
      <c r="X1685">
        <v>9</v>
      </c>
      <c r="Y1685" t="s">
        <v>7587</v>
      </c>
      <c r="Z1685" t="s">
        <v>9583</v>
      </c>
      <c r="AA1685">
        <v>1.0962433611419831</v>
      </c>
      <c r="AB1685" t="str">
        <f>HYPERLINK("Melting_Curves/meltCurve_Q86SF2_GALNT7.pdf", "Melting_Curves/meltCurve_Q86SF2_GALNT7.pdf")</f>
        <v>Melting_Curves/meltCurve_Q86SF2_GALNT7.pdf</v>
      </c>
    </row>
    <row r="1686" spans="1:28" x14ac:dyDescent="0.25">
      <c r="A1686" t="s">
        <v>1690</v>
      </c>
      <c r="B1686">
        <v>1</v>
      </c>
      <c r="C1686">
        <v>0.84210526315789502</v>
      </c>
      <c r="D1686">
        <v>0.779921734913672</v>
      </c>
      <c r="E1686">
        <v>0.84985283006101098</v>
      </c>
      <c r="F1686">
        <v>0.78928196858119204</v>
      </c>
      <c r="G1686">
        <v>0.85799510561275705</v>
      </c>
      <c r="H1686">
        <v>0.74438667914697798</v>
      </c>
      <c r="I1686">
        <v>1.00922490498799</v>
      </c>
      <c r="J1686">
        <v>0.89464662298557596</v>
      </c>
      <c r="K1686">
        <v>0.86705084975133395</v>
      </c>
      <c r="L1686">
        <v>10275.1084956046</v>
      </c>
      <c r="M1686">
        <v>250</v>
      </c>
      <c r="O1686">
        <v>41.097799337557703</v>
      </c>
      <c r="P1686">
        <v>-0.23073988122146499</v>
      </c>
      <c r="Q1686">
        <v>0.84827356217241801</v>
      </c>
      <c r="R1686">
        <v>0.30376277157313802</v>
      </c>
      <c r="S1686" t="s">
        <v>3688</v>
      </c>
      <c r="T1686" t="s">
        <v>4002</v>
      </c>
      <c r="U1686" t="s">
        <v>4002</v>
      </c>
      <c r="V1686" t="s">
        <v>4002</v>
      </c>
      <c r="W1686" t="s">
        <v>5664</v>
      </c>
      <c r="X1686">
        <v>3</v>
      </c>
      <c r="Y1686" t="s">
        <v>7588</v>
      </c>
      <c r="Z1686" t="s">
        <v>9584</v>
      </c>
      <c r="AA1686">
        <v>0.85385080880048347</v>
      </c>
      <c r="AB1686" t="str">
        <f>HYPERLINK("Melting_Curves/meltCurve_Q86SQ4_2_GPR126.pdf", "Melting_Curves/meltCurve_Q86SQ4_2_GPR126.pdf")</f>
        <v>Melting_Curves/meltCurve_Q86SQ4_2_GPR126.pdf</v>
      </c>
    </row>
    <row r="1687" spans="1:28" x14ac:dyDescent="0.25">
      <c r="A1687" t="s">
        <v>1691</v>
      </c>
      <c r="B1687">
        <v>1</v>
      </c>
      <c r="C1687">
        <v>0.95703577438318099</v>
      </c>
      <c r="D1687">
        <v>1.0349876527021999</v>
      </c>
      <c r="E1687">
        <v>1.0182477763937099</v>
      </c>
      <c r="F1687">
        <v>0.96112240215039701</v>
      </c>
      <c r="G1687">
        <v>1.0189470923752699</v>
      </c>
      <c r="H1687">
        <v>0.59811184684980001</v>
      </c>
      <c r="I1687">
        <v>1.20151227081011</v>
      </c>
      <c r="J1687">
        <v>0.52293537883257901</v>
      </c>
      <c r="K1687">
        <v>0.69278174785288105</v>
      </c>
      <c r="L1687">
        <v>691.61396197699105</v>
      </c>
      <c r="M1687">
        <v>9.2831902670061002</v>
      </c>
      <c r="Q1687">
        <v>0</v>
      </c>
      <c r="R1687">
        <v>0.33456148987302903</v>
      </c>
      <c r="S1687" t="s">
        <v>3689</v>
      </c>
      <c r="T1687" t="s">
        <v>4002</v>
      </c>
      <c r="U1687" t="s">
        <v>4002</v>
      </c>
      <c r="V1687" t="s">
        <v>4002</v>
      </c>
      <c r="W1687" t="s">
        <v>5665</v>
      </c>
      <c r="X1687">
        <v>3</v>
      </c>
      <c r="Y1687" t="s">
        <v>7589</v>
      </c>
      <c r="Z1687" t="s">
        <v>9585</v>
      </c>
      <c r="AA1687">
        <v>0.91442860393579839</v>
      </c>
      <c r="AB1687" t="str">
        <f>HYPERLINK("Melting_Curves/meltCurve_Q86T26_TMPRSS11B.pdf", "Melting_Curves/meltCurve_Q86T26_TMPRSS11B.pdf")</f>
        <v>Melting_Curves/meltCurve_Q86T26_TMPRSS11B.pdf</v>
      </c>
    </row>
    <row r="1688" spans="1:28" x14ac:dyDescent="0.25">
      <c r="A1688" t="s">
        <v>1692</v>
      </c>
      <c r="B1688">
        <v>1</v>
      </c>
      <c r="C1688">
        <v>1.1288984263233199</v>
      </c>
      <c r="D1688">
        <v>1.0067238912732499</v>
      </c>
      <c r="E1688">
        <v>0.96351931330472096</v>
      </c>
      <c r="F1688">
        <v>1.13128278493085</v>
      </c>
      <c r="G1688">
        <v>1.1927038626609401</v>
      </c>
      <c r="H1688">
        <v>0.40907963757749199</v>
      </c>
      <c r="I1688">
        <v>1.43776824034335</v>
      </c>
      <c r="J1688">
        <v>0.38821173104434897</v>
      </c>
      <c r="K1688">
        <v>0.83075822603719596</v>
      </c>
      <c r="L1688">
        <v>1216.4147811668799</v>
      </c>
      <c r="M1688">
        <v>18.644351367884401</v>
      </c>
      <c r="O1688">
        <v>64.506423658351494</v>
      </c>
      <c r="P1688">
        <v>-2.6516310085820598E-2</v>
      </c>
      <c r="Q1688">
        <v>0.63304739528248899</v>
      </c>
      <c r="R1688">
        <v>0.13842839187957001</v>
      </c>
      <c r="S1688" t="s">
        <v>3690</v>
      </c>
      <c r="T1688" t="s">
        <v>4002</v>
      </c>
      <c r="U1688" t="s">
        <v>4002</v>
      </c>
      <c r="V1688" t="s">
        <v>4002</v>
      </c>
      <c r="W1688" t="s">
        <v>5666</v>
      </c>
      <c r="X1688">
        <v>1</v>
      </c>
      <c r="Y1688" t="s">
        <v>7590</v>
      </c>
      <c r="Z1688" t="s">
        <v>9586</v>
      </c>
      <c r="AA1688">
        <v>0.93561705613491097</v>
      </c>
      <c r="AB1688" t="str">
        <f>HYPERLINK("Melting_Curves/meltCurve_Q86TU7_SETD3.pdf", "Melting_Curves/meltCurve_Q86TU7_SETD3.pdf")</f>
        <v>Melting_Curves/meltCurve_Q86TU7_SETD3.pdf</v>
      </c>
    </row>
    <row r="1689" spans="1:28" x14ac:dyDescent="0.25">
      <c r="A1689" t="s">
        <v>1693</v>
      </c>
      <c r="B1689">
        <v>1</v>
      </c>
      <c r="C1689">
        <v>1.0111422824476</v>
      </c>
      <c r="D1689">
        <v>1.18184946008893</v>
      </c>
      <c r="E1689">
        <v>1.41485814101207</v>
      </c>
      <c r="F1689">
        <v>1.8526360364175301</v>
      </c>
      <c r="G1689">
        <v>2.2978509421977602</v>
      </c>
      <c r="H1689">
        <v>1.76783823840779</v>
      </c>
      <c r="I1689">
        <v>3.1081939445267799</v>
      </c>
      <c r="J1689">
        <v>2.06015773872539</v>
      </c>
      <c r="K1689">
        <v>2.3224116027948298</v>
      </c>
      <c r="L1689">
        <v>2163.1072945659598</v>
      </c>
      <c r="M1689">
        <v>46.425823162019803</v>
      </c>
      <c r="O1689">
        <v>46.5065590628992</v>
      </c>
      <c r="P1689">
        <v>0.12478314140590301</v>
      </c>
      <c r="Q1689">
        <v>1.5</v>
      </c>
      <c r="R1689">
        <v>-7.7736699375570595E-2</v>
      </c>
      <c r="S1689" t="s">
        <v>3691</v>
      </c>
      <c r="T1689" t="s">
        <v>4002</v>
      </c>
      <c r="U1689" t="s">
        <v>4002</v>
      </c>
      <c r="V1689" t="s">
        <v>4002</v>
      </c>
      <c r="W1689" t="s">
        <v>5667</v>
      </c>
      <c r="X1689">
        <v>6</v>
      </c>
      <c r="Y1689" t="s">
        <v>7591</v>
      </c>
      <c r="Z1689" t="s">
        <v>9587</v>
      </c>
      <c r="AA1689">
        <v>1.388921995429363</v>
      </c>
      <c r="AB1689" t="str">
        <f>HYPERLINK("Melting_Curves/meltCurve_Q86TV2_LGMN.pdf", "Melting_Curves/meltCurve_Q86TV2_LGMN.pdf")</f>
        <v>Melting_Curves/meltCurve_Q86TV2_LGMN.pdf</v>
      </c>
    </row>
    <row r="1690" spans="1:28" x14ac:dyDescent="0.25">
      <c r="A1690" t="s">
        <v>1694</v>
      </c>
      <c r="B1690">
        <v>1</v>
      </c>
      <c r="C1690">
        <v>0.98426118197699297</v>
      </c>
      <c r="D1690">
        <v>1.0910544184053499</v>
      </c>
      <c r="E1690">
        <v>1.21754177790962</v>
      </c>
      <c r="F1690">
        <v>1.0890767658789</v>
      </c>
      <c r="G1690">
        <v>1.1654306338376299</v>
      </c>
      <c r="H1690">
        <v>1.4101816144236801</v>
      </c>
      <c r="I1690">
        <v>1.50265335047299</v>
      </c>
      <c r="J1690">
        <v>1.5635650482876799</v>
      </c>
      <c r="K1690">
        <v>1.4614522561719201</v>
      </c>
      <c r="L1690">
        <v>867.26023695544097</v>
      </c>
      <c r="M1690">
        <v>15.431124039293</v>
      </c>
      <c r="O1690">
        <v>55.283523857490998</v>
      </c>
      <c r="P1690">
        <v>3.4894029130693102E-2</v>
      </c>
      <c r="Q1690">
        <v>1.5</v>
      </c>
      <c r="R1690">
        <v>0.85719306524428496</v>
      </c>
      <c r="S1690" t="s">
        <v>3692</v>
      </c>
      <c r="T1690" t="s">
        <v>4002</v>
      </c>
      <c r="U1690" t="s">
        <v>4002</v>
      </c>
      <c r="V1690" t="s">
        <v>4002</v>
      </c>
      <c r="W1690" t="s">
        <v>5668</v>
      </c>
      <c r="X1690">
        <v>2</v>
      </c>
      <c r="Y1690" t="s">
        <v>7592</v>
      </c>
      <c r="Z1690" t="s">
        <v>9588</v>
      </c>
      <c r="AA1690">
        <v>1.221474153591211</v>
      </c>
      <c r="AB1690" t="str">
        <f>HYPERLINK("Melting_Curves/meltCurve_Q86UD1_OAF.pdf", "Melting_Curves/meltCurve_Q86UD1_OAF.pdf")</f>
        <v>Melting_Curves/meltCurve_Q86UD1_OAF.pdf</v>
      </c>
    </row>
    <row r="1691" spans="1:28" x14ac:dyDescent="0.25">
      <c r="A1691" t="s">
        <v>1695</v>
      </c>
      <c r="B1691">
        <v>1</v>
      </c>
      <c r="C1691">
        <v>1.0538316345790899</v>
      </c>
      <c r="D1691">
        <v>1.62952057380143</v>
      </c>
      <c r="E1691">
        <v>2.6186485466213698</v>
      </c>
      <c r="F1691">
        <v>3.5431483578708902</v>
      </c>
      <c r="G1691">
        <v>4.6804077010192504</v>
      </c>
      <c r="H1691">
        <v>4.4102680256700602</v>
      </c>
      <c r="I1691">
        <v>4.5153642884107201</v>
      </c>
      <c r="J1691">
        <v>4.4594186485466203</v>
      </c>
      <c r="K1691">
        <v>4.7860324650811599</v>
      </c>
      <c r="L1691">
        <v>10815.726042853001</v>
      </c>
      <c r="M1691">
        <v>250</v>
      </c>
      <c r="O1691">
        <v>43.2601341449217</v>
      </c>
      <c r="P1691">
        <v>0.72237406515588798</v>
      </c>
      <c r="Q1691">
        <v>1.5</v>
      </c>
      <c r="R1691">
        <v>-1.41545829947112</v>
      </c>
      <c r="S1691" t="s">
        <v>3693</v>
      </c>
      <c r="T1691" t="s">
        <v>4002</v>
      </c>
      <c r="U1691" t="s">
        <v>4002</v>
      </c>
      <c r="V1691" t="s">
        <v>4002</v>
      </c>
      <c r="W1691" t="s">
        <v>5669</v>
      </c>
      <c r="X1691">
        <v>3</v>
      </c>
      <c r="Y1691" t="s">
        <v>7593</v>
      </c>
      <c r="Z1691" t="s">
        <v>9589</v>
      </c>
      <c r="AA1691">
        <v>1.4455803009446451</v>
      </c>
      <c r="AB1691" t="str">
        <f>HYPERLINK("Melting_Curves/meltCurve_Q86UN2_RTN4RL1.pdf", "Melting_Curves/meltCurve_Q86UN2_RTN4RL1.pdf")</f>
        <v>Melting_Curves/meltCurve_Q86UN2_RTN4RL1.pdf</v>
      </c>
    </row>
    <row r="1692" spans="1:28" x14ac:dyDescent="0.25">
      <c r="A1692" t="s">
        <v>1696</v>
      </c>
      <c r="B1692">
        <v>1</v>
      </c>
      <c r="C1692">
        <v>0.92179628102958699</v>
      </c>
      <c r="D1692">
        <v>0.90109462306494503</v>
      </c>
      <c r="E1692">
        <v>1.00231290647614</v>
      </c>
      <c r="F1692">
        <v>0.96047448932857005</v>
      </c>
      <c r="G1692">
        <v>0.93995603187688903</v>
      </c>
      <c r="H1692">
        <v>0.99097737473664904</v>
      </c>
      <c r="I1692">
        <v>1.52358706604378</v>
      </c>
      <c r="J1692">
        <v>0.98396995511587404</v>
      </c>
      <c r="K1692">
        <v>0.98074104607492896</v>
      </c>
      <c r="L1692">
        <v>15000</v>
      </c>
      <c r="M1692">
        <v>241.863964022186</v>
      </c>
      <c r="O1692">
        <v>62.0140944985963</v>
      </c>
      <c r="P1692">
        <v>0.158600037006603</v>
      </c>
      <c r="Q1692">
        <v>1.16266065141853</v>
      </c>
      <c r="R1692">
        <v>0.25762301011336602</v>
      </c>
      <c r="S1692" t="s">
        <v>3694</v>
      </c>
      <c r="T1692" t="s">
        <v>4002</v>
      </c>
      <c r="U1692" t="s">
        <v>4002</v>
      </c>
      <c r="V1692" t="s">
        <v>4002</v>
      </c>
      <c r="W1692" t="s">
        <v>5670</v>
      </c>
      <c r="X1692">
        <v>1</v>
      </c>
      <c r="Y1692" t="s">
        <v>7594</v>
      </c>
      <c r="Z1692" t="s">
        <v>9590</v>
      </c>
      <c r="AA1692">
        <v>1.0432578530808241</v>
      </c>
      <c r="AB1692" t="str">
        <f>HYPERLINK("Melting_Curves/meltCurve_Q86UQ4_ABCA13.pdf", "Melting_Curves/meltCurve_Q86UQ4_ABCA13.pdf")</f>
        <v>Melting_Curves/meltCurve_Q86UQ4_ABCA13.pdf</v>
      </c>
    </row>
    <row r="1693" spans="1:28" x14ac:dyDescent="0.25">
      <c r="A1693" t="s">
        <v>1697</v>
      </c>
      <c r="B1693">
        <v>1</v>
      </c>
      <c r="C1693">
        <v>0.87954338261524401</v>
      </c>
      <c r="D1693">
        <v>0.96646716080700801</v>
      </c>
      <c r="E1693">
        <v>1.03884418724484</v>
      </c>
      <c r="F1693">
        <v>1.1279479963534</v>
      </c>
      <c r="G1693">
        <v>1.1666336358952001</v>
      </c>
      <c r="H1693">
        <v>1.2901819334892399</v>
      </c>
      <c r="I1693">
        <v>1.7772404772285899</v>
      </c>
      <c r="J1693">
        <v>1.89607198065718</v>
      </c>
      <c r="K1693">
        <v>1.85433429783186</v>
      </c>
      <c r="L1693">
        <v>2304.0410412900801</v>
      </c>
      <c r="M1693">
        <v>39.546969244265902</v>
      </c>
      <c r="O1693">
        <v>58.112504149746002</v>
      </c>
      <c r="P1693">
        <v>8.5065725207807599E-2</v>
      </c>
      <c r="Q1693">
        <v>1.5</v>
      </c>
      <c r="R1693">
        <v>0.69630605611697005</v>
      </c>
      <c r="S1693" t="s">
        <v>3695</v>
      </c>
      <c r="T1693" t="s">
        <v>4002</v>
      </c>
      <c r="U1693" t="s">
        <v>4002</v>
      </c>
      <c r="V1693" t="s">
        <v>4002</v>
      </c>
      <c r="W1693" t="s">
        <v>5671</v>
      </c>
      <c r="X1693">
        <v>4</v>
      </c>
      <c r="Y1693" t="s">
        <v>7595</v>
      </c>
      <c r="Z1693" t="s">
        <v>9591</v>
      </c>
      <c r="AA1693">
        <v>1.193640881625265</v>
      </c>
      <c r="AB1693" t="str">
        <f>HYPERLINK("Melting_Curves/meltCurve_Q86UX7_2_FERMT3.pdf", "Melting_Curves/meltCurve_Q86UX7_2_FERMT3.pdf")</f>
        <v>Melting_Curves/meltCurve_Q86UX7_2_FERMT3.pdf</v>
      </c>
    </row>
    <row r="1694" spans="1:28" x14ac:dyDescent="0.25">
      <c r="A1694" t="s">
        <v>1698</v>
      </c>
      <c r="B1694">
        <v>1</v>
      </c>
      <c r="C1694">
        <v>0.95857123281414103</v>
      </c>
      <c r="D1694">
        <v>1.0365870369524499</v>
      </c>
      <c r="E1694">
        <v>1.06876627232449</v>
      </c>
      <c r="F1694">
        <v>1.0308089343625799</v>
      </c>
      <c r="G1694">
        <v>1.1352715479833699</v>
      </c>
      <c r="H1694">
        <v>1.0496962499428999</v>
      </c>
      <c r="I1694">
        <v>1.2513132051340601</v>
      </c>
      <c r="J1694">
        <v>1.2365824692824201</v>
      </c>
      <c r="K1694">
        <v>1.09804503722651</v>
      </c>
      <c r="L1694">
        <v>712.74219309924501</v>
      </c>
      <c r="M1694">
        <v>12.784799063727201</v>
      </c>
      <c r="O1694">
        <v>54.438043357204499</v>
      </c>
      <c r="P1694">
        <v>1.12302368873899E-2</v>
      </c>
      <c r="Q1694">
        <v>1.19123863870307</v>
      </c>
      <c r="R1694">
        <v>0.59942354923773999</v>
      </c>
      <c r="S1694" t="s">
        <v>3696</v>
      </c>
      <c r="T1694" t="s">
        <v>4002</v>
      </c>
      <c r="U1694" t="s">
        <v>4002</v>
      </c>
      <c r="V1694" t="s">
        <v>4002</v>
      </c>
      <c r="W1694" t="s">
        <v>5672</v>
      </c>
      <c r="X1694">
        <v>7</v>
      </c>
      <c r="Y1694" t="s">
        <v>7596</v>
      </c>
      <c r="Z1694" t="s">
        <v>9592</v>
      </c>
      <c r="AA1694">
        <v>1.0869254343213599</v>
      </c>
      <c r="AB1694" t="str">
        <f>HYPERLINK("Melting_Curves/meltCurve_Q86UY0_TXNDC5.pdf", "Melting_Curves/meltCurve_Q86UY0_TXNDC5.pdf")</f>
        <v>Melting_Curves/meltCurve_Q86UY0_TXNDC5.pdf</v>
      </c>
    </row>
    <row r="1695" spans="1:28" x14ac:dyDescent="0.25">
      <c r="A1695" t="s">
        <v>1699</v>
      </c>
      <c r="B1695">
        <v>1</v>
      </c>
      <c r="C1695">
        <v>0.83053128948958799</v>
      </c>
      <c r="D1695">
        <v>0.43393220152738898</v>
      </c>
      <c r="E1695">
        <v>0.80149442338333099</v>
      </c>
      <c r="F1695">
        <v>0.844129443437174</v>
      </c>
      <c r="G1695">
        <v>1.4839294544255801</v>
      </c>
      <c r="H1695">
        <v>2.0624141530685098</v>
      </c>
      <c r="I1695">
        <v>2.4264875556288099</v>
      </c>
      <c r="J1695">
        <v>2.81825174440965</v>
      </c>
      <c r="K1695">
        <v>2.35671116971595</v>
      </c>
      <c r="L1695">
        <v>14055.922517147301</v>
      </c>
      <c r="M1695">
        <v>250</v>
      </c>
      <c r="O1695">
        <v>56.220091839535002</v>
      </c>
      <c r="P1695">
        <v>0.55585109976235403</v>
      </c>
      <c r="Q1695">
        <v>1.5</v>
      </c>
      <c r="R1695">
        <v>0.365649687677158</v>
      </c>
      <c r="S1695" t="s">
        <v>3697</v>
      </c>
      <c r="T1695" t="s">
        <v>4002</v>
      </c>
      <c r="U1695" t="s">
        <v>4002</v>
      </c>
      <c r="V1695" t="s">
        <v>4002</v>
      </c>
      <c r="W1695" t="s">
        <v>5673</v>
      </c>
      <c r="X1695">
        <v>1</v>
      </c>
      <c r="Y1695" t="s">
        <v>7597</v>
      </c>
      <c r="Z1695" t="s">
        <v>9593</v>
      </c>
      <c r="AA1695">
        <v>1.229555829672994</v>
      </c>
      <c r="AB1695" t="str">
        <f>HYPERLINK("Melting_Curves/meltCurve_Q86VN1_2_VPS36.pdf", "Melting_Curves/meltCurve_Q86VN1_2_VPS36.pdf")</f>
        <v>Melting_Curves/meltCurve_Q86VN1_2_VPS36.pdf</v>
      </c>
    </row>
    <row r="1696" spans="1:28" x14ac:dyDescent="0.25">
      <c r="A1696" t="s">
        <v>1700</v>
      </c>
      <c r="B1696">
        <v>1</v>
      </c>
      <c r="C1696">
        <v>0.87632736872983297</v>
      </c>
      <c r="D1696">
        <v>0.97662070988559702</v>
      </c>
      <c r="E1696">
        <v>1.1121443238486399</v>
      </c>
      <c r="F1696">
        <v>1.03622763273687</v>
      </c>
      <c r="G1696">
        <v>1.03725432678205</v>
      </c>
      <c r="H1696">
        <v>0.89847462599002603</v>
      </c>
      <c r="I1696">
        <v>1.23889703725433</v>
      </c>
      <c r="J1696">
        <v>1.91924317981813</v>
      </c>
      <c r="K1696">
        <v>1.19730126136697</v>
      </c>
      <c r="L1696">
        <v>15000</v>
      </c>
      <c r="M1696">
        <v>234.28649582289</v>
      </c>
      <c r="O1696">
        <v>64.019511622997101</v>
      </c>
      <c r="P1696">
        <v>0.45745135023178202</v>
      </c>
      <c r="Q1696">
        <v>1.5</v>
      </c>
      <c r="R1696">
        <v>0.62124341127315796</v>
      </c>
      <c r="S1696" t="s">
        <v>3698</v>
      </c>
      <c r="T1696" t="s">
        <v>4002</v>
      </c>
      <c r="U1696" t="s">
        <v>4002</v>
      </c>
      <c r="V1696" t="s">
        <v>4002</v>
      </c>
      <c r="W1696" t="s">
        <v>5674</v>
      </c>
      <c r="X1696">
        <v>2</v>
      </c>
      <c r="Y1696" t="s">
        <v>7598</v>
      </c>
      <c r="Z1696" t="s">
        <v>9594</v>
      </c>
      <c r="AA1696">
        <v>1.099533084072118</v>
      </c>
      <c r="AB1696" t="str">
        <f>HYPERLINK("Melting_Curves/meltCurve_Q86VP6_2_CAND1.pdf", "Melting_Curves/meltCurve_Q86VP6_2_CAND1.pdf")</f>
        <v>Melting_Curves/meltCurve_Q86VP6_2_CAND1.pdf</v>
      </c>
    </row>
    <row r="1697" spans="1:28" x14ac:dyDescent="0.25">
      <c r="A1697" t="s">
        <v>1701</v>
      </c>
      <c r="B1697">
        <v>1</v>
      </c>
      <c r="C1697">
        <v>0.92581072137657205</v>
      </c>
      <c r="D1697">
        <v>1.0288550628722699</v>
      </c>
      <c r="E1697">
        <v>1.04050297816016</v>
      </c>
      <c r="F1697">
        <v>1.0070152217074799</v>
      </c>
      <c r="G1697">
        <v>1.0757776307081399</v>
      </c>
      <c r="H1697">
        <v>0.94546657842488402</v>
      </c>
      <c r="I1697">
        <v>1.2053606882859</v>
      </c>
      <c r="J1697">
        <v>0.96439444076770398</v>
      </c>
      <c r="K1697">
        <v>1.0556585043017901</v>
      </c>
      <c r="L1697">
        <v>1055.3340929147801</v>
      </c>
      <c r="M1697">
        <v>21.302196695352801</v>
      </c>
      <c r="O1697">
        <v>49.110690647961299</v>
      </c>
      <c r="P1697">
        <v>5.0815886144001702E-3</v>
      </c>
      <c r="Q1697">
        <v>1.0468597839390701</v>
      </c>
      <c r="R1697">
        <v>0.11438651849150901</v>
      </c>
      <c r="S1697" t="s">
        <v>3699</v>
      </c>
      <c r="T1697" t="s">
        <v>4002</v>
      </c>
      <c r="U1697" t="s">
        <v>4002</v>
      </c>
      <c r="V1697" t="s">
        <v>4002</v>
      </c>
      <c r="W1697" t="s">
        <v>5675</v>
      </c>
      <c r="X1697">
        <v>18</v>
      </c>
      <c r="Y1697" t="s">
        <v>7599</v>
      </c>
      <c r="Z1697" t="s">
        <v>9595</v>
      </c>
      <c r="AA1697">
        <v>1.031380307252703</v>
      </c>
      <c r="AB1697" t="str">
        <f>HYPERLINK("Melting_Curves/meltCurve_Q86VR7_VSIG10L.pdf", "Melting_Curves/meltCurve_Q86VR7_VSIG10L.pdf")</f>
        <v>Melting_Curves/meltCurve_Q86VR7_VSIG10L.pdf</v>
      </c>
    </row>
    <row r="1698" spans="1:28" x14ac:dyDescent="0.25">
      <c r="A1698" t="s">
        <v>1702</v>
      </c>
      <c r="B1698">
        <v>1</v>
      </c>
      <c r="C1698">
        <v>0.91965413387739203</v>
      </c>
      <c r="D1698">
        <v>0.99504517633343004</v>
      </c>
      <c r="E1698">
        <v>0.97406004080442998</v>
      </c>
      <c r="F1698">
        <v>0.91882832993296404</v>
      </c>
      <c r="G1698">
        <v>0.93496551054114496</v>
      </c>
      <c r="H1698">
        <v>0.80207908287185503</v>
      </c>
      <c r="I1698">
        <v>1.0817060137957799</v>
      </c>
      <c r="J1698">
        <v>1.08588361022054</v>
      </c>
      <c r="K1698">
        <v>0.87395317205868095</v>
      </c>
      <c r="L1698">
        <v>10235.2400868883</v>
      </c>
      <c r="M1698">
        <v>250</v>
      </c>
      <c r="O1698">
        <v>40.938340817524001</v>
      </c>
      <c r="P1698">
        <v>-7.0197829762487493E-2</v>
      </c>
      <c r="Q1698">
        <v>0.95401947765393902</v>
      </c>
      <c r="R1698">
        <v>2.71981159109052E-2</v>
      </c>
      <c r="S1698" t="s">
        <v>3700</v>
      </c>
      <c r="T1698" t="s">
        <v>4002</v>
      </c>
      <c r="U1698" t="s">
        <v>4002</v>
      </c>
      <c r="V1698" t="s">
        <v>4002</v>
      </c>
      <c r="W1698" t="s">
        <v>5676</v>
      </c>
      <c r="X1698">
        <v>6</v>
      </c>
      <c r="Y1698" t="s">
        <v>7600</v>
      </c>
      <c r="Z1698" t="s">
        <v>9596</v>
      </c>
      <c r="AA1698">
        <v>0.95546563917603045</v>
      </c>
      <c r="AB1698" t="str">
        <f>HYPERLINK("Melting_Curves/meltCurve_Q86VS8_HOOK3.pdf", "Melting_Curves/meltCurve_Q86VS8_HOOK3.pdf")</f>
        <v>Melting_Curves/meltCurve_Q86VS8_HOOK3.pdf</v>
      </c>
    </row>
    <row r="1699" spans="1:28" x14ac:dyDescent="0.25">
      <c r="A1699" t="s">
        <v>1703</v>
      </c>
      <c r="B1699">
        <v>1</v>
      </c>
      <c r="C1699">
        <v>1.44687059003013</v>
      </c>
      <c r="D1699">
        <v>1.40039665891148</v>
      </c>
      <c r="E1699">
        <v>1.19373355200427</v>
      </c>
      <c r="F1699">
        <v>1.2055951790686099</v>
      </c>
      <c r="G1699">
        <v>1.1939623936839701</v>
      </c>
      <c r="H1699">
        <v>0.50787596780960398</v>
      </c>
      <c r="I1699">
        <v>0.96044852969220795</v>
      </c>
      <c r="J1699">
        <v>0.743334986078798</v>
      </c>
      <c r="K1699">
        <v>0.68227239787939997</v>
      </c>
      <c r="L1699">
        <v>5398.4236573532698</v>
      </c>
      <c r="M1699">
        <v>91.608205896490901</v>
      </c>
      <c r="O1699">
        <v>58.901411068828203</v>
      </c>
      <c r="P1699">
        <v>-0.10789829649563699</v>
      </c>
      <c r="Q1699">
        <v>0.72249815964152897</v>
      </c>
      <c r="R1699">
        <v>0.32473505066000002</v>
      </c>
      <c r="S1699" t="s">
        <v>3701</v>
      </c>
      <c r="T1699" t="s">
        <v>4002</v>
      </c>
      <c r="U1699" t="s">
        <v>4002</v>
      </c>
      <c r="V1699" t="s">
        <v>4002</v>
      </c>
      <c r="W1699" t="s">
        <v>5677</v>
      </c>
      <c r="X1699">
        <v>1</v>
      </c>
      <c r="Y1699" t="s">
        <v>7601</v>
      </c>
      <c r="Z1699" t="s">
        <v>9597</v>
      </c>
      <c r="AA1699">
        <v>0.89781102271963509</v>
      </c>
      <c r="AB1699" t="str">
        <f>HYPERLINK("Melting_Curves/meltCurve_Q86W28_2_NLRP8.pdf", "Melting_Curves/meltCurve_Q86W28_2_NLRP8.pdf")</f>
        <v>Melting_Curves/meltCurve_Q86W28_2_NLRP8.pdf</v>
      </c>
    </row>
    <row r="1700" spans="1:28" x14ac:dyDescent="0.25">
      <c r="A1700" t="s">
        <v>1704</v>
      </c>
      <c r="B1700">
        <v>1</v>
      </c>
      <c r="C1700">
        <v>0.918189420493568</v>
      </c>
      <c r="D1700">
        <v>1.0876287742647199</v>
      </c>
      <c r="E1700">
        <v>1.10349981317723</v>
      </c>
      <c r="F1700">
        <v>1.1131612191519999</v>
      </c>
      <c r="G1700">
        <v>1.3095386367275801</v>
      </c>
      <c r="H1700">
        <v>1.12065192249524</v>
      </c>
      <c r="I1700">
        <v>1.6261409533298901</v>
      </c>
      <c r="J1700">
        <v>1.5419105741686401</v>
      </c>
      <c r="K1700">
        <v>1.37782680639823</v>
      </c>
      <c r="L1700">
        <v>783.09781664447303</v>
      </c>
      <c r="M1700">
        <v>13.7979834763958</v>
      </c>
      <c r="O1700">
        <v>55.602232142502103</v>
      </c>
      <c r="P1700">
        <v>3.1023745541198501E-2</v>
      </c>
      <c r="Q1700">
        <v>1.5</v>
      </c>
      <c r="R1700">
        <v>0.72182032022754705</v>
      </c>
      <c r="S1700" t="s">
        <v>3702</v>
      </c>
      <c r="T1700" t="s">
        <v>4002</v>
      </c>
      <c r="U1700" t="s">
        <v>4002</v>
      </c>
      <c r="V1700" t="s">
        <v>4002</v>
      </c>
      <c r="W1700" t="s">
        <v>5678</v>
      </c>
      <c r="X1700">
        <v>2</v>
      </c>
      <c r="Y1700" t="s">
        <v>7602</v>
      </c>
      <c r="Z1700" t="s">
        <v>9598</v>
      </c>
      <c r="AA1700">
        <v>1.212209802273196</v>
      </c>
      <c r="AB1700" t="str">
        <f>HYPERLINK("Melting_Curves/meltCurve_Q86X76_2_NIT1.pdf", "Melting_Curves/meltCurve_Q86X76_2_NIT1.pdf")</f>
        <v>Melting_Curves/meltCurve_Q86X76_2_NIT1.pdf</v>
      </c>
    </row>
    <row r="1701" spans="1:28" x14ac:dyDescent="0.25">
      <c r="A1701" t="s">
        <v>1705</v>
      </c>
      <c r="B1701">
        <v>1</v>
      </c>
      <c r="C1701">
        <v>0.81440781440781396</v>
      </c>
      <c r="D1701">
        <v>0.80674264007597296</v>
      </c>
      <c r="E1701">
        <v>0.86134852801519501</v>
      </c>
      <c r="F1701">
        <v>1.0749559082892399</v>
      </c>
      <c r="G1701">
        <v>1.02577669244336</v>
      </c>
      <c r="H1701">
        <v>1.21740605073938</v>
      </c>
      <c r="I1701">
        <v>2.1528964862298201</v>
      </c>
      <c r="J1701">
        <v>1.9789038122371501</v>
      </c>
      <c r="K1701">
        <v>2.3310269976936602</v>
      </c>
      <c r="L1701">
        <v>15000</v>
      </c>
      <c r="M1701">
        <v>245.63967223157201</v>
      </c>
      <c r="O1701">
        <v>61.061006074740597</v>
      </c>
      <c r="P1701">
        <v>0.502857070712313</v>
      </c>
      <c r="Q1701">
        <v>1.5</v>
      </c>
      <c r="R1701">
        <v>0.54006994672891395</v>
      </c>
      <c r="S1701" t="s">
        <v>3703</v>
      </c>
      <c r="T1701" t="s">
        <v>4002</v>
      </c>
      <c r="U1701" t="s">
        <v>4002</v>
      </c>
      <c r="V1701" t="s">
        <v>4002</v>
      </c>
      <c r="W1701" t="s">
        <v>5679</v>
      </c>
      <c r="X1701">
        <v>1</v>
      </c>
      <c r="Y1701" t="s">
        <v>7603</v>
      </c>
      <c r="Z1701" t="s">
        <v>9599</v>
      </c>
      <c r="AA1701">
        <v>1.1488602526783409</v>
      </c>
      <c r="AB1701" t="str">
        <f>HYPERLINK("Melting_Curves/meltCurve_Q86X91_PTK7.pdf", "Melting_Curves/meltCurve_Q86X91_PTK7.pdf")</f>
        <v>Melting_Curves/meltCurve_Q86X91_PTK7.pdf</v>
      </c>
    </row>
    <row r="1702" spans="1:28" x14ac:dyDescent="0.25">
      <c r="A1702" t="s">
        <v>1706</v>
      </c>
      <c r="B1702">
        <v>1</v>
      </c>
      <c r="C1702">
        <v>0.87767723455504199</v>
      </c>
      <c r="D1702">
        <v>0.98873771238851604</v>
      </c>
      <c r="E1702">
        <v>1.12160666623267</v>
      </c>
      <c r="F1702">
        <v>1.15428683028449</v>
      </c>
      <c r="G1702">
        <v>1.2439945316060199</v>
      </c>
      <c r="H1702">
        <v>0.82572749169975901</v>
      </c>
      <c r="I1702">
        <v>1.1468003385196299</v>
      </c>
      <c r="J1702">
        <v>0.89271531801314996</v>
      </c>
      <c r="K1702">
        <v>1.06360263003711</v>
      </c>
      <c r="L1702">
        <v>88.034038669799102</v>
      </c>
      <c r="M1702">
        <v>1.0000000000000001E-5</v>
      </c>
      <c r="Q1702">
        <v>1.1999849653244199</v>
      </c>
      <c r="R1702">
        <v>9.3938189362874295E-3</v>
      </c>
      <c r="S1702" t="s">
        <v>3704</v>
      </c>
      <c r="T1702" t="s">
        <v>4002</v>
      </c>
      <c r="U1702" t="s">
        <v>4002</v>
      </c>
      <c r="V1702" t="s">
        <v>4002</v>
      </c>
      <c r="W1702" t="s">
        <v>5680</v>
      </c>
      <c r="X1702">
        <v>1</v>
      </c>
      <c r="Y1702" t="s">
        <v>7604</v>
      </c>
      <c r="Z1702" t="s">
        <v>9600</v>
      </c>
      <c r="AA1702">
        <v>1.0330739148898089</v>
      </c>
      <c r="AB1702" t="str">
        <f>HYPERLINK("Melting_Curves/meltCurve_Q8IV04_TBC1D10C.pdf", "Melting_Curves/meltCurve_Q8IV04_TBC1D10C.pdf")</f>
        <v>Melting_Curves/meltCurve_Q8IV04_TBC1D10C.pdf</v>
      </c>
    </row>
    <row r="1703" spans="1:28" x14ac:dyDescent="0.25">
      <c r="A1703" t="s">
        <v>1707</v>
      </c>
      <c r="B1703">
        <v>1</v>
      </c>
      <c r="C1703">
        <v>0.99755974642582401</v>
      </c>
      <c r="D1703">
        <v>1.2104188217819201</v>
      </c>
      <c r="E1703">
        <v>1.1210047478846701</v>
      </c>
      <c r="F1703">
        <v>0.97498740086469904</v>
      </c>
      <c r="G1703">
        <v>1.0878756531656999</v>
      </c>
      <c r="H1703">
        <v>0.602981353279754</v>
      </c>
      <c r="I1703">
        <v>1.0915360335269599</v>
      </c>
      <c r="J1703">
        <v>1.0111933370467601</v>
      </c>
      <c r="K1703">
        <v>1.05296941725684</v>
      </c>
      <c r="L1703">
        <v>2298.5086288181601</v>
      </c>
      <c r="M1703">
        <v>40.037856287657902</v>
      </c>
      <c r="O1703">
        <v>57.265730368804498</v>
      </c>
      <c r="P1703">
        <v>-7.5185125596663096E-3</v>
      </c>
      <c r="Q1703">
        <v>0.95698548912646797</v>
      </c>
      <c r="R1703">
        <v>2.18572896970269E-2</v>
      </c>
      <c r="S1703" t="s">
        <v>3705</v>
      </c>
      <c r="T1703" t="s">
        <v>4002</v>
      </c>
      <c r="U1703" t="s">
        <v>4002</v>
      </c>
      <c r="V1703" t="s">
        <v>4002</v>
      </c>
      <c r="W1703" t="s">
        <v>5681</v>
      </c>
      <c r="X1703">
        <v>1</v>
      </c>
      <c r="Y1703" t="s">
        <v>7605</v>
      </c>
      <c r="Z1703" t="s">
        <v>9601</v>
      </c>
      <c r="AA1703">
        <v>0.98211391199879339</v>
      </c>
      <c r="AB1703" t="str">
        <f>HYPERLINK("Melting_Curves/meltCurve_Q8IWB9_TEX2.pdf", "Melting_Curves/meltCurve_Q8IWB9_TEX2.pdf")</f>
        <v>Melting_Curves/meltCurve_Q8IWB9_TEX2.pdf</v>
      </c>
    </row>
    <row r="1704" spans="1:28" x14ac:dyDescent="0.25">
      <c r="A1704" t="s">
        <v>1708</v>
      </c>
      <c r="B1704">
        <v>1</v>
      </c>
      <c r="C1704">
        <v>0.85811904333752898</v>
      </c>
      <c r="D1704">
        <v>0.92123718755619499</v>
      </c>
      <c r="E1704">
        <v>0.94833063597674305</v>
      </c>
      <c r="F1704">
        <v>0.893844032847809</v>
      </c>
      <c r="G1704">
        <v>0.930827788767008</v>
      </c>
      <c r="H1704">
        <v>0.66954384702991099</v>
      </c>
      <c r="I1704">
        <v>1.26506024096386</v>
      </c>
      <c r="J1704">
        <v>0.61601630402205798</v>
      </c>
      <c r="K1704">
        <v>0.85662051189833999</v>
      </c>
      <c r="L1704">
        <v>121.113940353584</v>
      </c>
      <c r="M1704">
        <v>4.90547357308471E-2</v>
      </c>
      <c r="O1704">
        <v>50.160221477496997</v>
      </c>
      <c r="P1704">
        <v>-3.7774548174239401E-3</v>
      </c>
      <c r="Q1704">
        <v>0</v>
      </c>
      <c r="R1704">
        <v>4.3667547963151601E-2</v>
      </c>
      <c r="S1704" t="s">
        <v>3706</v>
      </c>
      <c r="T1704" t="s">
        <v>4002</v>
      </c>
      <c r="U1704" t="s">
        <v>4002</v>
      </c>
      <c r="V1704" t="s">
        <v>4002</v>
      </c>
      <c r="W1704" t="s">
        <v>5682</v>
      </c>
      <c r="X1704">
        <v>1</v>
      </c>
      <c r="Y1704" t="s">
        <v>7606</v>
      </c>
      <c r="Z1704" t="s">
        <v>9602</v>
      </c>
      <c r="AA1704">
        <v>0.89648730510140529</v>
      </c>
      <c r="AB1704" t="str">
        <f>HYPERLINK("Melting_Curves/meltCurve_Q8IWU2_LMTK2.pdf", "Melting_Curves/meltCurve_Q8IWU2_LMTK2.pdf")</f>
        <v>Melting_Curves/meltCurve_Q8IWU2_LMTK2.pdf</v>
      </c>
    </row>
    <row r="1705" spans="1:28" x14ac:dyDescent="0.25">
      <c r="A1705" t="s">
        <v>1709</v>
      </c>
      <c r="B1705">
        <v>1</v>
      </c>
      <c r="C1705">
        <v>0.95650089874176203</v>
      </c>
      <c r="D1705">
        <v>0.900958657878969</v>
      </c>
      <c r="E1705">
        <v>0.81647693229478702</v>
      </c>
      <c r="F1705">
        <v>0.78172558418214499</v>
      </c>
      <c r="G1705">
        <v>0.92043139604553603</v>
      </c>
      <c r="H1705">
        <v>0.84859197124026398</v>
      </c>
      <c r="I1705">
        <v>0.93235470341521898</v>
      </c>
      <c r="J1705">
        <v>1.36884361893349</v>
      </c>
      <c r="K1705">
        <v>0.78280407429598597</v>
      </c>
      <c r="L1705">
        <v>10718.6079489516</v>
      </c>
      <c r="M1705">
        <v>250</v>
      </c>
      <c r="O1705">
        <v>42.871688130280099</v>
      </c>
      <c r="P1705">
        <v>-0.11805085672014901</v>
      </c>
      <c r="Q1705">
        <v>0.91902336791574901</v>
      </c>
      <c r="R1705">
        <v>2.5005717472362399E-2</v>
      </c>
      <c r="S1705" t="s">
        <v>3707</v>
      </c>
      <c r="T1705" t="s">
        <v>4002</v>
      </c>
      <c r="U1705" t="s">
        <v>4002</v>
      </c>
      <c r="V1705" t="s">
        <v>4002</v>
      </c>
      <c r="W1705" t="s">
        <v>5683</v>
      </c>
      <c r="X1705">
        <v>1</v>
      </c>
      <c r="Y1705" t="s">
        <v>7607</v>
      </c>
      <c r="Z1705" t="s">
        <v>9603</v>
      </c>
      <c r="AA1705">
        <v>0.92678818779057381</v>
      </c>
      <c r="AB1705" t="str">
        <f>HYPERLINK("Melting_Curves/meltCurve_Q8IXJ6_2_SIRT2.pdf", "Melting_Curves/meltCurve_Q8IXJ6_2_SIRT2.pdf")</f>
        <v>Melting_Curves/meltCurve_Q8IXJ6_2_SIRT2.pdf</v>
      </c>
    </row>
    <row r="1706" spans="1:28" x14ac:dyDescent="0.25">
      <c r="A1706" t="s">
        <v>1710</v>
      </c>
      <c r="B1706">
        <v>1</v>
      </c>
      <c r="C1706">
        <v>0.96830677939940701</v>
      </c>
      <c r="D1706">
        <v>1.1036546673755301</v>
      </c>
      <c r="E1706">
        <v>1.0506611329297399</v>
      </c>
      <c r="F1706">
        <v>1.0495635322162999</v>
      </c>
      <c r="G1706">
        <v>1.1463238951105299</v>
      </c>
      <c r="H1706">
        <v>1.12630983210139</v>
      </c>
      <c r="I1706">
        <v>1.48826081736953</v>
      </c>
      <c r="J1706">
        <v>1.2696324752611099</v>
      </c>
      <c r="K1706">
        <v>1.36853658954878</v>
      </c>
      <c r="L1706">
        <v>860.08499326869605</v>
      </c>
      <c r="M1706">
        <v>14.3897380609287</v>
      </c>
      <c r="O1706">
        <v>58.651954764221699</v>
      </c>
      <c r="P1706">
        <v>2.5856975386230802E-2</v>
      </c>
      <c r="Q1706">
        <v>1.4215174626067999</v>
      </c>
      <c r="R1706">
        <v>0.74494329076810095</v>
      </c>
      <c r="S1706" t="s">
        <v>3708</v>
      </c>
      <c r="T1706" t="s">
        <v>4002</v>
      </c>
      <c r="U1706" t="s">
        <v>4002</v>
      </c>
      <c r="V1706" t="s">
        <v>4002</v>
      </c>
      <c r="W1706" t="s">
        <v>5684</v>
      </c>
      <c r="X1706">
        <v>2</v>
      </c>
      <c r="Y1706" t="s">
        <v>7608</v>
      </c>
      <c r="Z1706" t="s">
        <v>9604</v>
      </c>
      <c r="AA1706">
        <v>1.140667683816839</v>
      </c>
      <c r="AB1706" t="str">
        <f>HYPERLINK("Melting_Curves/meltCurve_Q8IXK2_2_GALNT12.pdf", "Melting_Curves/meltCurve_Q8IXK2_2_GALNT12.pdf")</f>
        <v>Melting_Curves/meltCurve_Q8IXK2_2_GALNT12.pdf</v>
      </c>
    </row>
    <row r="1707" spans="1:28" x14ac:dyDescent="0.25">
      <c r="A1707" t="s">
        <v>1711</v>
      </c>
      <c r="B1707">
        <v>1</v>
      </c>
      <c r="C1707">
        <v>0.84986819263164703</v>
      </c>
      <c r="D1707">
        <v>0.95830386420626301</v>
      </c>
      <c r="E1707">
        <v>1.00276473992156</v>
      </c>
      <c r="F1707">
        <v>1.8912749951777801</v>
      </c>
      <c r="G1707">
        <v>1.5691184980389601</v>
      </c>
      <c r="H1707">
        <v>1.3756992220150499</v>
      </c>
      <c r="I1707">
        <v>1.7657365138558501</v>
      </c>
      <c r="J1707">
        <v>1.7511091107824901</v>
      </c>
      <c r="K1707">
        <v>1.8422490837780501</v>
      </c>
      <c r="L1707">
        <v>12730.8453953144</v>
      </c>
      <c r="M1707">
        <v>250</v>
      </c>
      <c r="O1707">
        <v>50.920122840500099</v>
      </c>
      <c r="P1707">
        <v>0.61370629732175797</v>
      </c>
      <c r="Q1707">
        <v>1.5</v>
      </c>
      <c r="R1707">
        <v>0.70856265729624601</v>
      </c>
      <c r="S1707" t="s">
        <v>3709</v>
      </c>
      <c r="T1707" t="s">
        <v>4002</v>
      </c>
      <c r="U1707" t="s">
        <v>4002</v>
      </c>
      <c r="V1707" t="s">
        <v>4002</v>
      </c>
      <c r="W1707" t="s">
        <v>5685</v>
      </c>
      <c r="X1707">
        <v>1</v>
      </c>
      <c r="Y1707" t="s">
        <v>7609</v>
      </c>
      <c r="Z1707" t="s">
        <v>9605</v>
      </c>
      <c r="AA1707">
        <v>1.317898955441307</v>
      </c>
      <c r="AB1707" t="str">
        <f>HYPERLINK("Melting_Curves/meltCurve_Q8IY92_2_SLX4.pdf", "Melting_Curves/meltCurve_Q8IY92_2_SLX4.pdf")</f>
        <v>Melting_Curves/meltCurve_Q8IY92_2_SLX4.pdf</v>
      </c>
    </row>
    <row r="1708" spans="1:28" x14ac:dyDescent="0.25">
      <c r="A1708" t="s">
        <v>1712</v>
      </c>
      <c r="B1708">
        <v>1</v>
      </c>
      <c r="C1708">
        <v>0.97988382407645902</v>
      </c>
      <c r="D1708">
        <v>1.0491029272899</v>
      </c>
      <c r="E1708">
        <v>1.08810484447878</v>
      </c>
      <c r="F1708">
        <v>1.10930838126306</v>
      </c>
      <c r="G1708">
        <v>1.11342890663004</v>
      </c>
      <c r="H1708">
        <v>0.75789051993017997</v>
      </c>
      <c r="I1708">
        <v>1.4481643631785299</v>
      </c>
      <c r="J1708">
        <v>0.70335078833662401</v>
      </c>
      <c r="K1708">
        <v>0.89269465190145103</v>
      </c>
      <c r="L1708">
        <v>2469.4587611366201</v>
      </c>
      <c r="M1708">
        <v>36.445235661719003</v>
      </c>
      <c r="O1708">
        <v>67.555036338003404</v>
      </c>
      <c r="P1708">
        <v>-2.5654062979682101E-2</v>
      </c>
      <c r="Q1708">
        <v>0.80979067458656695</v>
      </c>
      <c r="R1708">
        <v>7.7681511699048605E-2</v>
      </c>
      <c r="S1708" t="s">
        <v>3710</v>
      </c>
      <c r="T1708" t="s">
        <v>4002</v>
      </c>
      <c r="U1708" t="s">
        <v>4002</v>
      </c>
      <c r="V1708" t="s">
        <v>4002</v>
      </c>
      <c r="W1708" t="s">
        <v>5686</v>
      </c>
      <c r="X1708">
        <v>3</v>
      </c>
      <c r="Y1708" t="s">
        <v>7610</v>
      </c>
      <c r="Z1708" t="s">
        <v>9606</v>
      </c>
      <c r="AA1708">
        <v>0.98322460547133905</v>
      </c>
      <c r="AB1708" t="str">
        <f>HYPERLINK("Melting_Curves/meltCurve_Q8IYJ3_2_SYTL1.pdf", "Melting_Curves/meltCurve_Q8IYJ3_2_SYTL1.pdf")</f>
        <v>Melting_Curves/meltCurve_Q8IYJ3_2_SYTL1.pdf</v>
      </c>
    </row>
    <row r="1709" spans="1:28" x14ac:dyDescent="0.25">
      <c r="A1709" t="s">
        <v>1713</v>
      </c>
      <c r="B1709">
        <v>1</v>
      </c>
      <c r="C1709">
        <v>0.99661220206865497</v>
      </c>
      <c r="D1709">
        <v>1.06189476840054</v>
      </c>
      <c r="E1709">
        <v>1.13704092339979</v>
      </c>
      <c r="F1709">
        <v>1.09538300104932</v>
      </c>
      <c r="G1709">
        <v>1.22467396192475</v>
      </c>
      <c r="H1709">
        <v>1.2087692999550299</v>
      </c>
      <c r="I1709">
        <v>1.53470244341178</v>
      </c>
      <c r="J1709">
        <v>1.23528706340878</v>
      </c>
      <c r="K1709">
        <v>1.48832259031629</v>
      </c>
      <c r="L1709">
        <v>562.55554790683198</v>
      </c>
      <c r="M1709">
        <v>9.6480763021290699</v>
      </c>
      <c r="O1709">
        <v>55.967821281440301</v>
      </c>
      <c r="P1709">
        <v>2.1560283594380801E-2</v>
      </c>
      <c r="Q1709">
        <v>1.5</v>
      </c>
      <c r="R1709">
        <v>0.75388702282361897</v>
      </c>
      <c r="S1709" t="s">
        <v>3711</v>
      </c>
      <c r="T1709" t="s">
        <v>4002</v>
      </c>
      <c r="U1709" t="s">
        <v>4002</v>
      </c>
      <c r="V1709" t="s">
        <v>4002</v>
      </c>
      <c r="W1709" t="s">
        <v>5687</v>
      </c>
      <c r="X1709">
        <v>1</v>
      </c>
      <c r="Y1709" t="s">
        <v>7611</v>
      </c>
      <c r="Z1709" t="s">
        <v>9607</v>
      </c>
      <c r="AA1709">
        <v>1.191349521151571</v>
      </c>
      <c r="AB1709" t="str">
        <f>HYPERLINK("Melting_Curves/meltCurve_Q8IYS5_6_OSCAR.pdf", "Melting_Curves/meltCurve_Q8IYS5_6_OSCAR.pdf")</f>
        <v>Melting_Curves/meltCurve_Q8IYS5_6_OSCAR.pdf</v>
      </c>
    </row>
    <row r="1710" spans="1:28" x14ac:dyDescent="0.25">
      <c r="A1710" t="s">
        <v>1714</v>
      </c>
      <c r="B1710">
        <v>1</v>
      </c>
      <c r="C1710">
        <v>1.05040597242657</v>
      </c>
      <c r="D1710">
        <v>1.13149147185439</v>
      </c>
      <c r="E1710">
        <v>1.1143806877009399</v>
      </c>
      <c r="F1710">
        <v>1.0608904146913001</v>
      </c>
      <c r="G1710">
        <v>1.0405645468911799</v>
      </c>
      <c r="H1710">
        <v>0.59176066699362395</v>
      </c>
      <c r="I1710">
        <v>1.11525257479156</v>
      </c>
      <c r="J1710">
        <v>0.54414473325704305</v>
      </c>
      <c r="K1710">
        <v>0.65732657620838097</v>
      </c>
      <c r="L1710">
        <v>1026.3473043479501</v>
      </c>
      <c r="M1710">
        <v>15.4847496806313</v>
      </c>
      <c r="O1710">
        <v>65.205247877621602</v>
      </c>
      <c r="P1710">
        <v>-3.2358054169456599E-2</v>
      </c>
      <c r="Q1710">
        <v>0.45501817519660598</v>
      </c>
      <c r="R1710">
        <v>0.47753481355891297</v>
      </c>
      <c r="S1710" t="s">
        <v>3712</v>
      </c>
      <c r="T1710" t="s">
        <v>4002</v>
      </c>
      <c r="U1710" t="s">
        <v>4002</v>
      </c>
      <c r="V1710" t="s">
        <v>4002</v>
      </c>
      <c r="W1710" t="s">
        <v>5688</v>
      </c>
      <c r="X1710">
        <v>2</v>
      </c>
      <c r="Y1710" t="s">
        <v>7612</v>
      </c>
      <c r="Z1710" t="s">
        <v>9608</v>
      </c>
      <c r="AA1710">
        <v>0.91231254057827249</v>
      </c>
      <c r="AB1710" t="str">
        <f>HYPERLINK("Melting_Curves/meltCurve_Q8IZ21_3_PHACTR4.pdf", "Melting_Curves/meltCurve_Q8IZ21_3_PHACTR4.pdf")</f>
        <v>Melting_Curves/meltCurve_Q8IZ21_3_PHACTR4.pdf</v>
      </c>
    </row>
    <row r="1711" spans="1:28" x14ac:dyDescent="0.25">
      <c r="A1711" t="s">
        <v>1715</v>
      </c>
      <c r="B1711">
        <v>1</v>
      </c>
      <c r="C1711">
        <v>0.99798443018546901</v>
      </c>
      <c r="D1711">
        <v>1.0145158009578601</v>
      </c>
      <c r="E1711">
        <v>1.0814734000258901</v>
      </c>
      <c r="F1711">
        <v>0.957710016827234</v>
      </c>
      <c r="G1711">
        <v>0.99158638288429901</v>
      </c>
      <c r="H1711">
        <v>1.04027441335824</v>
      </c>
      <c r="I1711">
        <v>1.03722332143716</v>
      </c>
      <c r="J1711">
        <v>1.4531703618779901</v>
      </c>
      <c r="K1711">
        <v>1.0002218975942601</v>
      </c>
      <c r="L1711">
        <v>15000</v>
      </c>
      <c r="M1711">
        <v>232.755173094377</v>
      </c>
      <c r="O1711">
        <v>64.440641308978897</v>
      </c>
      <c r="P1711">
        <v>0.20468558596980699</v>
      </c>
      <c r="Q1711">
        <v>1.2266771598647701</v>
      </c>
      <c r="R1711">
        <v>0.38664273951821698</v>
      </c>
      <c r="S1711" t="s">
        <v>3713</v>
      </c>
      <c r="T1711" t="s">
        <v>4002</v>
      </c>
      <c r="U1711" t="s">
        <v>4002</v>
      </c>
      <c r="V1711" t="s">
        <v>4002</v>
      </c>
      <c r="W1711" t="s">
        <v>5689</v>
      </c>
      <c r="X1711">
        <v>2</v>
      </c>
      <c r="Y1711" t="s">
        <v>7613</v>
      </c>
      <c r="Z1711" t="s">
        <v>9609</v>
      </c>
      <c r="AA1711">
        <v>1.041940461282425</v>
      </c>
      <c r="AB1711" t="str">
        <f>HYPERLINK("Melting_Curves/meltCurve_Q8N1G4_LRRC47.pdf", "Melting_Curves/meltCurve_Q8N1G4_LRRC47.pdf")</f>
        <v>Melting_Curves/meltCurve_Q8N1G4_LRRC47.pdf</v>
      </c>
    </row>
    <row r="1712" spans="1:28" x14ac:dyDescent="0.25">
      <c r="A1712" t="s">
        <v>1716</v>
      </c>
      <c r="B1712">
        <v>1</v>
      </c>
      <c r="C1712">
        <v>0.98226751183503203</v>
      </c>
      <c r="D1712">
        <v>1.12773810479018</v>
      </c>
      <c r="E1712">
        <v>1.0951215598170601</v>
      </c>
      <c r="F1712">
        <v>0.95330177324881604</v>
      </c>
      <c r="G1712">
        <v>0.99506539356495205</v>
      </c>
      <c r="H1712">
        <v>0.744443552916633</v>
      </c>
      <c r="I1712">
        <v>0.82127096204766104</v>
      </c>
      <c r="J1712">
        <v>0.73449410254352898</v>
      </c>
      <c r="K1712">
        <v>0.65505897456471196</v>
      </c>
      <c r="L1712">
        <v>6175.1861784593002</v>
      </c>
      <c r="M1712">
        <v>104.542148250556</v>
      </c>
      <c r="O1712">
        <v>59.047261106204402</v>
      </c>
      <c r="P1712">
        <v>-0.116637852540484</v>
      </c>
      <c r="Q1712">
        <v>0.73648349614675201</v>
      </c>
      <c r="R1712">
        <v>0.82281477045360896</v>
      </c>
      <c r="S1712" t="s">
        <v>3714</v>
      </c>
      <c r="T1712" t="s">
        <v>4002</v>
      </c>
      <c r="U1712" t="s">
        <v>4002</v>
      </c>
      <c r="V1712" t="s">
        <v>4002</v>
      </c>
      <c r="W1712" t="s">
        <v>5690</v>
      </c>
      <c r="X1712">
        <v>2</v>
      </c>
      <c r="Y1712" t="s">
        <v>7614</v>
      </c>
      <c r="Z1712" t="s">
        <v>9610</v>
      </c>
      <c r="AA1712">
        <v>0.9041385785357271</v>
      </c>
      <c r="AB1712" t="str">
        <f>HYPERLINK("Melting_Curves/meltCurve_Q8N271_2_PROM2.pdf", "Melting_Curves/meltCurve_Q8N271_2_PROM2.pdf")</f>
        <v>Melting_Curves/meltCurve_Q8N271_2_PROM2.pdf</v>
      </c>
    </row>
    <row r="1713" spans="1:28" x14ac:dyDescent="0.25">
      <c r="A1713" t="s">
        <v>1717</v>
      </c>
      <c r="B1713">
        <v>1</v>
      </c>
      <c r="C1713">
        <v>0.73335355680267</v>
      </c>
      <c r="D1713">
        <v>0.78560594569998499</v>
      </c>
      <c r="E1713">
        <v>0.89943879872592103</v>
      </c>
      <c r="F1713">
        <v>0.95078113150311006</v>
      </c>
      <c r="G1713">
        <v>0.87115122099196096</v>
      </c>
      <c r="H1713">
        <v>0.65858486273320205</v>
      </c>
      <c r="I1713">
        <v>1.48968603063856</v>
      </c>
      <c r="J1713">
        <v>0.93288336114060399</v>
      </c>
      <c r="K1713">
        <v>0.84013347489761903</v>
      </c>
      <c r="L1713">
        <v>15000</v>
      </c>
      <c r="M1713">
        <v>223.555850295352</v>
      </c>
      <c r="O1713">
        <v>67.091954188378494</v>
      </c>
      <c r="P1713">
        <v>-0.133190508773811</v>
      </c>
      <c r="Q1713">
        <v>0.84011132918859799</v>
      </c>
      <c r="R1713">
        <v>-8.7014349899086102E-2</v>
      </c>
      <c r="S1713" t="s">
        <v>3715</v>
      </c>
      <c r="T1713" t="s">
        <v>4002</v>
      </c>
      <c r="U1713" t="s">
        <v>4002</v>
      </c>
      <c r="V1713" t="s">
        <v>4002</v>
      </c>
      <c r="W1713" t="s">
        <v>5691</v>
      </c>
      <c r="X1713">
        <v>1</v>
      </c>
      <c r="Y1713" t="s">
        <v>7615</v>
      </c>
      <c r="Z1713" t="s">
        <v>9611</v>
      </c>
      <c r="AA1713">
        <v>0.98455323037123266</v>
      </c>
      <c r="AB1713" t="str">
        <f>HYPERLINK("Melting_Curves/meltCurve_Q8N292_GAPT.pdf", "Melting_Curves/meltCurve_Q8N292_GAPT.pdf")</f>
        <v>Melting_Curves/meltCurve_Q8N292_GAPT.pdf</v>
      </c>
    </row>
    <row r="1714" spans="1:28" x14ac:dyDescent="0.25">
      <c r="A1714" t="s">
        <v>1718</v>
      </c>
      <c r="B1714">
        <v>1</v>
      </c>
      <c r="C1714">
        <v>1.0119130600088699</v>
      </c>
      <c r="D1714">
        <v>0.98574234839363795</v>
      </c>
      <c r="E1714">
        <v>1.14897661745137</v>
      </c>
      <c r="F1714">
        <v>1.0780685634623901</v>
      </c>
      <c r="G1714">
        <v>1.11513845763893</v>
      </c>
      <c r="H1714">
        <v>0.98954438882200102</v>
      </c>
      <c r="I1714">
        <v>1.3258982320512001</v>
      </c>
      <c r="J1714">
        <v>1.1918129396109201</v>
      </c>
      <c r="K1714">
        <v>1.0737595843102501</v>
      </c>
      <c r="L1714">
        <v>690.39563674204805</v>
      </c>
      <c r="M1714">
        <v>13.758217894755999</v>
      </c>
      <c r="O1714">
        <v>49.1561079957659</v>
      </c>
      <c r="P1714">
        <v>1.06685040500814E-2</v>
      </c>
      <c r="Q1714">
        <v>1.1524463959656901</v>
      </c>
      <c r="R1714">
        <v>0.320524616085132</v>
      </c>
      <c r="S1714" t="s">
        <v>3716</v>
      </c>
      <c r="T1714" t="s">
        <v>4002</v>
      </c>
      <c r="U1714" t="s">
        <v>4002</v>
      </c>
      <c r="V1714" t="s">
        <v>4002</v>
      </c>
      <c r="W1714" t="s">
        <v>5692</v>
      </c>
      <c r="X1714">
        <v>7</v>
      </c>
      <c r="Y1714" t="s">
        <v>7616</v>
      </c>
      <c r="Z1714" t="s">
        <v>9612</v>
      </c>
      <c r="AA1714">
        <v>1.096522266266815</v>
      </c>
      <c r="AB1714" t="str">
        <f>HYPERLINK("Melting_Curves/meltCurve_Q8N3D4_EHBP1L1.pdf", "Melting_Curves/meltCurve_Q8N3D4_EHBP1L1.pdf")</f>
        <v>Melting_Curves/meltCurve_Q8N3D4_EHBP1L1.pdf</v>
      </c>
    </row>
    <row r="1715" spans="1:28" x14ac:dyDescent="0.25">
      <c r="A1715" t="s">
        <v>1719</v>
      </c>
      <c r="B1715">
        <v>1</v>
      </c>
      <c r="C1715">
        <v>0.92511672453010896</v>
      </c>
      <c r="D1715">
        <v>1.0249012330899101</v>
      </c>
      <c r="E1715">
        <v>1.0419609721058301</v>
      </c>
      <c r="F1715">
        <v>1.0416616784388799</v>
      </c>
      <c r="G1715">
        <v>1.2161498862684099</v>
      </c>
      <c r="H1715">
        <v>0.93750748234167403</v>
      </c>
      <c r="I1715">
        <v>1.3100083802226701</v>
      </c>
      <c r="J1715">
        <v>0.95289117682269797</v>
      </c>
      <c r="K1715">
        <v>1.0493235963126999</v>
      </c>
      <c r="L1715">
        <v>1705.23026232137</v>
      </c>
      <c r="M1715">
        <v>33.700369611292899</v>
      </c>
      <c r="O1715">
        <v>50.422577305005298</v>
      </c>
      <c r="P1715">
        <v>1.4812283552185401E-2</v>
      </c>
      <c r="Q1715">
        <v>1.0886483366625801</v>
      </c>
      <c r="R1715">
        <v>0.150539997633728</v>
      </c>
      <c r="S1715" t="s">
        <v>3717</v>
      </c>
      <c r="T1715" t="s">
        <v>4002</v>
      </c>
      <c r="U1715" t="s">
        <v>4002</v>
      </c>
      <c r="V1715" t="s">
        <v>4002</v>
      </c>
      <c r="W1715" t="s">
        <v>5693</v>
      </c>
      <c r="X1715">
        <v>4</v>
      </c>
      <c r="Y1715" t="s">
        <v>7617</v>
      </c>
      <c r="Z1715" t="s">
        <v>9613</v>
      </c>
      <c r="AA1715">
        <v>1.056888589126155</v>
      </c>
      <c r="AB1715" t="str">
        <f>HYPERLINK("Melting_Curves/meltCurve_Q8N441_FGFRL1.pdf", "Melting_Curves/meltCurve_Q8N441_FGFRL1.pdf")</f>
        <v>Melting_Curves/meltCurve_Q8N441_FGFRL1.pdf</v>
      </c>
    </row>
    <row r="1716" spans="1:28" x14ac:dyDescent="0.25">
      <c r="A1716" t="s">
        <v>1720</v>
      </c>
      <c r="B1716">
        <v>1</v>
      </c>
      <c r="C1716">
        <v>0.93212462364183801</v>
      </c>
      <c r="D1716">
        <v>0.94873892743378296</v>
      </c>
      <c r="E1716">
        <v>1.1020203342496799</v>
      </c>
      <c r="F1716">
        <v>0.86848191299035704</v>
      </c>
      <c r="G1716">
        <v>0.98720382248985505</v>
      </c>
      <c r="H1716">
        <v>0.93138281624994501</v>
      </c>
      <c r="I1716">
        <v>1.05182833704237</v>
      </c>
      <c r="J1716">
        <v>1.0866060130034501</v>
      </c>
      <c r="K1716">
        <v>1.0304686477287599</v>
      </c>
      <c r="L1716">
        <v>15000</v>
      </c>
      <c r="M1716">
        <v>236.408323601874</v>
      </c>
      <c r="O1716">
        <v>63.4450015882271</v>
      </c>
      <c r="P1716">
        <v>5.4548375328274598E-2</v>
      </c>
      <c r="Q1716">
        <v>1.05855668234517</v>
      </c>
      <c r="R1716">
        <v>0.18129263054703301</v>
      </c>
      <c r="S1716" t="s">
        <v>3718</v>
      </c>
      <c r="T1716" t="s">
        <v>4002</v>
      </c>
      <c r="U1716" t="s">
        <v>4002</v>
      </c>
      <c r="V1716" t="s">
        <v>4002</v>
      </c>
      <c r="W1716" t="s">
        <v>5694</v>
      </c>
      <c r="X1716">
        <v>2</v>
      </c>
      <c r="Y1716" t="s">
        <v>7618</v>
      </c>
      <c r="Z1716" t="s">
        <v>9614</v>
      </c>
      <c r="AA1716">
        <v>1.0127784764777801</v>
      </c>
      <c r="AB1716" t="str">
        <f>HYPERLINK("Melting_Curves/meltCurve_Q8N474_SFRP1.pdf", "Melting_Curves/meltCurve_Q8N474_SFRP1.pdf")</f>
        <v>Melting_Curves/meltCurve_Q8N474_SFRP1.pdf</v>
      </c>
    </row>
    <row r="1717" spans="1:28" x14ac:dyDescent="0.25">
      <c r="A1717" t="s">
        <v>1721</v>
      </c>
      <c r="B1717">
        <v>1</v>
      </c>
      <c r="C1717">
        <v>0.93149301878893798</v>
      </c>
      <c r="D1717">
        <v>1.01595705385506</v>
      </c>
      <c r="E1717">
        <v>1.16710581398212</v>
      </c>
      <c r="F1717">
        <v>1.0732103720850099</v>
      </c>
      <c r="G1717">
        <v>1.16757369056121</v>
      </c>
      <c r="H1717">
        <v>1.1028343470659201</v>
      </c>
      <c r="I1717">
        <v>1.35531532418922</v>
      </c>
      <c r="J1717">
        <v>1.0885025486961</v>
      </c>
      <c r="K1717">
        <v>1.1644463050062801</v>
      </c>
      <c r="L1717">
        <v>11601.163509701901</v>
      </c>
      <c r="M1717">
        <v>250</v>
      </c>
      <c r="O1717">
        <v>46.401684487069197</v>
      </c>
      <c r="P1717">
        <v>0.21531476762303101</v>
      </c>
      <c r="Q1717">
        <v>1.1598554862830099</v>
      </c>
      <c r="R1717">
        <v>0.526234345807019</v>
      </c>
      <c r="S1717" t="s">
        <v>3719</v>
      </c>
      <c r="T1717" t="s">
        <v>4002</v>
      </c>
      <c r="U1717" t="s">
        <v>4002</v>
      </c>
      <c r="V1717" t="s">
        <v>4002</v>
      </c>
      <c r="W1717" t="s">
        <v>5695</v>
      </c>
      <c r="X1717">
        <v>13</v>
      </c>
      <c r="Y1717" t="s">
        <v>7619</v>
      </c>
      <c r="Z1717" t="s">
        <v>9615</v>
      </c>
      <c r="AA1717">
        <v>1.1257151648791399</v>
      </c>
      <c r="AB1717" t="str">
        <f>HYPERLINK("Melting_Curves/meltCurve_Q8N4F0_BPIFB2.pdf", "Melting_Curves/meltCurve_Q8N4F0_BPIFB2.pdf")</f>
        <v>Melting_Curves/meltCurve_Q8N4F0_BPIFB2.pdf</v>
      </c>
    </row>
    <row r="1718" spans="1:28" x14ac:dyDescent="0.25">
      <c r="A1718" t="s">
        <v>1722</v>
      </c>
      <c r="B1718">
        <v>1</v>
      </c>
      <c r="C1718">
        <v>0.88905356764768195</v>
      </c>
      <c r="D1718">
        <v>1.1333897946220599</v>
      </c>
      <c r="E1718">
        <v>1.4440277063609701</v>
      </c>
      <c r="F1718">
        <v>1.24962947279272</v>
      </c>
      <c r="G1718">
        <v>1.5378845164998001</v>
      </c>
      <c r="H1718">
        <v>1.0408941048365099</v>
      </c>
      <c r="I1718">
        <v>1.7311938537854299</v>
      </c>
      <c r="J1718">
        <v>1.38277729046308</v>
      </c>
      <c r="K1718">
        <v>1.2009013641450701</v>
      </c>
      <c r="L1718">
        <v>11526.289552752</v>
      </c>
      <c r="M1718">
        <v>250</v>
      </c>
      <c r="O1718">
        <v>46.102207987706301</v>
      </c>
      <c r="P1718">
        <v>0.50108157900835804</v>
      </c>
      <c r="Q1718">
        <v>1.3696154727432901</v>
      </c>
      <c r="R1718">
        <v>0.47184431965621298</v>
      </c>
      <c r="S1718" t="s">
        <v>3720</v>
      </c>
      <c r="T1718" t="s">
        <v>4002</v>
      </c>
      <c r="U1718" t="s">
        <v>4002</v>
      </c>
      <c r="V1718" t="s">
        <v>4002</v>
      </c>
      <c r="W1718" t="s">
        <v>5696</v>
      </c>
      <c r="X1718">
        <v>2</v>
      </c>
      <c r="Y1718" t="s">
        <v>7620</v>
      </c>
      <c r="Z1718" t="s">
        <v>9616</v>
      </c>
      <c r="AA1718">
        <v>1.294366867793399</v>
      </c>
      <c r="AB1718" t="str">
        <f>HYPERLINK("Melting_Curves/meltCurve_Q8N573_2_OXR1.pdf", "Melting_Curves/meltCurve_Q8N573_2_OXR1.pdf")</f>
        <v>Melting_Curves/meltCurve_Q8N573_2_OXR1.pdf</v>
      </c>
    </row>
    <row r="1719" spans="1:28" x14ac:dyDescent="0.25">
      <c r="A1719" t="s">
        <v>1723</v>
      </c>
      <c r="B1719">
        <v>1</v>
      </c>
      <c r="C1719">
        <v>0.91659275826167397</v>
      </c>
      <c r="D1719">
        <v>1.0234450314271399</v>
      </c>
      <c r="E1719">
        <v>0.99136235684263296</v>
      </c>
      <c r="F1719">
        <v>0.85636062160182003</v>
      </c>
      <c r="G1719">
        <v>0.83885396984537097</v>
      </c>
      <c r="H1719">
        <v>0.83449658735973498</v>
      </c>
      <c r="I1719">
        <v>1.0931631511973201</v>
      </c>
      <c r="J1719">
        <v>0.94663170477769598</v>
      </c>
      <c r="K1719">
        <v>0.91798095091196497</v>
      </c>
      <c r="L1719">
        <v>12609.219641782</v>
      </c>
      <c r="M1719">
        <v>250</v>
      </c>
      <c r="O1719">
        <v>50.433668490568401</v>
      </c>
      <c r="P1719">
        <v>-0.105855418885306</v>
      </c>
      <c r="Q1719">
        <v>0.91458119599753696</v>
      </c>
      <c r="R1719">
        <v>0.15264724383532999</v>
      </c>
      <c r="S1719" t="s">
        <v>3721</v>
      </c>
      <c r="T1719" t="s">
        <v>4002</v>
      </c>
      <c r="U1719" t="s">
        <v>4002</v>
      </c>
      <c r="V1719" t="s">
        <v>4002</v>
      </c>
      <c r="W1719" t="s">
        <v>5697</v>
      </c>
      <c r="X1719">
        <v>1</v>
      </c>
      <c r="Y1719" t="s">
        <v>7621</v>
      </c>
      <c r="Z1719" t="s">
        <v>9617</v>
      </c>
      <c r="AA1719">
        <v>0.94430561308043726</v>
      </c>
      <c r="AB1719" t="str">
        <f>HYPERLINK("Melting_Curves/meltCurve_Q8N5W9_FAM101B.pdf", "Melting_Curves/meltCurve_Q8N5W9_FAM101B.pdf")</f>
        <v>Melting_Curves/meltCurve_Q8N5W9_FAM101B.pdf</v>
      </c>
    </row>
    <row r="1720" spans="1:28" x14ac:dyDescent="0.25">
      <c r="A1720" t="s">
        <v>1724</v>
      </c>
      <c r="B1720">
        <v>1</v>
      </c>
      <c r="C1720">
        <v>0.86785140372435998</v>
      </c>
      <c r="D1720">
        <v>0.97580111541733605</v>
      </c>
      <c r="E1720">
        <v>1.14807637772946</v>
      </c>
      <c r="F1720">
        <v>1.1731260043482401</v>
      </c>
      <c r="G1720">
        <v>1.2634464505151699</v>
      </c>
      <c r="H1720">
        <v>1.1061537007278599</v>
      </c>
      <c r="I1720">
        <v>1.4181397107477101</v>
      </c>
      <c r="J1720">
        <v>1.0435296341809199</v>
      </c>
      <c r="K1720">
        <v>1.1584743359485801</v>
      </c>
      <c r="L1720">
        <v>4860.5122537642501</v>
      </c>
      <c r="M1720">
        <v>98.376831386218598</v>
      </c>
      <c r="O1720">
        <v>49.386676514249402</v>
      </c>
      <c r="P1720">
        <v>9.6552841015906096E-2</v>
      </c>
      <c r="Q1720">
        <v>1.19388401048132</v>
      </c>
      <c r="R1720">
        <v>0.52015748490064195</v>
      </c>
      <c r="S1720" t="s">
        <v>3722</v>
      </c>
      <c r="T1720" t="s">
        <v>4002</v>
      </c>
      <c r="U1720" t="s">
        <v>4002</v>
      </c>
      <c r="V1720" t="s">
        <v>4002</v>
      </c>
      <c r="W1720" t="s">
        <v>5698</v>
      </c>
      <c r="X1720">
        <v>4</v>
      </c>
      <c r="Y1720" t="s">
        <v>7622</v>
      </c>
      <c r="Z1720" t="s">
        <v>9618</v>
      </c>
      <c r="AA1720">
        <v>1.13297921377151</v>
      </c>
      <c r="AB1720" t="str">
        <f>HYPERLINK("Melting_Curves/meltCurve_Q8N6Q3_CD177.pdf", "Melting_Curves/meltCurve_Q8N6Q3_CD177.pdf")</f>
        <v>Melting_Curves/meltCurve_Q8N6Q3_CD177.pdf</v>
      </c>
    </row>
    <row r="1721" spans="1:28" x14ac:dyDescent="0.25">
      <c r="A1721" t="s">
        <v>1725</v>
      </c>
      <c r="B1721">
        <v>1</v>
      </c>
      <c r="C1721">
        <v>0.87570955793718597</v>
      </c>
      <c r="D1721">
        <v>0.99673438972538198</v>
      </c>
      <c r="E1721">
        <v>1.0619808446753001</v>
      </c>
      <c r="F1721">
        <v>0.95976066802551097</v>
      </c>
      <c r="G1721">
        <v>1.02941240931904</v>
      </c>
      <c r="H1721">
        <v>0.80550989545663798</v>
      </c>
      <c r="I1721">
        <v>1.13897472987485</v>
      </c>
      <c r="J1721">
        <v>0.84097135468034301</v>
      </c>
      <c r="K1721">
        <v>0.87711223617594802</v>
      </c>
      <c r="L1721">
        <v>802.250884638093</v>
      </c>
      <c r="M1721">
        <v>9.5750041076000691</v>
      </c>
      <c r="Q1721">
        <v>0</v>
      </c>
      <c r="R1721">
        <v>0.103070802355713</v>
      </c>
      <c r="S1721" t="s">
        <v>3723</v>
      </c>
      <c r="T1721" t="s">
        <v>4002</v>
      </c>
      <c r="U1721" t="s">
        <v>4002</v>
      </c>
      <c r="V1721" t="s">
        <v>4002</v>
      </c>
      <c r="W1721" t="s">
        <v>5699</v>
      </c>
      <c r="X1721">
        <v>26</v>
      </c>
      <c r="Y1721" t="s">
        <v>7623</v>
      </c>
      <c r="Z1721" t="s">
        <v>9619</v>
      </c>
      <c r="AA1721">
        <v>0.97540124387438432</v>
      </c>
      <c r="AB1721" t="str">
        <f>HYPERLINK("Melting_Curves/meltCurve_Q8NBJ4_2_GOLM1.pdf", "Melting_Curves/meltCurve_Q8NBJ4_2_GOLM1.pdf")</f>
        <v>Melting_Curves/meltCurve_Q8NBJ4_2_GOLM1.pdf</v>
      </c>
    </row>
    <row r="1722" spans="1:28" x14ac:dyDescent="0.25">
      <c r="A1722" t="s">
        <v>1726</v>
      </c>
      <c r="B1722">
        <v>1</v>
      </c>
      <c r="C1722">
        <v>0.80443351841647903</v>
      </c>
      <c r="D1722">
        <v>1.0066121307167399</v>
      </c>
      <c r="E1722">
        <v>1.0147077522994099</v>
      </c>
      <c r="F1722">
        <v>0.98355444411477999</v>
      </c>
      <c r="G1722">
        <v>0.81948035434238997</v>
      </c>
      <c r="H1722">
        <v>0.78671639893188605</v>
      </c>
      <c r="I1722">
        <v>1.0530242020938401</v>
      </c>
      <c r="J1722">
        <v>0.86555334209299395</v>
      </c>
      <c r="K1722">
        <v>0.88615267240283102</v>
      </c>
      <c r="L1722">
        <v>101.852512036232</v>
      </c>
      <c r="M1722">
        <v>1.0000000000000001E-5</v>
      </c>
      <c r="O1722">
        <v>42.449862574520402</v>
      </c>
      <c r="P1722">
        <v>-2.5053201076069998E-3</v>
      </c>
      <c r="Q1722">
        <v>0.41904766664250898</v>
      </c>
      <c r="R1722">
        <v>5.2580088322467002E-2</v>
      </c>
      <c r="S1722" t="s">
        <v>3724</v>
      </c>
      <c r="T1722" t="s">
        <v>4002</v>
      </c>
      <c r="U1722" t="s">
        <v>4002</v>
      </c>
      <c r="V1722" t="s">
        <v>4002</v>
      </c>
      <c r="W1722" t="s">
        <v>5700</v>
      </c>
      <c r="X1722">
        <v>1</v>
      </c>
      <c r="Y1722" t="s">
        <v>7624</v>
      </c>
      <c r="Z1722" t="s">
        <v>9620</v>
      </c>
      <c r="AA1722">
        <v>0.92214489598403693</v>
      </c>
      <c r="AB1722" t="str">
        <f>HYPERLINK("Melting_Curves/meltCurve_Q8NBJ5_COLGALT1.pdf", "Melting_Curves/meltCurve_Q8NBJ5_COLGALT1.pdf")</f>
        <v>Melting_Curves/meltCurve_Q8NBJ5_COLGALT1.pdf</v>
      </c>
    </row>
    <row r="1723" spans="1:28" x14ac:dyDescent="0.25">
      <c r="A1723" t="s">
        <v>1727</v>
      </c>
      <c r="B1723">
        <v>1</v>
      </c>
      <c r="C1723">
        <v>0.87442922374429199</v>
      </c>
      <c r="D1723">
        <v>0.996194824961948</v>
      </c>
      <c r="E1723">
        <v>0.96123477929984802</v>
      </c>
      <c r="F1723">
        <v>0.84693683409436804</v>
      </c>
      <c r="G1723">
        <v>0.85602168949771695</v>
      </c>
      <c r="H1723">
        <v>0.804889649923896</v>
      </c>
      <c r="I1723">
        <v>0.91880707762557101</v>
      </c>
      <c r="J1723">
        <v>0.98739535768645403</v>
      </c>
      <c r="K1723">
        <v>0.989155251141553</v>
      </c>
      <c r="L1723">
        <v>10241.4639551006</v>
      </c>
      <c r="M1723">
        <v>250</v>
      </c>
      <c r="O1723">
        <v>40.963234288119502</v>
      </c>
      <c r="P1723">
        <v>-0.12967851418284099</v>
      </c>
      <c r="Q1723">
        <v>0.91500717838425705</v>
      </c>
      <c r="R1723">
        <v>0.13581792810788201</v>
      </c>
      <c r="S1723" t="s">
        <v>3725</v>
      </c>
      <c r="T1723" t="s">
        <v>4002</v>
      </c>
      <c r="U1723" t="s">
        <v>4002</v>
      </c>
      <c r="V1723" t="s">
        <v>4002</v>
      </c>
      <c r="W1723" t="s">
        <v>5701</v>
      </c>
      <c r="X1723">
        <v>3</v>
      </c>
      <c r="Y1723" t="s">
        <v>7625</v>
      </c>
      <c r="Z1723" t="s">
        <v>9621</v>
      </c>
      <c r="AA1723">
        <v>0.91775069754110794</v>
      </c>
      <c r="AB1723" t="str">
        <f>HYPERLINK("Melting_Curves/meltCurve_Q8NBY1_MST4.pdf", "Melting_Curves/meltCurve_Q8NBY1_MST4.pdf")</f>
        <v>Melting_Curves/meltCurve_Q8NBY1_MST4.pdf</v>
      </c>
    </row>
    <row r="1724" spans="1:28" x14ac:dyDescent="0.25">
      <c r="A1724" t="s">
        <v>1728</v>
      </c>
      <c r="B1724">
        <v>1</v>
      </c>
      <c r="C1724">
        <v>0.84646903123345696</v>
      </c>
      <c r="D1724">
        <v>1.07263102170461</v>
      </c>
      <c r="E1724">
        <v>1.1975648491265201</v>
      </c>
      <c r="F1724">
        <v>1.10714663843303</v>
      </c>
      <c r="G1724">
        <v>1.0186977236633099</v>
      </c>
      <c r="H1724">
        <v>0.81217575436738998</v>
      </c>
      <c r="I1724">
        <v>1.0926416093171001</v>
      </c>
      <c r="J1724">
        <v>0.91433562731604001</v>
      </c>
      <c r="K1724">
        <v>0.81761778718898903</v>
      </c>
      <c r="L1724">
        <v>15000</v>
      </c>
      <c r="M1724">
        <v>223.75886966259901</v>
      </c>
      <c r="O1724">
        <v>67.031088223260596</v>
      </c>
      <c r="P1724">
        <v>-0.15221751308196099</v>
      </c>
      <c r="Q1724">
        <v>0.81760175320509798</v>
      </c>
      <c r="R1724">
        <v>0.240566781287851</v>
      </c>
      <c r="S1724" t="s">
        <v>3726</v>
      </c>
      <c r="T1724" t="s">
        <v>4002</v>
      </c>
      <c r="U1724" t="s">
        <v>4002</v>
      </c>
      <c r="V1724" t="s">
        <v>4002</v>
      </c>
      <c r="W1724" t="s">
        <v>5702</v>
      </c>
      <c r="X1724">
        <v>6</v>
      </c>
      <c r="Y1724" t="s">
        <v>7626</v>
      </c>
      <c r="Z1724" t="s">
        <v>9622</v>
      </c>
      <c r="AA1724">
        <v>0.98200841597577038</v>
      </c>
      <c r="AB1724" t="str">
        <f>HYPERLINK("Melting_Curves/meltCurve_Q8NC51_4_SERBP1.pdf", "Melting_Curves/meltCurve_Q8NC51_4_SERBP1.pdf")</f>
        <v>Melting_Curves/meltCurve_Q8NC51_4_SERBP1.pdf</v>
      </c>
    </row>
    <row r="1725" spans="1:28" x14ac:dyDescent="0.25">
      <c r="A1725" t="s">
        <v>1729</v>
      </c>
      <c r="B1725">
        <v>1</v>
      </c>
      <c r="C1725">
        <v>0.83378633169274496</v>
      </c>
      <c r="D1725">
        <v>1.0047993339699799</v>
      </c>
      <c r="E1725">
        <v>1.07230833272117</v>
      </c>
      <c r="F1725">
        <v>1.53346066260192</v>
      </c>
      <c r="G1725">
        <v>3.5630157447537898</v>
      </c>
      <c r="H1725">
        <v>3.55187443375205</v>
      </c>
      <c r="I1725">
        <v>6.0938073899948604</v>
      </c>
      <c r="J1725">
        <v>3.4167095178628299</v>
      </c>
      <c r="K1725">
        <v>5.2217243321335003</v>
      </c>
      <c r="L1725">
        <v>12588.8723689246</v>
      </c>
      <c r="M1725">
        <v>250</v>
      </c>
      <c r="O1725">
        <v>50.352268469069301</v>
      </c>
      <c r="P1725">
        <v>0.62062746847174999</v>
      </c>
      <c r="Q1725">
        <v>1.5</v>
      </c>
      <c r="R1725">
        <v>-0.42325608710293899</v>
      </c>
      <c r="S1725" t="s">
        <v>3727</v>
      </c>
      <c r="T1725" t="s">
        <v>4002</v>
      </c>
      <c r="U1725" t="s">
        <v>4002</v>
      </c>
      <c r="V1725" t="s">
        <v>4002</v>
      </c>
      <c r="W1725" t="s">
        <v>5703</v>
      </c>
      <c r="X1725">
        <v>3</v>
      </c>
      <c r="Y1725" t="s">
        <v>7627</v>
      </c>
      <c r="Z1725" t="s">
        <v>9623</v>
      </c>
      <c r="AA1725">
        <v>1.327364322188197</v>
      </c>
      <c r="AB1725" t="str">
        <f>HYPERLINK("Melting_Curves/meltCurve_Q8NCL4_GALNT6.pdf", "Melting_Curves/meltCurve_Q8NCL4_GALNT6.pdf")</f>
        <v>Melting_Curves/meltCurve_Q8NCL4_GALNT6.pdf</v>
      </c>
    </row>
    <row r="1726" spans="1:28" x14ac:dyDescent="0.25">
      <c r="A1726" t="s">
        <v>1730</v>
      </c>
      <c r="B1726">
        <v>1</v>
      </c>
      <c r="C1726">
        <v>0.96994849742487099</v>
      </c>
      <c r="D1726">
        <v>0.97484874243712205</v>
      </c>
      <c r="E1726">
        <v>0.98594929746487303</v>
      </c>
      <c r="F1726">
        <v>0.912045602280114</v>
      </c>
      <c r="G1726">
        <v>1.0215010750537501</v>
      </c>
      <c r="H1726">
        <v>0.78858942947147403</v>
      </c>
      <c r="I1726">
        <v>1.0807040352017601</v>
      </c>
      <c r="J1726">
        <v>0.87114355717785896</v>
      </c>
      <c r="K1726">
        <v>0.92984649232461603</v>
      </c>
      <c r="L1726">
        <v>347.445964282494</v>
      </c>
      <c r="M1726">
        <v>6.6111282559843998</v>
      </c>
      <c r="O1726">
        <v>48.3699832089778</v>
      </c>
      <c r="P1726">
        <v>-3.03988489136709E-3</v>
      </c>
      <c r="Q1726">
        <v>0.91123806970199805</v>
      </c>
      <c r="R1726">
        <v>8.4450577300231394E-2</v>
      </c>
      <c r="S1726" t="s">
        <v>3728</v>
      </c>
      <c r="T1726" t="s">
        <v>4002</v>
      </c>
      <c r="U1726" t="s">
        <v>4002</v>
      </c>
      <c r="V1726" t="s">
        <v>4002</v>
      </c>
      <c r="W1726" t="s">
        <v>5704</v>
      </c>
      <c r="X1726">
        <v>2</v>
      </c>
      <c r="Y1726" t="s">
        <v>7628</v>
      </c>
      <c r="Z1726" t="s">
        <v>9624</v>
      </c>
      <c r="AA1726">
        <v>0.95278491057864712</v>
      </c>
      <c r="AB1726" t="str">
        <f>HYPERLINK("Melting_Curves/meltCurve_Q8NCM8_DYNC2H1.pdf", "Melting_Curves/meltCurve_Q8NCM8_DYNC2H1.pdf")</f>
        <v>Melting_Curves/meltCurve_Q8NCM8_DYNC2H1.pdf</v>
      </c>
    </row>
    <row r="1727" spans="1:28" x14ac:dyDescent="0.25">
      <c r="A1727" t="s">
        <v>1731</v>
      </c>
      <c r="B1727">
        <v>1</v>
      </c>
      <c r="C1727">
        <v>1.4613067015568499</v>
      </c>
      <c r="D1727">
        <v>3.4708134775354398</v>
      </c>
      <c r="E1727">
        <v>4.1916239541946201</v>
      </c>
      <c r="F1727">
        <v>4.0852728996867098</v>
      </c>
      <c r="G1727">
        <v>4.37419726560156</v>
      </c>
      <c r="H1727">
        <v>3.8283978921845199</v>
      </c>
      <c r="I1727">
        <v>5.2503330972643996</v>
      </c>
      <c r="J1727">
        <v>4.2496008834579699</v>
      </c>
      <c r="K1727">
        <v>4.25632284627111</v>
      </c>
      <c r="L1727">
        <v>2234.1477465581102</v>
      </c>
      <c r="M1727">
        <v>71.220826405050701</v>
      </c>
      <c r="Q1727">
        <v>1.5</v>
      </c>
      <c r="R1727">
        <v>-2.7725451401822698</v>
      </c>
      <c r="S1727" t="s">
        <v>3729</v>
      </c>
      <c r="T1727" t="s">
        <v>4002</v>
      </c>
      <c r="U1727" t="s">
        <v>4002</v>
      </c>
      <c r="V1727" t="s">
        <v>4002</v>
      </c>
      <c r="W1727" t="s">
        <v>5705</v>
      </c>
      <c r="X1727">
        <v>3</v>
      </c>
      <c r="Y1727" t="s">
        <v>7629</v>
      </c>
      <c r="Z1727" t="s">
        <v>9625</v>
      </c>
      <c r="AA1727">
        <v>1.499999997374911</v>
      </c>
      <c r="AB1727" t="str">
        <f>HYPERLINK("Melting_Curves/meltCurve_Q8NCW5_2_APOA1BP.pdf", "Melting_Curves/meltCurve_Q8NCW5_2_APOA1BP.pdf")</f>
        <v>Melting_Curves/meltCurve_Q8NCW5_2_APOA1BP.pdf</v>
      </c>
    </row>
    <row r="1728" spans="1:28" x14ac:dyDescent="0.25">
      <c r="A1728" t="s">
        <v>1732</v>
      </c>
      <c r="B1728">
        <v>1</v>
      </c>
      <c r="C1728">
        <v>0.82504792667874705</v>
      </c>
      <c r="D1728">
        <v>0.97920113448357404</v>
      </c>
      <c r="E1728">
        <v>1.0993198350797</v>
      </c>
      <c r="F1728">
        <v>0.85480185929252295</v>
      </c>
      <c r="G1728">
        <v>0.86013288164079904</v>
      </c>
      <c r="H1728">
        <v>0.94821292575960503</v>
      </c>
      <c r="I1728">
        <v>1.1542582525801599</v>
      </c>
      <c r="J1728">
        <v>0.98166968670395705</v>
      </c>
      <c r="K1728">
        <v>0.97326610467711905</v>
      </c>
      <c r="L1728">
        <v>15000</v>
      </c>
      <c r="M1728">
        <v>224.65065256305201</v>
      </c>
      <c r="O1728">
        <v>66.765041596131496</v>
      </c>
      <c r="P1728">
        <v>-2.2505975435724499E-2</v>
      </c>
      <c r="Q1728">
        <v>0.97324534822153197</v>
      </c>
      <c r="R1728">
        <v>-9.5898061982340604E-2</v>
      </c>
      <c r="S1728" t="s">
        <v>3730</v>
      </c>
      <c r="T1728" t="s">
        <v>4002</v>
      </c>
      <c r="U1728" t="s">
        <v>4002</v>
      </c>
      <c r="V1728" t="s">
        <v>4002</v>
      </c>
      <c r="W1728" t="s">
        <v>5706</v>
      </c>
      <c r="X1728">
        <v>1</v>
      </c>
      <c r="Y1728" t="s">
        <v>7630</v>
      </c>
      <c r="Z1728" t="s">
        <v>9626</v>
      </c>
      <c r="AA1728">
        <v>0.99712359076606483</v>
      </c>
      <c r="AB1728" t="str">
        <f>HYPERLINK("Melting_Curves/meltCurve_Q8NE01_2_CNNM3.pdf", "Melting_Curves/meltCurve_Q8NE01_2_CNNM3.pdf")</f>
        <v>Melting_Curves/meltCurve_Q8NE01_2_CNNM3.pdf</v>
      </c>
    </row>
    <row r="1729" spans="1:28" x14ac:dyDescent="0.25">
      <c r="A1729" t="s">
        <v>1733</v>
      </c>
      <c r="B1729">
        <v>1</v>
      </c>
      <c r="C1729">
        <v>0.93834203881810996</v>
      </c>
      <c r="D1729">
        <v>1.08785151205597</v>
      </c>
      <c r="E1729">
        <v>1.1361332228282901</v>
      </c>
      <c r="F1729">
        <v>0.98313513096775396</v>
      </c>
      <c r="G1729">
        <v>1.0680955226182001</v>
      </c>
      <c r="H1729">
        <v>0.86772160437908397</v>
      </c>
      <c r="I1729">
        <v>1.18755661777461</v>
      </c>
      <c r="J1729">
        <v>1.3187556617774601</v>
      </c>
      <c r="K1729">
        <v>1.1193069020681099</v>
      </c>
      <c r="L1729">
        <v>15000</v>
      </c>
      <c r="M1729">
        <v>236.15701869545001</v>
      </c>
      <c r="O1729">
        <v>63.512506923903302</v>
      </c>
      <c r="P1729">
        <v>0.20362484939895001</v>
      </c>
      <c r="Q1729">
        <v>1.2190529793393301</v>
      </c>
      <c r="R1729">
        <v>0.52862359378812196</v>
      </c>
      <c r="S1729" t="s">
        <v>3731</v>
      </c>
      <c r="T1729" t="s">
        <v>4002</v>
      </c>
      <c r="U1729" t="s">
        <v>4002</v>
      </c>
      <c r="V1729" t="s">
        <v>4002</v>
      </c>
      <c r="W1729" t="s">
        <v>5707</v>
      </c>
      <c r="X1729">
        <v>2</v>
      </c>
      <c r="Y1729" t="s">
        <v>7631</v>
      </c>
      <c r="Z1729" t="s">
        <v>9627</v>
      </c>
      <c r="AA1729">
        <v>1.047309530612514</v>
      </c>
      <c r="AB1729" t="str">
        <f>HYPERLINK("Melting_Curves/meltCurve_Q8NE71_2_ABCF1.pdf", "Melting_Curves/meltCurve_Q8NE71_2_ABCF1.pdf")</f>
        <v>Melting_Curves/meltCurve_Q8NE71_2_ABCF1.pdf</v>
      </c>
    </row>
    <row r="1730" spans="1:28" x14ac:dyDescent="0.25">
      <c r="A1730" t="s">
        <v>1734</v>
      </c>
      <c r="B1730">
        <v>1</v>
      </c>
      <c r="C1730">
        <v>0.79538002980625899</v>
      </c>
      <c r="D1730">
        <v>0.94994301744542797</v>
      </c>
      <c r="E1730">
        <v>0.91750679407381397</v>
      </c>
      <c r="F1730">
        <v>0.79124221968966402</v>
      </c>
      <c r="G1730">
        <v>0.79214517401595497</v>
      </c>
      <c r="H1730">
        <v>0.81406154115893703</v>
      </c>
      <c r="I1730">
        <v>0.75103006925572002</v>
      </c>
      <c r="J1730">
        <v>0.68555273077934598</v>
      </c>
      <c r="K1730">
        <v>0.76342596651179095</v>
      </c>
      <c r="L1730">
        <v>223.16092268670801</v>
      </c>
      <c r="M1730">
        <v>3.6983283265013398</v>
      </c>
      <c r="O1730">
        <v>48.2586613436671</v>
      </c>
      <c r="P1730">
        <v>-8.5360193267931296E-3</v>
      </c>
      <c r="Q1730">
        <v>0.56168353187866604</v>
      </c>
      <c r="R1730">
        <v>0.61619866251828403</v>
      </c>
      <c r="S1730" t="s">
        <v>3732</v>
      </c>
      <c r="T1730" t="s">
        <v>4002</v>
      </c>
      <c r="U1730" t="s">
        <v>4002</v>
      </c>
      <c r="V1730" t="s">
        <v>4002</v>
      </c>
      <c r="W1730" t="s">
        <v>5708</v>
      </c>
      <c r="X1730">
        <v>2</v>
      </c>
      <c r="Y1730" t="s">
        <v>7632</v>
      </c>
      <c r="Z1730" t="s">
        <v>9628</v>
      </c>
      <c r="AA1730">
        <v>0.82532683492682124</v>
      </c>
      <c r="AB1730" t="str">
        <f>HYPERLINK("Melting_Curves/meltCurve_Q8NES3_3_LFNG.pdf", "Melting_Curves/meltCurve_Q8NES3_3_LFNG.pdf")</f>
        <v>Melting_Curves/meltCurve_Q8NES3_3_LFNG.pdf</v>
      </c>
    </row>
    <row r="1731" spans="1:28" x14ac:dyDescent="0.25">
      <c r="A1731" t="s">
        <v>1735</v>
      </c>
      <c r="B1731">
        <v>1</v>
      </c>
      <c r="C1731">
        <v>0.89751439214358297</v>
      </c>
      <c r="D1731">
        <v>0.94752455130375901</v>
      </c>
      <c r="E1731">
        <v>1.10159160176092</v>
      </c>
      <c r="F1731">
        <v>1.0634879783271201</v>
      </c>
      <c r="G1731">
        <v>1.0938435489332901</v>
      </c>
      <c r="H1731">
        <v>0.90148323738570901</v>
      </c>
      <c r="I1731">
        <v>1.30298679309177</v>
      </c>
      <c r="J1731">
        <v>0.97724348120555404</v>
      </c>
      <c r="K1731">
        <v>1.00625804266847</v>
      </c>
      <c r="S1731" t="s">
        <v>3733</v>
      </c>
      <c r="T1731" t="s">
        <v>4002</v>
      </c>
      <c r="U1731" t="s">
        <v>4003</v>
      </c>
      <c r="V1731" t="s">
        <v>4002</v>
      </c>
      <c r="W1731" t="s">
        <v>5709</v>
      </c>
      <c r="X1731">
        <v>5</v>
      </c>
      <c r="Y1731" t="s">
        <v>7633</v>
      </c>
      <c r="Z1731" t="s">
        <v>9629</v>
      </c>
      <c r="AB1731" t="str">
        <f>HYPERLINK("Melting_Curves/meltCurve_Q8NFT8_DNER.pdf", "Melting_Curves/meltCurve_Q8NFT8_DNER.pdf")</f>
        <v>Melting_Curves/meltCurve_Q8NFT8_DNER.pdf</v>
      </c>
    </row>
    <row r="1732" spans="1:28" x14ac:dyDescent="0.25">
      <c r="A1732" t="s">
        <v>1736</v>
      </c>
      <c r="B1732">
        <v>1</v>
      </c>
      <c r="C1732">
        <v>0.90561980117670904</v>
      </c>
      <c r="D1732">
        <v>1.1149928991681901</v>
      </c>
      <c r="E1732">
        <v>1.02312842361534</v>
      </c>
      <c r="F1732">
        <v>0.82876851288293796</v>
      </c>
      <c r="G1732">
        <v>1.00856157435585</v>
      </c>
      <c r="H1732">
        <v>1.09835666463786</v>
      </c>
      <c r="I1732">
        <v>0.90643132481233502</v>
      </c>
      <c r="J1732">
        <v>0.79265571109758604</v>
      </c>
      <c r="K1732">
        <v>0.75301278149726103</v>
      </c>
      <c r="L1732">
        <v>14279.814385330001</v>
      </c>
      <c r="M1732">
        <v>222.76571007792799</v>
      </c>
      <c r="O1732">
        <v>64.097222944421404</v>
      </c>
      <c r="P1732">
        <v>-0.19738325287486699</v>
      </c>
      <c r="Q1732">
        <v>0.77282466951875295</v>
      </c>
      <c r="R1732">
        <v>0.56024061571277495</v>
      </c>
      <c r="S1732" t="s">
        <v>3734</v>
      </c>
      <c r="T1732" t="s">
        <v>4002</v>
      </c>
      <c r="U1732" t="s">
        <v>4002</v>
      </c>
      <c r="V1732" t="s">
        <v>4002</v>
      </c>
      <c r="W1732" t="s">
        <v>5710</v>
      </c>
      <c r="X1732">
        <v>1</v>
      </c>
      <c r="Y1732" t="s">
        <v>7634</v>
      </c>
      <c r="Z1732" t="s">
        <v>9630</v>
      </c>
      <c r="AA1732">
        <v>0.95537247160400718</v>
      </c>
      <c r="AB1732" t="str">
        <f>HYPERLINK("Melting_Curves/meltCurve_Q8NFU4_FDCSP.pdf", "Melting_Curves/meltCurve_Q8NFU4_FDCSP.pdf")</f>
        <v>Melting_Curves/meltCurve_Q8NFU4_FDCSP.pdf</v>
      </c>
    </row>
    <row r="1733" spans="1:28" x14ac:dyDescent="0.25">
      <c r="A1733" t="s">
        <v>1737</v>
      </c>
      <c r="B1733">
        <v>1</v>
      </c>
      <c r="C1733">
        <v>0.88301110113638803</v>
      </c>
      <c r="D1733">
        <v>0.83008911563136301</v>
      </c>
      <c r="E1733">
        <v>0.91716844387028995</v>
      </c>
      <c r="F1733">
        <v>0.94372796741914999</v>
      </c>
      <c r="G1733">
        <v>0.90886996124455299</v>
      </c>
      <c r="H1733">
        <v>0.96508725449409904</v>
      </c>
      <c r="I1733">
        <v>1.04393378730485</v>
      </c>
      <c r="J1733">
        <v>1.0490354929824199</v>
      </c>
      <c r="K1733">
        <v>0.941188062446629</v>
      </c>
      <c r="L1733">
        <v>10230.787773292301</v>
      </c>
      <c r="M1733">
        <v>250</v>
      </c>
      <c r="O1733">
        <v>40.9205329241478</v>
      </c>
      <c r="P1733">
        <v>-8.7888546313542107E-2</v>
      </c>
      <c r="Q1733">
        <v>0.94245686251965499</v>
      </c>
      <c r="R1733">
        <v>6.9173710552912396E-2</v>
      </c>
      <c r="S1733" t="s">
        <v>3735</v>
      </c>
      <c r="T1733" t="s">
        <v>4002</v>
      </c>
      <c r="U1733" t="s">
        <v>4002</v>
      </c>
      <c r="V1733" t="s">
        <v>4002</v>
      </c>
      <c r="W1733" t="s">
        <v>5711</v>
      </c>
      <c r="X1733">
        <v>4</v>
      </c>
      <c r="Y1733" t="s">
        <v>7635</v>
      </c>
      <c r="Z1733" t="s">
        <v>9631</v>
      </c>
      <c r="AA1733">
        <v>0.94423262302470434</v>
      </c>
      <c r="AB1733" t="str">
        <f>HYPERLINK("Melting_Curves/meltCurve_Q8NFZ8_CADM4.pdf", "Melting_Curves/meltCurve_Q8NFZ8_CADM4.pdf")</f>
        <v>Melting_Curves/meltCurve_Q8NFZ8_CADM4.pdf</v>
      </c>
    </row>
    <row r="1734" spans="1:28" x14ac:dyDescent="0.25">
      <c r="A1734" t="s">
        <v>1738</v>
      </c>
      <c r="B1734">
        <v>1</v>
      </c>
      <c r="C1734">
        <v>0.99821676243312896</v>
      </c>
      <c r="D1734">
        <v>1.05736080840103</v>
      </c>
      <c r="E1734">
        <v>0.93165246681196801</v>
      </c>
      <c r="F1734">
        <v>0.91301763423816096</v>
      </c>
      <c r="G1734">
        <v>0.91206657420249604</v>
      </c>
      <c r="H1734">
        <v>0.79732514364969298</v>
      </c>
      <c r="I1734">
        <v>1.0243709134139101</v>
      </c>
      <c r="J1734">
        <v>0.88849811769367903</v>
      </c>
      <c r="K1734">
        <v>0.80317020011888296</v>
      </c>
      <c r="L1734">
        <v>3632.7655851825298</v>
      </c>
      <c r="M1734">
        <v>73.072470694926906</v>
      </c>
      <c r="O1734">
        <v>49.677362356543497</v>
      </c>
      <c r="P1734">
        <v>-4.0685228420570103E-2</v>
      </c>
      <c r="Q1734">
        <v>0.88936274182340502</v>
      </c>
      <c r="R1734">
        <v>0.45526184716469797</v>
      </c>
      <c r="S1734" t="s">
        <v>3736</v>
      </c>
      <c r="T1734" t="s">
        <v>4002</v>
      </c>
      <c r="U1734" t="s">
        <v>4002</v>
      </c>
      <c r="V1734" t="s">
        <v>4002</v>
      </c>
      <c r="W1734" t="s">
        <v>5712</v>
      </c>
      <c r="X1734">
        <v>2</v>
      </c>
      <c r="Y1734" t="s">
        <v>7636</v>
      </c>
      <c r="Z1734" t="s">
        <v>9632</v>
      </c>
      <c r="AA1734">
        <v>0.925302400668641</v>
      </c>
      <c r="AB1734" t="str">
        <f>HYPERLINK("Melting_Curves/meltCurve_Q8NHG7_SVIP.pdf", "Melting_Curves/meltCurve_Q8NHG7_SVIP.pdf")</f>
        <v>Melting_Curves/meltCurve_Q8NHG7_SVIP.pdf</v>
      </c>
    </row>
    <row r="1735" spans="1:28" x14ac:dyDescent="0.25">
      <c r="A1735" t="s">
        <v>1739</v>
      </c>
      <c r="B1735">
        <v>1</v>
      </c>
      <c r="C1735">
        <v>0.95924825007191505</v>
      </c>
      <c r="D1735">
        <v>1.1689519608783201</v>
      </c>
      <c r="E1735">
        <v>1.18170486144405</v>
      </c>
      <c r="F1735">
        <v>0.95056093585195101</v>
      </c>
      <c r="G1735">
        <v>1.1703902579346099</v>
      </c>
      <c r="H1735">
        <v>1.0069038258701699</v>
      </c>
      <c r="I1735">
        <v>1.2680026848211701</v>
      </c>
      <c r="J1735">
        <v>1.19349889730559</v>
      </c>
      <c r="K1735">
        <v>1.1340492856458</v>
      </c>
      <c r="L1735">
        <v>267.14856950406897</v>
      </c>
      <c r="M1735">
        <v>4.56195975147428</v>
      </c>
      <c r="O1735">
        <v>49.952787093779698</v>
      </c>
      <c r="P1735">
        <v>5.8565840050630001E-3</v>
      </c>
      <c r="Q1735">
        <v>1.25438916047576</v>
      </c>
      <c r="R1735">
        <v>0.23789389418596499</v>
      </c>
      <c r="S1735" t="s">
        <v>3737</v>
      </c>
      <c r="T1735" t="s">
        <v>4002</v>
      </c>
      <c r="U1735" t="s">
        <v>4002</v>
      </c>
      <c r="V1735" t="s">
        <v>4002</v>
      </c>
      <c r="W1735" t="s">
        <v>5713</v>
      </c>
      <c r="X1735">
        <v>1</v>
      </c>
      <c r="Y1735" t="s">
        <v>7637</v>
      </c>
      <c r="Z1735" t="s">
        <v>9633</v>
      </c>
      <c r="AA1735">
        <v>1.1049654949493619</v>
      </c>
      <c r="AB1735" t="str">
        <f>HYPERLINK("Melting_Curves/meltCurve_Q8NI22_2_MCFD2.pdf", "Melting_Curves/meltCurve_Q8NI22_2_MCFD2.pdf")</f>
        <v>Melting_Curves/meltCurve_Q8NI22_2_MCFD2.pdf</v>
      </c>
    </row>
    <row r="1736" spans="1:28" x14ac:dyDescent="0.25">
      <c r="A1736" t="s">
        <v>1740</v>
      </c>
      <c r="B1736">
        <v>1</v>
      </c>
      <c r="C1736">
        <v>0.92664982980125199</v>
      </c>
      <c r="D1736">
        <v>1.0360162512353099</v>
      </c>
      <c r="E1736">
        <v>1.11112331173822</v>
      </c>
      <c r="F1736">
        <v>1.0746129351048599</v>
      </c>
      <c r="G1736">
        <v>1.07790710442517</v>
      </c>
      <c r="H1736">
        <v>0.92423410563302999</v>
      </c>
      <c r="I1736">
        <v>1.09124849017239</v>
      </c>
      <c r="J1736">
        <v>0.721862303722411</v>
      </c>
      <c r="K1736">
        <v>0.87663335895465</v>
      </c>
      <c r="L1736">
        <v>9044.2597707788209</v>
      </c>
      <c r="M1736">
        <v>138.084204801591</v>
      </c>
      <c r="O1736">
        <v>65.484413013651206</v>
      </c>
      <c r="P1736">
        <v>-0.104514206446329</v>
      </c>
      <c r="Q1736">
        <v>0.80174267237344399</v>
      </c>
      <c r="R1736">
        <v>0.55780816062230698</v>
      </c>
      <c r="S1736" t="s">
        <v>3738</v>
      </c>
      <c r="T1736" t="s">
        <v>4002</v>
      </c>
      <c r="U1736" t="s">
        <v>4002</v>
      </c>
      <c r="V1736" t="s">
        <v>4002</v>
      </c>
      <c r="W1736" t="s">
        <v>5714</v>
      </c>
      <c r="X1736">
        <v>5</v>
      </c>
      <c r="Y1736" t="s">
        <v>7638</v>
      </c>
      <c r="Z1736" t="s">
        <v>9634</v>
      </c>
      <c r="AA1736">
        <v>0.97032339838781612</v>
      </c>
      <c r="AB1736" t="str">
        <f>HYPERLINK("Melting_Curves/meltCurve_Q8TAX7_MUC7.pdf", "Melting_Curves/meltCurve_Q8TAX7_MUC7.pdf")</f>
        <v>Melting_Curves/meltCurve_Q8TAX7_MUC7.pdf</v>
      </c>
    </row>
    <row r="1737" spans="1:28" x14ac:dyDescent="0.25">
      <c r="A1737" t="s">
        <v>1741</v>
      </c>
      <c r="B1737">
        <v>1</v>
      </c>
      <c r="C1737">
        <v>1.01342468289973</v>
      </c>
      <c r="D1737">
        <v>0.98483936672530303</v>
      </c>
      <c r="E1737">
        <v>1.70433293213591</v>
      </c>
      <c r="F1737">
        <v>1.9575039348208501</v>
      </c>
      <c r="G1737">
        <v>2.6055457827978898</v>
      </c>
      <c r="H1737">
        <v>3.2166003147856701</v>
      </c>
      <c r="I1737">
        <v>4.0081936857698404</v>
      </c>
      <c r="J1737">
        <v>5.8807054902323896</v>
      </c>
      <c r="K1737">
        <v>4.0179150078696404</v>
      </c>
      <c r="L1737">
        <v>11918.7846610506</v>
      </c>
      <c r="M1737">
        <v>250</v>
      </c>
      <c r="O1737">
        <v>47.672087644693498</v>
      </c>
      <c r="P1737">
        <v>0.65551985471014895</v>
      </c>
      <c r="Q1737">
        <v>1.5</v>
      </c>
      <c r="R1737">
        <v>-0.50866021177033005</v>
      </c>
      <c r="S1737" t="s">
        <v>3739</v>
      </c>
      <c r="T1737" t="s">
        <v>4002</v>
      </c>
      <c r="U1737" t="s">
        <v>4002</v>
      </c>
      <c r="V1737" t="s">
        <v>4002</v>
      </c>
      <c r="W1737" t="s">
        <v>5715</v>
      </c>
      <c r="X1737">
        <v>1</v>
      </c>
      <c r="Y1737" t="s">
        <v>7639</v>
      </c>
      <c r="Z1737" t="s">
        <v>9635</v>
      </c>
      <c r="AA1737">
        <v>1.372039188033461</v>
      </c>
      <c r="AB1737" t="str">
        <f>HYPERLINK("Melting_Curves/meltCurve_Q8TD08_2_MAPK15.pdf", "Melting_Curves/meltCurve_Q8TD08_2_MAPK15.pdf")</f>
        <v>Melting_Curves/meltCurve_Q8TD08_2_MAPK15.pdf</v>
      </c>
    </row>
    <row r="1738" spans="1:28" x14ac:dyDescent="0.25">
      <c r="A1738" t="s">
        <v>1742</v>
      </c>
      <c r="B1738">
        <v>1</v>
      </c>
      <c r="C1738">
        <v>0.90967453447890401</v>
      </c>
      <c r="D1738">
        <v>1.0944137468459501</v>
      </c>
      <c r="E1738">
        <v>1.03292982848382</v>
      </c>
      <c r="F1738">
        <v>0.980740362196174</v>
      </c>
      <c r="G1738">
        <v>0.85920981187517997</v>
      </c>
      <c r="H1738">
        <v>0.89137308761059098</v>
      </c>
      <c r="I1738">
        <v>0.97524673416589502</v>
      </c>
      <c r="J1738">
        <v>1.0090389344916799</v>
      </c>
      <c r="K1738">
        <v>0.87147465584975603</v>
      </c>
      <c r="L1738">
        <v>13309.7569160815</v>
      </c>
      <c r="M1738">
        <v>250</v>
      </c>
      <c r="O1738">
        <v>53.235620733607803</v>
      </c>
      <c r="P1738">
        <v>-9.2432653324794598E-2</v>
      </c>
      <c r="Q1738">
        <v>0.92126864530008201</v>
      </c>
      <c r="R1738">
        <v>0.32374939665167601</v>
      </c>
      <c r="S1738" t="s">
        <v>3740</v>
      </c>
      <c r="T1738" t="s">
        <v>4002</v>
      </c>
      <c r="U1738" t="s">
        <v>4002</v>
      </c>
      <c r="V1738" t="s">
        <v>4002</v>
      </c>
      <c r="W1738" t="s">
        <v>5716</v>
      </c>
      <c r="X1738">
        <v>2</v>
      </c>
      <c r="Y1738" t="s">
        <v>7640</v>
      </c>
      <c r="Z1738" t="s">
        <v>9636</v>
      </c>
      <c r="AA1738">
        <v>0.95602022088983551</v>
      </c>
      <c r="AB1738" t="str">
        <f>HYPERLINK("Melting_Curves/meltCurve_Q8TD16_BICD2.pdf", "Melting_Curves/meltCurve_Q8TD16_BICD2.pdf")</f>
        <v>Melting_Curves/meltCurve_Q8TD16_BICD2.pdf</v>
      </c>
    </row>
    <row r="1739" spans="1:28" x14ac:dyDescent="0.25">
      <c r="A1739" t="s">
        <v>1743</v>
      </c>
      <c r="B1739">
        <v>1</v>
      </c>
      <c r="C1739">
        <v>0.91347945347272497</v>
      </c>
      <c r="D1739">
        <v>0.93381896284028598</v>
      </c>
      <c r="E1739">
        <v>0.97577890487527197</v>
      </c>
      <c r="F1739">
        <v>0.88889607701066098</v>
      </c>
      <c r="G1739">
        <v>0.92038867612048403</v>
      </c>
      <c r="H1739">
        <v>0.74928837594451903</v>
      </c>
      <c r="I1739">
        <v>0.98215764413621798</v>
      </c>
      <c r="J1739">
        <v>0.79412069143981001</v>
      </c>
      <c r="K1739">
        <v>0.89531363212917903</v>
      </c>
      <c r="L1739">
        <v>324.49788785003801</v>
      </c>
      <c r="M1739">
        <v>6.43354672716693</v>
      </c>
      <c r="O1739">
        <v>46.227425264502699</v>
      </c>
      <c r="P1739">
        <v>-5.7622022544204501E-3</v>
      </c>
      <c r="Q1739">
        <v>0.83480214173888201</v>
      </c>
      <c r="R1739">
        <v>0.27117657877129497</v>
      </c>
      <c r="S1739" t="s">
        <v>3741</v>
      </c>
      <c r="T1739" t="s">
        <v>4002</v>
      </c>
      <c r="U1739" t="s">
        <v>4002</v>
      </c>
      <c r="V1739" t="s">
        <v>4002</v>
      </c>
      <c r="W1739" t="s">
        <v>5717</v>
      </c>
      <c r="X1739">
        <v>2</v>
      </c>
      <c r="Y1739" t="s">
        <v>7641</v>
      </c>
      <c r="Z1739" t="s">
        <v>9637</v>
      </c>
      <c r="AA1739">
        <v>0.90387770176688376</v>
      </c>
      <c r="AB1739" t="str">
        <f>HYPERLINK("Melting_Curves/meltCurve_Q8TD55_2_PLEKHO2.pdf", "Melting_Curves/meltCurve_Q8TD55_2_PLEKHO2.pdf")</f>
        <v>Melting_Curves/meltCurve_Q8TD55_2_PLEKHO2.pdf</v>
      </c>
    </row>
    <row r="1740" spans="1:28" x14ac:dyDescent="0.25">
      <c r="A1740" t="s">
        <v>1744</v>
      </c>
      <c r="B1740">
        <v>1</v>
      </c>
      <c r="C1740">
        <v>0.87856323548154103</v>
      </c>
      <c r="D1740">
        <v>0.90428650324992599</v>
      </c>
      <c r="E1740">
        <v>0.92869280768087004</v>
      </c>
      <c r="F1740">
        <v>0.81830154212158501</v>
      </c>
      <c r="G1740">
        <v>0.79939674582607601</v>
      </c>
      <c r="H1740">
        <v>0.85169293512893496</v>
      </c>
      <c r="I1740">
        <v>0.81188665618760403</v>
      </c>
      <c r="J1740">
        <v>0.80899783338289599</v>
      </c>
      <c r="K1740">
        <v>0.75782743532010699</v>
      </c>
      <c r="L1740">
        <v>302.83386253244697</v>
      </c>
      <c r="M1740">
        <v>6.0413606361799204</v>
      </c>
      <c r="O1740">
        <v>45.463979703490701</v>
      </c>
      <c r="P1740">
        <v>-8.3602150673826002E-3</v>
      </c>
      <c r="Q1740">
        <v>0.74913513162164103</v>
      </c>
      <c r="R1740">
        <v>0.72920616234023705</v>
      </c>
      <c r="S1740" t="s">
        <v>3742</v>
      </c>
      <c r="T1740" t="s">
        <v>4002</v>
      </c>
      <c r="U1740" t="s">
        <v>4002</v>
      </c>
      <c r="V1740" t="s">
        <v>4002</v>
      </c>
      <c r="W1740" t="s">
        <v>5718</v>
      </c>
      <c r="X1740">
        <v>5</v>
      </c>
      <c r="Y1740" t="s">
        <v>7642</v>
      </c>
      <c r="Z1740" t="s">
        <v>9638</v>
      </c>
      <c r="AA1740">
        <v>0.85317557436395752</v>
      </c>
      <c r="AB1740" t="str">
        <f>HYPERLINK("Melting_Curves/meltCurve_Q8TDL5_BPIFB1.pdf", "Melting_Curves/meltCurve_Q8TDL5_BPIFB1.pdf")</f>
        <v>Melting_Curves/meltCurve_Q8TDL5_BPIFB1.pdf</v>
      </c>
    </row>
    <row r="1741" spans="1:28" x14ac:dyDescent="0.25">
      <c r="A1741" t="s">
        <v>1745</v>
      </c>
      <c r="B1741">
        <v>1</v>
      </c>
      <c r="C1741">
        <v>0.90951790145338496</v>
      </c>
      <c r="D1741">
        <v>0.89303438496986898</v>
      </c>
      <c r="E1741">
        <v>0.86189294576391395</v>
      </c>
      <c r="F1741">
        <v>0.957993619283942</v>
      </c>
      <c r="G1741">
        <v>0.915987238567884</v>
      </c>
      <c r="H1741">
        <v>0.984136830911024</v>
      </c>
      <c r="I1741">
        <v>0.99069478908188602</v>
      </c>
      <c r="J1741">
        <v>0.91332860687699402</v>
      </c>
      <c r="K1741">
        <v>0.93123006026231803</v>
      </c>
      <c r="L1741">
        <v>10249.2528391993</v>
      </c>
      <c r="M1741">
        <v>250</v>
      </c>
      <c r="O1741">
        <v>40.994387932612099</v>
      </c>
      <c r="P1741">
        <v>-0.10878591833048</v>
      </c>
      <c r="Q1741">
        <v>0.92864620607731996</v>
      </c>
      <c r="R1741">
        <v>0.24290013525078499</v>
      </c>
      <c r="S1741" t="s">
        <v>3743</v>
      </c>
      <c r="T1741" t="s">
        <v>4002</v>
      </c>
      <c r="U1741" t="s">
        <v>4002</v>
      </c>
      <c r="V1741" t="s">
        <v>4002</v>
      </c>
      <c r="W1741" t="s">
        <v>5719</v>
      </c>
      <c r="X1741">
        <v>4</v>
      </c>
      <c r="Y1741" t="s">
        <v>7643</v>
      </c>
      <c r="Z1741" t="s">
        <v>9639</v>
      </c>
      <c r="AA1741">
        <v>0.93102341529037758</v>
      </c>
      <c r="AB1741" t="str">
        <f>HYPERLINK("Melting_Curves/meltCurve_Q8TDZ2_2_MICAL1.pdf", "Melting_Curves/meltCurve_Q8TDZ2_2_MICAL1.pdf")</f>
        <v>Melting_Curves/meltCurve_Q8TDZ2_2_MICAL1.pdf</v>
      </c>
    </row>
    <row r="1742" spans="1:28" x14ac:dyDescent="0.25">
      <c r="A1742" t="s">
        <v>1746</v>
      </c>
      <c r="B1742">
        <v>1</v>
      </c>
      <c r="C1742">
        <v>0.83048590626024199</v>
      </c>
      <c r="D1742">
        <v>0.88958538184201896</v>
      </c>
      <c r="E1742">
        <v>0.91748607014093697</v>
      </c>
      <c r="F1742">
        <v>0.86615044247787598</v>
      </c>
      <c r="G1742">
        <v>0.84474352671255304</v>
      </c>
      <c r="H1742">
        <v>0.82245575221238898</v>
      </c>
      <c r="I1742">
        <v>0.94956571615863605</v>
      </c>
      <c r="J1742">
        <v>0.77349639462471298</v>
      </c>
      <c r="K1742">
        <v>0.77867912159947505</v>
      </c>
      <c r="L1742">
        <v>107.84497758087301</v>
      </c>
      <c r="M1742">
        <v>9.7345289584319303E-2</v>
      </c>
      <c r="O1742">
        <v>44.382328656494501</v>
      </c>
      <c r="P1742">
        <v>-4.41479327641074E-3</v>
      </c>
      <c r="Q1742">
        <v>0</v>
      </c>
      <c r="R1742">
        <v>0.34347878391089798</v>
      </c>
      <c r="S1742" t="s">
        <v>3744</v>
      </c>
      <c r="T1742" t="s">
        <v>4002</v>
      </c>
      <c r="U1742" t="s">
        <v>4002</v>
      </c>
      <c r="V1742" t="s">
        <v>4002</v>
      </c>
      <c r="W1742" t="s">
        <v>5720</v>
      </c>
      <c r="X1742">
        <v>1</v>
      </c>
      <c r="Y1742" t="s">
        <v>7644</v>
      </c>
      <c r="Z1742" t="s">
        <v>9640</v>
      </c>
      <c r="AA1742">
        <v>0.86717648063011699</v>
      </c>
      <c r="AB1742" t="str">
        <f>HYPERLINK("Melting_Curves/meltCurve_Q8WU39_MZB1.pdf", "Melting_Curves/meltCurve_Q8WU39_MZB1.pdf")</f>
        <v>Melting_Curves/meltCurve_Q8WU39_MZB1.pdf</v>
      </c>
    </row>
    <row r="1743" spans="1:28" x14ac:dyDescent="0.25">
      <c r="A1743" t="s">
        <v>1747</v>
      </c>
      <c r="B1743">
        <v>1</v>
      </c>
      <c r="C1743">
        <v>0.92100552572184602</v>
      </c>
      <c r="D1743">
        <v>1.0340882558954001</v>
      </c>
      <c r="E1743">
        <v>1.02895166939061</v>
      </c>
      <c r="F1743">
        <v>0.87672192388512704</v>
      </c>
      <c r="G1743">
        <v>0.95719511246011402</v>
      </c>
      <c r="H1743">
        <v>0.899447427815394</v>
      </c>
      <c r="I1743">
        <v>0.98661374426025406</v>
      </c>
      <c r="J1743">
        <v>0.98708070666977998</v>
      </c>
      <c r="K1743">
        <v>0.96451085687602101</v>
      </c>
      <c r="L1743">
        <v>5139.7857008832198</v>
      </c>
      <c r="M1743">
        <v>100.268086046977</v>
      </c>
      <c r="O1743">
        <v>51.240056585193201</v>
      </c>
      <c r="P1743">
        <v>-2.6529610263675899E-2</v>
      </c>
      <c r="Q1743">
        <v>0.94577023903016699</v>
      </c>
      <c r="R1743">
        <v>0.22268772570450701</v>
      </c>
      <c r="S1743" t="s">
        <v>3745</v>
      </c>
      <c r="T1743" t="s">
        <v>4002</v>
      </c>
      <c r="U1743" t="s">
        <v>4002</v>
      </c>
      <c r="V1743" t="s">
        <v>4002</v>
      </c>
      <c r="W1743" t="s">
        <v>5721</v>
      </c>
      <c r="X1743">
        <v>4</v>
      </c>
      <c r="Y1743" t="s">
        <v>7645</v>
      </c>
      <c r="Z1743" t="s">
        <v>9641</v>
      </c>
      <c r="AA1743">
        <v>0.96615562557369139</v>
      </c>
      <c r="AB1743" t="str">
        <f>HYPERLINK("Melting_Curves/meltCurve_Q8WU79_3_SMAP2.pdf", "Melting_Curves/meltCurve_Q8WU79_3_SMAP2.pdf")</f>
        <v>Melting_Curves/meltCurve_Q8WU79_3_SMAP2.pdf</v>
      </c>
    </row>
    <row r="1744" spans="1:28" x14ac:dyDescent="0.25">
      <c r="A1744" t="s">
        <v>1748</v>
      </c>
      <c r="B1744">
        <v>1</v>
      </c>
      <c r="C1744">
        <v>0.95042552379498502</v>
      </c>
      <c r="D1744">
        <v>1.0417318627638099</v>
      </c>
      <c r="E1744">
        <v>1.15729114986834</v>
      </c>
      <c r="F1744">
        <v>1.0848948593672501</v>
      </c>
      <c r="G1744">
        <v>1.11662786703813</v>
      </c>
      <c r="H1744">
        <v>1.1796740831202499</v>
      </c>
      <c r="I1744">
        <v>1.08499026828989</v>
      </c>
      <c r="J1744">
        <v>1.12510017936877</v>
      </c>
      <c r="K1744">
        <v>1.0103804907834999</v>
      </c>
      <c r="L1744">
        <v>11521.564923729</v>
      </c>
      <c r="M1744">
        <v>250</v>
      </c>
      <c r="O1744">
        <v>46.0833290597119</v>
      </c>
      <c r="P1744">
        <v>0.14704713395552199</v>
      </c>
      <c r="Q1744">
        <v>1.1084226998162801</v>
      </c>
      <c r="R1744">
        <v>0.568211036126269</v>
      </c>
      <c r="S1744" t="s">
        <v>3746</v>
      </c>
      <c r="T1744" t="s">
        <v>4002</v>
      </c>
      <c r="U1744" t="s">
        <v>4002</v>
      </c>
      <c r="V1744" t="s">
        <v>4002</v>
      </c>
      <c r="W1744" t="s">
        <v>5722</v>
      </c>
      <c r="X1744">
        <v>2</v>
      </c>
      <c r="Y1744" t="s">
        <v>7646</v>
      </c>
      <c r="Z1744" t="s">
        <v>9642</v>
      </c>
      <c r="AA1744">
        <v>1.086417640252322</v>
      </c>
      <c r="AB1744" t="str">
        <f>HYPERLINK("Melting_Curves/meltCurve_Q8WUJ3_KIAA1199.pdf", "Melting_Curves/meltCurve_Q8WUJ3_KIAA1199.pdf")</f>
        <v>Melting_Curves/meltCurve_Q8WUJ3_KIAA1199.pdf</v>
      </c>
    </row>
    <row r="1745" spans="1:28" x14ac:dyDescent="0.25">
      <c r="A1745" t="s">
        <v>1749</v>
      </c>
      <c r="B1745">
        <v>1</v>
      </c>
      <c r="C1745">
        <v>0.93942769019876604</v>
      </c>
      <c r="D1745">
        <v>0.967272104180946</v>
      </c>
      <c r="E1745">
        <v>0.96161754626456497</v>
      </c>
      <c r="F1745">
        <v>0.85726525017135002</v>
      </c>
      <c r="G1745">
        <v>0.94174091843728602</v>
      </c>
      <c r="H1745">
        <v>0.89950308430431802</v>
      </c>
      <c r="I1745">
        <v>1.3480123372172701</v>
      </c>
      <c r="J1745">
        <v>1.35006854009596</v>
      </c>
      <c r="K1745">
        <v>1.2280671692940399</v>
      </c>
      <c r="L1745">
        <v>15000</v>
      </c>
      <c r="M1745">
        <v>239.67619495793599</v>
      </c>
      <c r="O1745">
        <v>62.580087301959502</v>
      </c>
      <c r="P1745">
        <v>0.295950424535461</v>
      </c>
      <c r="Q1745">
        <v>1.30909371614861</v>
      </c>
      <c r="R1745">
        <v>0.83919267181331303</v>
      </c>
      <c r="S1745" t="s">
        <v>3747</v>
      </c>
      <c r="T1745" t="s">
        <v>4002</v>
      </c>
      <c r="U1745" t="s">
        <v>4002</v>
      </c>
      <c r="V1745" t="s">
        <v>4002</v>
      </c>
      <c r="W1745" t="s">
        <v>5723</v>
      </c>
      <c r="X1745">
        <v>18</v>
      </c>
      <c r="Y1745" t="s">
        <v>7647</v>
      </c>
      <c r="Z1745" t="s">
        <v>9643</v>
      </c>
      <c r="AA1745">
        <v>1.076366514708214</v>
      </c>
      <c r="AB1745" t="str">
        <f>HYPERLINK("Melting_Curves/meltCurve_Q8WUM4_PDCD6IP.pdf", "Melting_Curves/meltCurve_Q8WUM4_PDCD6IP.pdf")</f>
        <v>Melting_Curves/meltCurve_Q8WUM4_PDCD6IP.pdf</v>
      </c>
    </row>
    <row r="1746" spans="1:28" x14ac:dyDescent="0.25">
      <c r="A1746" t="s">
        <v>1750</v>
      </c>
      <c r="B1746">
        <v>1</v>
      </c>
      <c r="C1746">
        <v>0.89912424483679099</v>
      </c>
      <c r="D1746">
        <v>0.94169437549758805</v>
      </c>
      <c r="E1746">
        <v>0.88928956118578195</v>
      </c>
      <c r="F1746">
        <v>0.77534772631480398</v>
      </c>
      <c r="G1746">
        <v>0.85374420456141997</v>
      </c>
      <c r="H1746">
        <v>0.78110804102468001</v>
      </c>
      <c r="I1746">
        <v>0.91476607502458696</v>
      </c>
      <c r="J1746">
        <v>1.4284175525687299</v>
      </c>
      <c r="K1746">
        <v>0.80775535053622405</v>
      </c>
      <c r="L1746">
        <v>10249.234432891</v>
      </c>
      <c r="M1746">
        <v>250</v>
      </c>
      <c r="O1746">
        <v>40.994314285044901</v>
      </c>
      <c r="P1746">
        <v>-0.120062962743005</v>
      </c>
      <c r="Q1746">
        <v>0.92124961899779501</v>
      </c>
      <c r="R1746">
        <v>1.72724855206218E-2</v>
      </c>
      <c r="S1746" t="s">
        <v>3748</v>
      </c>
      <c r="T1746" t="s">
        <v>4002</v>
      </c>
      <c r="U1746" t="s">
        <v>4002</v>
      </c>
      <c r="V1746" t="s">
        <v>4002</v>
      </c>
      <c r="W1746" t="s">
        <v>5724</v>
      </c>
      <c r="X1746">
        <v>4</v>
      </c>
      <c r="Y1746" t="s">
        <v>7648</v>
      </c>
      <c r="Z1746" t="s">
        <v>9644</v>
      </c>
      <c r="AA1746">
        <v>0.92387305856846069</v>
      </c>
      <c r="AB1746" t="str">
        <f>HYPERLINK("Melting_Curves/meltCurve_Q8WVC2_RPS21.pdf", "Melting_Curves/meltCurve_Q8WVC2_RPS21.pdf")</f>
        <v>Melting_Curves/meltCurve_Q8WVC2_RPS21.pdf</v>
      </c>
    </row>
    <row r="1747" spans="1:28" x14ac:dyDescent="0.25">
      <c r="A1747" t="s">
        <v>1751</v>
      </c>
      <c r="B1747">
        <v>1</v>
      </c>
      <c r="C1747">
        <v>0.95465182467902099</v>
      </c>
      <c r="D1747">
        <v>1.04127927813969</v>
      </c>
      <c r="E1747">
        <v>1.3325954504248101</v>
      </c>
      <c r="F1747">
        <v>1.4552526721902499</v>
      </c>
      <c r="G1747">
        <v>1.66993443383299</v>
      </c>
      <c r="H1747">
        <v>1.51628612990956</v>
      </c>
      <c r="I1747">
        <v>1.98051989121498</v>
      </c>
      <c r="J1747">
        <v>1.6479666055277999</v>
      </c>
      <c r="K1747">
        <v>1.73453081188202</v>
      </c>
      <c r="L1747">
        <v>1992.6720330860401</v>
      </c>
      <c r="M1747">
        <v>40.550904624770801</v>
      </c>
      <c r="O1747">
        <v>49.020968669444002</v>
      </c>
      <c r="P1747">
        <v>0.10340215327456501</v>
      </c>
      <c r="Q1747">
        <v>1.5</v>
      </c>
      <c r="R1747">
        <v>0.684955811930264</v>
      </c>
      <c r="S1747" t="s">
        <v>3749</v>
      </c>
      <c r="T1747" t="s">
        <v>4002</v>
      </c>
      <c r="U1747" t="s">
        <v>4002</v>
      </c>
      <c r="V1747" t="s">
        <v>4002</v>
      </c>
      <c r="W1747" t="s">
        <v>5725</v>
      </c>
      <c r="X1747">
        <v>6</v>
      </c>
      <c r="Y1747" t="s">
        <v>7649</v>
      </c>
      <c r="Z1747" t="s">
        <v>9645</v>
      </c>
      <c r="AA1747">
        <v>1.346012864232305</v>
      </c>
      <c r="AB1747" t="str">
        <f>HYPERLINK("Melting_Curves/meltCurve_Q8WVQ1_CANT1.pdf", "Melting_Curves/meltCurve_Q8WVQ1_CANT1.pdf")</f>
        <v>Melting_Curves/meltCurve_Q8WVQ1_CANT1.pdf</v>
      </c>
    </row>
    <row r="1748" spans="1:28" x14ac:dyDescent="0.25">
      <c r="A1748" t="s">
        <v>1752</v>
      </c>
      <c r="B1748">
        <v>1</v>
      </c>
      <c r="C1748">
        <v>0.933217559093102</v>
      </c>
      <c r="D1748">
        <v>0.71267727930535496</v>
      </c>
      <c r="E1748">
        <v>0.77519536903039099</v>
      </c>
      <c r="F1748">
        <v>0.76906898215147101</v>
      </c>
      <c r="G1748">
        <v>0.88954172696574996</v>
      </c>
      <c r="H1748">
        <v>0.87021707670043402</v>
      </c>
      <c r="I1748">
        <v>1.00762180414858</v>
      </c>
      <c r="J1748">
        <v>1.0028943560057899</v>
      </c>
      <c r="K1748">
        <v>0.51093101784852901</v>
      </c>
      <c r="L1748">
        <v>10748.6683750468</v>
      </c>
      <c r="M1748">
        <v>250</v>
      </c>
      <c r="O1748">
        <v>42.991922114186103</v>
      </c>
      <c r="P1748">
        <v>-0.265648084269694</v>
      </c>
      <c r="Q1748">
        <v>0.81726845218357802</v>
      </c>
      <c r="R1748">
        <v>0.168127340031682</v>
      </c>
      <c r="S1748" t="s">
        <v>3750</v>
      </c>
      <c r="T1748" t="s">
        <v>4002</v>
      </c>
      <c r="U1748" t="s">
        <v>4002</v>
      </c>
      <c r="V1748" t="s">
        <v>4002</v>
      </c>
      <c r="W1748" t="s">
        <v>5726</v>
      </c>
      <c r="X1748">
        <v>1</v>
      </c>
      <c r="Y1748" t="s">
        <v>7650</v>
      </c>
      <c r="Z1748" t="s">
        <v>9646</v>
      </c>
      <c r="AA1748">
        <v>0.83552295099254581</v>
      </c>
      <c r="AB1748" t="str">
        <f>HYPERLINK("Melting_Curves/meltCurve_Q8WVT3_TRAPPC12.pdf", "Melting_Curves/meltCurve_Q8WVT3_TRAPPC12.pdf")</f>
        <v>Melting_Curves/meltCurve_Q8WVT3_TRAPPC12.pdf</v>
      </c>
    </row>
    <row r="1749" spans="1:28" x14ac:dyDescent="0.25">
      <c r="A1749" t="s">
        <v>1753</v>
      </c>
      <c r="B1749">
        <v>1</v>
      </c>
      <c r="C1749">
        <v>0.96594631342576398</v>
      </c>
      <c r="D1749">
        <v>1.02132218124884</v>
      </c>
      <c r="E1749">
        <v>1.1608125090129999</v>
      </c>
      <c r="F1749">
        <v>0.95558393935024</v>
      </c>
      <c r="G1749">
        <v>1.08151871613687</v>
      </c>
      <c r="H1749">
        <v>1.1429307183618</v>
      </c>
      <c r="I1749">
        <v>1.2567726252034399</v>
      </c>
      <c r="J1749">
        <v>2.9566757998393101</v>
      </c>
      <c r="K1749">
        <v>0.83533507756329695</v>
      </c>
      <c r="L1749">
        <v>15000</v>
      </c>
      <c r="M1749">
        <v>234.43046497040899</v>
      </c>
      <c r="O1749">
        <v>63.980192896228097</v>
      </c>
      <c r="P1749">
        <v>0.45801368996335401</v>
      </c>
      <c r="Q1749">
        <v>1.5</v>
      </c>
      <c r="R1749">
        <v>0.23231734080887201</v>
      </c>
      <c r="S1749" t="s">
        <v>3751</v>
      </c>
      <c r="T1749" t="s">
        <v>4002</v>
      </c>
      <c r="U1749" t="s">
        <v>4002</v>
      </c>
      <c r="V1749" t="s">
        <v>4002</v>
      </c>
      <c r="W1749" t="s">
        <v>5727</v>
      </c>
      <c r="X1749">
        <v>3</v>
      </c>
      <c r="Y1749" t="s">
        <v>7651</v>
      </c>
      <c r="Z1749" t="s">
        <v>9647</v>
      </c>
      <c r="AA1749">
        <v>1.100188513900032</v>
      </c>
      <c r="AB1749" t="str">
        <f>HYPERLINK("Melting_Curves/meltCurve_Q8WVV4_POF1B.pdf", "Melting_Curves/meltCurve_Q8WVV4_POF1B.pdf")</f>
        <v>Melting_Curves/meltCurve_Q8WVV4_POF1B.pdf</v>
      </c>
    </row>
    <row r="1750" spans="1:28" x14ac:dyDescent="0.25">
      <c r="A1750" t="s">
        <v>1754</v>
      </c>
      <c r="B1750">
        <v>1</v>
      </c>
      <c r="C1750">
        <v>0.94880310257210398</v>
      </c>
      <c r="D1750">
        <v>1.0582846699059401</v>
      </c>
      <c r="E1750">
        <v>1.1417777381536101</v>
      </c>
      <c r="F1750">
        <v>1.08150938349753</v>
      </c>
      <c r="G1750">
        <v>1.0930325859225201</v>
      </c>
      <c r="H1750">
        <v>0.933780591093478</v>
      </c>
      <c r="I1750">
        <v>1.2157090001337301</v>
      </c>
      <c r="J1750">
        <v>0.96721348014086395</v>
      </c>
      <c r="K1750">
        <v>1.0153568403691</v>
      </c>
      <c r="L1750">
        <v>11393.614931383399</v>
      </c>
      <c r="M1750">
        <v>250</v>
      </c>
      <c r="O1750">
        <v>45.571543279154199</v>
      </c>
      <c r="P1750">
        <v>8.7848469219787506E-2</v>
      </c>
      <c r="Q1750">
        <v>1.06405424497428</v>
      </c>
      <c r="R1750">
        <v>0.156005456122284</v>
      </c>
      <c r="S1750" t="s">
        <v>3752</v>
      </c>
      <c r="T1750" t="s">
        <v>4002</v>
      </c>
      <c r="U1750" t="s">
        <v>4002</v>
      </c>
      <c r="V1750" t="s">
        <v>4002</v>
      </c>
      <c r="W1750" t="s">
        <v>5728</v>
      </c>
      <c r="X1750">
        <v>4</v>
      </c>
      <c r="Y1750" t="s">
        <v>7652</v>
      </c>
      <c r="Z1750" t="s">
        <v>9648</v>
      </c>
      <c r="AA1750">
        <v>1.0521468614624261</v>
      </c>
      <c r="AB1750" t="str">
        <f>HYPERLINK("Melting_Curves/meltCurve_Q8WW12_2_PCNP.pdf", "Melting_Curves/meltCurve_Q8WW12_2_PCNP.pdf")</f>
        <v>Melting_Curves/meltCurve_Q8WW12_2_PCNP.pdf</v>
      </c>
    </row>
    <row r="1751" spans="1:28" x14ac:dyDescent="0.25">
      <c r="A1751" t="s">
        <v>1755</v>
      </c>
      <c r="B1751">
        <v>1</v>
      </c>
      <c r="C1751">
        <v>0.90884920102054501</v>
      </c>
      <c r="D1751">
        <v>0.73005237008191204</v>
      </c>
      <c r="E1751">
        <v>0.868739089566268</v>
      </c>
      <c r="F1751">
        <v>0.96125956761111897</v>
      </c>
      <c r="G1751">
        <v>1.2860749295018099</v>
      </c>
      <c r="H1751">
        <v>0.92934067409695198</v>
      </c>
      <c r="I1751">
        <v>1.7796428091849099</v>
      </c>
      <c r="J1751">
        <v>0.84793876728884099</v>
      </c>
      <c r="K1751">
        <v>1.37881025916476</v>
      </c>
      <c r="L1751">
        <v>6847.3636496826803</v>
      </c>
      <c r="M1751">
        <v>124.695842836756</v>
      </c>
      <c r="O1751">
        <v>54.898410228468798</v>
      </c>
      <c r="P1751">
        <v>0.13895429620979</v>
      </c>
      <c r="Q1751">
        <v>1.2447032371934399</v>
      </c>
      <c r="R1751">
        <v>0.27413824504815199</v>
      </c>
      <c r="S1751" t="s">
        <v>3753</v>
      </c>
      <c r="T1751" t="s">
        <v>4002</v>
      </c>
      <c r="U1751" t="s">
        <v>4002</v>
      </c>
      <c r="V1751" t="s">
        <v>4002</v>
      </c>
      <c r="W1751" t="s">
        <v>5729</v>
      </c>
      <c r="X1751">
        <v>1</v>
      </c>
      <c r="Y1751" t="s">
        <v>7653</v>
      </c>
      <c r="Z1751" t="s">
        <v>9649</v>
      </c>
      <c r="AA1751">
        <v>1.1229702753889541</v>
      </c>
      <c r="AB1751" t="str">
        <f>HYPERLINK("Melting_Curves/meltCurve_Q8WWA0_ITLN1.pdf", "Melting_Curves/meltCurve_Q8WWA0_ITLN1.pdf")</f>
        <v>Melting_Curves/meltCurve_Q8WWA0_ITLN1.pdf</v>
      </c>
    </row>
    <row r="1752" spans="1:28" x14ac:dyDescent="0.25">
      <c r="A1752" t="s">
        <v>1756</v>
      </c>
      <c r="B1752">
        <v>1</v>
      </c>
      <c r="C1752">
        <v>1.0150932050511099</v>
      </c>
      <c r="D1752">
        <v>1.22859290438966</v>
      </c>
      <c r="E1752">
        <v>1.1257366205652399</v>
      </c>
      <c r="F1752">
        <v>0.83223090799759503</v>
      </c>
      <c r="G1752">
        <v>0.90586289837642797</v>
      </c>
      <c r="H1752">
        <v>0.79467829224293396</v>
      </c>
      <c r="I1752">
        <v>0.84666265784726402</v>
      </c>
      <c r="J1752">
        <v>1.1355682501503299</v>
      </c>
      <c r="K1752">
        <v>0.73860493084786505</v>
      </c>
      <c r="L1752">
        <v>12891.827448309699</v>
      </c>
      <c r="M1752">
        <v>250</v>
      </c>
      <c r="O1752">
        <v>51.563995293898401</v>
      </c>
      <c r="P1752">
        <v>-0.150790785720332</v>
      </c>
      <c r="Q1752">
        <v>0.87559395908281201</v>
      </c>
      <c r="R1752">
        <v>0.322898908885344</v>
      </c>
      <c r="S1752" t="s">
        <v>3754</v>
      </c>
      <c r="T1752" t="s">
        <v>4002</v>
      </c>
      <c r="U1752" t="s">
        <v>4002</v>
      </c>
      <c r="V1752" t="s">
        <v>4002</v>
      </c>
      <c r="W1752" t="s">
        <v>5730</v>
      </c>
      <c r="X1752">
        <v>1</v>
      </c>
      <c r="Y1752" t="s">
        <v>7654</v>
      </c>
      <c r="Z1752" t="s">
        <v>9650</v>
      </c>
      <c r="AA1752">
        <v>0.92357332498920008</v>
      </c>
      <c r="AB1752" t="str">
        <f>HYPERLINK("Melting_Curves/meltCurve_Q8WWX9_SELM.pdf", "Melting_Curves/meltCurve_Q8WWX9_SELM.pdf")</f>
        <v>Melting_Curves/meltCurve_Q8WWX9_SELM.pdf</v>
      </c>
    </row>
    <row r="1753" spans="1:28" x14ac:dyDescent="0.25">
      <c r="A1753" t="s">
        <v>1757</v>
      </c>
      <c r="B1753">
        <v>1</v>
      </c>
      <c r="C1753">
        <v>0.95702183121537998</v>
      </c>
      <c r="D1753">
        <v>0.99266862170087999</v>
      </c>
      <c r="E1753">
        <v>1.03779732811991</v>
      </c>
      <c r="F1753">
        <v>1.0222548061257699</v>
      </c>
      <c r="G1753">
        <v>1.11228413163897</v>
      </c>
      <c r="H1753">
        <v>0.75324209840338896</v>
      </c>
      <c r="I1753">
        <v>1.1094167481264301</v>
      </c>
      <c r="J1753">
        <v>0.87732160312805496</v>
      </c>
      <c r="K1753">
        <v>0.88416422287389995</v>
      </c>
      <c r="L1753">
        <v>884.18051144795697</v>
      </c>
      <c r="M1753">
        <v>11.7474340423041</v>
      </c>
      <c r="Q1753">
        <v>0.58840979840525598</v>
      </c>
      <c r="R1753">
        <v>0.15281165418909701</v>
      </c>
      <c r="S1753" t="s">
        <v>3755</v>
      </c>
      <c r="T1753" t="s">
        <v>4002</v>
      </c>
      <c r="U1753" t="s">
        <v>4002</v>
      </c>
      <c r="V1753" t="s">
        <v>4002</v>
      </c>
      <c r="W1753" t="s">
        <v>5731</v>
      </c>
      <c r="X1753">
        <v>6</v>
      </c>
      <c r="Y1753" t="s">
        <v>7655</v>
      </c>
      <c r="Z1753" t="s">
        <v>9651</v>
      </c>
      <c r="AA1753">
        <v>0.97737768982325712</v>
      </c>
      <c r="AB1753" t="str">
        <f>HYPERLINK("Melting_Curves/meltCurve_Q8WWY7_WFDC12.pdf", "Melting_Curves/meltCurve_Q8WWY7_WFDC12.pdf")</f>
        <v>Melting_Curves/meltCurve_Q8WWY7_WFDC12.pdf</v>
      </c>
    </row>
    <row r="1754" spans="1:28" x14ac:dyDescent="0.25">
      <c r="A1754" t="s">
        <v>1758</v>
      </c>
      <c r="B1754">
        <v>1</v>
      </c>
      <c r="C1754">
        <v>0.77084914120162795</v>
      </c>
      <c r="D1754">
        <v>0.92832999931020199</v>
      </c>
      <c r="E1754">
        <v>0.81482375663930495</v>
      </c>
      <c r="F1754">
        <v>0.70221425122439096</v>
      </c>
      <c r="G1754">
        <v>0.79706146099192898</v>
      </c>
      <c r="H1754">
        <v>0.68358970821549303</v>
      </c>
      <c r="I1754">
        <v>0.639822032144582</v>
      </c>
      <c r="J1754">
        <v>0.62268055459750304</v>
      </c>
      <c r="K1754">
        <v>0.74705111402359103</v>
      </c>
      <c r="L1754">
        <v>365.86071609899398</v>
      </c>
      <c r="M1754">
        <v>7.5998734007747597</v>
      </c>
      <c r="O1754">
        <v>45.146430545077997</v>
      </c>
      <c r="P1754">
        <v>-1.5167496932538599E-2</v>
      </c>
      <c r="Q1754">
        <v>0.64008762671333397</v>
      </c>
      <c r="R1754">
        <v>0.64771953761359202</v>
      </c>
      <c r="S1754" t="s">
        <v>3756</v>
      </c>
      <c r="T1754" t="s">
        <v>4002</v>
      </c>
      <c r="U1754" t="s">
        <v>4002</v>
      </c>
      <c r="V1754" t="s">
        <v>4002</v>
      </c>
      <c r="W1754" t="s">
        <v>5732</v>
      </c>
      <c r="X1754">
        <v>1</v>
      </c>
      <c r="Y1754" t="s">
        <v>7656</v>
      </c>
      <c r="Z1754" t="s">
        <v>9652</v>
      </c>
      <c r="AA1754">
        <v>0.76524268324296496</v>
      </c>
      <c r="AB1754" t="str">
        <f>HYPERLINK("Melting_Curves/meltCurve_Q8WYQ9_ZCCHC14.pdf", "Melting_Curves/meltCurve_Q8WYQ9_ZCCHC14.pdf")</f>
        <v>Melting_Curves/meltCurve_Q8WYQ9_ZCCHC14.pdf</v>
      </c>
    </row>
    <row r="1755" spans="1:28" x14ac:dyDescent="0.25">
      <c r="A1755" t="s">
        <v>1759</v>
      </c>
      <c r="B1755">
        <v>1</v>
      </c>
      <c r="C1755">
        <v>0.86180761044489396</v>
      </c>
      <c r="D1755">
        <v>0.95146135077609895</v>
      </c>
      <c r="E1755">
        <v>0.96765820484867404</v>
      </c>
      <c r="F1755">
        <v>0.90328609250895497</v>
      </c>
      <c r="G1755">
        <v>0.97316098219384295</v>
      </c>
      <c r="H1755">
        <v>0.99781965425946095</v>
      </c>
      <c r="I1755">
        <v>1.0713284535119101</v>
      </c>
      <c r="J1755">
        <v>1.1728702694284401</v>
      </c>
      <c r="K1755">
        <v>0.968436899756009</v>
      </c>
      <c r="L1755">
        <v>15000</v>
      </c>
      <c r="M1755">
        <v>239.55328788342601</v>
      </c>
      <c r="O1755">
        <v>62.612204977524399</v>
      </c>
      <c r="P1755">
        <v>6.79194134017128E-2</v>
      </c>
      <c r="Q1755">
        <v>1.07100854852509</v>
      </c>
      <c r="R1755">
        <v>0.199454734921064</v>
      </c>
      <c r="S1755" t="s">
        <v>3757</v>
      </c>
      <c r="T1755" t="s">
        <v>4002</v>
      </c>
      <c r="U1755" t="s">
        <v>4002</v>
      </c>
      <c r="V1755" t="s">
        <v>4002</v>
      </c>
      <c r="W1755" t="s">
        <v>5733</v>
      </c>
      <c r="X1755">
        <v>2</v>
      </c>
      <c r="Y1755" t="s">
        <v>7657</v>
      </c>
      <c r="Z1755" t="s">
        <v>9653</v>
      </c>
      <c r="AA1755">
        <v>1.0174677743586369</v>
      </c>
      <c r="AB1755" t="str">
        <f>HYPERLINK("Melting_Curves/meltCurve_Q8WZA0_LZIC.pdf", "Melting_Curves/meltCurve_Q8WZA0_LZIC.pdf")</f>
        <v>Melting_Curves/meltCurve_Q8WZA0_LZIC.pdf</v>
      </c>
    </row>
    <row r="1756" spans="1:28" x14ac:dyDescent="0.25">
      <c r="A1756" t="s">
        <v>1760</v>
      </c>
      <c r="B1756">
        <v>1</v>
      </c>
      <c r="C1756">
        <v>0.95302447492936604</v>
      </c>
      <c r="D1756">
        <v>0.93071110052081596</v>
      </c>
      <c r="E1756">
        <v>0.90393845525410998</v>
      </c>
      <c r="F1756">
        <v>0.93910201858596898</v>
      </c>
      <c r="G1756">
        <v>1.1152261973652899</v>
      </c>
      <c r="H1756">
        <v>1.06697416346121</v>
      </c>
      <c r="I1756">
        <v>1.36560915001532</v>
      </c>
      <c r="J1756">
        <v>1.0591789495183299</v>
      </c>
      <c r="K1756">
        <v>1.1854512033223299</v>
      </c>
      <c r="L1756">
        <v>6583.8904275842597</v>
      </c>
      <c r="M1756">
        <v>116.256818769563</v>
      </c>
      <c r="O1756">
        <v>56.615542730562503</v>
      </c>
      <c r="P1756">
        <v>8.6937636781536598E-2</v>
      </c>
      <c r="Q1756">
        <v>1.1693499402043701</v>
      </c>
      <c r="R1756">
        <v>0.55385229999403995</v>
      </c>
      <c r="S1756" t="s">
        <v>3758</v>
      </c>
      <c r="T1756" t="s">
        <v>4002</v>
      </c>
      <c r="U1756" t="s">
        <v>4002</v>
      </c>
      <c r="V1756" t="s">
        <v>4002</v>
      </c>
      <c r="W1756" t="s">
        <v>5734</v>
      </c>
      <c r="X1756">
        <v>2</v>
      </c>
      <c r="Y1756" t="s">
        <v>7658</v>
      </c>
      <c r="Z1756" t="s">
        <v>9654</v>
      </c>
      <c r="AA1756">
        <v>1.0753827736184649</v>
      </c>
      <c r="AB1756" t="str">
        <f>HYPERLINK("Melting_Curves/meltCurve_Q92485_2_SMPDL3B.pdf", "Melting_Curves/meltCurve_Q92485_2_SMPDL3B.pdf")</f>
        <v>Melting_Curves/meltCurve_Q92485_2_SMPDL3B.pdf</v>
      </c>
    </row>
    <row r="1757" spans="1:28" x14ac:dyDescent="0.25">
      <c r="A1757" t="s">
        <v>1761</v>
      </c>
      <c r="B1757">
        <v>1</v>
      </c>
      <c r="C1757">
        <v>1.1177259233249299</v>
      </c>
      <c r="D1757">
        <v>1.0994988348708801</v>
      </c>
      <c r="E1757">
        <v>1.0386886711143699</v>
      </c>
      <c r="F1757">
        <v>0.92945382577329505</v>
      </c>
      <c r="G1757">
        <v>0.90825805215947897</v>
      </c>
      <c r="H1757">
        <v>0.79378810610655304</v>
      </c>
      <c r="I1757">
        <v>0.86120598844447305</v>
      </c>
      <c r="J1757">
        <v>1.1915919175152401</v>
      </c>
      <c r="K1757">
        <v>0.80250263351102902</v>
      </c>
      <c r="L1757">
        <v>13177.563174414399</v>
      </c>
      <c r="M1757">
        <v>250</v>
      </c>
      <c r="O1757">
        <v>52.706879703654003</v>
      </c>
      <c r="P1757">
        <v>-0.10498001381953601</v>
      </c>
      <c r="Q1757">
        <v>0.91146929693802503</v>
      </c>
      <c r="R1757">
        <v>0.22146868328131999</v>
      </c>
      <c r="S1757" t="s">
        <v>3759</v>
      </c>
      <c r="T1757" t="s">
        <v>4002</v>
      </c>
      <c r="U1757" t="s">
        <v>4002</v>
      </c>
      <c r="V1757" t="s">
        <v>4002</v>
      </c>
      <c r="W1757" t="s">
        <v>5735</v>
      </c>
      <c r="X1757">
        <v>3</v>
      </c>
      <c r="Y1757" t="s">
        <v>7659</v>
      </c>
      <c r="Z1757" t="s">
        <v>9655</v>
      </c>
      <c r="AA1757">
        <v>0.94898574011093895</v>
      </c>
      <c r="AB1757" t="str">
        <f>HYPERLINK("Melting_Curves/meltCurve_Q92598_2_HSPH1.pdf", "Melting_Curves/meltCurve_Q92598_2_HSPH1.pdf")</f>
        <v>Melting_Curves/meltCurve_Q92598_2_HSPH1.pdf</v>
      </c>
    </row>
    <row r="1758" spans="1:28" x14ac:dyDescent="0.25">
      <c r="A1758" t="s">
        <v>1762</v>
      </c>
      <c r="B1758">
        <v>1</v>
      </c>
      <c r="C1758">
        <v>0.90193059339097503</v>
      </c>
      <c r="D1758">
        <v>0.91726874333767605</v>
      </c>
      <c r="E1758">
        <v>1.03855264716333</v>
      </c>
      <c r="F1758">
        <v>1.1453274902285899</v>
      </c>
      <c r="G1758">
        <v>1.07657230842118</v>
      </c>
      <c r="H1758">
        <v>0.92792846144735297</v>
      </c>
      <c r="I1758">
        <v>1.3707805282482499</v>
      </c>
      <c r="J1758">
        <v>1.43035650835011</v>
      </c>
      <c r="K1758">
        <v>1.21230605235106</v>
      </c>
      <c r="L1758">
        <v>15000</v>
      </c>
      <c r="M1758">
        <v>239.75668586382201</v>
      </c>
      <c r="O1758">
        <v>62.559075569944198</v>
      </c>
      <c r="P1758">
        <v>0.32406210117712703</v>
      </c>
      <c r="Q1758">
        <v>1.33822664805139</v>
      </c>
      <c r="R1758">
        <v>0.75851680116530396</v>
      </c>
      <c r="S1758" t="s">
        <v>3760</v>
      </c>
      <c r="T1758" t="s">
        <v>4002</v>
      </c>
      <c r="U1758" t="s">
        <v>4002</v>
      </c>
      <c r="V1758" t="s">
        <v>4002</v>
      </c>
      <c r="W1758" t="s">
        <v>5736</v>
      </c>
      <c r="X1758">
        <v>6</v>
      </c>
      <c r="Y1758" t="s">
        <v>7660</v>
      </c>
      <c r="Z1758" t="s">
        <v>9656</v>
      </c>
      <c r="AA1758">
        <v>1.083801189555583</v>
      </c>
      <c r="AB1758" t="str">
        <f>HYPERLINK("Melting_Curves/meltCurve_Q92619_HMHA1.pdf", "Melting_Curves/meltCurve_Q92619_HMHA1.pdf")</f>
        <v>Melting_Curves/meltCurve_Q92619_HMHA1.pdf</v>
      </c>
    </row>
    <row r="1759" spans="1:28" x14ac:dyDescent="0.25">
      <c r="A1759" t="s">
        <v>1763</v>
      </c>
      <c r="B1759">
        <v>1</v>
      </c>
      <c r="C1759">
        <v>1.1665096561469599</v>
      </c>
      <c r="D1759">
        <v>0.87619720521274902</v>
      </c>
      <c r="E1759">
        <v>0.99748783168472299</v>
      </c>
      <c r="F1759">
        <v>1.2124352331606201</v>
      </c>
      <c r="G1759">
        <v>0.99670277908619898</v>
      </c>
      <c r="H1759">
        <v>0.94269116030774103</v>
      </c>
      <c r="I1759">
        <v>1.23135500078505</v>
      </c>
      <c r="J1759">
        <v>1.7476055895745</v>
      </c>
      <c r="K1759">
        <v>1.2410896530067499</v>
      </c>
      <c r="L1759">
        <v>15000</v>
      </c>
      <c r="M1759">
        <v>234.24708441378601</v>
      </c>
      <c r="O1759">
        <v>64.030283033933699</v>
      </c>
      <c r="P1759">
        <v>0.45212465162661802</v>
      </c>
      <c r="Q1759">
        <v>1.49434414227624</v>
      </c>
      <c r="R1759">
        <v>0.60940192530891801</v>
      </c>
      <c r="S1759" t="s">
        <v>3761</v>
      </c>
      <c r="T1759" t="s">
        <v>4002</v>
      </c>
      <c r="U1759" t="s">
        <v>4002</v>
      </c>
      <c r="V1759" t="s">
        <v>4002</v>
      </c>
      <c r="W1759" t="s">
        <v>5737</v>
      </c>
      <c r="X1759">
        <v>1</v>
      </c>
      <c r="Y1759" t="s">
        <v>7661</v>
      </c>
      <c r="Z1759" t="s">
        <v>9657</v>
      </c>
      <c r="AA1759">
        <v>1.0982296615793961</v>
      </c>
      <c r="AB1759" t="str">
        <f>HYPERLINK("Melting_Curves/meltCurve_Q92623_TTC9.pdf", "Melting_Curves/meltCurve_Q92623_TTC9.pdf")</f>
        <v>Melting_Curves/meltCurve_Q92623_TTC9.pdf</v>
      </c>
    </row>
    <row r="1760" spans="1:28" x14ac:dyDescent="0.25">
      <c r="A1760" t="s">
        <v>1764</v>
      </c>
      <c r="B1760">
        <v>1</v>
      </c>
      <c r="C1760">
        <v>0.91626859935211102</v>
      </c>
      <c r="D1760">
        <v>1.0974249162686001</v>
      </c>
      <c r="E1760">
        <v>1.0084994234887199</v>
      </c>
      <c r="F1760">
        <v>0.98434085543293204</v>
      </c>
      <c r="G1760">
        <v>0.99587108109592004</v>
      </c>
      <c r="H1760">
        <v>0.79736451984846002</v>
      </c>
      <c r="I1760">
        <v>0.95173776972492197</v>
      </c>
      <c r="J1760">
        <v>0.82266512930324498</v>
      </c>
      <c r="K1760">
        <v>0.82156701257343701</v>
      </c>
      <c r="L1760">
        <v>14453.7811540492</v>
      </c>
      <c r="M1760">
        <v>250</v>
      </c>
      <c r="O1760">
        <v>57.811415602385203</v>
      </c>
      <c r="P1760">
        <v>-0.16396674667165601</v>
      </c>
      <c r="Q1760">
        <v>0.84833358011551097</v>
      </c>
      <c r="R1760">
        <v>0.63809752687389398</v>
      </c>
      <c r="S1760" t="s">
        <v>3762</v>
      </c>
      <c r="T1760" t="s">
        <v>4002</v>
      </c>
      <c r="U1760" t="s">
        <v>4002</v>
      </c>
      <c r="V1760" t="s">
        <v>4002</v>
      </c>
      <c r="W1760" t="s">
        <v>5738</v>
      </c>
      <c r="X1760">
        <v>2</v>
      </c>
      <c r="Y1760" t="s">
        <v>7662</v>
      </c>
      <c r="Z1760" t="s">
        <v>9658</v>
      </c>
      <c r="AA1760">
        <v>0.93841417457261522</v>
      </c>
      <c r="AB1760" t="str">
        <f>HYPERLINK("Melting_Curves/meltCurve_Q92673_SORL1.pdf", "Melting_Curves/meltCurve_Q92673_SORL1.pdf")</f>
        <v>Melting_Curves/meltCurve_Q92673_SORL1.pdf</v>
      </c>
    </row>
    <row r="1761" spans="1:28" x14ac:dyDescent="0.25">
      <c r="A1761" t="s">
        <v>1765</v>
      </c>
      <c r="B1761">
        <v>1</v>
      </c>
      <c r="C1761">
        <v>0.98893905191873599</v>
      </c>
      <c r="D1761">
        <v>1.0486079759217499</v>
      </c>
      <c r="E1761">
        <v>1.13258088788563</v>
      </c>
      <c r="F1761">
        <v>1.0619262603461199</v>
      </c>
      <c r="G1761">
        <v>1.1783295711060899</v>
      </c>
      <c r="H1761">
        <v>0.96794582392776496</v>
      </c>
      <c r="I1761">
        <v>1.5882618510158</v>
      </c>
      <c r="J1761">
        <v>1.52889390519187</v>
      </c>
      <c r="K1761">
        <v>1.5231000752445401</v>
      </c>
      <c r="L1761">
        <v>15000</v>
      </c>
      <c r="M1761">
        <v>240.61550172931501</v>
      </c>
      <c r="O1761">
        <v>62.335803494030998</v>
      </c>
      <c r="P1761">
        <v>0.48249849619638302</v>
      </c>
      <c r="Q1761">
        <v>1.5</v>
      </c>
      <c r="R1761">
        <v>0.87929853957758397</v>
      </c>
      <c r="S1761" t="s">
        <v>3763</v>
      </c>
      <c r="T1761" t="s">
        <v>4002</v>
      </c>
      <c r="U1761" t="s">
        <v>4002</v>
      </c>
      <c r="V1761" t="s">
        <v>4002</v>
      </c>
      <c r="W1761" t="s">
        <v>5739</v>
      </c>
      <c r="X1761">
        <v>2</v>
      </c>
      <c r="Y1761" t="s">
        <v>7663</v>
      </c>
      <c r="Z1761" t="s">
        <v>9659</v>
      </c>
      <c r="AA1761">
        <v>1.127605560551612</v>
      </c>
      <c r="AB1761" t="str">
        <f>HYPERLINK("Melting_Curves/meltCurve_Q92688_2_ANP32B.pdf", "Melting_Curves/meltCurve_Q92688_2_ANP32B.pdf")</f>
        <v>Melting_Curves/meltCurve_Q92688_2_ANP32B.pdf</v>
      </c>
    </row>
    <row r="1762" spans="1:28" x14ac:dyDescent="0.25">
      <c r="A1762" t="s">
        <v>1766</v>
      </c>
      <c r="B1762">
        <v>1</v>
      </c>
      <c r="C1762">
        <v>0.97822214833638099</v>
      </c>
      <c r="D1762">
        <v>0.99957251763364796</v>
      </c>
      <c r="E1762">
        <v>1.1976630963972701</v>
      </c>
      <c r="F1762">
        <v>1.2160685871707799</v>
      </c>
      <c r="G1762">
        <v>1.3536941601159</v>
      </c>
      <c r="H1762">
        <v>1.1453915026005199</v>
      </c>
      <c r="I1762">
        <v>1.52231220462156</v>
      </c>
      <c r="J1762">
        <v>1.1989692925166799</v>
      </c>
      <c r="K1762">
        <v>1.3219892179447601</v>
      </c>
      <c r="L1762">
        <v>1465.01612815519</v>
      </c>
      <c r="M1762">
        <v>29.516848780806601</v>
      </c>
      <c r="O1762">
        <v>49.407071834149598</v>
      </c>
      <c r="P1762">
        <v>4.5461409123619602E-2</v>
      </c>
      <c r="Q1762">
        <v>1.3043820159997499</v>
      </c>
      <c r="R1762">
        <v>0.66649812535754505</v>
      </c>
      <c r="S1762" t="s">
        <v>3764</v>
      </c>
      <c r="T1762" t="s">
        <v>4002</v>
      </c>
      <c r="U1762" t="s">
        <v>4002</v>
      </c>
      <c r="V1762" t="s">
        <v>4002</v>
      </c>
      <c r="W1762" t="s">
        <v>5740</v>
      </c>
      <c r="X1762">
        <v>3</v>
      </c>
      <c r="Y1762" t="s">
        <v>7664</v>
      </c>
      <c r="Z1762" t="s">
        <v>9660</v>
      </c>
      <c r="AA1762">
        <v>1.2047083212631191</v>
      </c>
      <c r="AB1762" t="str">
        <f>HYPERLINK("Melting_Curves/meltCurve_Q92692_2_PVRL2.pdf", "Melting_Curves/meltCurve_Q92692_2_PVRL2.pdf")</f>
        <v>Melting_Curves/meltCurve_Q92692_2_PVRL2.pdf</v>
      </c>
    </row>
    <row r="1763" spans="1:28" x14ac:dyDescent="0.25">
      <c r="A1763" t="s">
        <v>1767</v>
      </c>
      <c r="B1763">
        <v>1</v>
      </c>
      <c r="C1763">
        <v>0.94066666666666698</v>
      </c>
      <c r="D1763">
        <v>1.0900000000000001</v>
      </c>
      <c r="E1763">
        <v>1.09646666666667</v>
      </c>
      <c r="F1763">
        <v>0.95579999999999998</v>
      </c>
      <c r="G1763">
        <v>1.1072</v>
      </c>
      <c r="H1763">
        <v>0.65731333333333297</v>
      </c>
      <c r="I1763">
        <v>1.278</v>
      </c>
      <c r="J1763">
        <v>0.695533333333333</v>
      </c>
      <c r="K1763">
        <v>0.91653333333333298</v>
      </c>
      <c r="L1763">
        <v>975.60914279895906</v>
      </c>
      <c r="M1763">
        <v>14.578663690718701</v>
      </c>
      <c r="O1763">
        <v>65.6990396855211</v>
      </c>
      <c r="P1763">
        <v>-1.13946674718914E-2</v>
      </c>
      <c r="Q1763">
        <v>0.79462208212502095</v>
      </c>
      <c r="R1763">
        <v>8.9048008639541501E-2</v>
      </c>
      <c r="S1763" t="s">
        <v>3765</v>
      </c>
      <c r="T1763" t="s">
        <v>4002</v>
      </c>
      <c r="U1763" t="s">
        <v>4002</v>
      </c>
      <c r="V1763" t="s">
        <v>4002</v>
      </c>
      <c r="W1763" t="s">
        <v>5741</v>
      </c>
      <c r="X1763">
        <v>4</v>
      </c>
      <c r="Y1763" t="s">
        <v>7665</v>
      </c>
      <c r="Z1763" t="s">
        <v>9661</v>
      </c>
      <c r="AA1763">
        <v>0.96890870612712832</v>
      </c>
      <c r="AB1763" t="str">
        <f>HYPERLINK("Melting_Curves/meltCurve_Q92743_HTRA1.pdf", "Melting_Curves/meltCurve_Q92743_HTRA1.pdf")</f>
        <v>Melting_Curves/meltCurve_Q92743_HTRA1.pdf</v>
      </c>
    </row>
    <row r="1764" spans="1:28" x14ac:dyDescent="0.25">
      <c r="A1764" t="s">
        <v>1768</v>
      </c>
      <c r="B1764">
        <v>1</v>
      </c>
      <c r="C1764">
        <v>0.96956413645106798</v>
      </c>
      <c r="D1764">
        <v>0.917668764638918</v>
      </c>
      <c r="E1764">
        <v>0.74187090273870404</v>
      </c>
      <c r="F1764">
        <v>0.70427750808002798</v>
      </c>
      <c r="G1764">
        <v>0.75397458880180102</v>
      </c>
      <c r="H1764">
        <v>0.746228229721419</v>
      </c>
      <c r="I1764">
        <v>0.80732240294152302</v>
      </c>
      <c r="J1764">
        <v>2.1528859113094199</v>
      </c>
      <c r="K1764">
        <v>0.72568467607919096</v>
      </c>
      <c r="L1764">
        <v>1541.5537763274299</v>
      </c>
      <c r="M1764">
        <v>23.7731276962012</v>
      </c>
      <c r="O1764">
        <v>64.390759023737402</v>
      </c>
      <c r="P1764">
        <v>2.6868457631185699E-2</v>
      </c>
      <c r="Q1764">
        <v>1.2910938002283101</v>
      </c>
      <c r="R1764">
        <v>5.8215688128180898E-2</v>
      </c>
      <c r="S1764" t="s">
        <v>3766</v>
      </c>
      <c r="T1764" t="s">
        <v>4002</v>
      </c>
      <c r="U1764" t="s">
        <v>4002</v>
      </c>
      <c r="V1764" t="s">
        <v>4002</v>
      </c>
      <c r="W1764" t="s">
        <v>5742</v>
      </c>
      <c r="X1764">
        <v>1</v>
      </c>
      <c r="Y1764" t="s">
        <v>7666</v>
      </c>
      <c r="Z1764" t="s">
        <v>9662</v>
      </c>
      <c r="AA1764">
        <v>1.051752678229626</v>
      </c>
      <c r="AB1764" t="str">
        <f>HYPERLINK("Melting_Curves/meltCurve_Q92747_ARPC1A.pdf", "Melting_Curves/meltCurve_Q92747_ARPC1A.pdf")</f>
        <v>Melting_Curves/meltCurve_Q92747_ARPC1A.pdf</v>
      </c>
    </row>
    <row r="1765" spans="1:28" x14ac:dyDescent="0.25">
      <c r="A1765" t="s">
        <v>1769</v>
      </c>
      <c r="B1765">
        <v>1</v>
      </c>
      <c r="C1765">
        <v>1.06095757103931</v>
      </c>
      <c r="D1765">
        <v>1.1917477617750101</v>
      </c>
      <c r="E1765">
        <v>1.2435188789412199</v>
      </c>
      <c r="F1765">
        <v>1.4351109381082101</v>
      </c>
      <c r="G1765">
        <v>1.82973919813157</v>
      </c>
      <c r="H1765">
        <v>1.674970805761</v>
      </c>
      <c r="I1765">
        <v>2.0845465161541501</v>
      </c>
      <c r="J1765">
        <v>2.1662903853639599</v>
      </c>
      <c r="K1765">
        <v>1.8191514207863</v>
      </c>
      <c r="L1765">
        <v>1193.1820624976599</v>
      </c>
      <c r="M1765">
        <v>24.780356429769999</v>
      </c>
      <c r="O1765">
        <v>47.840036312020402</v>
      </c>
      <c r="P1765">
        <v>6.4748862114876404E-2</v>
      </c>
      <c r="Q1765">
        <v>1.5</v>
      </c>
      <c r="R1765">
        <v>0.343240237084043</v>
      </c>
      <c r="S1765" t="s">
        <v>3767</v>
      </c>
      <c r="T1765" t="s">
        <v>4002</v>
      </c>
      <c r="U1765" t="s">
        <v>4002</v>
      </c>
      <c r="V1765" t="s">
        <v>4002</v>
      </c>
      <c r="W1765" t="s">
        <v>5743</v>
      </c>
      <c r="X1765">
        <v>2</v>
      </c>
      <c r="Y1765" t="s">
        <v>7667</v>
      </c>
      <c r="Z1765" t="s">
        <v>9663</v>
      </c>
      <c r="AA1765">
        <v>1.359659824446465</v>
      </c>
      <c r="AB1765" t="str">
        <f>HYPERLINK("Melting_Curves/meltCurve_Q92820_GGH.pdf", "Melting_Curves/meltCurve_Q92820_GGH.pdf")</f>
        <v>Melting_Curves/meltCurve_Q92820_GGH.pdf</v>
      </c>
    </row>
    <row r="1766" spans="1:28" x14ac:dyDescent="0.25">
      <c r="A1766" t="s">
        <v>1770</v>
      </c>
      <c r="B1766">
        <v>1</v>
      </c>
      <c r="C1766">
        <v>0.99785896729603796</v>
      </c>
      <c r="D1766">
        <v>1.00406921420344</v>
      </c>
      <c r="E1766">
        <v>0.95784294085240695</v>
      </c>
      <c r="F1766">
        <v>0.96316422096459198</v>
      </c>
      <c r="G1766">
        <v>0.93488005208594205</v>
      </c>
      <c r="H1766">
        <v>0.73681574598086796</v>
      </c>
      <c r="I1766">
        <v>1.0481669755095899</v>
      </c>
      <c r="J1766">
        <v>0.77322582260730199</v>
      </c>
      <c r="K1766">
        <v>0.79712776080532899</v>
      </c>
      <c r="L1766">
        <v>389.97073341622598</v>
      </c>
      <c r="M1766">
        <v>5.1043166324273299</v>
      </c>
      <c r="O1766">
        <v>66.997658805220297</v>
      </c>
      <c r="P1766">
        <v>-9.8343704822388498E-3</v>
      </c>
      <c r="Q1766">
        <v>0.48659934735260002</v>
      </c>
      <c r="R1766">
        <v>0.42915037213181001</v>
      </c>
      <c r="S1766" t="s">
        <v>3768</v>
      </c>
      <c r="T1766" t="s">
        <v>4002</v>
      </c>
      <c r="U1766" t="s">
        <v>4002</v>
      </c>
      <c r="V1766" t="s">
        <v>4002</v>
      </c>
      <c r="W1766" t="s">
        <v>5744</v>
      </c>
      <c r="X1766">
        <v>5</v>
      </c>
      <c r="Y1766" t="s">
        <v>7668</v>
      </c>
      <c r="Z1766" t="s">
        <v>9664</v>
      </c>
      <c r="AA1766">
        <v>0.92378592836225537</v>
      </c>
      <c r="AB1766" t="str">
        <f>HYPERLINK("Melting_Curves/meltCurve_Q92835_2_INPP5D.pdf", "Melting_Curves/meltCurve_Q92835_2_INPP5D.pdf")</f>
        <v>Melting_Curves/meltCurve_Q92835_2_INPP5D.pdf</v>
      </c>
    </row>
    <row r="1767" spans="1:28" x14ac:dyDescent="0.25">
      <c r="A1767" t="s">
        <v>1771</v>
      </c>
      <c r="B1767">
        <v>1</v>
      </c>
      <c r="C1767">
        <v>1.00314430095452</v>
      </c>
      <c r="D1767">
        <v>1.1083660864682801</v>
      </c>
      <c r="E1767">
        <v>1.23386861313869</v>
      </c>
      <c r="F1767">
        <v>1.23092644581696</v>
      </c>
      <c r="G1767">
        <v>1.28691746209994</v>
      </c>
      <c r="H1767">
        <v>1.0519708029197099</v>
      </c>
      <c r="I1767">
        <v>1.53221785513756</v>
      </c>
      <c r="J1767">
        <v>1.9410218978102201</v>
      </c>
      <c r="K1767">
        <v>1.1359460976979201</v>
      </c>
      <c r="L1767">
        <v>503.71734363530197</v>
      </c>
      <c r="M1767">
        <v>9.3434113610856908</v>
      </c>
      <c r="O1767">
        <v>51.614775421882698</v>
      </c>
      <c r="P1767">
        <v>2.2642010481193402E-2</v>
      </c>
      <c r="Q1767">
        <v>1.5</v>
      </c>
      <c r="R1767">
        <v>0.35716408188179</v>
      </c>
      <c r="S1767" t="s">
        <v>3769</v>
      </c>
      <c r="T1767" t="s">
        <v>4002</v>
      </c>
      <c r="U1767" t="s">
        <v>4002</v>
      </c>
      <c r="V1767" t="s">
        <v>4002</v>
      </c>
      <c r="W1767" t="s">
        <v>5745</v>
      </c>
      <c r="X1767">
        <v>7</v>
      </c>
      <c r="Y1767" t="s">
        <v>7669</v>
      </c>
      <c r="Z1767" t="s">
        <v>9665</v>
      </c>
      <c r="AA1767">
        <v>1.2521552573601891</v>
      </c>
      <c r="AB1767" t="str">
        <f>HYPERLINK("Melting_Curves/meltCurve_Q92876_KLK6.pdf", "Melting_Curves/meltCurve_Q92876_KLK6.pdf")</f>
        <v>Melting_Curves/meltCurve_Q92876_KLK6.pdf</v>
      </c>
    </row>
    <row r="1768" spans="1:28" x14ac:dyDescent="0.25">
      <c r="A1768" t="s">
        <v>1772</v>
      </c>
      <c r="B1768">
        <v>1</v>
      </c>
      <c r="C1768">
        <v>0.90534402277437098</v>
      </c>
      <c r="D1768">
        <v>1.00106754861533</v>
      </c>
      <c r="E1768">
        <v>1.10156364473657</v>
      </c>
      <c r="F1768">
        <v>0.93620873715278496</v>
      </c>
      <c r="G1768">
        <v>1.04308919264019</v>
      </c>
      <c r="H1768">
        <v>1.00441672074184</v>
      </c>
      <c r="I1768">
        <v>1.2870240512423301</v>
      </c>
      <c r="J1768">
        <v>1.3006300630062999</v>
      </c>
      <c r="K1768">
        <v>1.15577836853453</v>
      </c>
      <c r="L1768">
        <v>15000</v>
      </c>
      <c r="M1768">
        <v>242.07287776427401</v>
      </c>
      <c r="O1768">
        <v>61.960581258946597</v>
      </c>
      <c r="P1768">
        <v>0.24206698288089901</v>
      </c>
      <c r="Q1768">
        <v>1.2478362892680099</v>
      </c>
      <c r="R1768">
        <v>0.77403647491070804</v>
      </c>
      <c r="S1768" t="s">
        <v>3770</v>
      </c>
      <c r="T1768" t="s">
        <v>4002</v>
      </c>
      <c r="U1768" t="s">
        <v>4002</v>
      </c>
      <c r="V1768" t="s">
        <v>4002</v>
      </c>
      <c r="W1768" t="s">
        <v>5746</v>
      </c>
      <c r="X1768">
        <v>2</v>
      </c>
      <c r="Y1768" t="s">
        <v>7670</v>
      </c>
      <c r="Z1768" t="s">
        <v>9666</v>
      </c>
      <c r="AA1768">
        <v>1.066351638900273</v>
      </c>
      <c r="AB1768" t="str">
        <f>HYPERLINK("Melting_Curves/meltCurve_Q92882_OSTF1.pdf", "Melting_Curves/meltCurve_Q92882_OSTF1.pdf")</f>
        <v>Melting_Curves/meltCurve_Q92882_OSTF1.pdf</v>
      </c>
    </row>
    <row r="1769" spans="1:28" x14ac:dyDescent="0.25">
      <c r="A1769" t="s">
        <v>1773</v>
      </c>
      <c r="B1769">
        <v>1</v>
      </c>
      <c r="C1769">
        <v>0.94954759319580195</v>
      </c>
      <c r="D1769">
        <v>1.0256967064784701</v>
      </c>
      <c r="E1769">
        <v>1.023814694173</v>
      </c>
      <c r="F1769">
        <v>0.91719145855953699</v>
      </c>
      <c r="G1769">
        <v>0.99232718060079605</v>
      </c>
      <c r="H1769">
        <v>0.67256605139341297</v>
      </c>
      <c r="I1769">
        <v>1.03434672457474</v>
      </c>
      <c r="J1769">
        <v>0.68074556641331896</v>
      </c>
      <c r="K1769">
        <v>0.74089757509952903</v>
      </c>
      <c r="L1769">
        <v>590.94092329814703</v>
      </c>
      <c r="M1769">
        <v>8.7948243318102008</v>
      </c>
      <c r="O1769">
        <v>63.989747907763302</v>
      </c>
      <c r="P1769">
        <v>-1.5827714028023802E-2</v>
      </c>
      <c r="Q1769">
        <v>0.539724960580382</v>
      </c>
      <c r="R1769">
        <v>0.46474791718186398</v>
      </c>
      <c r="S1769" t="s">
        <v>3771</v>
      </c>
      <c r="T1769" t="s">
        <v>4002</v>
      </c>
      <c r="U1769" t="s">
        <v>4002</v>
      </c>
      <c r="V1769" t="s">
        <v>4002</v>
      </c>
      <c r="W1769" t="s">
        <v>5747</v>
      </c>
      <c r="X1769">
        <v>16</v>
      </c>
      <c r="Y1769" t="s">
        <v>7671</v>
      </c>
      <c r="Z1769" t="s">
        <v>9667</v>
      </c>
      <c r="AA1769">
        <v>0.91164516984620214</v>
      </c>
      <c r="AB1769" t="str">
        <f>HYPERLINK("Melting_Curves/meltCurve_Q92896_GLG1.pdf", "Melting_Curves/meltCurve_Q92896_GLG1.pdf")</f>
        <v>Melting_Curves/meltCurve_Q92896_GLG1.pdf</v>
      </c>
    </row>
    <row r="1770" spans="1:28" x14ac:dyDescent="0.25">
      <c r="A1770" t="s">
        <v>1774</v>
      </c>
      <c r="B1770">
        <v>1</v>
      </c>
      <c r="C1770">
        <v>0.98398624807744495</v>
      </c>
      <c r="D1770">
        <v>1.1554781507283101</v>
      </c>
      <c r="E1770">
        <v>1.1608613046231799</v>
      </c>
      <c r="F1770">
        <v>0.914864742603818</v>
      </c>
      <c r="G1770">
        <v>1.1091558852800101</v>
      </c>
      <c r="H1770">
        <v>0.69605536958291903</v>
      </c>
      <c r="I1770">
        <v>1.0857233330317599</v>
      </c>
      <c r="J1770">
        <v>0.65289966524925402</v>
      </c>
      <c r="K1770">
        <v>0.66502307065954902</v>
      </c>
      <c r="L1770">
        <v>1123.4435492436101</v>
      </c>
      <c r="M1770">
        <v>16.2112196135106</v>
      </c>
      <c r="O1770">
        <v>68.271585097015503</v>
      </c>
      <c r="P1770">
        <v>-3.9325531288863701E-2</v>
      </c>
      <c r="Q1770">
        <v>0.337590522446584</v>
      </c>
      <c r="R1770">
        <v>0.47938772982144101</v>
      </c>
      <c r="S1770" t="s">
        <v>3772</v>
      </c>
      <c r="T1770" t="s">
        <v>4002</v>
      </c>
      <c r="U1770" t="s">
        <v>4002</v>
      </c>
      <c r="V1770" t="s">
        <v>4002</v>
      </c>
      <c r="W1770" t="s">
        <v>5748</v>
      </c>
      <c r="X1770">
        <v>4</v>
      </c>
      <c r="Y1770" t="s">
        <v>7672</v>
      </c>
      <c r="Z1770" t="s">
        <v>9668</v>
      </c>
      <c r="AA1770">
        <v>0.93455773455324309</v>
      </c>
      <c r="AB1770" t="str">
        <f>HYPERLINK("Melting_Curves/meltCurve_Q92932_4_PTPRN2.pdf", "Melting_Curves/meltCurve_Q92932_4_PTPRN2.pdf")</f>
        <v>Melting_Curves/meltCurve_Q92932_4_PTPRN2.pdf</v>
      </c>
    </row>
    <row r="1771" spans="1:28" x14ac:dyDescent="0.25">
      <c r="A1771" t="s">
        <v>1775</v>
      </c>
      <c r="B1771">
        <v>1</v>
      </c>
      <c r="C1771">
        <v>0.86082810867293602</v>
      </c>
      <c r="D1771">
        <v>0.94821055381400199</v>
      </c>
      <c r="E1771">
        <v>1.01965778474399</v>
      </c>
      <c r="F1771">
        <v>0.95670062695924796</v>
      </c>
      <c r="G1771">
        <v>0.92247910135841205</v>
      </c>
      <c r="H1771">
        <v>0.86487722048066895</v>
      </c>
      <c r="I1771">
        <v>1.0188087774294701</v>
      </c>
      <c r="J1771">
        <v>1.2136233019853699</v>
      </c>
      <c r="K1771">
        <v>0.92058516196447204</v>
      </c>
      <c r="L1771">
        <v>15000</v>
      </c>
      <c r="M1771">
        <v>233.43579247091</v>
      </c>
      <c r="O1771">
        <v>64.252773495748002</v>
      </c>
      <c r="P1771">
        <v>6.0939820683118401E-2</v>
      </c>
      <c r="Q1771">
        <v>1.0670943039155401</v>
      </c>
      <c r="R1771">
        <v>1.96891914068178E-2</v>
      </c>
      <c r="S1771" t="s">
        <v>3773</v>
      </c>
      <c r="T1771" t="s">
        <v>4002</v>
      </c>
      <c r="U1771" t="s">
        <v>4002</v>
      </c>
      <c r="V1771" t="s">
        <v>4002</v>
      </c>
      <c r="W1771" t="s">
        <v>5749</v>
      </c>
      <c r="X1771">
        <v>3</v>
      </c>
      <c r="Y1771" t="s">
        <v>7673</v>
      </c>
      <c r="Z1771" t="s">
        <v>9669</v>
      </c>
      <c r="AA1771">
        <v>1.012834293729856</v>
      </c>
      <c r="AB1771" t="str">
        <f>HYPERLINK("Melting_Curves/meltCurve_Q92945_KHSRP.pdf", "Melting_Curves/meltCurve_Q92945_KHSRP.pdf")</f>
        <v>Melting_Curves/meltCurve_Q92945_KHSRP.pdf</v>
      </c>
    </row>
    <row r="1772" spans="1:28" x14ac:dyDescent="0.25">
      <c r="A1772" t="s">
        <v>1776</v>
      </c>
      <c r="B1772">
        <v>1</v>
      </c>
      <c r="C1772">
        <v>0.84420719652036402</v>
      </c>
      <c r="D1772">
        <v>0.99345770876020001</v>
      </c>
      <c r="E1772">
        <v>0.94899169632265701</v>
      </c>
      <c r="F1772">
        <v>0.81552176569970203</v>
      </c>
      <c r="G1772">
        <v>0.91113986843524197</v>
      </c>
      <c r="H1772">
        <v>0.51572666163413505</v>
      </c>
      <c r="I1772">
        <v>1.0199863402710401</v>
      </c>
      <c r="J1772">
        <v>0.47913296667745098</v>
      </c>
      <c r="K1772">
        <v>0.58787159854775495</v>
      </c>
      <c r="L1772">
        <v>346.27181522433301</v>
      </c>
      <c r="M1772">
        <v>4.59952527732153</v>
      </c>
      <c r="O1772">
        <v>64.358432352666796</v>
      </c>
      <c r="P1772">
        <v>-1.8012095900404299E-2</v>
      </c>
      <c r="Q1772">
        <v>0</v>
      </c>
      <c r="R1772">
        <v>0.44079589975532901</v>
      </c>
      <c r="S1772" t="s">
        <v>3774</v>
      </c>
      <c r="T1772" t="s">
        <v>4002</v>
      </c>
      <c r="U1772" t="s">
        <v>4002</v>
      </c>
      <c r="V1772" t="s">
        <v>4002</v>
      </c>
      <c r="W1772" t="s">
        <v>5750</v>
      </c>
      <c r="X1772">
        <v>4</v>
      </c>
      <c r="Y1772" t="s">
        <v>7674</v>
      </c>
      <c r="Z1772" t="s">
        <v>9670</v>
      </c>
      <c r="AA1772">
        <v>0.82343903440586286</v>
      </c>
      <c r="AB1772" t="str">
        <f>HYPERLINK("Melting_Curves/meltCurve_Q92954_3_PRG4.pdf", "Melting_Curves/meltCurve_Q92954_3_PRG4.pdf")</f>
        <v>Melting_Curves/meltCurve_Q92954_3_PRG4.pdf</v>
      </c>
    </row>
    <row r="1773" spans="1:28" x14ac:dyDescent="0.25">
      <c r="A1773" t="s">
        <v>1777</v>
      </c>
      <c r="B1773">
        <v>1</v>
      </c>
      <c r="C1773">
        <v>0.98948417740075401</v>
      </c>
      <c r="D1773">
        <v>1.11708137057524</v>
      </c>
      <c r="E1773">
        <v>0.93289810597916401</v>
      </c>
      <c r="F1773">
        <v>1.0570942710267599</v>
      </c>
      <c r="G1773">
        <v>1.0458552412970801</v>
      </c>
      <c r="H1773">
        <v>0.90236703739176305</v>
      </c>
      <c r="I1773">
        <v>1.09515060299838</v>
      </c>
      <c r="J1773">
        <v>7.8509020542991701</v>
      </c>
      <c r="K1773">
        <v>1.0453274955532501</v>
      </c>
      <c r="L1773">
        <v>15000</v>
      </c>
      <c r="M1773">
        <v>232.98351264981201</v>
      </c>
      <c r="O1773">
        <v>64.377505232076601</v>
      </c>
      <c r="P1773">
        <v>0.45237764206313702</v>
      </c>
      <c r="Q1773">
        <v>1.5</v>
      </c>
      <c r="R1773">
        <v>3.45908963164425E-2</v>
      </c>
      <c r="S1773" t="s">
        <v>3775</v>
      </c>
      <c r="T1773" t="s">
        <v>4002</v>
      </c>
      <c r="U1773" t="s">
        <v>4002</v>
      </c>
      <c r="V1773" t="s">
        <v>4002</v>
      </c>
      <c r="W1773" t="s">
        <v>5751</v>
      </c>
      <c r="X1773">
        <v>2</v>
      </c>
      <c r="Y1773" t="s">
        <v>7675</v>
      </c>
      <c r="Z1773" t="s">
        <v>9671</v>
      </c>
      <c r="AA1773">
        <v>1.0935643130203949</v>
      </c>
      <c r="AB1773" t="str">
        <f>HYPERLINK("Melting_Curves/meltCurve_Q93077_HIST1H2AC.pdf", "Melting_Curves/meltCurve_Q93077_HIST1H2AC.pdf")</f>
        <v>Melting_Curves/meltCurve_Q93077_HIST1H2AC.pdf</v>
      </c>
    </row>
    <row r="1774" spans="1:28" x14ac:dyDescent="0.25">
      <c r="A1774" t="s">
        <v>1778</v>
      </c>
      <c r="B1774">
        <v>1</v>
      </c>
      <c r="C1774">
        <v>0.95985707828407796</v>
      </c>
      <c r="D1774">
        <v>1.0025398738672799</v>
      </c>
      <c r="E1774">
        <v>1.01049312296864</v>
      </c>
      <c r="F1774">
        <v>1.0188230482791301</v>
      </c>
      <c r="G1774">
        <v>1.1866376805355301</v>
      </c>
      <c r="H1774">
        <v>0.81429862889859905</v>
      </c>
      <c r="I1774">
        <v>1.79319399900988</v>
      </c>
      <c r="J1774">
        <v>0.84039690910264997</v>
      </c>
      <c r="K1774">
        <v>1.4255580188983801</v>
      </c>
      <c r="L1774">
        <v>15000</v>
      </c>
      <c r="M1774">
        <v>240.569055290243</v>
      </c>
      <c r="O1774">
        <v>62.347832883974</v>
      </c>
      <c r="P1774">
        <v>0.34021262457789098</v>
      </c>
      <c r="Q1774">
        <v>1.35268917942223</v>
      </c>
      <c r="R1774">
        <v>0.32898518669236498</v>
      </c>
      <c r="S1774" t="s">
        <v>3776</v>
      </c>
      <c r="T1774" t="s">
        <v>4002</v>
      </c>
      <c r="U1774" t="s">
        <v>4002</v>
      </c>
      <c r="V1774" t="s">
        <v>4002</v>
      </c>
      <c r="W1774" t="s">
        <v>5752</v>
      </c>
      <c r="X1774">
        <v>2</v>
      </c>
      <c r="Y1774" t="s">
        <v>7676</v>
      </c>
      <c r="Z1774" t="s">
        <v>9672</v>
      </c>
      <c r="AA1774">
        <v>1.0898686784537439</v>
      </c>
      <c r="AB1774" t="str">
        <f>HYPERLINK("Melting_Curves/meltCurve_Q969E4_TCEAL3.pdf", "Melting_Curves/meltCurve_Q969E4_TCEAL3.pdf")</f>
        <v>Melting_Curves/meltCurve_Q969E4_TCEAL3.pdf</v>
      </c>
    </row>
    <row r="1775" spans="1:28" x14ac:dyDescent="0.25">
      <c r="A1775" t="s">
        <v>1779</v>
      </c>
      <c r="B1775">
        <v>1</v>
      </c>
      <c r="C1775">
        <v>1.00575911481952</v>
      </c>
      <c r="D1775">
        <v>1.1379466715037201</v>
      </c>
      <c r="E1775">
        <v>1.1589424995465301</v>
      </c>
      <c r="F1775">
        <v>1.1283330310175901</v>
      </c>
      <c r="G1775">
        <v>1.1361327770723699</v>
      </c>
      <c r="H1775">
        <v>1.0679303464538401</v>
      </c>
      <c r="I1775">
        <v>1.2631053872664599</v>
      </c>
      <c r="J1775">
        <v>1.14474877562126</v>
      </c>
      <c r="K1775">
        <v>1.1115091601668801</v>
      </c>
      <c r="L1775">
        <v>3981.6103918029298</v>
      </c>
      <c r="M1775">
        <v>89.627030720186596</v>
      </c>
      <c r="O1775">
        <v>44.402111548248101</v>
      </c>
      <c r="P1775">
        <v>7.28601495040678E-2</v>
      </c>
      <c r="Q1775">
        <v>1.1443825233470899</v>
      </c>
      <c r="R1775">
        <v>0.59541896662659899</v>
      </c>
      <c r="S1775" t="s">
        <v>3777</v>
      </c>
      <c r="T1775" t="s">
        <v>4002</v>
      </c>
      <c r="U1775" t="s">
        <v>4002</v>
      </c>
      <c r="V1775" t="s">
        <v>4002</v>
      </c>
      <c r="W1775" t="s">
        <v>5753</v>
      </c>
      <c r="X1775">
        <v>4</v>
      </c>
      <c r="Y1775" t="s">
        <v>7677</v>
      </c>
      <c r="Z1775" t="s">
        <v>9673</v>
      </c>
      <c r="AA1775">
        <v>1.123002077358201</v>
      </c>
      <c r="AB1775" t="str">
        <f>HYPERLINK("Melting_Curves/meltCurve_Q969H8_C19orf10.pdf", "Melting_Curves/meltCurve_Q969H8_C19orf10.pdf")</f>
        <v>Melting_Curves/meltCurve_Q969H8_C19orf10.pdf</v>
      </c>
    </row>
    <row r="1776" spans="1:28" x14ac:dyDescent="0.25">
      <c r="A1776" t="s">
        <v>1780</v>
      </c>
      <c r="B1776">
        <v>1</v>
      </c>
      <c r="C1776">
        <v>0.89952856940309101</v>
      </c>
      <c r="D1776">
        <v>0.91400822345101396</v>
      </c>
      <c r="E1776">
        <v>1.00242804480363</v>
      </c>
      <c r="F1776">
        <v>0.89889054303133398</v>
      </c>
      <c r="G1776">
        <v>1.0580072309655499</v>
      </c>
      <c r="H1776">
        <v>0.75435984687367097</v>
      </c>
      <c r="I1776">
        <v>1.1469232950517501</v>
      </c>
      <c r="J1776">
        <v>0.73949028782078596</v>
      </c>
      <c r="K1776">
        <v>0.93295406210123399</v>
      </c>
      <c r="L1776">
        <v>111.49043134911101</v>
      </c>
      <c r="M1776">
        <v>1.0000000000000001E-5</v>
      </c>
      <c r="O1776">
        <v>46.466731088241701</v>
      </c>
      <c r="P1776">
        <v>-2.2143703004754E-3</v>
      </c>
      <c r="Q1776">
        <v>0.437926156796967</v>
      </c>
      <c r="R1776">
        <v>2.5608120761040701E-2</v>
      </c>
      <c r="S1776" t="s">
        <v>3778</v>
      </c>
      <c r="T1776" t="s">
        <v>4002</v>
      </c>
      <c r="U1776" t="s">
        <v>4002</v>
      </c>
      <c r="V1776" t="s">
        <v>4002</v>
      </c>
      <c r="W1776" t="s">
        <v>5754</v>
      </c>
      <c r="X1776">
        <v>1</v>
      </c>
      <c r="Y1776" t="s">
        <v>7678</v>
      </c>
      <c r="Z1776" t="s">
        <v>9674</v>
      </c>
      <c r="AA1776">
        <v>0.93516367171255299</v>
      </c>
      <c r="AB1776" t="str">
        <f>HYPERLINK("Melting_Curves/meltCurve_Q96A65_2_EXOC4.pdf", "Melting_Curves/meltCurve_Q96A65_2_EXOC4.pdf")</f>
        <v>Melting_Curves/meltCurve_Q96A65_2_EXOC4.pdf</v>
      </c>
    </row>
    <row r="1777" spans="1:28" x14ac:dyDescent="0.25">
      <c r="A1777" t="s">
        <v>1781</v>
      </c>
      <c r="B1777">
        <v>1</v>
      </c>
      <c r="C1777">
        <v>0.92395249092708698</v>
      </c>
      <c r="D1777">
        <v>1.0284284614538699</v>
      </c>
      <c r="E1777">
        <v>1.1226217969866901</v>
      </c>
      <c r="F1777">
        <v>1.12168701198724</v>
      </c>
      <c r="G1777">
        <v>1.28895853953591</v>
      </c>
      <c r="H1777">
        <v>1.2604201033762199</v>
      </c>
      <c r="I1777">
        <v>1.70994171340592</v>
      </c>
      <c r="J1777">
        <v>1.4097107665237001</v>
      </c>
      <c r="K1777">
        <v>1.59144396788739</v>
      </c>
      <c r="L1777">
        <v>1040.88377575859</v>
      </c>
      <c r="M1777">
        <v>18.6309748210981</v>
      </c>
      <c r="O1777">
        <v>55.236746955148298</v>
      </c>
      <c r="P1777">
        <v>4.2163457028832597E-2</v>
      </c>
      <c r="Q1777">
        <v>1.5</v>
      </c>
      <c r="R1777">
        <v>0.81093641835309105</v>
      </c>
      <c r="S1777" t="s">
        <v>3779</v>
      </c>
      <c r="T1777" t="s">
        <v>4002</v>
      </c>
      <c r="U1777" t="s">
        <v>4002</v>
      </c>
      <c r="V1777" t="s">
        <v>4002</v>
      </c>
      <c r="W1777" t="s">
        <v>5755</v>
      </c>
      <c r="X1777">
        <v>7</v>
      </c>
      <c r="Y1777" t="s">
        <v>7679</v>
      </c>
      <c r="Z1777" t="s">
        <v>9675</v>
      </c>
      <c r="AA1777">
        <v>1.2284143098794229</v>
      </c>
      <c r="AB1777" t="str">
        <f>HYPERLINK("Melting_Curves/meltCurve_Q96BQ1_FAM3D.pdf", "Melting_Curves/meltCurve_Q96BQ1_FAM3D.pdf")</f>
        <v>Melting_Curves/meltCurve_Q96BQ1_FAM3D.pdf</v>
      </c>
    </row>
    <row r="1778" spans="1:28" x14ac:dyDescent="0.25">
      <c r="A1778" t="s">
        <v>1782</v>
      </c>
      <c r="B1778">
        <v>1</v>
      </c>
      <c r="C1778">
        <v>1.04863129844961</v>
      </c>
      <c r="D1778">
        <v>1.4498546511627901</v>
      </c>
      <c r="E1778">
        <v>1.8476865310077499</v>
      </c>
      <c r="F1778">
        <v>2.3507146317829499</v>
      </c>
      <c r="G1778">
        <v>2.4196342054263602</v>
      </c>
      <c r="H1778">
        <v>1.9887354651162801</v>
      </c>
      <c r="I1778">
        <v>2.9695978682170501</v>
      </c>
      <c r="J1778">
        <v>2.19628149224806</v>
      </c>
      <c r="K1778">
        <v>2.3387233527131799</v>
      </c>
      <c r="L1778">
        <v>2948.3979328138598</v>
      </c>
      <c r="M1778">
        <v>66.426895629696901</v>
      </c>
      <c r="O1778">
        <v>44.345429473222197</v>
      </c>
      <c r="P1778">
        <v>0.18724284154793999</v>
      </c>
      <c r="Q1778">
        <v>1.5</v>
      </c>
      <c r="R1778">
        <v>-0.46256554654968202</v>
      </c>
      <c r="S1778" t="s">
        <v>3780</v>
      </c>
      <c r="T1778" t="s">
        <v>4002</v>
      </c>
      <c r="U1778" t="s">
        <v>4002</v>
      </c>
      <c r="V1778" t="s">
        <v>4002</v>
      </c>
      <c r="W1778" t="s">
        <v>5756</v>
      </c>
      <c r="X1778">
        <v>1</v>
      </c>
      <c r="Y1778" t="s">
        <v>7680</v>
      </c>
      <c r="Z1778" t="s">
        <v>9676</v>
      </c>
      <c r="AA1778">
        <v>1.4263472525904211</v>
      </c>
      <c r="AB1778" t="str">
        <f>HYPERLINK("Melting_Curves/meltCurve_Q96BW5_2_PTER.pdf", "Melting_Curves/meltCurve_Q96BW5_2_PTER.pdf")</f>
        <v>Melting_Curves/meltCurve_Q96BW5_2_PTER.pdf</v>
      </c>
    </row>
    <row r="1779" spans="1:28" x14ac:dyDescent="0.25">
      <c r="A1779" t="s">
        <v>1783</v>
      </c>
      <c r="B1779">
        <v>1</v>
      </c>
      <c r="C1779">
        <v>0.89156317648399197</v>
      </c>
      <c r="D1779">
        <v>1.0986669704910601</v>
      </c>
      <c r="E1779">
        <v>1.0936111427594899</v>
      </c>
      <c r="F1779">
        <v>1.10158653298394</v>
      </c>
      <c r="G1779">
        <v>1.28069101059588</v>
      </c>
      <c r="H1779">
        <v>0.84553378147430802</v>
      </c>
      <c r="I1779">
        <v>1.56930044434317</v>
      </c>
      <c r="J1779">
        <v>0.81502791386578599</v>
      </c>
      <c r="K1779">
        <v>0.97127435342372104</v>
      </c>
      <c r="L1779">
        <v>11191.470736728401</v>
      </c>
      <c r="M1779">
        <v>250</v>
      </c>
      <c r="O1779">
        <v>44.763008159210699</v>
      </c>
      <c r="P1779">
        <v>0.13540060472290599</v>
      </c>
      <c r="Q1779">
        <v>1.0969750357583801</v>
      </c>
      <c r="R1779">
        <v>6.7028347894038096E-2</v>
      </c>
      <c r="S1779" t="s">
        <v>3781</v>
      </c>
      <c r="T1779" t="s">
        <v>4002</v>
      </c>
      <c r="U1779" t="s">
        <v>4002</v>
      </c>
      <c r="V1779" t="s">
        <v>4002</v>
      </c>
      <c r="W1779" t="s">
        <v>5757</v>
      </c>
      <c r="X1779">
        <v>1</v>
      </c>
      <c r="Y1779" t="s">
        <v>7681</v>
      </c>
      <c r="Z1779" t="s">
        <v>9677</v>
      </c>
      <c r="AA1779">
        <v>1.0815616947605811</v>
      </c>
      <c r="AB1779" t="str">
        <f>HYPERLINK("Melting_Curves/meltCurve_Q96BZ8_LENG1.pdf", "Melting_Curves/meltCurve_Q96BZ8_LENG1.pdf")</f>
        <v>Melting_Curves/meltCurve_Q96BZ8_LENG1.pdf</v>
      </c>
    </row>
    <row r="1780" spans="1:28" x14ac:dyDescent="0.25">
      <c r="A1780" t="s">
        <v>1784</v>
      </c>
      <c r="B1780">
        <v>1</v>
      </c>
      <c r="C1780">
        <v>0.98417295258620696</v>
      </c>
      <c r="D1780">
        <v>1.10297683189655</v>
      </c>
      <c r="E1780">
        <v>1.17113415948276</v>
      </c>
      <c r="F1780">
        <v>1.08964170258621</v>
      </c>
      <c r="G1780">
        <v>1.0911233836206899</v>
      </c>
      <c r="H1780">
        <v>0.98080549568965503</v>
      </c>
      <c r="I1780">
        <v>1.20649245689655</v>
      </c>
      <c r="J1780">
        <v>1.04222790948276</v>
      </c>
      <c r="K1780">
        <v>0.98565463362068995</v>
      </c>
      <c r="L1780">
        <v>11096.2476153027</v>
      </c>
      <c r="M1780">
        <v>250</v>
      </c>
      <c r="O1780">
        <v>44.382150209831501</v>
      </c>
      <c r="P1780">
        <v>0.11795496213765901</v>
      </c>
      <c r="Q1780">
        <v>1.08376151728657</v>
      </c>
      <c r="R1780">
        <v>0.22700028621950899</v>
      </c>
      <c r="S1780" t="s">
        <v>3782</v>
      </c>
      <c r="T1780" t="s">
        <v>4002</v>
      </c>
      <c r="U1780" t="s">
        <v>4002</v>
      </c>
      <c r="V1780" t="s">
        <v>4002</v>
      </c>
      <c r="W1780" t="s">
        <v>5758</v>
      </c>
      <c r="X1780">
        <v>13</v>
      </c>
      <c r="Y1780" t="s">
        <v>7682</v>
      </c>
      <c r="Z1780" t="s">
        <v>9678</v>
      </c>
      <c r="AA1780">
        <v>1.0715118775419661</v>
      </c>
      <c r="AB1780" t="str">
        <f>HYPERLINK("Melting_Curves/meltCurve_Q96C19_EFHD2.pdf", "Melting_Curves/meltCurve_Q96C19_EFHD2.pdf")</f>
        <v>Melting_Curves/meltCurve_Q96C19_EFHD2.pdf</v>
      </c>
    </row>
    <row r="1781" spans="1:28" x14ac:dyDescent="0.25">
      <c r="A1781" t="s">
        <v>1785</v>
      </c>
      <c r="B1781">
        <v>1</v>
      </c>
      <c r="C1781">
        <v>0.99771210376003905</v>
      </c>
      <c r="D1781">
        <v>1.17924483645487</v>
      </c>
      <c r="E1781">
        <v>1.24381084620604</v>
      </c>
      <c r="F1781">
        <v>1.5333796172112899</v>
      </c>
      <c r="G1781">
        <v>2.106757972135</v>
      </c>
      <c r="H1781">
        <v>1.67584454928444</v>
      </c>
      <c r="I1781">
        <v>2.50153841298894</v>
      </c>
      <c r="J1781">
        <v>1.7440080786405201</v>
      </c>
      <c r="K1781">
        <v>2.0608422613882</v>
      </c>
      <c r="L1781">
        <v>1495.5005939662101</v>
      </c>
      <c r="M1781">
        <v>30.888694932709999</v>
      </c>
      <c r="O1781">
        <v>48.214229658733302</v>
      </c>
      <c r="P1781">
        <v>8.0082374808572193E-2</v>
      </c>
      <c r="Q1781">
        <v>1.5</v>
      </c>
      <c r="R1781">
        <v>0.22582945115646599</v>
      </c>
      <c r="S1781" t="s">
        <v>3783</v>
      </c>
      <c r="T1781" t="s">
        <v>4002</v>
      </c>
      <c r="U1781" t="s">
        <v>4002</v>
      </c>
      <c r="V1781" t="s">
        <v>4002</v>
      </c>
      <c r="W1781" t="s">
        <v>5759</v>
      </c>
      <c r="X1781">
        <v>3</v>
      </c>
      <c r="Y1781" t="s">
        <v>7683</v>
      </c>
      <c r="Z1781" t="s">
        <v>9679</v>
      </c>
      <c r="AA1781">
        <v>1.3568916865128491</v>
      </c>
      <c r="AB1781" t="str">
        <f>HYPERLINK("Melting_Curves/meltCurve_Q96C86_DCPS.pdf", "Melting_Curves/meltCurve_Q96C86_DCPS.pdf")</f>
        <v>Melting_Curves/meltCurve_Q96C86_DCPS.pdf</v>
      </c>
    </row>
    <row r="1782" spans="1:28" x14ac:dyDescent="0.25">
      <c r="A1782" t="s">
        <v>1786</v>
      </c>
      <c r="B1782">
        <v>1</v>
      </c>
      <c r="C1782">
        <v>0.862955072138746</v>
      </c>
      <c r="D1782">
        <v>0.96677132391418097</v>
      </c>
      <c r="E1782">
        <v>1.18443970994991</v>
      </c>
      <c r="F1782">
        <v>1.12138371832249</v>
      </c>
      <c r="G1782">
        <v>1.0400500859684501</v>
      </c>
      <c r="H1782">
        <v>0.81380354339537997</v>
      </c>
      <c r="I1782">
        <v>1.3319690513568101</v>
      </c>
      <c r="J1782">
        <v>1.0602339837033701</v>
      </c>
      <c r="K1782">
        <v>0.82339089481946603</v>
      </c>
      <c r="L1782">
        <v>15000</v>
      </c>
      <c r="M1782">
        <v>212.74618047259199</v>
      </c>
      <c r="Q1782">
        <v>0</v>
      </c>
      <c r="R1782">
        <v>0.109822005826279</v>
      </c>
      <c r="S1782" t="s">
        <v>3784</v>
      </c>
      <c r="T1782" t="s">
        <v>4002</v>
      </c>
      <c r="U1782" t="s">
        <v>4002</v>
      </c>
      <c r="V1782" t="s">
        <v>4002</v>
      </c>
      <c r="W1782" t="s">
        <v>5760</v>
      </c>
      <c r="X1782">
        <v>1</v>
      </c>
      <c r="Y1782" t="s">
        <v>7684</v>
      </c>
      <c r="Z1782" t="s">
        <v>9680</v>
      </c>
      <c r="AA1782">
        <v>0.99790454153718144</v>
      </c>
      <c r="AB1782" t="str">
        <f>HYPERLINK("Melting_Curves/meltCurve_Q96C90_PPP1R14B.pdf", "Melting_Curves/meltCurve_Q96C90_PPP1R14B.pdf")</f>
        <v>Melting_Curves/meltCurve_Q96C90_PPP1R14B.pdf</v>
      </c>
    </row>
    <row r="1783" spans="1:28" x14ac:dyDescent="0.25">
      <c r="A1783" t="s">
        <v>1787</v>
      </c>
      <c r="B1783">
        <v>1</v>
      </c>
      <c r="C1783">
        <v>0.89985609074748196</v>
      </c>
      <c r="D1783">
        <v>1.1116566494539899</v>
      </c>
      <c r="E1783">
        <v>1.06890713620587</v>
      </c>
      <c r="F1783">
        <v>0.96469990688224805</v>
      </c>
      <c r="G1783">
        <v>1.1360365698806401</v>
      </c>
      <c r="H1783">
        <v>0.81936849233894904</v>
      </c>
      <c r="I1783">
        <v>1.25497333446203</v>
      </c>
      <c r="J1783">
        <v>0.84923389486159295</v>
      </c>
      <c r="K1783">
        <v>1.04672818081774</v>
      </c>
      <c r="L1783">
        <v>11105.4660806183</v>
      </c>
      <c r="M1783">
        <v>250</v>
      </c>
      <c r="O1783">
        <v>44.4190216352495</v>
      </c>
      <c r="P1783">
        <v>4.4247853624667301E-2</v>
      </c>
      <c r="Q1783">
        <v>1.03144714183027</v>
      </c>
      <c r="R1783">
        <v>3.3584728987794597E-2</v>
      </c>
      <c r="S1783" t="s">
        <v>3785</v>
      </c>
      <c r="T1783" t="s">
        <v>4002</v>
      </c>
      <c r="U1783" t="s">
        <v>4002</v>
      </c>
      <c r="V1783" t="s">
        <v>4002</v>
      </c>
      <c r="W1783" t="s">
        <v>5761</v>
      </c>
      <c r="X1783">
        <v>3</v>
      </c>
      <c r="Y1783" t="s">
        <v>7685</v>
      </c>
      <c r="Z1783" t="s">
        <v>9681</v>
      </c>
      <c r="AA1783">
        <v>1.0268095237377051</v>
      </c>
      <c r="AB1783" t="str">
        <f>HYPERLINK("Melting_Curves/meltCurve_Q96CG8_3_CTHRC1.pdf", "Melting_Curves/meltCurve_Q96CG8_3_CTHRC1.pdf")</f>
        <v>Melting_Curves/meltCurve_Q96CG8_3_CTHRC1.pdf</v>
      </c>
    </row>
    <row r="1784" spans="1:28" x14ac:dyDescent="0.25">
      <c r="A1784" t="s">
        <v>1788</v>
      </c>
      <c r="B1784">
        <v>1</v>
      </c>
      <c r="C1784">
        <v>0.99196969943267699</v>
      </c>
      <c r="D1784">
        <v>1.10182551164719</v>
      </c>
      <c r="E1784">
        <v>1.1117902368451</v>
      </c>
      <c r="F1784">
        <v>1.14129427637889</v>
      </c>
      <c r="G1784">
        <v>1.5295771900450299</v>
      </c>
      <c r="H1784">
        <v>1.4277516783978399</v>
      </c>
      <c r="I1784">
        <v>1.96547295869434</v>
      </c>
      <c r="J1784">
        <v>1.8268121007201299</v>
      </c>
      <c r="K1784">
        <v>1.56007282539786</v>
      </c>
      <c r="L1784">
        <v>4005.7049212741399</v>
      </c>
      <c r="M1784">
        <v>74.690005908622396</v>
      </c>
      <c r="O1784">
        <v>53.592662905049401</v>
      </c>
      <c r="P1784">
        <v>0.17420766560200801</v>
      </c>
      <c r="Q1784">
        <v>1.5</v>
      </c>
      <c r="R1784">
        <v>0.675964420383111</v>
      </c>
      <c r="S1784" t="s">
        <v>3786</v>
      </c>
      <c r="T1784" t="s">
        <v>4002</v>
      </c>
      <c r="U1784" t="s">
        <v>4002</v>
      </c>
      <c r="V1784" t="s">
        <v>4002</v>
      </c>
      <c r="W1784" t="s">
        <v>5762</v>
      </c>
      <c r="X1784">
        <v>2</v>
      </c>
      <c r="Y1784" t="s">
        <v>7686</v>
      </c>
      <c r="Z1784" t="s">
        <v>9682</v>
      </c>
      <c r="AA1784">
        <v>1.2722870594484379</v>
      </c>
      <c r="AB1784" t="str">
        <f>HYPERLINK("Melting_Curves/meltCurve_Q96CN7_ISOC1.pdf", "Melting_Curves/meltCurve_Q96CN7_ISOC1.pdf")</f>
        <v>Melting_Curves/meltCurve_Q96CN7_ISOC1.pdf</v>
      </c>
    </row>
    <row r="1785" spans="1:28" x14ac:dyDescent="0.25">
      <c r="A1785" t="s">
        <v>1789</v>
      </c>
      <c r="B1785">
        <v>1</v>
      </c>
      <c r="C1785">
        <v>0.93681439872952399</v>
      </c>
      <c r="D1785">
        <v>1.00751404287857</v>
      </c>
      <c r="E1785">
        <v>0.96176807928712205</v>
      </c>
      <c r="F1785">
        <v>1.02999735317472</v>
      </c>
      <c r="G1785">
        <v>0.95173955239243602</v>
      </c>
      <c r="H1785">
        <v>0.78556303855542198</v>
      </c>
      <c r="I1785">
        <v>0.91486045348939804</v>
      </c>
      <c r="J1785">
        <v>0.89214186983501498</v>
      </c>
      <c r="K1785">
        <v>0.81072258330147295</v>
      </c>
      <c r="L1785">
        <v>14292.0483522664</v>
      </c>
      <c r="M1785">
        <v>250</v>
      </c>
      <c r="O1785">
        <v>57.164543729585397</v>
      </c>
      <c r="P1785">
        <v>-0.163101577682285</v>
      </c>
      <c r="Q1785">
        <v>0.85082198652303298</v>
      </c>
      <c r="R1785">
        <v>0.69440012101549697</v>
      </c>
      <c r="S1785" t="s">
        <v>3787</v>
      </c>
      <c r="T1785" t="s">
        <v>4002</v>
      </c>
      <c r="U1785" t="s">
        <v>4002</v>
      </c>
      <c r="V1785" t="s">
        <v>4002</v>
      </c>
      <c r="W1785" t="s">
        <v>5763</v>
      </c>
      <c r="X1785">
        <v>4</v>
      </c>
      <c r="Y1785" t="s">
        <v>7687</v>
      </c>
      <c r="Z1785" t="s">
        <v>9683</v>
      </c>
      <c r="AA1785">
        <v>0.93620751970558957</v>
      </c>
      <c r="AB1785" t="str">
        <f>HYPERLINK("Melting_Curves/meltCurve_Q96CT7_CCDC124.pdf", "Melting_Curves/meltCurve_Q96CT7_CCDC124.pdf")</f>
        <v>Melting_Curves/meltCurve_Q96CT7_CCDC124.pdf</v>
      </c>
    </row>
    <row r="1786" spans="1:28" x14ac:dyDescent="0.25">
      <c r="A1786" t="s">
        <v>1790</v>
      </c>
      <c r="B1786">
        <v>1</v>
      </c>
      <c r="C1786">
        <v>0.96135368848083702</v>
      </c>
      <c r="D1786">
        <v>1.2233105583431201</v>
      </c>
      <c r="E1786">
        <v>1.47000106757767</v>
      </c>
      <c r="F1786">
        <v>1.4839062666809</v>
      </c>
      <c r="G1786">
        <v>1.80949076545319</v>
      </c>
      <c r="H1786">
        <v>2.1659015693391699</v>
      </c>
      <c r="I1786">
        <v>2.4041582150101402</v>
      </c>
      <c r="J1786">
        <v>2.79064801964343</v>
      </c>
      <c r="K1786">
        <v>2.4153677805060298</v>
      </c>
      <c r="L1786">
        <v>11509.859286012501</v>
      </c>
      <c r="M1786">
        <v>250</v>
      </c>
      <c r="O1786">
        <v>46.036490692933697</v>
      </c>
      <c r="P1786">
        <v>0.67880934033881901</v>
      </c>
      <c r="Q1786">
        <v>1.5</v>
      </c>
      <c r="R1786">
        <v>-3.3962650114578198E-2</v>
      </c>
      <c r="S1786" t="s">
        <v>3788</v>
      </c>
      <c r="T1786" t="s">
        <v>4002</v>
      </c>
      <c r="U1786" t="s">
        <v>4002</v>
      </c>
      <c r="V1786" t="s">
        <v>4002</v>
      </c>
      <c r="W1786" t="s">
        <v>5764</v>
      </c>
      <c r="X1786">
        <v>3</v>
      </c>
      <c r="Y1786" t="s">
        <v>7688</v>
      </c>
      <c r="Z1786" t="s">
        <v>9684</v>
      </c>
      <c r="AA1786">
        <v>1.3993023150180059</v>
      </c>
      <c r="AB1786" t="str">
        <f>HYPERLINK("Melting_Curves/meltCurve_Q96CX2_KCTD12.pdf", "Melting_Curves/meltCurve_Q96CX2_KCTD12.pdf")</f>
        <v>Melting_Curves/meltCurve_Q96CX2_KCTD12.pdf</v>
      </c>
    </row>
    <row r="1787" spans="1:28" x14ac:dyDescent="0.25">
      <c r="A1787" t="s">
        <v>1791</v>
      </c>
      <c r="B1787">
        <v>1</v>
      </c>
      <c r="C1787">
        <v>1.14341523262196</v>
      </c>
      <c r="D1787">
        <v>1.4866819487941101</v>
      </c>
      <c r="E1787">
        <v>2.0206308720498498</v>
      </c>
      <c r="F1787">
        <v>1.9320698673037799</v>
      </c>
      <c r="G1787">
        <v>2.2516062376908899</v>
      </c>
      <c r="H1787">
        <v>2.14193006812385</v>
      </c>
      <c r="I1787">
        <v>2.7842314273722302</v>
      </c>
      <c r="J1787">
        <v>1.92968068963291</v>
      </c>
      <c r="K1787">
        <v>2.0417137506860801</v>
      </c>
      <c r="L1787">
        <v>3167.8658985615698</v>
      </c>
      <c r="M1787">
        <v>72.930018406939396</v>
      </c>
      <c r="O1787">
        <v>43.404440559702699</v>
      </c>
      <c r="P1787">
        <v>0.21003045715268301</v>
      </c>
      <c r="Q1787">
        <v>1.5</v>
      </c>
      <c r="R1787">
        <v>-0.39875546917468802</v>
      </c>
      <c r="S1787" t="s">
        <v>3789</v>
      </c>
      <c r="T1787" t="s">
        <v>4002</v>
      </c>
      <c r="U1787" t="s">
        <v>4002</v>
      </c>
      <c r="V1787" t="s">
        <v>4002</v>
      </c>
      <c r="W1787" t="s">
        <v>5765</v>
      </c>
      <c r="X1787">
        <v>9</v>
      </c>
      <c r="Y1787" t="s">
        <v>7689</v>
      </c>
      <c r="Z1787" t="s">
        <v>9685</v>
      </c>
      <c r="AA1787">
        <v>1.442251055903996</v>
      </c>
      <c r="AB1787" t="str">
        <f>HYPERLINK("Melting_Curves/meltCurve_Q96DA0_ZG16B.pdf", "Melting_Curves/meltCurve_Q96DA0_ZG16B.pdf")</f>
        <v>Melting_Curves/meltCurve_Q96DA0_ZG16B.pdf</v>
      </c>
    </row>
    <row r="1788" spans="1:28" x14ac:dyDescent="0.25">
      <c r="A1788" t="s">
        <v>1792</v>
      </c>
      <c r="B1788">
        <v>1</v>
      </c>
      <c r="C1788">
        <v>0.95099099099099105</v>
      </c>
      <c r="D1788">
        <v>0.962831402831403</v>
      </c>
      <c r="E1788">
        <v>1.2148262548262501</v>
      </c>
      <c r="F1788">
        <v>0.82517374517374498</v>
      </c>
      <c r="G1788">
        <v>0.984350064350064</v>
      </c>
      <c r="H1788">
        <v>1.07371943371943</v>
      </c>
      <c r="I1788">
        <v>0.935598455598456</v>
      </c>
      <c r="J1788">
        <v>1.1019819819819801</v>
      </c>
      <c r="K1788">
        <v>0.98908622908622901</v>
      </c>
      <c r="L1788">
        <v>3191.8693320799198</v>
      </c>
      <c r="M1788">
        <v>54.571422049686298</v>
      </c>
      <c r="O1788">
        <v>58.411348309243898</v>
      </c>
      <c r="P1788">
        <v>5.50518715358042E-3</v>
      </c>
      <c r="Q1788">
        <v>1.02357023777717</v>
      </c>
      <c r="R1788">
        <v>1.95873973550756E-2</v>
      </c>
      <c r="S1788" t="s">
        <v>3790</v>
      </c>
      <c r="T1788" t="s">
        <v>4002</v>
      </c>
      <c r="U1788" t="s">
        <v>4002</v>
      </c>
      <c r="V1788" t="s">
        <v>4002</v>
      </c>
      <c r="W1788" t="s">
        <v>5766</v>
      </c>
      <c r="X1788">
        <v>1</v>
      </c>
      <c r="Y1788" t="s">
        <v>7690</v>
      </c>
      <c r="Z1788" t="s">
        <v>9686</v>
      </c>
      <c r="AA1788">
        <v>1.008992460076847</v>
      </c>
      <c r="AB1788" t="str">
        <f>HYPERLINK("Melting_Curves/meltCurve_Q96DD7_SHISA4.pdf", "Melting_Curves/meltCurve_Q96DD7_SHISA4.pdf")</f>
        <v>Melting_Curves/meltCurve_Q96DD7_SHISA4.pdf</v>
      </c>
    </row>
    <row r="1789" spans="1:28" x14ac:dyDescent="0.25">
      <c r="A1789" t="s">
        <v>1793</v>
      </c>
      <c r="B1789">
        <v>1</v>
      </c>
      <c r="C1789">
        <v>0.92853029255931796</v>
      </c>
      <c r="D1789">
        <v>0.93260001535744497</v>
      </c>
      <c r="E1789">
        <v>0.92891422867234896</v>
      </c>
      <c r="F1789">
        <v>0.81538432004914396</v>
      </c>
      <c r="G1789">
        <v>1.0554403747216501</v>
      </c>
      <c r="H1789">
        <v>0.93534515856561495</v>
      </c>
      <c r="I1789">
        <v>1.3766029332719001</v>
      </c>
      <c r="J1789">
        <v>0.92175382016432506</v>
      </c>
      <c r="K1789">
        <v>1.18004684020579</v>
      </c>
      <c r="L1789">
        <v>15000</v>
      </c>
      <c r="M1789">
        <v>240.741908435645</v>
      </c>
      <c r="O1789">
        <v>62.303088159808802</v>
      </c>
      <c r="P1789">
        <v>0.15389501388313601</v>
      </c>
      <c r="Q1789">
        <v>1.1593097769404199</v>
      </c>
      <c r="R1789">
        <v>0.32009725753326401</v>
      </c>
      <c r="S1789" t="s">
        <v>3791</v>
      </c>
      <c r="T1789" t="s">
        <v>4002</v>
      </c>
      <c r="U1789" t="s">
        <v>4002</v>
      </c>
      <c r="V1789" t="s">
        <v>4002</v>
      </c>
      <c r="W1789" t="s">
        <v>5767</v>
      </c>
      <c r="X1789">
        <v>13</v>
      </c>
      <c r="Y1789" t="s">
        <v>7691</v>
      </c>
      <c r="Z1789" t="s">
        <v>9687</v>
      </c>
      <c r="AA1789">
        <v>1.040831479406118</v>
      </c>
      <c r="AB1789" t="str">
        <f>HYPERLINK("Melting_Curves/meltCurve_Q96DR5_BPIFA2.pdf", "Melting_Curves/meltCurve_Q96DR5_BPIFA2.pdf")</f>
        <v>Melting_Curves/meltCurve_Q96DR5_BPIFA2.pdf</v>
      </c>
    </row>
    <row r="1790" spans="1:28" x14ac:dyDescent="0.25">
      <c r="A1790" t="s">
        <v>1794</v>
      </c>
      <c r="B1790">
        <v>1</v>
      </c>
      <c r="C1790">
        <v>0.96432294810311403</v>
      </c>
      <c r="D1790">
        <v>1.0785092676931201</v>
      </c>
      <c r="E1790">
        <v>1.03348221634494</v>
      </c>
      <c r="F1790">
        <v>0.98468004784741503</v>
      </c>
      <c r="G1790">
        <v>1.02924618372968</v>
      </c>
      <c r="H1790">
        <v>0.92169924168431705</v>
      </c>
      <c r="I1790">
        <v>1.14054629456888</v>
      </c>
      <c r="J1790">
        <v>1.14899641144387</v>
      </c>
      <c r="K1790">
        <v>0.98887218375163199</v>
      </c>
      <c r="L1790">
        <v>15000</v>
      </c>
      <c r="M1790">
        <v>239.89147994399801</v>
      </c>
      <c r="O1790">
        <v>62.523918763622902</v>
      </c>
      <c r="P1790">
        <v>8.9014147107682198E-2</v>
      </c>
      <c r="Q1790">
        <v>1.09280052928004</v>
      </c>
      <c r="R1790">
        <v>0.35076209316757201</v>
      </c>
      <c r="S1790" t="s">
        <v>3792</v>
      </c>
      <c r="T1790" t="s">
        <v>4002</v>
      </c>
      <c r="U1790" t="s">
        <v>4002</v>
      </c>
      <c r="V1790" t="s">
        <v>4002</v>
      </c>
      <c r="W1790" t="s">
        <v>5768</v>
      </c>
      <c r="X1790">
        <v>2</v>
      </c>
      <c r="Y1790" t="s">
        <v>7692</v>
      </c>
      <c r="Z1790" t="s">
        <v>9688</v>
      </c>
      <c r="AA1790">
        <v>1.023101613247916</v>
      </c>
      <c r="AB1790" t="str">
        <f>HYPERLINK("Melting_Curves/meltCurve_Q96F24_2_NRBF2.pdf", "Melting_Curves/meltCurve_Q96F24_2_NRBF2.pdf")</f>
        <v>Melting_Curves/meltCurve_Q96F24_2_NRBF2.pdf</v>
      </c>
    </row>
    <row r="1791" spans="1:28" x14ac:dyDescent="0.25">
      <c r="A1791" t="s">
        <v>1795</v>
      </c>
      <c r="B1791">
        <v>1</v>
      </c>
      <c r="C1791">
        <v>0.94114096373163503</v>
      </c>
      <c r="D1791">
        <v>0.96567091338744504</v>
      </c>
      <c r="E1791">
        <v>1.02192283982328</v>
      </c>
      <c r="F1791">
        <v>0.86148926333093601</v>
      </c>
      <c r="G1791">
        <v>0.86931059282852197</v>
      </c>
      <c r="H1791">
        <v>0.77616099866433796</v>
      </c>
      <c r="I1791">
        <v>0.94631665467995496</v>
      </c>
      <c r="J1791">
        <v>0.79307510531182601</v>
      </c>
      <c r="K1791">
        <v>0.84863351484639904</v>
      </c>
      <c r="L1791">
        <v>13131.4427691359</v>
      </c>
      <c r="M1791">
        <v>250</v>
      </c>
      <c r="O1791">
        <v>52.522409820305498</v>
      </c>
      <c r="P1791">
        <v>-0.18242304959980299</v>
      </c>
      <c r="Q1791">
        <v>0.84669922956218902</v>
      </c>
      <c r="R1791">
        <v>0.63863759469791004</v>
      </c>
      <c r="S1791" t="s">
        <v>3793</v>
      </c>
      <c r="T1791" t="s">
        <v>4002</v>
      </c>
      <c r="U1791" t="s">
        <v>4002</v>
      </c>
      <c r="V1791" t="s">
        <v>4002</v>
      </c>
      <c r="W1791" t="s">
        <v>5769</v>
      </c>
      <c r="X1791">
        <v>2</v>
      </c>
      <c r="Y1791" t="s">
        <v>7693</v>
      </c>
      <c r="Z1791" t="s">
        <v>9689</v>
      </c>
      <c r="AA1791">
        <v>0.91072037299885489</v>
      </c>
      <c r="AB1791" t="str">
        <f>HYPERLINK("Melting_Curves/meltCurve_Q96FE7_4_PIK3IP1.pdf", "Melting_Curves/meltCurve_Q96FE7_4_PIK3IP1.pdf")</f>
        <v>Melting_Curves/meltCurve_Q96FE7_4_PIK3IP1.pdf</v>
      </c>
    </row>
    <row r="1792" spans="1:28" x14ac:dyDescent="0.25">
      <c r="A1792" t="s">
        <v>1796</v>
      </c>
      <c r="B1792">
        <v>1</v>
      </c>
      <c r="C1792">
        <v>0.87545354822377897</v>
      </c>
      <c r="D1792">
        <v>0.852079993249515</v>
      </c>
      <c r="E1792">
        <v>1.0057801029449001</v>
      </c>
      <c r="F1792">
        <v>1.0757320057379101</v>
      </c>
      <c r="G1792">
        <v>0.94004725339633799</v>
      </c>
      <c r="H1792">
        <v>0.88123365116867802</v>
      </c>
      <c r="I1792">
        <v>1.2840266644165099</v>
      </c>
      <c r="J1792">
        <v>2.3670154417348699</v>
      </c>
      <c r="K1792">
        <v>0.96097375748881997</v>
      </c>
      <c r="L1792">
        <v>15000</v>
      </c>
      <c r="M1792">
        <v>234.649468099985</v>
      </c>
      <c r="O1792">
        <v>63.920501122127902</v>
      </c>
      <c r="P1792">
        <v>0.45886977315115102</v>
      </c>
      <c r="Q1792">
        <v>1.5</v>
      </c>
      <c r="R1792">
        <v>0.40609506211028301</v>
      </c>
      <c r="S1792" t="s">
        <v>3794</v>
      </c>
      <c r="T1792" t="s">
        <v>4002</v>
      </c>
      <c r="U1792" t="s">
        <v>4002</v>
      </c>
      <c r="V1792" t="s">
        <v>4002</v>
      </c>
      <c r="W1792" t="s">
        <v>5770</v>
      </c>
      <c r="X1792">
        <v>3</v>
      </c>
      <c r="Y1792" t="s">
        <v>7694</v>
      </c>
      <c r="Z1792" t="s">
        <v>9690</v>
      </c>
      <c r="AA1792">
        <v>1.101183998742522</v>
      </c>
      <c r="AB1792" t="str">
        <f>HYPERLINK("Melting_Curves/meltCurve_Q96FQ6_S100A16.pdf", "Melting_Curves/meltCurve_Q96FQ6_S100A16.pdf")</f>
        <v>Melting_Curves/meltCurve_Q96FQ6_S100A16.pdf</v>
      </c>
    </row>
    <row r="1793" spans="1:28" x14ac:dyDescent="0.25">
      <c r="A1793" t="s">
        <v>1797</v>
      </c>
      <c r="B1793">
        <v>1</v>
      </c>
      <c r="C1793">
        <v>1.1121193733451</v>
      </c>
      <c r="D1793">
        <v>1.66198698146514</v>
      </c>
      <c r="E1793">
        <v>2.2474349073256801</v>
      </c>
      <c r="F1793">
        <v>2.3590853927625801</v>
      </c>
      <c r="G1793">
        <v>2.7667144748455401</v>
      </c>
      <c r="H1793">
        <v>2.7279622683142102</v>
      </c>
      <c r="I1793">
        <v>3.0149492497793502</v>
      </c>
      <c r="J1793">
        <v>3.25380626654899</v>
      </c>
      <c r="K1793">
        <v>2.51699029126214</v>
      </c>
      <c r="L1793">
        <v>10778.2445688197</v>
      </c>
      <c r="M1793">
        <v>250</v>
      </c>
      <c r="O1793">
        <v>43.110219348234601</v>
      </c>
      <c r="P1793">
        <v>0.72488612959631005</v>
      </c>
      <c r="Q1793">
        <v>1.5</v>
      </c>
      <c r="R1793">
        <v>-1.01803328937155</v>
      </c>
      <c r="S1793" t="s">
        <v>3795</v>
      </c>
      <c r="T1793" t="s">
        <v>4002</v>
      </c>
      <c r="U1793" t="s">
        <v>4002</v>
      </c>
      <c r="V1793" t="s">
        <v>4002</v>
      </c>
      <c r="W1793" t="s">
        <v>5771</v>
      </c>
      <c r="X1793">
        <v>13</v>
      </c>
      <c r="Y1793" t="s">
        <v>7695</v>
      </c>
      <c r="Z1793" t="s">
        <v>9691</v>
      </c>
      <c r="AA1793">
        <v>1.4480791974336891</v>
      </c>
      <c r="AB1793" t="str">
        <f>HYPERLINK("Melting_Curves/meltCurve_Q96G03_PGM2.pdf", "Melting_Curves/meltCurve_Q96G03_PGM2.pdf")</f>
        <v>Melting_Curves/meltCurve_Q96G03_PGM2.pdf</v>
      </c>
    </row>
    <row r="1794" spans="1:28" x14ac:dyDescent="0.25">
      <c r="A1794" t="s">
        <v>1798</v>
      </c>
      <c r="B1794">
        <v>1</v>
      </c>
      <c r="C1794">
        <v>1.0316775095762101</v>
      </c>
      <c r="D1794">
        <v>1.0244421475040999</v>
      </c>
      <c r="E1794">
        <v>1.2205873411564401</v>
      </c>
      <c r="F1794">
        <v>1.1935003344074899</v>
      </c>
      <c r="G1794">
        <v>1.1234571654405101</v>
      </c>
      <c r="H1794">
        <v>1.1472912993251001</v>
      </c>
      <c r="I1794">
        <v>1.28631361342494</v>
      </c>
      <c r="J1794">
        <v>1.26998844774123</v>
      </c>
      <c r="K1794">
        <v>1.0730528363835301</v>
      </c>
      <c r="L1794">
        <v>11587.366711266201</v>
      </c>
      <c r="M1794">
        <v>250</v>
      </c>
      <c r="O1794">
        <v>46.3464932062098</v>
      </c>
      <c r="P1794">
        <v>0.253176580194717</v>
      </c>
      <c r="Q1794">
        <v>1.1877415770289701</v>
      </c>
      <c r="R1794">
        <v>0.61348542233804704</v>
      </c>
      <c r="S1794" t="s">
        <v>3796</v>
      </c>
      <c r="T1794" t="s">
        <v>4002</v>
      </c>
      <c r="U1794" t="s">
        <v>4002</v>
      </c>
      <c r="V1794" t="s">
        <v>4002</v>
      </c>
      <c r="W1794" t="s">
        <v>5772</v>
      </c>
      <c r="X1794">
        <v>2</v>
      </c>
      <c r="Y1794" t="s">
        <v>7696</v>
      </c>
      <c r="Z1794" t="s">
        <v>9692</v>
      </c>
      <c r="AA1794">
        <v>1.1479910083494349</v>
      </c>
      <c r="AB1794" t="str">
        <f>HYPERLINK("Melting_Curves/meltCurve_Q96GD0_PDXP.pdf", "Melting_Curves/meltCurve_Q96GD0_PDXP.pdf")</f>
        <v>Melting_Curves/meltCurve_Q96GD0_PDXP.pdf</v>
      </c>
    </row>
    <row r="1795" spans="1:28" x14ac:dyDescent="0.25">
      <c r="A1795" t="s">
        <v>1799</v>
      </c>
      <c r="B1795">
        <v>1</v>
      </c>
      <c r="C1795">
        <v>0.83219178082191803</v>
      </c>
      <c r="D1795">
        <v>0.94072320709105595</v>
      </c>
      <c r="E1795">
        <v>0.91110999194198194</v>
      </c>
      <c r="F1795">
        <v>1.0306204673650301</v>
      </c>
      <c r="G1795">
        <v>0.97169621273166795</v>
      </c>
      <c r="H1795">
        <v>1.1252518130539899</v>
      </c>
      <c r="I1795">
        <v>1.07211925866237</v>
      </c>
      <c r="J1795">
        <v>1.25579170024174</v>
      </c>
      <c r="K1795">
        <v>0.96555197421434302</v>
      </c>
      <c r="L1795">
        <v>5839.0171032323797</v>
      </c>
      <c r="M1795">
        <v>98.896866576031698</v>
      </c>
      <c r="O1795">
        <v>59.017345014949797</v>
      </c>
      <c r="P1795">
        <v>4.4112808507512397E-2</v>
      </c>
      <c r="Q1795">
        <v>1.1052984139109501</v>
      </c>
      <c r="R1795">
        <v>0.33171909001980499</v>
      </c>
      <c r="S1795" t="s">
        <v>3797</v>
      </c>
      <c r="T1795" t="s">
        <v>4002</v>
      </c>
      <c r="U1795" t="s">
        <v>4002</v>
      </c>
      <c r="V1795" t="s">
        <v>4002</v>
      </c>
      <c r="W1795" t="s">
        <v>5773</v>
      </c>
      <c r="X1795">
        <v>2</v>
      </c>
      <c r="Y1795" t="s">
        <v>7697</v>
      </c>
      <c r="Z1795" t="s">
        <v>9693</v>
      </c>
      <c r="AA1795">
        <v>1.038394030902958</v>
      </c>
      <c r="AB1795" t="str">
        <f>HYPERLINK("Melting_Curves/meltCurve_Q96HC4_PDLIM5.pdf", "Melting_Curves/meltCurve_Q96HC4_PDLIM5.pdf")</f>
        <v>Melting_Curves/meltCurve_Q96HC4_PDLIM5.pdf</v>
      </c>
    </row>
    <row r="1796" spans="1:28" x14ac:dyDescent="0.25">
      <c r="A1796" t="s">
        <v>1800</v>
      </c>
      <c r="B1796">
        <v>1</v>
      </c>
      <c r="C1796">
        <v>1.05192397524232</v>
      </c>
      <c r="D1796">
        <v>1.50210206703258</v>
      </c>
      <c r="E1796">
        <v>2.6378021721359302</v>
      </c>
      <c r="F1796">
        <v>3.23251197010394</v>
      </c>
      <c r="G1796">
        <v>3.92706995211958</v>
      </c>
      <c r="H1796">
        <v>3.75700689010861</v>
      </c>
      <c r="I1796">
        <v>4.8147553427537098</v>
      </c>
      <c r="J1796">
        <v>5.0106563120401697</v>
      </c>
      <c r="K1796">
        <v>4.3680660983300204</v>
      </c>
      <c r="L1796">
        <v>9773.8284139113093</v>
      </c>
      <c r="M1796">
        <v>225.672948816364</v>
      </c>
      <c r="O1796">
        <v>43.306291255389901</v>
      </c>
      <c r="P1796">
        <v>0.65138599643849004</v>
      </c>
      <c r="Q1796">
        <v>1.5</v>
      </c>
      <c r="R1796">
        <v>-1.2623746301498899</v>
      </c>
      <c r="S1796" t="s">
        <v>3798</v>
      </c>
      <c r="T1796" t="s">
        <v>4002</v>
      </c>
      <c r="U1796" t="s">
        <v>4002</v>
      </c>
      <c r="V1796" t="s">
        <v>4002</v>
      </c>
      <c r="W1796" t="s">
        <v>5774</v>
      </c>
      <c r="X1796">
        <v>12</v>
      </c>
      <c r="Y1796" t="s">
        <v>7698</v>
      </c>
      <c r="Z1796" t="s">
        <v>9694</v>
      </c>
      <c r="AA1796">
        <v>1.4447916400531919</v>
      </c>
      <c r="AB1796" t="str">
        <f>HYPERLINK("Melting_Curves/meltCurve_Q96HE7_ERO1L.pdf", "Melting_Curves/meltCurve_Q96HE7_ERO1L.pdf")</f>
        <v>Melting_Curves/meltCurve_Q96HE7_ERO1L.pdf</v>
      </c>
    </row>
    <row r="1797" spans="1:28" x14ac:dyDescent="0.25">
      <c r="A1797" t="s">
        <v>1801</v>
      </c>
      <c r="B1797">
        <v>1</v>
      </c>
      <c r="C1797">
        <v>0.908703258254975</v>
      </c>
      <c r="D1797">
        <v>1.0519899409578</v>
      </c>
      <c r="E1797">
        <v>1.15536846708944</v>
      </c>
      <c r="F1797">
        <v>1.06811720970916</v>
      </c>
      <c r="G1797">
        <v>1.1568991909031301</v>
      </c>
      <c r="H1797">
        <v>0.890990596982287</v>
      </c>
      <c r="I1797">
        <v>1.25453750273344</v>
      </c>
      <c r="J1797">
        <v>1.0754428165318199</v>
      </c>
      <c r="K1797">
        <v>0.94024710255849597</v>
      </c>
      <c r="L1797">
        <v>11467.017397019899</v>
      </c>
      <c r="M1797">
        <v>250</v>
      </c>
      <c r="O1797">
        <v>45.865134787256999</v>
      </c>
      <c r="P1797">
        <v>0.105433902961013</v>
      </c>
      <c r="Q1797">
        <v>1.0773718418752001</v>
      </c>
      <c r="R1797">
        <v>0.15484884690992701</v>
      </c>
      <c r="S1797" t="s">
        <v>3799</v>
      </c>
      <c r="T1797" t="s">
        <v>4002</v>
      </c>
      <c r="U1797" t="s">
        <v>4002</v>
      </c>
      <c r="V1797" t="s">
        <v>4002</v>
      </c>
      <c r="W1797" t="s">
        <v>5775</v>
      </c>
      <c r="X1797">
        <v>3</v>
      </c>
      <c r="Y1797" t="s">
        <v>7699</v>
      </c>
      <c r="Z1797" t="s">
        <v>9695</v>
      </c>
      <c r="AA1797">
        <v>1.0622315018734341</v>
      </c>
      <c r="AB1797" t="str">
        <f>HYPERLINK("Melting_Curves/meltCurve_Q96HY6_2_DDRGK1.pdf", "Melting_Curves/meltCurve_Q96HY6_2_DDRGK1.pdf")</f>
        <v>Melting_Curves/meltCurve_Q96HY6_2_DDRGK1.pdf</v>
      </c>
    </row>
    <row r="1798" spans="1:28" x14ac:dyDescent="0.25">
      <c r="A1798" t="s">
        <v>1802</v>
      </c>
      <c r="B1798">
        <v>1</v>
      </c>
      <c r="C1798">
        <v>0.94543462381300203</v>
      </c>
      <c r="D1798">
        <v>0.988604821037253</v>
      </c>
      <c r="E1798">
        <v>1.04097881665449</v>
      </c>
      <c r="F1798">
        <v>0.89357195032870695</v>
      </c>
      <c r="G1798">
        <v>0.91760409057706405</v>
      </c>
      <c r="H1798">
        <v>0.74777209642074505</v>
      </c>
      <c r="I1798">
        <v>1.13345507669832</v>
      </c>
      <c r="J1798">
        <v>0.78663257852446999</v>
      </c>
      <c r="K1798">
        <v>0.79138056975894799</v>
      </c>
      <c r="L1798">
        <v>313.60248085432198</v>
      </c>
      <c r="M1798">
        <v>2.9378160539846898</v>
      </c>
      <c r="Q1798">
        <v>0</v>
      </c>
      <c r="R1798">
        <v>0.226778377512415</v>
      </c>
      <c r="S1798" t="s">
        <v>3800</v>
      </c>
      <c r="T1798" t="s">
        <v>4002</v>
      </c>
      <c r="U1798" t="s">
        <v>4002</v>
      </c>
      <c r="V1798" t="s">
        <v>4002</v>
      </c>
      <c r="W1798" t="s">
        <v>5776</v>
      </c>
      <c r="X1798">
        <v>3</v>
      </c>
      <c r="Y1798" t="s">
        <v>7700</v>
      </c>
      <c r="Z1798" t="s">
        <v>9696</v>
      </c>
      <c r="AA1798">
        <v>0.92944572436718564</v>
      </c>
      <c r="AB1798" t="str">
        <f>HYPERLINK("Melting_Curves/meltCurve_Q96I82_2_KAZALD1.pdf", "Melting_Curves/meltCurve_Q96I82_2_KAZALD1.pdf")</f>
        <v>Melting_Curves/meltCurve_Q96I82_2_KAZALD1.pdf</v>
      </c>
    </row>
    <row r="1799" spans="1:28" x14ac:dyDescent="0.25">
      <c r="A1799" t="s">
        <v>1803</v>
      </c>
      <c r="B1799">
        <v>1</v>
      </c>
      <c r="C1799">
        <v>1.11513515638308</v>
      </c>
      <c r="D1799">
        <v>1.4438082259987699</v>
      </c>
      <c r="E1799">
        <v>1.8862930593954299</v>
      </c>
      <c r="F1799">
        <v>2.0694715601619502</v>
      </c>
      <c r="G1799">
        <v>2.4436902999253101</v>
      </c>
      <c r="H1799">
        <v>2.1800600112684898</v>
      </c>
      <c r="I1799">
        <v>2.7231750940132899</v>
      </c>
      <c r="J1799">
        <v>2.4970190909209999</v>
      </c>
      <c r="K1799">
        <v>2.4750062238760999</v>
      </c>
      <c r="L1799">
        <v>2378.62404815744</v>
      </c>
      <c r="M1799">
        <v>54.192696850729902</v>
      </c>
      <c r="O1799">
        <v>43.832321121779103</v>
      </c>
      <c r="P1799">
        <v>0.15454557547616199</v>
      </c>
      <c r="Q1799">
        <v>1.5</v>
      </c>
      <c r="R1799">
        <v>-0.58100507300515303</v>
      </c>
      <c r="S1799" t="s">
        <v>3801</v>
      </c>
      <c r="T1799" t="s">
        <v>4002</v>
      </c>
      <c r="U1799" t="s">
        <v>4002</v>
      </c>
      <c r="V1799" t="s">
        <v>4002</v>
      </c>
      <c r="W1799" t="s">
        <v>5777</v>
      </c>
      <c r="X1799">
        <v>3</v>
      </c>
      <c r="Y1799" t="s">
        <v>7701</v>
      </c>
      <c r="Z1799" t="s">
        <v>9697</v>
      </c>
      <c r="AA1799">
        <v>1.4342550139217281</v>
      </c>
      <c r="AB1799" t="str">
        <f>HYPERLINK("Melting_Curves/meltCurve_Q96IY4_CPB2.pdf", "Melting_Curves/meltCurve_Q96IY4_CPB2.pdf")</f>
        <v>Melting_Curves/meltCurve_Q96IY4_CPB2.pdf</v>
      </c>
    </row>
    <row r="1800" spans="1:28" x14ac:dyDescent="0.25">
      <c r="A1800" t="s">
        <v>1804</v>
      </c>
      <c r="B1800">
        <v>1</v>
      </c>
      <c r="C1800">
        <v>1.0204967085577501</v>
      </c>
      <c r="D1800">
        <v>1.0428635547576299</v>
      </c>
      <c r="E1800">
        <v>1.1854428485936599</v>
      </c>
      <c r="F1800">
        <v>1.40275284260922</v>
      </c>
      <c r="G1800">
        <v>1.54869838420108</v>
      </c>
      <c r="H1800">
        <v>1.41135547576302</v>
      </c>
      <c r="I1800">
        <v>2.8257031717534402</v>
      </c>
      <c r="J1800">
        <v>1.9210801915020901</v>
      </c>
      <c r="K1800">
        <v>2.0783961699581099</v>
      </c>
      <c r="L1800">
        <v>1944.2578033017801</v>
      </c>
      <c r="M1800">
        <v>38.339117665915502</v>
      </c>
      <c r="O1800">
        <v>50.574734805554598</v>
      </c>
      <c r="P1800">
        <v>9.4758802324408906E-2</v>
      </c>
      <c r="Q1800">
        <v>1.5</v>
      </c>
      <c r="R1800">
        <v>0.25354739359602702</v>
      </c>
      <c r="S1800" t="s">
        <v>3802</v>
      </c>
      <c r="T1800" t="s">
        <v>4002</v>
      </c>
      <c r="U1800" t="s">
        <v>4002</v>
      </c>
      <c r="V1800" t="s">
        <v>4002</v>
      </c>
      <c r="W1800" t="s">
        <v>5778</v>
      </c>
      <c r="X1800">
        <v>1</v>
      </c>
      <c r="Y1800" t="s">
        <v>7702</v>
      </c>
      <c r="Z1800" t="s">
        <v>9698</v>
      </c>
      <c r="AA1800">
        <v>1.319555552321231</v>
      </c>
      <c r="AB1800" t="str">
        <f>HYPERLINK("Melting_Curves/meltCurve_Q96J77_TPD52L3.pdf", "Melting_Curves/meltCurve_Q96J77_TPD52L3.pdf")</f>
        <v>Melting_Curves/meltCurve_Q96J77_TPD52L3.pdf</v>
      </c>
    </row>
    <row r="1801" spans="1:28" x14ac:dyDescent="0.25">
      <c r="A1801" t="s">
        <v>1805</v>
      </c>
      <c r="B1801">
        <v>1</v>
      </c>
      <c r="C1801">
        <v>0.97474047948824105</v>
      </c>
      <c r="D1801">
        <v>1.1398911941513299</v>
      </c>
      <c r="E1801">
        <v>1.0661973640997799</v>
      </c>
      <c r="F1801">
        <v>0.92012337041109205</v>
      </c>
      <c r="G1801">
        <v>1.02201819142404</v>
      </c>
      <c r="H1801">
        <v>0.80033698399326003</v>
      </c>
      <c r="I1801">
        <v>1.3190210329416101</v>
      </c>
      <c r="J1801">
        <v>0.96090414518869705</v>
      </c>
      <c r="K1801">
        <v>1.0727942541373401</v>
      </c>
      <c r="L1801">
        <v>1738.4883893122301</v>
      </c>
      <c r="M1801">
        <v>27.687172824907801</v>
      </c>
      <c r="O1801">
        <v>62.465572113900897</v>
      </c>
      <c r="P1801">
        <v>9.1995029076242605E-3</v>
      </c>
      <c r="Q1801">
        <v>1.0830199696929499</v>
      </c>
      <c r="R1801">
        <v>4.0382451313509399E-2</v>
      </c>
      <c r="S1801" t="s">
        <v>3803</v>
      </c>
      <c r="T1801" t="s">
        <v>4002</v>
      </c>
      <c r="U1801" t="s">
        <v>4002</v>
      </c>
      <c r="V1801" t="s">
        <v>4002</v>
      </c>
      <c r="W1801" t="s">
        <v>5779</v>
      </c>
      <c r="X1801">
        <v>7</v>
      </c>
      <c r="Y1801" t="s">
        <v>7703</v>
      </c>
      <c r="Z1801" t="s">
        <v>9699</v>
      </c>
      <c r="AA1801">
        <v>1.019670555929306</v>
      </c>
      <c r="AB1801" t="str">
        <f>HYPERLINK("Melting_Curves/meltCurve_Q96KP4_CNDP2.pdf", "Melting_Curves/meltCurve_Q96KP4_CNDP2.pdf")</f>
        <v>Melting_Curves/meltCurve_Q96KP4_CNDP2.pdf</v>
      </c>
    </row>
    <row r="1802" spans="1:28" x14ac:dyDescent="0.25">
      <c r="A1802" t="s">
        <v>1806</v>
      </c>
      <c r="B1802">
        <v>1</v>
      </c>
      <c r="C1802">
        <v>0.99860515965267205</v>
      </c>
      <c r="D1802">
        <v>1.101383530831</v>
      </c>
      <c r="E1802">
        <v>1.18511165005843</v>
      </c>
      <c r="F1802">
        <v>1.19415926312218</v>
      </c>
      <c r="G1802">
        <v>1.0759748174769701</v>
      </c>
      <c r="H1802">
        <v>1.0795184659269399</v>
      </c>
      <c r="I1802">
        <v>1.2684250870204501</v>
      </c>
      <c r="J1802">
        <v>1.1563100818055001</v>
      </c>
      <c r="K1802">
        <v>1.0473994395506401</v>
      </c>
      <c r="L1802">
        <v>11158.0681386055</v>
      </c>
      <c r="M1802">
        <v>243.43706467322701</v>
      </c>
      <c r="O1802">
        <v>45.8324392224294</v>
      </c>
      <c r="P1802">
        <v>0.19100357752570299</v>
      </c>
      <c r="Q1802">
        <v>1.14384268620001</v>
      </c>
      <c r="R1802">
        <v>0.46198290502967998</v>
      </c>
      <c r="S1802" t="s">
        <v>3804</v>
      </c>
      <c r="T1802" t="s">
        <v>4002</v>
      </c>
      <c r="U1802" t="s">
        <v>4002</v>
      </c>
      <c r="V1802" t="s">
        <v>4002</v>
      </c>
      <c r="W1802" t="s">
        <v>5780</v>
      </c>
      <c r="X1802">
        <v>2</v>
      </c>
      <c r="Y1802" t="s">
        <v>7704</v>
      </c>
      <c r="Z1802" t="s">
        <v>9700</v>
      </c>
      <c r="AA1802">
        <v>1.1158505145002799</v>
      </c>
      <c r="AB1802" t="str">
        <f>HYPERLINK("Melting_Curves/meltCurve_Q96L92_3_SNX27.pdf", "Melting_Curves/meltCurve_Q96L92_3_SNX27.pdf")</f>
        <v>Melting_Curves/meltCurve_Q96L92_3_SNX27.pdf</v>
      </c>
    </row>
    <row r="1803" spans="1:28" x14ac:dyDescent="0.25">
      <c r="A1803" t="s">
        <v>1807</v>
      </c>
      <c r="B1803">
        <v>1</v>
      </c>
      <c r="C1803">
        <v>0.87174994202076905</v>
      </c>
      <c r="D1803">
        <v>0.96358904321385297</v>
      </c>
      <c r="E1803">
        <v>1.05607235807973</v>
      </c>
      <c r="F1803">
        <v>1.0994923596258399</v>
      </c>
      <c r="G1803">
        <v>1.2315046254541699</v>
      </c>
      <c r="H1803">
        <v>1.2792279743345301</v>
      </c>
      <c r="I1803">
        <v>1.4795011209317901</v>
      </c>
      <c r="J1803">
        <v>1.3230602726312299</v>
      </c>
      <c r="K1803">
        <v>1.2861339449068501</v>
      </c>
      <c r="L1803">
        <v>1302.1496929831901</v>
      </c>
      <c r="M1803">
        <v>23.614958741905099</v>
      </c>
      <c r="O1803">
        <v>54.750029089290997</v>
      </c>
      <c r="P1803">
        <v>3.8179079322165702E-2</v>
      </c>
      <c r="Q1803">
        <v>1.3540587557044901</v>
      </c>
      <c r="R1803">
        <v>0.86229698452928305</v>
      </c>
      <c r="S1803" t="s">
        <v>3805</v>
      </c>
      <c r="T1803" t="s">
        <v>4002</v>
      </c>
      <c r="U1803" t="s">
        <v>4002</v>
      </c>
      <c r="V1803" t="s">
        <v>4002</v>
      </c>
      <c r="W1803" t="s">
        <v>5781</v>
      </c>
      <c r="X1803">
        <v>8</v>
      </c>
      <c r="Y1803" t="s">
        <v>7705</v>
      </c>
      <c r="Z1803" t="s">
        <v>9701</v>
      </c>
      <c r="AA1803">
        <v>1.171757486220304</v>
      </c>
      <c r="AB1803" t="str">
        <f>HYPERLINK("Melting_Curves/meltCurve_Q96NY8_PVRL4.pdf", "Melting_Curves/meltCurve_Q96NY8_PVRL4.pdf")</f>
        <v>Melting_Curves/meltCurve_Q96NY8_PVRL4.pdf</v>
      </c>
    </row>
    <row r="1804" spans="1:28" x14ac:dyDescent="0.25">
      <c r="A1804" t="s">
        <v>1808</v>
      </c>
      <c r="B1804">
        <v>1</v>
      </c>
      <c r="C1804">
        <v>0.72308808054378404</v>
      </c>
      <c r="D1804">
        <v>0.86155115042234298</v>
      </c>
      <c r="E1804">
        <v>0.699809447967919</v>
      </c>
      <c r="F1804">
        <v>0.67021700179175803</v>
      </c>
      <c r="G1804">
        <v>0.94038849862063101</v>
      </c>
      <c r="H1804">
        <v>0.79187167600466402</v>
      </c>
      <c r="I1804">
        <v>0.89650465003839497</v>
      </c>
      <c r="J1804">
        <v>0.63726856460282699</v>
      </c>
      <c r="K1804">
        <v>0.96644008987230201</v>
      </c>
      <c r="L1804">
        <v>10244.7758765542</v>
      </c>
      <c r="M1804">
        <v>250</v>
      </c>
      <c r="O1804">
        <v>40.976473071850798</v>
      </c>
      <c r="P1804">
        <v>-0.30723274286996799</v>
      </c>
      <c r="Q1804">
        <v>0.79857093313466998</v>
      </c>
      <c r="R1804">
        <v>0.23354233327778601</v>
      </c>
      <c r="S1804" t="s">
        <v>3806</v>
      </c>
      <c r="T1804" t="s">
        <v>4002</v>
      </c>
      <c r="U1804" t="s">
        <v>4002</v>
      </c>
      <c r="V1804" t="s">
        <v>4002</v>
      </c>
      <c r="W1804" t="s">
        <v>5782</v>
      </c>
      <c r="X1804">
        <v>1</v>
      </c>
      <c r="Y1804" t="s">
        <v>7706</v>
      </c>
      <c r="Z1804" t="s">
        <v>9702</v>
      </c>
      <c r="AA1804">
        <v>0.80516170270993193</v>
      </c>
      <c r="AB1804" t="str">
        <f>HYPERLINK("Melting_Curves/meltCurve_Q96P48_3_ARAP1.pdf", "Melting_Curves/meltCurve_Q96P48_3_ARAP1.pdf")</f>
        <v>Melting_Curves/meltCurve_Q96P48_3_ARAP1.pdf</v>
      </c>
    </row>
    <row r="1805" spans="1:28" x14ac:dyDescent="0.25">
      <c r="A1805" t="s">
        <v>1809</v>
      </c>
      <c r="B1805">
        <v>1</v>
      </c>
      <c r="C1805">
        <v>0.98692364898363905</v>
      </c>
      <c r="D1805">
        <v>1.1201041150223101</v>
      </c>
      <c r="E1805">
        <v>1.18711783176334</v>
      </c>
      <c r="F1805">
        <v>1.4773384564534799</v>
      </c>
      <c r="G1805">
        <v>1.7145099983473799</v>
      </c>
      <c r="H1805">
        <v>1.42910262766485</v>
      </c>
      <c r="I1805">
        <v>1.3672740042968099</v>
      </c>
      <c r="J1805">
        <v>2.1275409023301899</v>
      </c>
      <c r="K1805">
        <v>1.01873657246736</v>
      </c>
      <c r="L1805">
        <v>3017.30155393429</v>
      </c>
      <c r="M1805">
        <v>59.857978498959497</v>
      </c>
      <c r="O1805">
        <v>50.351505341064701</v>
      </c>
      <c r="P1805">
        <v>0.148600332090428</v>
      </c>
      <c r="Q1805">
        <v>1.5</v>
      </c>
      <c r="R1805">
        <v>0.4111105381804</v>
      </c>
      <c r="S1805" t="s">
        <v>3807</v>
      </c>
      <c r="T1805" t="s">
        <v>4002</v>
      </c>
      <c r="U1805" t="s">
        <v>4002</v>
      </c>
      <c r="V1805" t="s">
        <v>4002</v>
      </c>
      <c r="W1805" t="s">
        <v>5783</v>
      </c>
      <c r="X1805">
        <v>2</v>
      </c>
      <c r="Y1805" t="s">
        <v>7707</v>
      </c>
      <c r="Z1805" t="s">
        <v>9703</v>
      </c>
      <c r="AA1805">
        <v>1.3257643408283859</v>
      </c>
      <c r="AB1805" t="str">
        <f>HYPERLINK("Melting_Curves/meltCurve_Q96P63_SERPINB12.pdf", "Melting_Curves/meltCurve_Q96P63_SERPINB12.pdf")</f>
        <v>Melting_Curves/meltCurve_Q96P63_SERPINB12.pdf</v>
      </c>
    </row>
    <row r="1806" spans="1:28" x14ac:dyDescent="0.25">
      <c r="A1806" t="s">
        <v>1810</v>
      </c>
      <c r="B1806">
        <v>1</v>
      </c>
      <c r="C1806">
        <v>1.0874821593485</v>
      </c>
      <c r="D1806">
        <v>1.2863319620518801</v>
      </c>
      <c r="E1806">
        <v>1.4865670388716301</v>
      </c>
      <c r="F1806">
        <v>1.41020905045756</v>
      </c>
      <c r="G1806">
        <v>1.5866845772814999</v>
      </c>
      <c r="H1806">
        <v>1.4282595919738099</v>
      </c>
      <c r="I1806">
        <v>1.6948618923684</v>
      </c>
      <c r="J1806">
        <v>1.48623121484342</v>
      </c>
      <c r="K1806">
        <v>1.4569305683821701</v>
      </c>
      <c r="L1806">
        <v>1237.30595235957</v>
      </c>
      <c r="M1806">
        <v>27.223024572998899</v>
      </c>
      <c r="O1806">
        <v>45.207582848399703</v>
      </c>
      <c r="P1806">
        <v>7.5273006965244194E-2</v>
      </c>
      <c r="Q1806">
        <v>1.5</v>
      </c>
      <c r="R1806">
        <v>0.85349988487038497</v>
      </c>
      <c r="S1806" t="s">
        <v>3808</v>
      </c>
      <c r="T1806" t="s">
        <v>4002</v>
      </c>
      <c r="U1806" t="s">
        <v>4002</v>
      </c>
      <c r="V1806" t="s">
        <v>4002</v>
      </c>
      <c r="W1806" t="s">
        <v>5784</v>
      </c>
      <c r="X1806">
        <v>7</v>
      </c>
      <c r="Y1806" t="s">
        <v>7708</v>
      </c>
      <c r="Z1806" t="s">
        <v>9704</v>
      </c>
      <c r="AA1806">
        <v>1.4052413772793311</v>
      </c>
      <c r="AB1806" t="str">
        <f>HYPERLINK("Melting_Curves/meltCurve_Q96PD5_PGLYRP2.pdf", "Melting_Curves/meltCurve_Q96PD5_PGLYRP2.pdf")</f>
        <v>Melting_Curves/meltCurve_Q96PD5_PGLYRP2.pdf</v>
      </c>
    </row>
    <row r="1807" spans="1:28" x14ac:dyDescent="0.25">
      <c r="A1807" t="s">
        <v>1811</v>
      </c>
      <c r="B1807">
        <v>1</v>
      </c>
      <c r="C1807">
        <v>1.0560531801025299</v>
      </c>
      <c r="D1807">
        <v>0.95591797645203103</v>
      </c>
      <c r="E1807">
        <v>1.12769703115317</v>
      </c>
      <c r="F1807">
        <v>1.0747000169004599</v>
      </c>
      <c r="G1807">
        <v>1.22897301560475</v>
      </c>
      <c r="H1807">
        <v>0.59767055377161804</v>
      </c>
      <c r="I1807">
        <v>1.40496310067038</v>
      </c>
      <c r="J1807">
        <v>0.66172328319531304</v>
      </c>
      <c r="K1807">
        <v>0.92008900906991198</v>
      </c>
      <c r="L1807">
        <v>2979.9596997440399</v>
      </c>
      <c r="M1807">
        <v>44.811178329378102</v>
      </c>
      <c r="O1807">
        <v>66.368345216688297</v>
      </c>
      <c r="P1807">
        <v>-3.0909023497145999E-2</v>
      </c>
      <c r="Q1807">
        <v>0.81688696505993796</v>
      </c>
      <c r="R1807">
        <v>7.5290754071556706E-2</v>
      </c>
      <c r="S1807" t="s">
        <v>3809</v>
      </c>
      <c r="T1807" t="s">
        <v>4002</v>
      </c>
      <c r="U1807" t="s">
        <v>4002</v>
      </c>
      <c r="V1807" t="s">
        <v>4002</v>
      </c>
      <c r="W1807" t="s">
        <v>5785</v>
      </c>
      <c r="X1807">
        <v>1</v>
      </c>
      <c r="Y1807" t="s">
        <v>7709</v>
      </c>
      <c r="Z1807" t="s">
        <v>9705</v>
      </c>
      <c r="AA1807">
        <v>0.978240899798408</v>
      </c>
      <c r="AB1807" t="str">
        <f>HYPERLINK("Melting_Curves/meltCurve_Q96PP8_GBP5.pdf", "Melting_Curves/meltCurve_Q96PP8_GBP5.pdf")</f>
        <v>Melting_Curves/meltCurve_Q96PP8_GBP5.pdf</v>
      </c>
    </row>
    <row r="1808" spans="1:28" x14ac:dyDescent="0.25">
      <c r="A1808" t="s">
        <v>1812</v>
      </c>
      <c r="B1808">
        <v>1</v>
      </c>
      <c r="C1808">
        <v>0.88668689550540503</v>
      </c>
      <c r="D1808">
        <v>0.62322207472027302</v>
      </c>
      <c r="E1808">
        <v>0.76905935899867295</v>
      </c>
      <c r="F1808">
        <v>1.0434761995069199</v>
      </c>
      <c r="G1808">
        <v>1.0569884316328499</v>
      </c>
      <c r="H1808">
        <v>1.0102882609520201</v>
      </c>
      <c r="I1808">
        <v>0.92622795372653099</v>
      </c>
      <c r="J1808">
        <v>7.8797648397496696</v>
      </c>
      <c r="K1808">
        <v>1.1149250900815499</v>
      </c>
      <c r="L1808">
        <v>15000</v>
      </c>
      <c r="M1808">
        <v>231.273583427841</v>
      </c>
      <c r="O1808">
        <v>64.853401396995295</v>
      </c>
      <c r="P1808">
        <v>0.44576225243144402</v>
      </c>
      <c r="Q1808">
        <v>1.5</v>
      </c>
      <c r="R1808">
        <v>5.74728052672571E-2</v>
      </c>
      <c r="S1808" t="s">
        <v>3810</v>
      </c>
      <c r="T1808" t="s">
        <v>4002</v>
      </c>
      <c r="U1808" t="s">
        <v>4002</v>
      </c>
      <c r="V1808" t="s">
        <v>4002</v>
      </c>
      <c r="W1808" t="s">
        <v>5786</v>
      </c>
      <c r="X1808">
        <v>1</v>
      </c>
      <c r="Y1808" t="s">
        <v>7710</v>
      </c>
      <c r="Z1808" t="s">
        <v>9706</v>
      </c>
      <c r="AA1808">
        <v>1.085629321058335</v>
      </c>
      <c r="AB1808" t="str">
        <f>HYPERLINK("Melting_Curves/meltCurve_Q96QA5_GSDMA.pdf", "Melting_Curves/meltCurve_Q96QA5_GSDMA.pdf")</f>
        <v>Melting_Curves/meltCurve_Q96QA5_GSDMA.pdf</v>
      </c>
    </row>
    <row r="1809" spans="1:28" x14ac:dyDescent="0.25">
      <c r="A1809" t="s">
        <v>1813</v>
      </c>
      <c r="B1809">
        <v>1</v>
      </c>
      <c r="C1809">
        <v>0.992184317718941</v>
      </c>
      <c r="D1809">
        <v>1.1304480651731199</v>
      </c>
      <c r="E1809">
        <v>1.0572046843177201</v>
      </c>
      <c r="F1809">
        <v>0.97540733197555995</v>
      </c>
      <c r="G1809">
        <v>0.996155804480652</v>
      </c>
      <c r="H1809">
        <v>1.02013747454175</v>
      </c>
      <c r="I1809">
        <v>1.1377036659877799</v>
      </c>
      <c r="J1809">
        <v>1.14149694501018</v>
      </c>
      <c r="K1809">
        <v>1.2193482688391</v>
      </c>
      <c r="L1809">
        <v>2250.17339925854</v>
      </c>
      <c r="M1809">
        <v>35.340992464417397</v>
      </c>
      <c r="O1809">
        <v>63.4675223234347</v>
      </c>
      <c r="P1809">
        <v>2.8843055464440499E-2</v>
      </c>
      <c r="Q1809">
        <v>1.20719181070325</v>
      </c>
      <c r="R1809">
        <v>0.62976693309852305</v>
      </c>
      <c r="S1809" t="s">
        <v>3811</v>
      </c>
      <c r="T1809" t="s">
        <v>4002</v>
      </c>
      <c r="U1809" t="s">
        <v>4002</v>
      </c>
      <c r="V1809" t="s">
        <v>4002</v>
      </c>
      <c r="W1809" t="s">
        <v>5787</v>
      </c>
      <c r="X1809">
        <v>1</v>
      </c>
      <c r="Y1809" t="s">
        <v>7711</v>
      </c>
      <c r="Z1809" t="s">
        <v>9707</v>
      </c>
      <c r="AA1809">
        <v>1.0431890752789521</v>
      </c>
      <c r="AB1809" t="str">
        <f>HYPERLINK("Melting_Curves/meltCurve_Q96QR1_SCGB3A1.pdf", "Melting_Curves/meltCurve_Q96QR1_SCGB3A1.pdf")</f>
        <v>Melting_Curves/meltCurve_Q96QR1_SCGB3A1.pdf</v>
      </c>
    </row>
    <row r="1810" spans="1:28" x14ac:dyDescent="0.25">
      <c r="A1810" t="s">
        <v>1814</v>
      </c>
      <c r="B1810">
        <v>1</v>
      </c>
      <c r="C1810">
        <v>0.76443495145631102</v>
      </c>
      <c r="D1810">
        <v>1.2313786407767</v>
      </c>
      <c r="E1810">
        <v>0.96590291262135897</v>
      </c>
      <c r="F1810">
        <v>1.73436893203883</v>
      </c>
      <c r="G1810">
        <v>1.0925825242718401</v>
      </c>
      <c r="H1810">
        <v>1.2362718446601899</v>
      </c>
      <c r="I1810">
        <v>1.9965048543689301</v>
      </c>
      <c r="J1810">
        <v>1.2098640776698999</v>
      </c>
      <c r="K1810">
        <v>1.2622912621359199</v>
      </c>
      <c r="L1810">
        <v>12809.128874194799</v>
      </c>
      <c r="M1810">
        <v>250</v>
      </c>
      <c r="O1810">
        <v>51.2332154182278</v>
      </c>
      <c r="P1810">
        <v>0.51476962245159197</v>
      </c>
      <c r="Q1810">
        <v>1.4219730232497001</v>
      </c>
      <c r="R1810">
        <v>0.37270392250593898</v>
      </c>
      <c r="S1810" t="s">
        <v>3812</v>
      </c>
      <c r="T1810" t="s">
        <v>4002</v>
      </c>
      <c r="U1810" t="s">
        <v>4002</v>
      </c>
      <c r="V1810" t="s">
        <v>4002</v>
      </c>
      <c r="W1810" t="s">
        <v>5788</v>
      </c>
      <c r="X1810">
        <v>1</v>
      </c>
      <c r="Y1810" t="s">
        <v>7712</v>
      </c>
      <c r="Z1810" t="s">
        <v>9708</v>
      </c>
      <c r="AA1810">
        <v>1.2638848659039299</v>
      </c>
      <c r="AB1810" t="str">
        <f>HYPERLINK("Melting_Curves/meltCurve_Q96RF0_3_SNX18.pdf", "Melting_Curves/meltCurve_Q96RF0_3_SNX18.pdf")</f>
        <v>Melting_Curves/meltCurve_Q96RF0_3_SNX18.pdf</v>
      </c>
    </row>
    <row r="1811" spans="1:28" x14ac:dyDescent="0.25">
      <c r="A1811" t="s">
        <v>1815</v>
      </c>
      <c r="B1811">
        <v>1</v>
      </c>
      <c r="C1811">
        <v>0.87288917847640801</v>
      </c>
      <c r="D1811">
        <v>0.84579464625074696</v>
      </c>
      <c r="E1811">
        <v>1.0646685127871001</v>
      </c>
      <c r="F1811">
        <v>0.91909648694141299</v>
      </c>
      <c r="G1811">
        <v>0.90150404517565297</v>
      </c>
      <c r="H1811">
        <v>0.865830482706195</v>
      </c>
      <c r="I1811">
        <v>1.0033664549057899</v>
      </c>
      <c r="J1811">
        <v>1.5162621491013699</v>
      </c>
      <c r="K1811">
        <v>0.92230004886789396</v>
      </c>
      <c r="L1811">
        <v>1353.2673596561201</v>
      </c>
      <c r="M1811">
        <v>20.868137186054401</v>
      </c>
      <c r="O1811">
        <v>64.261807338420198</v>
      </c>
      <c r="P1811">
        <v>1.4421217769229701E-2</v>
      </c>
      <c r="Q1811">
        <v>1.1776311914875099</v>
      </c>
      <c r="R1811">
        <v>0.124595156153679</v>
      </c>
      <c r="S1811" t="s">
        <v>3813</v>
      </c>
      <c r="T1811" t="s">
        <v>4002</v>
      </c>
      <c r="U1811" t="s">
        <v>4002</v>
      </c>
      <c r="V1811" t="s">
        <v>4002</v>
      </c>
      <c r="W1811" t="s">
        <v>5789</v>
      </c>
      <c r="X1811">
        <v>3</v>
      </c>
      <c r="Y1811" t="s">
        <v>7713</v>
      </c>
      <c r="Z1811" t="s">
        <v>9709</v>
      </c>
      <c r="AA1811">
        <v>1.032229467707636</v>
      </c>
      <c r="AB1811" t="str">
        <f>HYPERLINK("Melting_Curves/meltCurve_Q96RM1_SPRR2F.pdf", "Melting_Curves/meltCurve_Q96RM1_SPRR2F.pdf")</f>
        <v>Melting_Curves/meltCurve_Q96RM1_SPRR2F.pdf</v>
      </c>
    </row>
    <row r="1812" spans="1:28" x14ac:dyDescent="0.25">
      <c r="A1812" t="s">
        <v>1816</v>
      </c>
      <c r="B1812">
        <v>1</v>
      </c>
      <c r="C1812">
        <v>0.85489417989418004</v>
      </c>
      <c r="D1812">
        <v>0.87520786092214697</v>
      </c>
      <c r="E1812">
        <v>0.97023809523809501</v>
      </c>
      <c r="F1812">
        <v>0.80333522297808002</v>
      </c>
      <c r="G1812">
        <v>0.99489795918367396</v>
      </c>
      <c r="H1812">
        <v>0.806226379440665</v>
      </c>
      <c r="I1812">
        <v>1.2346938775510199</v>
      </c>
      <c r="J1812">
        <v>0.85060468631897201</v>
      </c>
      <c r="K1812">
        <v>0.97817460317460303</v>
      </c>
      <c r="L1812">
        <v>10230.330150526101</v>
      </c>
      <c r="M1812">
        <v>250</v>
      </c>
      <c r="O1812">
        <v>40.918703052301098</v>
      </c>
      <c r="P1812">
        <v>-0.107212317342256</v>
      </c>
      <c r="Q1812">
        <v>0.929808178412598</v>
      </c>
      <c r="R1812">
        <v>2.9222509197546102E-2</v>
      </c>
      <c r="S1812" t="s">
        <v>3814</v>
      </c>
      <c r="T1812" t="s">
        <v>4002</v>
      </c>
      <c r="U1812" t="s">
        <v>4002</v>
      </c>
      <c r="V1812" t="s">
        <v>4002</v>
      </c>
      <c r="W1812" t="s">
        <v>5790</v>
      </c>
      <c r="X1812">
        <v>1</v>
      </c>
      <c r="Y1812" t="s">
        <v>7714</v>
      </c>
      <c r="Z1812" t="s">
        <v>9710</v>
      </c>
      <c r="AA1812">
        <v>0.93197000272698649</v>
      </c>
      <c r="AB1812" t="str">
        <f>HYPERLINK("Melting_Curves/meltCurve_Q96S79_RASL10B.pdf", "Melting_Curves/meltCurve_Q96S79_RASL10B.pdf")</f>
        <v>Melting_Curves/meltCurve_Q96S79_RASL10B.pdf</v>
      </c>
    </row>
    <row r="1813" spans="1:28" x14ac:dyDescent="0.25">
      <c r="A1813" t="s">
        <v>1817</v>
      </c>
      <c r="B1813">
        <v>1</v>
      </c>
      <c r="C1813">
        <v>1.0326812196288699</v>
      </c>
      <c r="D1813">
        <v>0.996122567162676</v>
      </c>
      <c r="E1813">
        <v>1.01503134677846</v>
      </c>
      <c r="F1813">
        <v>1.07943701689453</v>
      </c>
      <c r="G1813">
        <v>1.08751919832817</v>
      </c>
      <c r="H1813">
        <v>0.91507414960847999</v>
      </c>
      <c r="I1813">
        <v>1.2628345544729001</v>
      </c>
      <c r="J1813">
        <v>1.1215348591283301</v>
      </c>
      <c r="K1813">
        <v>0.988418057758642</v>
      </c>
      <c r="L1813">
        <v>12569.849045566099</v>
      </c>
      <c r="M1813">
        <v>250</v>
      </c>
      <c r="O1813">
        <v>50.276178744056999</v>
      </c>
      <c r="P1813">
        <v>9.4233249558526105E-2</v>
      </c>
      <c r="Q1813">
        <v>1.0758030029208301</v>
      </c>
      <c r="R1813">
        <v>0.120532814519576</v>
      </c>
      <c r="S1813" t="s">
        <v>3815</v>
      </c>
      <c r="T1813" t="s">
        <v>4002</v>
      </c>
      <c r="U1813" t="s">
        <v>4002</v>
      </c>
      <c r="V1813" t="s">
        <v>4002</v>
      </c>
      <c r="W1813" t="s">
        <v>5791</v>
      </c>
      <c r="X1813">
        <v>2</v>
      </c>
      <c r="Y1813" t="s">
        <v>7715</v>
      </c>
      <c r="Z1813" t="s">
        <v>9711</v>
      </c>
      <c r="AA1813">
        <v>1.049822677469755</v>
      </c>
      <c r="AB1813" t="str">
        <f>HYPERLINK("Melting_Curves/meltCurve_Q96SB3_PPP1R9B.pdf", "Melting_Curves/meltCurve_Q96SB3_PPP1R9B.pdf")</f>
        <v>Melting_Curves/meltCurve_Q96SB3_PPP1R9B.pdf</v>
      </c>
    </row>
    <row r="1814" spans="1:28" x14ac:dyDescent="0.25">
      <c r="A1814" t="s">
        <v>1818</v>
      </c>
      <c r="B1814">
        <v>1</v>
      </c>
      <c r="C1814">
        <v>0.976297722966046</v>
      </c>
      <c r="D1814">
        <v>0.96825199589947497</v>
      </c>
      <c r="E1814">
        <v>1.31257183684881</v>
      </c>
      <c r="F1814">
        <v>1.3199030785001999</v>
      </c>
      <c r="G1814">
        <v>1.25733900779721</v>
      </c>
      <c r="H1814">
        <v>0.94796682302506896</v>
      </c>
      <c r="I1814">
        <v>1.2519337703084701</v>
      </c>
      <c r="J1814">
        <v>1.1454133142803899</v>
      </c>
      <c r="K1814">
        <v>1.1032276102016101</v>
      </c>
      <c r="L1814">
        <v>11948.7907225954</v>
      </c>
      <c r="M1814">
        <v>250</v>
      </c>
      <c r="O1814">
        <v>47.7921047623853</v>
      </c>
      <c r="P1814">
        <v>0.25003284678290899</v>
      </c>
      <c r="Q1814">
        <v>1.19119353411405</v>
      </c>
      <c r="R1814">
        <v>0.45371220415878399</v>
      </c>
      <c r="S1814" t="s">
        <v>3816</v>
      </c>
      <c r="T1814" t="s">
        <v>4002</v>
      </c>
      <c r="U1814" t="s">
        <v>4002</v>
      </c>
      <c r="V1814" t="s">
        <v>4002</v>
      </c>
      <c r="W1814" t="s">
        <v>5792</v>
      </c>
      <c r="X1814">
        <v>1</v>
      </c>
      <c r="Y1814" t="s">
        <v>7716</v>
      </c>
      <c r="Z1814" t="s">
        <v>9712</v>
      </c>
      <c r="AA1814">
        <v>1.141498005444725</v>
      </c>
      <c r="AB1814" t="str">
        <f>HYPERLINK("Melting_Curves/meltCurve_Q96TA1_2_FAM129B.pdf", "Melting_Curves/meltCurve_Q96TA1_2_FAM129B.pdf")</f>
        <v>Melting_Curves/meltCurve_Q96TA1_2_FAM129B.pdf</v>
      </c>
    </row>
    <row r="1815" spans="1:28" x14ac:dyDescent="0.25">
      <c r="A1815" t="s">
        <v>1819</v>
      </c>
      <c r="B1815">
        <v>1</v>
      </c>
      <c r="C1815">
        <v>0.85579378463021005</v>
      </c>
      <c r="D1815">
        <v>0.90773307636713996</v>
      </c>
      <c r="E1815">
        <v>0.97412671645386695</v>
      </c>
      <c r="F1815">
        <v>0.80982895687786105</v>
      </c>
      <c r="G1815">
        <v>0.89881956155143305</v>
      </c>
      <c r="H1815">
        <v>0.87757166947723397</v>
      </c>
      <c r="I1815">
        <v>1.1158275114430301</v>
      </c>
      <c r="J1815">
        <v>1.0951096121416499</v>
      </c>
      <c r="K1815">
        <v>0.98848470248133002</v>
      </c>
      <c r="L1815">
        <v>2035.6350829360199</v>
      </c>
      <c r="M1815">
        <v>31.993504676630899</v>
      </c>
      <c r="O1815">
        <v>63.379489915230202</v>
      </c>
      <c r="P1815">
        <v>6.8111226865246299E-3</v>
      </c>
      <c r="Q1815">
        <v>1.0539713567486499</v>
      </c>
      <c r="R1815">
        <v>-0.18743584063601301</v>
      </c>
      <c r="S1815" t="s">
        <v>3817</v>
      </c>
      <c r="T1815" t="s">
        <v>4002</v>
      </c>
      <c r="U1815" t="s">
        <v>4002</v>
      </c>
      <c r="V1815" t="s">
        <v>4002</v>
      </c>
      <c r="W1815" t="s">
        <v>5793</v>
      </c>
      <c r="X1815">
        <v>2</v>
      </c>
      <c r="Y1815" t="s">
        <v>7717</v>
      </c>
      <c r="Z1815" t="s">
        <v>9713</v>
      </c>
      <c r="AA1815">
        <v>1.011340095872044</v>
      </c>
      <c r="AB1815" t="str">
        <f>HYPERLINK("Melting_Curves/meltCurve_Q99417_MYCBP.pdf", "Melting_Curves/meltCurve_Q99417_MYCBP.pdf")</f>
        <v>Melting_Curves/meltCurve_Q99417_MYCBP.pdf</v>
      </c>
    </row>
    <row r="1816" spans="1:28" x14ac:dyDescent="0.25">
      <c r="A1816" t="s">
        <v>1820</v>
      </c>
      <c r="B1816">
        <v>1</v>
      </c>
      <c r="C1816">
        <v>0.94413347685683502</v>
      </c>
      <c r="D1816">
        <v>1.00958997945004</v>
      </c>
      <c r="E1816">
        <v>1.15598395146296</v>
      </c>
      <c r="F1816">
        <v>1.1240825912515899</v>
      </c>
      <c r="G1816">
        <v>1.28789509736765</v>
      </c>
      <c r="H1816">
        <v>1.24248948037968</v>
      </c>
      <c r="I1816">
        <v>1.9043937762990499</v>
      </c>
      <c r="J1816">
        <v>1.74576768764067</v>
      </c>
      <c r="K1816">
        <v>1.7966532928857999</v>
      </c>
      <c r="L1816">
        <v>1413.5983519116601</v>
      </c>
      <c r="M1816">
        <v>25.449087504700699</v>
      </c>
      <c r="O1816">
        <v>55.206561629011397</v>
      </c>
      <c r="P1816">
        <v>5.7623146594795803E-2</v>
      </c>
      <c r="Q1816">
        <v>1.5</v>
      </c>
      <c r="R1816">
        <v>0.65905190813947001</v>
      </c>
      <c r="S1816" t="s">
        <v>3818</v>
      </c>
      <c r="T1816" t="s">
        <v>4002</v>
      </c>
      <c r="U1816" t="s">
        <v>4002</v>
      </c>
      <c r="V1816" t="s">
        <v>4002</v>
      </c>
      <c r="W1816" t="s">
        <v>5794</v>
      </c>
      <c r="X1816">
        <v>3</v>
      </c>
      <c r="Y1816" t="s">
        <v>7718</v>
      </c>
      <c r="Z1816" t="s">
        <v>9714</v>
      </c>
      <c r="AA1816">
        <v>1.236425055858217</v>
      </c>
      <c r="AB1816" t="str">
        <f>HYPERLINK("Melting_Curves/meltCurve_Q99519_NEU1.pdf", "Melting_Curves/meltCurve_Q99519_NEU1.pdf")</f>
        <v>Melting_Curves/meltCurve_Q99519_NEU1.pdf</v>
      </c>
    </row>
    <row r="1817" spans="1:28" x14ac:dyDescent="0.25">
      <c r="A1817" t="s">
        <v>1821</v>
      </c>
      <c r="B1817">
        <v>1</v>
      </c>
      <c r="C1817">
        <v>0.94425037086663199</v>
      </c>
      <c r="D1817">
        <v>1.0389051059960801</v>
      </c>
      <c r="E1817">
        <v>1.10006220988659</v>
      </c>
      <c r="F1817">
        <v>1.0660381872996101</v>
      </c>
      <c r="G1817">
        <v>1.1794037421639501</v>
      </c>
      <c r="H1817">
        <v>0.89625305067713101</v>
      </c>
      <c r="I1817">
        <v>1.2598459108963</v>
      </c>
      <c r="J1817">
        <v>0.98717519261137998</v>
      </c>
      <c r="K1817">
        <v>0.97286691869646402</v>
      </c>
      <c r="L1817">
        <v>11483.2719971897</v>
      </c>
      <c r="M1817">
        <v>250</v>
      </c>
      <c r="O1817">
        <v>45.930149274778302</v>
      </c>
      <c r="P1817">
        <v>8.9741322531581402E-2</v>
      </c>
      <c r="Q1817">
        <v>1.06594931635915</v>
      </c>
      <c r="R1817">
        <v>0.110092432092166</v>
      </c>
      <c r="S1817" t="s">
        <v>3819</v>
      </c>
      <c r="T1817" t="s">
        <v>4002</v>
      </c>
      <c r="U1817" t="s">
        <v>4002</v>
      </c>
      <c r="V1817" t="s">
        <v>4002</v>
      </c>
      <c r="W1817" t="s">
        <v>5795</v>
      </c>
      <c r="X1817">
        <v>5</v>
      </c>
      <c r="Y1817" t="s">
        <v>7719</v>
      </c>
      <c r="Z1817" t="s">
        <v>9715</v>
      </c>
      <c r="AA1817">
        <v>1.052901230170538</v>
      </c>
      <c r="AB1817" t="str">
        <f>HYPERLINK("Melting_Curves/meltCurve_Q99523_SORT1.pdf", "Melting_Curves/meltCurve_Q99523_SORT1.pdf")</f>
        <v>Melting_Curves/meltCurve_Q99523_SORT1.pdf</v>
      </c>
    </row>
    <row r="1818" spans="1:28" x14ac:dyDescent="0.25">
      <c r="A1818" t="s">
        <v>1822</v>
      </c>
      <c r="B1818">
        <v>1</v>
      </c>
      <c r="C1818">
        <v>0.99403492344240396</v>
      </c>
      <c r="D1818">
        <v>1.05873172761796</v>
      </c>
      <c r="E1818">
        <v>1.10426745738612</v>
      </c>
      <c r="F1818">
        <v>1.06502627061333</v>
      </c>
      <c r="G1818">
        <v>1.24614610969498</v>
      </c>
      <c r="H1818">
        <v>1.2515562954100099</v>
      </c>
      <c r="I1818">
        <v>1.71273994693856</v>
      </c>
      <c r="J1818">
        <v>1.5998023201373399</v>
      </c>
      <c r="K1818">
        <v>1.5451975931609701</v>
      </c>
      <c r="L1818">
        <v>1523.0012313351399</v>
      </c>
      <c r="M1818">
        <v>26.5690930677202</v>
      </c>
      <c r="O1818">
        <v>57.000502287787299</v>
      </c>
      <c r="P1818">
        <v>5.8265645783857199E-2</v>
      </c>
      <c r="Q1818">
        <v>1.5</v>
      </c>
      <c r="R1818">
        <v>0.82425185642449905</v>
      </c>
      <c r="S1818" t="s">
        <v>3820</v>
      </c>
      <c r="T1818" t="s">
        <v>4002</v>
      </c>
      <c r="U1818" t="s">
        <v>4002</v>
      </c>
      <c r="V1818" t="s">
        <v>4002</v>
      </c>
      <c r="W1818" t="s">
        <v>5796</v>
      </c>
      <c r="X1818">
        <v>4</v>
      </c>
      <c r="Y1818" t="s">
        <v>7720</v>
      </c>
      <c r="Z1818" t="s">
        <v>9716</v>
      </c>
      <c r="AA1818">
        <v>1.2072323912646259</v>
      </c>
      <c r="AB1818" t="str">
        <f>HYPERLINK("Melting_Curves/meltCurve_Q99536_VAT1.pdf", "Melting_Curves/meltCurve_Q99536_VAT1.pdf")</f>
        <v>Melting_Curves/meltCurve_Q99536_VAT1.pdf</v>
      </c>
    </row>
    <row r="1819" spans="1:28" x14ac:dyDescent="0.25">
      <c r="A1819" t="s">
        <v>1823</v>
      </c>
      <c r="B1819">
        <v>1</v>
      </c>
      <c r="C1819">
        <v>0.90363306085376904</v>
      </c>
      <c r="D1819">
        <v>1.1335149863760201</v>
      </c>
      <c r="E1819">
        <v>1.1436875567665801</v>
      </c>
      <c r="F1819">
        <v>1.12688465031789</v>
      </c>
      <c r="G1819">
        <v>1.1803814713896501</v>
      </c>
      <c r="H1819">
        <v>0.83782016348773802</v>
      </c>
      <c r="I1819">
        <v>1.1849227974568599</v>
      </c>
      <c r="J1819">
        <v>0.99400544959128101</v>
      </c>
      <c r="K1819">
        <v>1.01562216167121</v>
      </c>
      <c r="L1819">
        <v>11112.4213908733</v>
      </c>
      <c r="M1819">
        <v>250</v>
      </c>
      <c r="O1819">
        <v>44.446841049967396</v>
      </c>
      <c r="P1819">
        <v>0.108421695048852</v>
      </c>
      <c r="Q1819">
        <v>1.0771040294983001</v>
      </c>
      <c r="R1819">
        <v>0.15734627378350399</v>
      </c>
      <c r="S1819" t="s">
        <v>3821</v>
      </c>
      <c r="T1819" t="s">
        <v>4002</v>
      </c>
      <c r="U1819" t="s">
        <v>4002</v>
      </c>
      <c r="V1819" t="s">
        <v>4002</v>
      </c>
      <c r="W1819" t="s">
        <v>5797</v>
      </c>
      <c r="X1819">
        <v>1</v>
      </c>
      <c r="Y1819" t="s">
        <v>7721</v>
      </c>
      <c r="Z1819" t="s">
        <v>9717</v>
      </c>
      <c r="AA1819">
        <v>1.065661725163265</v>
      </c>
      <c r="AB1819" t="str">
        <f>HYPERLINK("Melting_Curves/meltCurve_Q99612_2_KLF6.pdf", "Melting_Curves/meltCurve_Q99612_2_KLF6.pdf")</f>
        <v>Melting_Curves/meltCurve_Q99612_2_KLF6.pdf</v>
      </c>
    </row>
    <row r="1820" spans="1:28" x14ac:dyDescent="0.25">
      <c r="A1820" t="s">
        <v>1824</v>
      </c>
      <c r="B1820">
        <v>1</v>
      </c>
      <c r="C1820">
        <v>0.92727148424147099</v>
      </c>
      <c r="D1820">
        <v>0.90529842072878897</v>
      </c>
      <c r="E1820">
        <v>0.85632050317905195</v>
      </c>
      <c r="F1820">
        <v>0.89131059000478596</v>
      </c>
      <c r="G1820">
        <v>0.81741984002187695</v>
      </c>
      <c r="H1820">
        <v>0.89973336979558305</v>
      </c>
      <c r="I1820">
        <v>0.95266288370821095</v>
      </c>
      <c r="J1820">
        <v>1.13607711765912</v>
      </c>
      <c r="K1820">
        <v>0.89694400765707305</v>
      </c>
      <c r="S1820" t="s">
        <v>3822</v>
      </c>
      <c r="T1820" t="s">
        <v>4002</v>
      </c>
      <c r="U1820" t="s">
        <v>4003</v>
      </c>
      <c r="V1820" t="s">
        <v>4002</v>
      </c>
      <c r="W1820" t="s">
        <v>5798</v>
      </c>
      <c r="X1820">
        <v>2</v>
      </c>
      <c r="Y1820" t="s">
        <v>7722</v>
      </c>
      <c r="Z1820" t="s">
        <v>9718</v>
      </c>
      <c r="AB1820" t="str">
        <f>HYPERLINK("Melting_Curves/meltCurve_Q99614_TTC1.pdf", "Melting_Curves/meltCurve_Q99614_TTC1.pdf")</f>
        <v>Melting_Curves/meltCurve_Q99614_TTC1.pdf</v>
      </c>
    </row>
    <row r="1821" spans="1:28" x14ac:dyDescent="0.25">
      <c r="A1821" t="s">
        <v>1825</v>
      </c>
      <c r="B1821">
        <v>1</v>
      </c>
      <c r="C1821">
        <v>0.94148575305291704</v>
      </c>
      <c r="D1821">
        <v>1.02381760031014</v>
      </c>
      <c r="E1821">
        <v>1.1202510176390801</v>
      </c>
      <c r="F1821">
        <v>1.0480592169025</v>
      </c>
      <c r="G1821">
        <v>1.0669824578406699</v>
      </c>
      <c r="H1821">
        <v>0.87278300058150804</v>
      </c>
      <c r="I1821">
        <v>1.24769819732506</v>
      </c>
      <c r="J1821">
        <v>0.93615526264780002</v>
      </c>
      <c r="K1821">
        <v>1.02232748594689</v>
      </c>
      <c r="L1821">
        <v>11494.3751278944</v>
      </c>
      <c r="M1821">
        <v>250</v>
      </c>
      <c r="O1821">
        <v>45.9745582691015</v>
      </c>
      <c r="P1821">
        <v>6.10307736613468E-2</v>
      </c>
      <c r="Q1821">
        <v>1.04489380569351</v>
      </c>
      <c r="R1821">
        <v>6.8913837113292797E-2</v>
      </c>
      <c r="S1821" t="s">
        <v>3823</v>
      </c>
      <c r="T1821" t="s">
        <v>4002</v>
      </c>
      <c r="U1821" t="s">
        <v>4002</v>
      </c>
      <c r="V1821" t="s">
        <v>4002</v>
      </c>
      <c r="W1821" t="s">
        <v>5799</v>
      </c>
      <c r="X1821">
        <v>11</v>
      </c>
      <c r="Y1821" t="s">
        <v>7723</v>
      </c>
      <c r="Z1821" t="s">
        <v>9719</v>
      </c>
      <c r="AA1821">
        <v>1.035945091671417</v>
      </c>
      <c r="AB1821" t="str">
        <f>HYPERLINK("Melting_Curves/meltCurve_Q99674_CGREF1.pdf", "Melting_Curves/meltCurve_Q99674_CGREF1.pdf")</f>
        <v>Melting_Curves/meltCurve_Q99674_CGREF1.pdf</v>
      </c>
    </row>
    <row r="1822" spans="1:28" x14ac:dyDescent="0.25">
      <c r="A1822" t="s">
        <v>1826</v>
      </c>
      <c r="B1822">
        <v>1</v>
      </c>
      <c r="C1822">
        <v>0.95429543521406301</v>
      </c>
      <c r="D1822">
        <v>1.06742273887156</v>
      </c>
      <c r="E1822">
        <v>1.06696909554862</v>
      </c>
      <c r="F1822">
        <v>1.00351573575276</v>
      </c>
      <c r="G1822">
        <v>1.03254890842075</v>
      </c>
      <c r="H1822">
        <v>0.90700311879784501</v>
      </c>
      <c r="I1822">
        <v>0.79971647292316395</v>
      </c>
      <c r="J1822">
        <v>9.6302806918060693</v>
      </c>
      <c r="K1822">
        <v>1.0361213495888899</v>
      </c>
      <c r="L1822">
        <v>15000</v>
      </c>
      <c r="M1822">
        <v>230.97294280444001</v>
      </c>
      <c r="O1822">
        <v>64.937803012906301</v>
      </c>
      <c r="P1822">
        <v>0.44460416839817302</v>
      </c>
      <c r="Q1822">
        <v>1.5</v>
      </c>
      <c r="R1822">
        <v>1.38370588903229E-2</v>
      </c>
      <c r="S1822" t="s">
        <v>3824</v>
      </c>
      <c r="T1822" t="s">
        <v>4002</v>
      </c>
      <c r="U1822" t="s">
        <v>4002</v>
      </c>
      <c r="V1822" t="s">
        <v>4002</v>
      </c>
      <c r="W1822" t="s">
        <v>5800</v>
      </c>
      <c r="X1822">
        <v>2</v>
      </c>
      <c r="Y1822" t="s">
        <v>7724</v>
      </c>
      <c r="Z1822" t="s">
        <v>9720</v>
      </c>
      <c r="AA1822">
        <v>1.0842220402075029</v>
      </c>
      <c r="AB1822" t="str">
        <f>HYPERLINK("Melting_Curves/meltCurve_Q99878_HIST1H2AJ.pdf", "Melting_Curves/meltCurve_Q99878_HIST1H2AJ.pdf")</f>
        <v>Melting_Curves/meltCurve_Q99878_HIST1H2AJ.pdf</v>
      </c>
    </row>
    <row r="1823" spans="1:28" x14ac:dyDescent="0.25">
      <c r="A1823" t="s">
        <v>1827</v>
      </c>
      <c r="B1823">
        <v>1</v>
      </c>
      <c r="C1823">
        <v>0.94762840303115303</v>
      </c>
      <c r="D1823">
        <v>1.06107213022734</v>
      </c>
      <c r="E1823">
        <v>0.92062868369351702</v>
      </c>
      <c r="F1823">
        <v>0.90839180465899505</v>
      </c>
      <c r="G1823">
        <v>0.96744316587145696</v>
      </c>
      <c r="H1823">
        <v>0.95408363738422697</v>
      </c>
      <c r="I1823">
        <v>0.80791467864159405</v>
      </c>
      <c r="J1823">
        <v>11.936570305922</v>
      </c>
      <c r="K1823">
        <v>0.99713724389559399</v>
      </c>
      <c r="L1823">
        <v>15000</v>
      </c>
      <c r="M1823">
        <v>231.11634987275201</v>
      </c>
      <c r="O1823">
        <v>64.897538569700103</v>
      </c>
      <c r="P1823">
        <v>0.44515639155879699</v>
      </c>
      <c r="Q1823">
        <v>1.5</v>
      </c>
      <c r="R1823">
        <v>-5.5970991626237403E-3</v>
      </c>
      <c r="S1823" t="s">
        <v>3825</v>
      </c>
      <c r="T1823" t="s">
        <v>4002</v>
      </c>
      <c r="U1823" t="s">
        <v>4002</v>
      </c>
      <c r="V1823" t="s">
        <v>4002</v>
      </c>
      <c r="W1823" t="s">
        <v>5801</v>
      </c>
      <c r="X1823">
        <v>3</v>
      </c>
      <c r="Y1823" t="s">
        <v>7725</v>
      </c>
      <c r="Z1823" t="s">
        <v>9721</v>
      </c>
      <c r="AA1823">
        <v>1.0848937769203979</v>
      </c>
      <c r="AB1823" t="str">
        <f>HYPERLINK("Melting_Curves/meltCurve_Q99879_HIST1H2BM.pdf", "Melting_Curves/meltCurve_Q99879_HIST1H2BM.pdf")</f>
        <v>Melting_Curves/meltCurve_Q99879_HIST1H2BM.pdf</v>
      </c>
    </row>
    <row r="1824" spans="1:28" x14ac:dyDescent="0.25">
      <c r="A1824" t="s">
        <v>1828</v>
      </c>
      <c r="B1824">
        <v>1</v>
      </c>
      <c r="C1824">
        <v>1.03708422441644</v>
      </c>
      <c r="D1824">
        <v>1.04759521317741</v>
      </c>
      <c r="E1824">
        <v>1.19957228011103</v>
      </c>
      <c r="F1824">
        <v>1.2131319106338401</v>
      </c>
      <c r="G1824">
        <v>1.0428174910133301</v>
      </c>
      <c r="H1824">
        <v>1.56750238886108</v>
      </c>
      <c r="I1824">
        <v>1.1354597988806501</v>
      </c>
      <c r="J1824">
        <v>1.5373344860536</v>
      </c>
      <c r="K1824">
        <v>1.11525685944396</v>
      </c>
      <c r="L1824">
        <v>624.92108759037001</v>
      </c>
      <c r="M1824">
        <v>12.3329594011774</v>
      </c>
      <c r="O1824">
        <v>49.393873338770597</v>
      </c>
      <c r="P1824">
        <v>1.98664505011273E-2</v>
      </c>
      <c r="Q1824">
        <v>1.31819393521504</v>
      </c>
      <c r="R1824">
        <v>0.34006942441198901</v>
      </c>
      <c r="S1824" t="s">
        <v>3826</v>
      </c>
      <c r="T1824" t="s">
        <v>4002</v>
      </c>
      <c r="U1824" t="s">
        <v>4002</v>
      </c>
      <c r="V1824" t="s">
        <v>4002</v>
      </c>
      <c r="W1824" t="s">
        <v>5802</v>
      </c>
      <c r="X1824">
        <v>1</v>
      </c>
      <c r="Y1824" t="s">
        <v>7726</v>
      </c>
      <c r="Z1824" t="s">
        <v>9722</v>
      </c>
      <c r="AA1824">
        <v>1.1948514116978739</v>
      </c>
      <c r="AB1824" t="str">
        <f>HYPERLINK("Melting_Curves/meltCurve_Q99954_SMR3A.pdf", "Melting_Curves/meltCurve_Q99954_SMR3A.pdf")</f>
        <v>Melting_Curves/meltCurve_Q99954_SMR3A.pdf</v>
      </c>
    </row>
    <row r="1825" spans="1:28" x14ac:dyDescent="0.25">
      <c r="A1825" t="s">
        <v>1829</v>
      </c>
      <c r="B1825">
        <v>1</v>
      </c>
      <c r="C1825">
        <v>0.98461649158152298</v>
      </c>
      <c r="D1825">
        <v>1.04186213843719</v>
      </c>
      <c r="E1825">
        <v>1.0190962728450099</v>
      </c>
      <c r="F1825">
        <v>1.0254137285940399</v>
      </c>
      <c r="G1825">
        <v>0.93233558785436799</v>
      </c>
      <c r="H1825">
        <v>0.85098575334580495</v>
      </c>
      <c r="I1825">
        <v>1.0907468700532501</v>
      </c>
      <c r="J1825">
        <v>1.37520506547705</v>
      </c>
      <c r="K1825">
        <v>0.93262339905022296</v>
      </c>
      <c r="L1825">
        <v>15000</v>
      </c>
      <c r="M1825">
        <v>234.73759354408199</v>
      </c>
      <c r="O1825">
        <v>63.896507712750001</v>
      </c>
      <c r="P1825">
        <v>0.141355313063633</v>
      </c>
      <c r="Q1825">
        <v>1.1539099036610101</v>
      </c>
      <c r="R1825">
        <v>0.27815445133219902</v>
      </c>
      <c r="S1825" t="s">
        <v>3827</v>
      </c>
      <c r="T1825" t="s">
        <v>4002</v>
      </c>
      <c r="U1825" t="s">
        <v>4002</v>
      </c>
      <c r="V1825" t="s">
        <v>4002</v>
      </c>
      <c r="W1825" t="s">
        <v>5803</v>
      </c>
      <c r="X1825">
        <v>3</v>
      </c>
      <c r="Y1825" t="s">
        <v>7727</v>
      </c>
      <c r="Z1825" t="s">
        <v>9723</v>
      </c>
      <c r="AA1825">
        <v>1.031269583069002</v>
      </c>
      <c r="AB1825" t="str">
        <f>HYPERLINK("Melting_Curves/meltCurve_Q99961_SH3GL1.pdf", "Melting_Curves/meltCurve_Q99961_SH3GL1.pdf")</f>
        <v>Melting_Curves/meltCurve_Q99961_SH3GL1.pdf</v>
      </c>
    </row>
    <row r="1826" spans="1:28" x14ac:dyDescent="0.25">
      <c r="A1826" t="s">
        <v>1830</v>
      </c>
      <c r="B1826">
        <v>1</v>
      </c>
      <c r="C1826">
        <v>0.64324698073200004</v>
      </c>
      <c r="D1826">
        <v>0.86674656587074805</v>
      </c>
      <c r="E1826">
        <v>0.71885313911680604</v>
      </c>
      <c r="F1826">
        <v>0.58853139116806497</v>
      </c>
      <c r="G1826">
        <v>0.74491564487876805</v>
      </c>
      <c r="H1826">
        <v>0.56497649119572202</v>
      </c>
      <c r="I1826">
        <v>0.65597861159767701</v>
      </c>
      <c r="J1826">
        <v>0.37262837650963399</v>
      </c>
      <c r="K1826">
        <v>0.30124458375587698</v>
      </c>
      <c r="L1826">
        <v>230.63888052371701</v>
      </c>
      <c r="M1826">
        <v>3.6130718300665401</v>
      </c>
      <c r="N1826">
        <v>63.834569971552298</v>
      </c>
      <c r="O1826">
        <v>50.6319943673277</v>
      </c>
      <c r="P1826">
        <v>-1.8155922695442799E-2</v>
      </c>
      <c r="Q1826">
        <v>0</v>
      </c>
      <c r="R1826">
        <v>0.66024208903164205</v>
      </c>
      <c r="S1826" t="s">
        <v>3828</v>
      </c>
      <c r="T1826" t="s">
        <v>4002</v>
      </c>
      <c r="U1826" t="s">
        <v>4002</v>
      </c>
      <c r="V1826" t="s">
        <v>4002</v>
      </c>
      <c r="W1826" t="s">
        <v>5804</v>
      </c>
      <c r="X1826">
        <v>1</v>
      </c>
      <c r="Y1826" t="s">
        <v>7728</v>
      </c>
      <c r="Z1826" t="s">
        <v>9724</v>
      </c>
      <c r="AA1826">
        <v>0.6484198836407562</v>
      </c>
      <c r="AB1826" t="str">
        <f>HYPERLINK("Melting_Curves/meltCurve_Q9BPY8_HOPX.pdf", "Melting_Curves/meltCurve_Q9BPY8_HOPX.pdf")</f>
        <v>Melting_Curves/meltCurve_Q9BPY8_HOPX.pdf</v>
      </c>
    </row>
    <row r="1827" spans="1:28" x14ac:dyDescent="0.25">
      <c r="A1827" t="s">
        <v>1831</v>
      </c>
      <c r="B1827">
        <v>1</v>
      </c>
      <c r="C1827">
        <v>0.939132980410334</v>
      </c>
      <c r="D1827">
        <v>1.2752555438998801</v>
      </c>
      <c r="E1827">
        <v>2.17664853260472</v>
      </c>
      <c r="F1827">
        <v>2.4793247298187402</v>
      </c>
      <c r="G1827">
        <v>2.7625576346027199</v>
      </c>
      <c r="H1827">
        <v>2.7154741284672199</v>
      </c>
      <c r="I1827">
        <v>3.05652460296163</v>
      </c>
      <c r="J1827">
        <v>2.7406015954721799</v>
      </c>
      <c r="K1827">
        <v>2.8469664072601302</v>
      </c>
      <c r="S1827" t="s">
        <v>3829</v>
      </c>
      <c r="T1827" t="s">
        <v>4002</v>
      </c>
      <c r="U1827" t="s">
        <v>4003</v>
      </c>
      <c r="V1827" t="s">
        <v>4002</v>
      </c>
      <c r="W1827" t="s">
        <v>5805</v>
      </c>
      <c r="X1827">
        <v>3</v>
      </c>
      <c r="Y1827" t="s">
        <v>7729</v>
      </c>
      <c r="Z1827" t="s">
        <v>9725</v>
      </c>
      <c r="AB1827" t="str">
        <f>HYPERLINK("Melting_Curves/meltCurve_Q9BQR3_PRSS27.pdf", "Melting_Curves/meltCurve_Q9BQR3_PRSS27.pdf")</f>
        <v>Melting_Curves/meltCurve_Q9BQR3_PRSS27.pdf</v>
      </c>
    </row>
    <row r="1828" spans="1:28" x14ac:dyDescent="0.25">
      <c r="A1828" t="s">
        <v>1832</v>
      </c>
      <c r="B1828">
        <v>1</v>
      </c>
      <c r="C1828">
        <v>0.87671818406784996</v>
      </c>
      <c r="D1828">
        <v>1.0823153584846199</v>
      </c>
      <c r="E1828">
        <v>1.25324514634091</v>
      </c>
      <c r="F1828">
        <v>1.32442464736451</v>
      </c>
      <c r="G1828">
        <v>1.7746732356977299</v>
      </c>
      <c r="H1828">
        <v>1.96067580031945</v>
      </c>
      <c r="I1828">
        <v>2.4676610199995501</v>
      </c>
      <c r="J1828">
        <v>2.6577579806978502</v>
      </c>
      <c r="K1828">
        <v>2.34257946952824</v>
      </c>
      <c r="L1828">
        <v>1745.48593368724</v>
      </c>
      <c r="M1828">
        <v>34.788369938993199</v>
      </c>
      <c r="O1828">
        <v>50.009483518208697</v>
      </c>
      <c r="P1828">
        <v>8.69547463901479E-2</v>
      </c>
      <c r="Q1828">
        <v>1.5</v>
      </c>
      <c r="R1828">
        <v>0.145643822372513</v>
      </c>
      <c r="S1828" t="s">
        <v>3830</v>
      </c>
      <c r="T1828" t="s">
        <v>4002</v>
      </c>
      <c r="U1828" t="s">
        <v>4002</v>
      </c>
      <c r="V1828" t="s">
        <v>4002</v>
      </c>
      <c r="W1828" t="s">
        <v>5806</v>
      </c>
      <c r="X1828">
        <v>2</v>
      </c>
      <c r="Y1828" t="s">
        <v>7730</v>
      </c>
      <c r="Z1828" t="s">
        <v>9726</v>
      </c>
      <c r="AA1828">
        <v>1.3281272125784369</v>
      </c>
      <c r="AB1828" t="str">
        <f>HYPERLINK("Melting_Curves/meltCurve_Q9BR76_CORO1B.pdf", "Melting_Curves/meltCurve_Q9BR76_CORO1B.pdf")</f>
        <v>Melting_Curves/meltCurve_Q9BR76_CORO1B.pdf</v>
      </c>
    </row>
    <row r="1829" spans="1:28" x14ac:dyDescent="0.25">
      <c r="A1829" t="s">
        <v>1833</v>
      </c>
      <c r="B1829">
        <v>1</v>
      </c>
      <c r="C1829">
        <v>1.0299186605005299</v>
      </c>
      <c r="D1829">
        <v>1.1109607577807801</v>
      </c>
      <c r="E1829">
        <v>1.3187556692292799</v>
      </c>
      <c r="F1829">
        <v>1.55080372942349</v>
      </c>
      <c r="G1829">
        <v>1.8085027286651101</v>
      </c>
      <c r="H1829">
        <v>1.4827134975984799</v>
      </c>
      <c r="I1829">
        <v>2.15571978765484</v>
      </c>
      <c r="J1829">
        <v>1.68805484096418</v>
      </c>
      <c r="K1829">
        <v>1.81192285387143</v>
      </c>
      <c r="L1829">
        <v>1646.2451075926001</v>
      </c>
      <c r="M1829">
        <v>34.022148197441197</v>
      </c>
      <c r="O1829">
        <v>48.221202955812501</v>
      </c>
      <c r="P1829">
        <v>8.8193274957196005E-2</v>
      </c>
      <c r="Q1829">
        <v>1.5</v>
      </c>
      <c r="R1829">
        <v>0.49006757181841398</v>
      </c>
      <c r="S1829" t="s">
        <v>3831</v>
      </c>
      <c r="T1829" t="s">
        <v>4002</v>
      </c>
      <c r="U1829" t="s">
        <v>4002</v>
      </c>
      <c r="V1829" t="s">
        <v>4002</v>
      </c>
      <c r="W1829" t="s">
        <v>5807</v>
      </c>
      <c r="X1829">
        <v>6</v>
      </c>
      <c r="Y1829" t="s">
        <v>7731</v>
      </c>
      <c r="Z1829" t="s">
        <v>9727</v>
      </c>
      <c r="AA1829">
        <v>1.3578780226746721</v>
      </c>
      <c r="AB1829" t="str">
        <f>HYPERLINK("Melting_Curves/meltCurve_Q9BRA2_TXNDC17.pdf", "Melting_Curves/meltCurve_Q9BRA2_TXNDC17.pdf")</f>
        <v>Melting_Curves/meltCurve_Q9BRA2_TXNDC17.pdf</v>
      </c>
    </row>
    <row r="1830" spans="1:28" x14ac:dyDescent="0.25">
      <c r="A1830" t="s">
        <v>1834</v>
      </c>
      <c r="B1830">
        <v>1</v>
      </c>
      <c r="C1830">
        <v>0.89629428532645605</v>
      </c>
      <c r="D1830">
        <v>1.1067824985294801</v>
      </c>
      <c r="E1830">
        <v>1.2677706891090901</v>
      </c>
      <c r="F1830">
        <v>1.2435636396543099</v>
      </c>
      <c r="G1830">
        <v>1.28446676620967</v>
      </c>
      <c r="H1830">
        <v>1.59947513687163</v>
      </c>
      <c r="I1830">
        <v>1.5749061128455699</v>
      </c>
      <c r="J1830">
        <v>1.5516039998190101</v>
      </c>
      <c r="K1830">
        <v>1.43830595900638</v>
      </c>
      <c r="L1830">
        <v>827.40733352048198</v>
      </c>
      <c r="M1830">
        <v>16.054658420479299</v>
      </c>
      <c r="O1830">
        <v>50.757199154397597</v>
      </c>
      <c r="P1830">
        <v>3.9540944831664898E-2</v>
      </c>
      <c r="Q1830">
        <v>1.5</v>
      </c>
      <c r="R1830">
        <v>0.85585512987344603</v>
      </c>
      <c r="S1830" t="s">
        <v>3832</v>
      </c>
      <c r="T1830" t="s">
        <v>4002</v>
      </c>
      <c r="U1830" t="s">
        <v>4002</v>
      </c>
      <c r="V1830" t="s">
        <v>4002</v>
      </c>
      <c r="W1830" t="s">
        <v>5808</v>
      </c>
      <c r="X1830">
        <v>4</v>
      </c>
      <c r="Y1830" t="s">
        <v>7732</v>
      </c>
      <c r="Z1830" t="s">
        <v>9728</v>
      </c>
      <c r="AA1830">
        <v>1.297547261701214</v>
      </c>
      <c r="AB1830" t="str">
        <f>HYPERLINK("Melting_Curves/meltCurve_Q9BRF8_CPPED1.pdf", "Melting_Curves/meltCurve_Q9BRF8_CPPED1.pdf")</f>
        <v>Melting_Curves/meltCurve_Q9BRF8_CPPED1.pdf</v>
      </c>
    </row>
    <row r="1831" spans="1:28" x14ac:dyDescent="0.25">
      <c r="A1831" t="s">
        <v>1835</v>
      </c>
      <c r="B1831">
        <v>1</v>
      </c>
      <c r="C1831">
        <v>0.89002322692162295</v>
      </c>
      <c r="D1831">
        <v>0.94836061146221595</v>
      </c>
      <c r="E1831">
        <v>0.97925781883001095</v>
      </c>
      <c r="F1831">
        <v>0.926322043969103</v>
      </c>
      <c r="G1831">
        <v>0.98195862366985398</v>
      </c>
      <c r="H1831">
        <v>0.87819370172311395</v>
      </c>
      <c r="I1831">
        <v>1.1563766002268701</v>
      </c>
      <c r="J1831">
        <v>0.90455355695997397</v>
      </c>
      <c r="K1831">
        <v>0.90855074812294101</v>
      </c>
      <c r="L1831">
        <v>10227.5385823942</v>
      </c>
      <c r="M1831">
        <v>250</v>
      </c>
      <c r="O1831">
        <v>40.907548075113503</v>
      </c>
      <c r="P1831">
        <v>-7.2385872239681098E-2</v>
      </c>
      <c r="Q1831">
        <v>0.95262195679564499</v>
      </c>
      <c r="R1831">
        <v>3.3936412247510199E-2</v>
      </c>
      <c r="S1831" t="s">
        <v>3833</v>
      </c>
      <c r="T1831" t="s">
        <v>4002</v>
      </c>
      <c r="U1831" t="s">
        <v>4002</v>
      </c>
      <c r="V1831" t="s">
        <v>4002</v>
      </c>
      <c r="W1831" t="s">
        <v>5809</v>
      </c>
      <c r="X1831">
        <v>13</v>
      </c>
      <c r="Y1831" t="s">
        <v>7733</v>
      </c>
      <c r="Z1831" t="s">
        <v>9729</v>
      </c>
      <c r="AA1831">
        <v>0.95406356446450835</v>
      </c>
      <c r="AB1831" t="str">
        <f>HYPERLINK("Melting_Curves/meltCurve_Q9BRK5_SDF4.pdf", "Melting_Curves/meltCurve_Q9BRK5_SDF4.pdf")</f>
        <v>Melting_Curves/meltCurve_Q9BRK5_SDF4.pdf</v>
      </c>
    </row>
    <row r="1832" spans="1:28" x14ac:dyDescent="0.25">
      <c r="A1832" t="s">
        <v>1836</v>
      </c>
      <c r="B1832">
        <v>1</v>
      </c>
      <c r="C1832">
        <v>0.93266056023005695</v>
      </c>
      <c r="D1832">
        <v>0.98008307593993005</v>
      </c>
      <c r="E1832">
        <v>1.07628607945468</v>
      </c>
      <c r="F1832">
        <v>0.95265736500159803</v>
      </c>
      <c r="G1832">
        <v>0.96618383214399794</v>
      </c>
      <c r="H1832">
        <v>0.93732026839919103</v>
      </c>
      <c r="I1832">
        <v>1.03844924912131</v>
      </c>
      <c r="J1832">
        <v>1.00854723612738</v>
      </c>
      <c r="K1832">
        <v>0.93388539780594304</v>
      </c>
      <c r="L1832">
        <v>3884.98386814577</v>
      </c>
      <c r="M1832">
        <v>74.779913036654193</v>
      </c>
      <c r="O1832">
        <v>51.915098515921798</v>
      </c>
      <c r="P1832">
        <v>-9.5720757651289005E-3</v>
      </c>
      <c r="Q1832">
        <v>0.97341877693209</v>
      </c>
      <c r="R1832">
        <v>4.5775382960474099E-2</v>
      </c>
      <c r="S1832" t="s">
        <v>3834</v>
      </c>
      <c r="T1832" t="s">
        <v>4002</v>
      </c>
      <c r="U1832" t="s">
        <v>4002</v>
      </c>
      <c r="V1832" t="s">
        <v>4002</v>
      </c>
      <c r="W1832" t="s">
        <v>5810</v>
      </c>
      <c r="X1832">
        <v>4</v>
      </c>
      <c r="Y1832" t="s">
        <v>7734</v>
      </c>
      <c r="Z1832" t="s">
        <v>9730</v>
      </c>
      <c r="AA1832">
        <v>0.98403609582026996</v>
      </c>
      <c r="AB1832" t="str">
        <f>HYPERLINK("Melting_Curves/meltCurve_Q9BRP8_2_WIBG.pdf", "Melting_Curves/meltCurve_Q9BRP8_2_WIBG.pdf")</f>
        <v>Melting_Curves/meltCurve_Q9BRP8_2_WIBG.pdf</v>
      </c>
    </row>
    <row r="1833" spans="1:28" x14ac:dyDescent="0.25">
      <c r="A1833" t="s">
        <v>1837</v>
      </c>
      <c r="B1833">
        <v>1</v>
      </c>
      <c r="C1833">
        <v>0.97624420952607205</v>
      </c>
      <c r="D1833">
        <v>1.08344221403967</v>
      </c>
      <c r="E1833">
        <v>0.98711248366789395</v>
      </c>
      <c r="F1833">
        <v>0.96026844043235504</v>
      </c>
      <c r="G1833">
        <v>1.1618363226036299</v>
      </c>
      <c r="H1833">
        <v>1.2158807459318199</v>
      </c>
      <c r="I1833">
        <v>1.6403967217009101</v>
      </c>
      <c r="J1833">
        <v>1.65399691174724</v>
      </c>
      <c r="K1833">
        <v>1.5259532010927701</v>
      </c>
      <c r="L1833">
        <v>15000</v>
      </c>
      <c r="M1833">
        <v>245.62703212588599</v>
      </c>
      <c r="O1833">
        <v>61.064146030786297</v>
      </c>
      <c r="P1833">
        <v>0.502805323506609</v>
      </c>
      <c r="Q1833">
        <v>1.5</v>
      </c>
      <c r="R1833">
        <v>0.88797759556668798</v>
      </c>
      <c r="S1833" t="s">
        <v>3835</v>
      </c>
      <c r="T1833" t="s">
        <v>4002</v>
      </c>
      <c r="U1833" t="s">
        <v>4002</v>
      </c>
      <c r="V1833" t="s">
        <v>4002</v>
      </c>
      <c r="W1833" t="s">
        <v>5811</v>
      </c>
      <c r="X1833">
        <v>3</v>
      </c>
      <c r="Y1833" t="s">
        <v>7735</v>
      </c>
      <c r="Z1833" t="s">
        <v>9731</v>
      </c>
      <c r="AA1833">
        <v>1.1488078700716451</v>
      </c>
      <c r="AB1833" t="str">
        <f>HYPERLINK("Melting_Curves/meltCurve_Q9BS26_ERP44.pdf", "Melting_Curves/meltCurve_Q9BS26_ERP44.pdf")</f>
        <v>Melting_Curves/meltCurve_Q9BS26_ERP44.pdf</v>
      </c>
    </row>
    <row r="1834" spans="1:28" x14ac:dyDescent="0.25">
      <c r="A1834" t="s">
        <v>1838</v>
      </c>
      <c r="B1834">
        <v>1</v>
      </c>
      <c r="C1834">
        <v>1.05308191070256</v>
      </c>
      <c r="D1834">
        <v>1.386757222587</v>
      </c>
      <c r="E1834">
        <v>1.4407419566644799</v>
      </c>
      <c r="F1834">
        <v>1.3730507222587001</v>
      </c>
      <c r="G1834">
        <v>1.84479645436638</v>
      </c>
      <c r="H1834">
        <v>1.7003447143795101</v>
      </c>
      <c r="I1834">
        <v>2.5318040052527899</v>
      </c>
      <c r="J1834">
        <v>1.9416242613263299</v>
      </c>
      <c r="K1834">
        <v>2.2400279054497698</v>
      </c>
      <c r="L1834">
        <v>1999.4578171216499</v>
      </c>
      <c r="M1834">
        <v>44.612390033122402</v>
      </c>
      <c r="O1834">
        <v>44.728667332725102</v>
      </c>
      <c r="P1834">
        <v>0.124675215333616</v>
      </c>
      <c r="Q1834">
        <v>1.5</v>
      </c>
      <c r="R1834">
        <v>0.105604987895893</v>
      </c>
      <c r="S1834" t="s">
        <v>3836</v>
      </c>
      <c r="T1834" t="s">
        <v>4002</v>
      </c>
      <c r="U1834" t="s">
        <v>4002</v>
      </c>
      <c r="V1834" t="s">
        <v>4002</v>
      </c>
      <c r="W1834" t="s">
        <v>5812</v>
      </c>
      <c r="X1834">
        <v>3</v>
      </c>
      <c r="Y1834" t="s">
        <v>7736</v>
      </c>
      <c r="Z1834" t="s">
        <v>9732</v>
      </c>
      <c r="AA1834">
        <v>1.4183898490460649</v>
      </c>
      <c r="AB1834" t="str">
        <f>HYPERLINK("Melting_Curves/meltCurve_Q9BS40_LXN.pdf", "Melting_Curves/meltCurve_Q9BS40_LXN.pdf")</f>
        <v>Melting_Curves/meltCurve_Q9BS40_LXN.pdf</v>
      </c>
    </row>
    <row r="1835" spans="1:28" x14ac:dyDescent="0.25">
      <c r="A1835" t="s">
        <v>1839</v>
      </c>
      <c r="B1835">
        <v>1</v>
      </c>
      <c r="C1835">
        <v>0.90850889810192603</v>
      </c>
      <c r="D1835">
        <v>1.0197422229743101</v>
      </c>
      <c r="E1835">
        <v>0.93414558479284804</v>
      </c>
      <c r="F1835">
        <v>0.873536960261726</v>
      </c>
      <c r="G1835">
        <v>1.1966607439997701</v>
      </c>
      <c r="H1835">
        <v>1.3179626025890501</v>
      </c>
      <c r="I1835">
        <v>1.49203260287108</v>
      </c>
      <c r="J1835">
        <v>1.72778294835999</v>
      </c>
      <c r="K1835">
        <v>1.3526807118481501</v>
      </c>
      <c r="L1835">
        <v>1981.2232095167899</v>
      </c>
      <c r="M1835">
        <v>33.7585026797518</v>
      </c>
      <c r="O1835">
        <v>58.483335798063401</v>
      </c>
      <c r="P1835">
        <v>7.2154404248649495E-2</v>
      </c>
      <c r="Q1835">
        <v>1.5</v>
      </c>
      <c r="R1835">
        <v>0.837833469899816</v>
      </c>
      <c r="S1835" t="s">
        <v>3837</v>
      </c>
      <c r="T1835" t="s">
        <v>4002</v>
      </c>
      <c r="U1835" t="s">
        <v>4002</v>
      </c>
      <c r="V1835" t="s">
        <v>4002</v>
      </c>
      <c r="W1835" t="s">
        <v>5813</v>
      </c>
      <c r="X1835">
        <v>1</v>
      </c>
      <c r="Y1835" t="s">
        <v>7737</v>
      </c>
      <c r="Z1835" t="s">
        <v>9733</v>
      </c>
      <c r="AA1835">
        <v>1.1858621435679659</v>
      </c>
      <c r="AB1835" t="str">
        <f>HYPERLINK("Melting_Curves/meltCurve_Q9BSJ8_ESYT1.pdf", "Melting_Curves/meltCurve_Q9BSJ8_ESYT1.pdf")</f>
        <v>Melting_Curves/meltCurve_Q9BSJ8_ESYT1.pdf</v>
      </c>
    </row>
    <row r="1836" spans="1:28" x14ac:dyDescent="0.25">
      <c r="A1836" t="s">
        <v>1840</v>
      </c>
      <c r="B1836">
        <v>1</v>
      </c>
      <c r="C1836">
        <v>0.91635182106694901</v>
      </c>
      <c r="D1836">
        <v>0.893796282303159</v>
      </c>
      <c r="E1836">
        <v>0.841884539821671</v>
      </c>
      <c r="F1836">
        <v>0.82091582288045895</v>
      </c>
      <c r="G1836">
        <v>0.923756989572314</v>
      </c>
      <c r="H1836">
        <v>0.751511258878646</v>
      </c>
      <c r="I1836">
        <v>1.0157548738098801</v>
      </c>
      <c r="J1836">
        <v>0.70458667069669001</v>
      </c>
      <c r="K1836">
        <v>0.75015112588786503</v>
      </c>
      <c r="L1836">
        <v>144.74713821401599</v>
      </c>
      <c r="M1836">
        <v>0.80230905294995203</v>
      </c>
      <c r="O1836">
        <v>53.551377345451797</v>
      </c>
      <c r="P1836">
        <v>-5.7099298994080496E-3</v>
      </c>
      <c r="Q1836">
        <v>0</v>
      </c>
      <c r="R1836">
        <v>0.30556870245894102</v>
      </c>
      <c r="S1836" t="s">
        <v>3838</v>
      </c>
      <c r="T1836" t="s">
        <v>4002</v>
      </c>
      <c r="U1836" t="s">
        <v>4002</v>
      </c>
      <c r="V1836" t="s">
        <v>4002</v>
      </c>
      <c r="W1836" t="s">
        <v>5814</v>
      </c>
      <c r="X1836">
        <v>3</v>
      </c>
      <c r="Y1836" t="s">
        <v>7738</v>
      </c>
      <c r="Z1836" t="s">
        <v>9734</v>
      </c>
      <c r="AA1836">
        <v>0.86185734852267204</v>
      </c>
      <c r="AB1836" t="str">
        <f>HYPERLINK("Melting_Curves/meltCurve_Q9BT09_CNPY3.pdf", "Melting_Curves/meltCurve_Q9BT09_CNPY3.pdf")</f>
        <v>Melting_Curves/meltCurve_Q9BT09_CNPY3.pdf</v>
      </c>
    </row>
    <row r="1837" spans="1:28" x14ac:dyDescent="0.25">
      <c r="A1837" t="s">
        <v>1841</v>
      </c>
      <c r="B1837">
        <v>1</v>
      </c>
      <c r="C1837">
        <v>0.75993272285554103</v>
      </c>
      <c r="D1837">
        <v>1.02829377686414</v>
      </c>
      <c r="E1837">
        <v>1.77338815174734</v>
      </c>
      <c r="F1837">
        <v>2.3440852177163101</v>
      </c>
      <c r="G1837">
        <v>3.3421042795739102</v>
      </c>
      <c r="H1837">
        <v>3.39024481405345</v>
      </c>
      <c r="I1837">
        <v>4.71986544571108</v>
      </c>
      <c r="J1837">
        <v>3.5528686226873498</v>
      </c>
      <c r="K1837">
        <v>3.9491683797421002</v>
      </c>
      <c r="L1837">
        <v>11629.4306497788</v>
      </c>
      <c r="M1837">
        <v>250</v>
      </c>
      <c r="O1837">
        <v>46.514745841101998</v>
      </c>
      <c r="P1837">
        <v>0.67182996525135996</v>
      </c>
      <c r="Q1837">
        <v>1.5</v>
      </c>
      <c r="R1837">
        <v>-0.61680935820278104</v>
      </c>
      <c r="S1837" t="s">
        <v>3839</v>
      </c>
      <c r="T1837" t="s">
        <v>4002</v>
      </c>
      <c r="U1837" t="s">
        <v>4002</v>
      </c>
      <c r="V1837" t="s">
        <v>4002</v>
      </c>
      <c r="W1837" t="s">
        <v>5815</v>
      </c>
      <c r="X1837">
        <v>1</v>
      </c>
      <c r="Y1837" t="s">
        <v>7739</v>
      </c>
      <c r="Z1837" t="s">
        <v>9735</v>
      </c>
      <c r="AA1837">
        <v>1.391330471075154</v>
      </c>
      <c r="AB1837" t="str">
        <f>HYPERLINK("Melting_Curves/meltCurve_Q9BTY2_FUCA2.pdf", "Melting_Curves/meltCurve_Q9BTY2_FUCA2.pdf")</f>
        <v>Melting_Curves/meltCurve_Q9BTY2_FUCA2.pdf</v>
      </c>
    </row>
    <row r="1838" spans="1:28" x14ac:dyDescent="0.25">
      <c r="A1838" t="s">
        <v>1842</v>
      </c>
      <c r="B1838">
        <v>1</v>
      </c>
      <c r="C1838">
        <v>0.84456454510647105</v>
      </c>
      <c r="D1838">
        <v>0.96692486672753497</v>
      </c>
      <c r="E1838">
        <v>0.90900656790268897</v>
      </c>
      <c r="F1838">
        <v>0.92788560657379304</v>
      </c>
      <c r="G1838">
        <v>1.03432686360557</v>
      </c>
      <c r="H1838">
        <v>1.02747916237151</v>
      </c>
      <c r="I1838">
        <v>1.41357170205873</v>
      </c>
      <c r="J1838">
        <v>1.75551497658528</v>
      </c>
      <c r="K1838">
        <v>1.3274821076193599</v>
      </c>
      <c r="L1838">
        <v>6839.5243705863004</v>
      </c>
      <c r="M1838">
        <v>108.51534312053199</v>
      </c>
      <c r="O1838">
        <v>63.006780733162103</v>
      </c>
      <c r="P1838">
        <v>0.21528505860901401</v>
      </c>
      <c r="Q1838">
        <v>1.5</v>
      </c>
      <c r="R1838">
        <v>0.81776476942879806</v>
      </c>
      <c r="S1838" t="s">
        <v>3840</v>
      </c>
      <c r="T1838" t="s">
        <v>4002</v>
      </c>
      <c r="U1838" t="s">
        <v>4002</v>
      </c>
      <c r="V1838" t="s">
        <v>4002</v>
      </c>
      <c r="W1838" t="s">
        <v>5816</v>
      </c>
      <c r="X1838">
        <v>2</v>
      </c>
      <c r="Y1838" t="s">
        <v>7740</v>
      </c>
      <c r="Z1838" t="s">
        <v>9736</v>
      </c>
      <c r="AA1838">
        <v>1.1159034526904159</v>
      </c>
      <c r="AB1838" t="str">
        <f>HYPERLINK("Melting_Curves/meltCurve_Q9BUB1_PRKAR2A.pdf", "Melting_Curves/meltCurve_Q9BUB1_PRKAR2A.pdf")</f>
        <v>Melting_Curves/meltCurve_Q9BUB1_PRKAR2A.pdf</v>
      </c>
    </row>
    <row r="1839" spans="1:28" x14ac:dyDescent="0.25">
      <c r="A1839" t="s">
        <v>1843</v>
      </c>
      <c r="B1839">
        <v>1</v>
      </c>
      <c r="C1839">
        <v>1.03213679056755</v>
      </c>
      <c r="D1839">
        <v>1.1045538569144699</v>
      </c>
      <c r="E1839">
        <v>1.2493754996003199</v>
      </c>
      <c r="F1839">
        <v>1.13324340527578</v>
      </c>
      <c r="G1839">
        <v>1.1763963828936901</v>
      </c>
      <c r="H1839">
        <v>1.1620953237410101</v>
      </c>
      <c r="I1839">
        <v>1.34442446043165</v>
      </c>
      <c r="J1839">
        <v>1.4056254996003199</v>
      </c>
      <c r="K1839">
        <v>1.2692346123101499</v>
      </c>
      <c r="L1839">
        <v>296.971412783831</v>
      </c>
      <c r="M1839">
        <v>4.9719473333709603</v>
      </c>
      <c r="O1839">
        <v>52.061522596986798</v>
      </c>
      <c r="P1839">
        <v>1.1780084212706E-2</v>
      </c>
      <c r="Q1839">
        <v>1.4903363651777299</v>
      </c>
      <c r="R1839">
        <v>0.710388710960416</v>
      </c>
      <c r="S1839" t="s">
        <v>3841</v>
      </c>
      <c r="T1839" t="s">
        <v>4002</v>
      </c>
      <c r="U1839" t="s">
        <v>4002</v>
      </c>
      <c r="V1839" t="s">
        <v>4002</v>
      </c>
      <c r="W1839" t="s">
        <v>5817</v>
      </c>
      <c r="X1839">
        <v>3</v>
      </c>
      <c r="Y1839" t="s">
        <v>7741</v>
      </c>
      <c r="Z1839" t="s">
        <v>9737</v>
      </c>
      <c r="AA1839">
        <v>1.1893043886631121</v>
      </c>
      <c r="AB1839" t="str">
        <f>HYPERLINK("Melting_Curves/meltCurve_Q9BUH6_C9orf142.pdf", "Melting_Curves/meltCurve_Q9BUH6_C9orf142.pdf")</f>
        <v>Melting_Curves/meltCurve_Q9BUH6_C9orf142.pdf</v>
      </c>
    </row>
    <row r="1840" spans="1:28" x14ac:dyDescent="0.25">
      <c r="A1840" t="s">
        <v>1844</v>
      </c>
      <c r="B1840">
        <v>1</v>
      </c>
      <c r="C1840">
        <v>0.98201438848920897</v>
      </c>
      <c r="D1840">
        <v>1.0333633093525201</v>
      </c>
      <c r="E1840">
        <v>1.1653776978417301</v>
      </c>
      <c r="F1840">
        <v>1.06151079136691</v>
      </c>
      <c r="G1840">
        <v>1.0488309352517999</v>
      </c>
      <c r="H1840">
        <v>1.0496402877697799</v>
      </c>
      <c r="I1840">
        <v>1.4298561151079101</v>
      </c>
      <c r="J1840">
        <v>1.3600719424460399</v>
      </c>
      <c r="K1840">
        <v>1.24010791366906</v>
      </c>
      <c r="L1840">
        <v>15000</v>
      </c>
      <c r="M1840">
        <v>244.12481543723101</v>
      </c>
      <c r="O1840">
        <v>61.439855357930298</v>
      </c>
      <c r="P1840">
        <v>0.34106465579923501</v>
      </c>
      <c r="Q1840">
        <v>1.3433483490867499</v>
      </c>
      <c r="R1840">
        <v>0.75911289876508203</v>
      </c>
      <c r="S1840" t="s">
        <v>3842</v>
      </c>
      <c r="T1840" t="s">
        <v>4002</v>
      </c>
      <c r="U1840" t="s">
        <v>4002</v>
      </c>
      <c r="V1840" t="s">
        <v>4002</v>
      </c>
      <c r="W1840" t="s">
        <v>5818</v>
      </c>
      <c r="X1840">
        <v>3</v>
      </c>
      <c r="Y1840" t="s">
        <v>7742</v>
      </c>
      <c r="Z1840" t="s">
        <v>9738</v>
      </c>
      <c r="AA1840">
        <v>1.097884362752698</v>
      </c>
      <c r="AB1840" t="str">
        <f>HYPERLINK("Melting_Curves/meltCurve_Q9BUJ2_3_HNRNPUL1.pdf", "Melting_Curves/meltCurve_Q9BUJ2_3_HNRNPUL1.pdf")</f>
        <v>Melting_Curves/meltCurve_Q9BUJ2_3_HNRNPUL1.pdf</v>
      </c>
    </row>
    <row r="1841" spans="1:28" x14ac:dyDescent="0.25">
      <c r="A1841" t="s">
        <v>1845</v>
      </c>
      <c r="B1841">
        <v>1</v>
      </c>
      <c r="C1841">
        <v>0.969379135576517</v>
      </c>
      <c r="D1841">
        <v>1.0037308179642399</v>
      </c>
      <c r="E1841">
        <v>1.08968041672533</v>
      </c>
      <c r="F1841">
        <v>1.06631000985499</v>
      </c>
      <c r="G1841">
        <v>0.99260875686329697</v>
      </c>
      <c r="H1841">
        <v>0.89328452766436695</v>
      </c>
      <c r="I1841">
        <v>1.1659862030128101</v>
      </c>
      <c r="J1841">
        <v>1.2287765732789</v>
      </c>
      <c r="K1841">
        <v>0.97677037871322003</v>
      </c>
      <c r="L1841">
        <v>382.371728690179</v>
      </c>
      <c r="M1841">
        <v>5.7702576416812503</v>
      </c>
      <c r="O1841">
        <v>59.603643955269902</v>
      </c>
      <c r="P1841">
        <v>3.5942236569076998E-3</v>
      </c>
      <c r="Q1841">
        <v>1.14795514423109</v>
      </c>
      <c r="R1841">
        <v>9.7184935934533506E-2</v>
      </c>
      <c r="S1841" t="s">
        <v>3843</v>
      </c>
      <c r="T1841" t="s">
        <v>4002</v>
      </c>
      <c r="U1841" t="s">
        <v>4002</v>
      </c>
      <c r="V1841" t="s">
        <v>4002</v>
      </c>
      <c r="W1841" t="s">
        <v>5819</v>
      </c>
      <c r="X1841">
        <v>7</v>
      </c>
      <c r="Y1841" t="s">
        <v>7743</v>
      </c>
      <c r="Z1841" t="s">
        <v>9739</v>
      </c>
      <c r="AA1841">
        <v>1.038170680331032</v>
      </c>
      <c r="AB1841" t="str">
        <f>HYPERLINK("Melting_Curves/meltCurve_Q9BW04_SARG.pdf", "Melting_Curves/meltCurve_Q9BW04_SARG.pdf")</f>
        <v>Melting_Curves/meltCurve_Q9BW04_SARG.pdf</v>
      </c>
    </row>
    <row r="1842" spans="1:28" x14ac:dyDescent="0.25">
      <c r="A1842" t="s">
        <v>1846</v>
      </c>
      <c r="B1842">
        <v>1</v>
      </c>
      <c r="C1842">
        <v>0.93089599778424004</v>
      </c>
      <c r="D1842">
        <v>1.0043128177735601</v>
      </c>
      <c r="E1842">
        <v>1.0025718638099199</v>
      </c>
      <c r="F1842">
        <v>0.943972936079293</v>
      </c>
      <c r="G1842">
        <v>0.96017567808178494</v>
      </c>
      <c r="H1842">
        <v>0.83828911705937004</v>
      </c>
      <c r="I1842">
        <v>1.0192889785743999</v>
      </c>
      <c r="J1842">
        <v>0.87694620847923699</v>
      </c>
      <c r="K1842">
        <v>0.92201317585613396</v>
      </c>
      <c r="L1842">
        <v>353.57590642531801</v>
      </c>
      <c r="M1842">
        <v>6.1143977939280196</v>
      </c>
      <c r="O1842">
        <v>52.5569527943046</v>
      </c>
      <c r="P1842">
        <v>-3.4730304089425198E-3</v>
      </c>
      <c r="Q1842">
        <v>0.880949178152998</v>
      </c>
      <c r="R1842">
        <v>0.21905498480944599</v>
      </c>
      <c r="S1842" t="s">
        <v>3844</v>
      </c>
      <c r="T1842" t="s">
        <v>4002</v>
      </c>
      <c r="U1842" t="s">
        <v>4002</v>
      </c>
      <c r="V1842" t="s">
        <v>4002</v>
      </c>
      <c r="W1842" t="s">
        <v>5820</v>
      </c>
      <c r="X1842">
        <v>5</v>
      </c>
      <c r="Y1842" t="s">
        <v>7744</v>
      </c>
      <c r="Z1842" t="s">
        <v>9740</v>
      </c>
      <c r="AA1842">
        <v>0.95102673910558655</v>
      </c>
      <c r="AB1842" t="str">
        <f>HYPERLINK("Melting_Curves/meltCurve_Q9BW30_TPPP3.pdf", "Melting_Curves/meltCurve_Q9BW30_TPPP3.pdf")</f>
        <v>Melting_Curves/meltCurve_Q9BW30_TPPP3.pdf</v>
      </c>
    </row>
    <row r="1843" spans="1:28" x14ac:dyDescent="0.25">
      <c r="A1843" t="s">
        <v>1847</v>
      </c>
      <c r="B1843">
        <v>1</v>
      </c>
      <c r="C1843">
        <v>0.86157985146263805</v>
      </c>
      <c r="D1843">
        <v>1.07274036275451</v>
      </c>
      <c r="E1843">
        <v>1.1560147526903499</v>
      </c>
      <c r="F1843">
        <v>1.20295053806901</v>
      </c>
      <c r="G1843">
        <v>1.15893245086647</v>
      </c>
      <c r="H1843">
        <v>1.25392815641894</v>
      </c>
      <c r="I1843">
        <v>1.3873591673824099</v>
      </c>
      <c r="J1843">
        <v>1.45594402061335</v>
      </c>
      <c r="K1843">
        <v>1.26143080887182</v>
      </c>
      <c r="L1843">
        <v>628.41464210613299</v>
      </c>
      <c r="M1843">
        <v>11.5754011699931</v>
      </c>
      <c r="O1843">
        <v>52.744397226151101</v>
      </c>
      <c r="P1843">
        <v>2.1046435247957299E-2</v>
      </c>
      <c r="Q1843">
        <v>1.3834939281146801</v>
      </c>
      <c r="R1843">
        <v>0.77153021713820902</v>
      </c>
      <c r="S1843" t="s">
        <v>3845</v>
      </c>
      <c r="T1843" t="s">
        <v>4002</v>
      </c>
      <c r="U1843" t="s">
        <v>4002</v>
      </c>
      <c r="V1843" t="s">
        <v>4002</v>
      </c>
      <c r="W1843" t="s">
        <v>5821</v>
      </c>
      <c r="X1843">
        <v>2</v>
      </c>
      <c r="Y1843" t="s">
        <v>7745</v>
      </c>
      <c r="Z1843" t="s">
        <v>9741</v>
      </c>
      <c r="AA1843">
        <v>1.190806769413314</v>
      </c>
      <c r="AB1843" t="str">
        <f>HYPERLINK("Melting_Curves/meltCurve_Q9BWD1_ACAT2.pdf", "Melting_Curves/meltCurve_Q9BWD1_ACAT2.pdf")</f>
        <v>Melting_Curves/meltCurve_Q9BWD1_ACAT2.pdf</v>
      </c>
    </row>
    <row r="1844" spans="1:28" x14ac:dyDescent="0.25">
      <c r="A1844" t="s">
        <v>1848</v>
      </c>
      <c r="B1844">
        <v>1</v>
      </c>
      <c r="C1844">
        <v>1.5833772131902899</v>
      </c>
      <c r="D1844">
        <v>1.4044790363983399</v>
      </c>
      <c r="E1844">
        <v>1.7068715855986301</v>
      </c>
      <c r="F1844">
        <v>1.7014414533008599</v>
      </c>
      <c r="G1844">
        <v>2.1799512933587799</v>
      </c>
      <c r="H1844">
        <v>1.85266241032054</v>
      </c>
      <c r="I1844">
        <v>2.11923254130192</v>
      </c>
      <c r="J1844">
        <v>2.5967550845784202</v>
      </c>
      <c r="K1844">
        <v>1.8615480813532499</v>
      </c>
      <c r="S1844" t="s">
        <v>3846</v>
      </c>
      <c r="T1844" t="s">
        <v>4002</v>
      </c>
      <c r="U1844" t="s">
        <v>4003</v>
      </c>
      <c r="V1844" t="s">
        <v>4002</v>
      </c>
      <c r="W1844" t="s">
        <v>5822</v>
      </c>
      <c r="X1844">
        <v>2</v>
      </c>
      <c r="Y1844" t="s">
        <v>7746</v>
      </c>
      <c r="Z1844" t="s">
        <v>9742</v>
      </c>
      <c r="AB1844" t="str">
        <f>HYPERLINK("Melting_Curves/meltCurve_Q9BX68_HINT2.pdf", "Melting_Curves/meltCurve_Q9BX68_HINT2.pdf")</f>
        <v>Melting_Curves/meltCurve_Q9BX68_HINT2.pdf</v>
      </c>
    </row>
    <row r="1845" spans="1:28" x14ac:dyDescent="0.25">
      <c r="A1845" t="s">
        <v>1849</v>
      </c>
      <c r="B1845">
        <v>1</v>
      </c>
      <c r="C1845">
        <v>1.1681155306390401</v>
      </c>
      <c r="D1845">
        <v>1.57634034701771</v>
      </c>
      <c r="E1845">
        <v>0.83163609267998395</v>
      </c>
      <c r="F1845">
        <v>0.24370365113720999</v>
      </c>
      <c r="G1845">
        <v>0.26572401802505102</v>
      </c>
      <c r="H1845">
        <v>0.16637689387219201</v>
      </c>
      <c r="I1845">
        <v>0.222786786360572</v>
      </c>
      <c r="J1845">
        <v>0.133736649753397</v>
      </c>
      <c r="K1845">
        <v>0.11325621828762</v>
      </c>
      <c r="L1845">
        <v>3515.65192533035</v>
      </c>
      <c r="M1845">
        <v>68.926542661891602</v>
      </c>
      <c r="N1845">
        <v>51.340930028901298</v>
      </c>
      <c r="O1845">
        <v>50.962893553842001</v>
      </c>
      <c r="P1845">
        <v>-0.27686607639187699</v>
      </c>
      <c r="Q1845">
        <v>0.181163450928849</v>
      </c>
      <c r="R1845">
        <v>0.84956671865127797</v>
      </c>
      <c r="S1845" t="s">
        <v>3847</v>
      </c>
      <c r="T1845" t="s">
        <v>4002</v>
      </c>
      <c r="U1845" t="s">
        <v>4002</v>
      </c>
      <c r="V1845" t="s">
        <v>4002</v>
      </c>
      <c r="W1845" t="s">
        <v>5823</v>
      </c>
      <c r="X1845">
        <v>1</v>
      </c>
      <c r="Y1845" t="s">
        <v>7747</v>
      </c>
      <c r="Z1845" t="s">
        <v>9743</v>
      </c>
      <c r="AA1845">
        <v>0.4825280987986435</v>
      </c>
      <c r="AB1845" t="str">
        <f>HYPERLINK("Melting_Curves/meltCurve_Q9BXB1_2_LGR4.pdf", "Melting_Curves/meltCurve_Q9BXB1_2_LGR4.pdf")</f>
        <v>Melting_Curves/meltCurve_Q9BXB1_2_LGR4.pdf</v>
      </c>
    </row>
    <row r="1846" spans="1:28" x14ac:dyDescent="0.25">
      <c r="A1846" t="s">
        <v>1850</v>
      </c>
      <c r="B1846">
        <v>1</v>
      </c>
      <c r="C1846">
        <v>0.92078344302592996</v>
      </c>
      <c r="D1846">
        <v>1.0221869796209699</v>
      </c>
      <c r="E1846">
        <v>0.94027436365078099</v>
      </c>
      <c r="F1846">
        <v>0.85301720720006302</v>
      </c>
      <c r="G1846">
        <v>0.88838315756085995</v>
      </c>
      <c r="H1846">
        <v>0.82737292839584498</v>
      </c>
      <c r="I1846">
        <v>1.0307826500674</v>
      </c>
      <c r="J1846">
        <v>0.83925144714931399</v>
      </c>
      <c r="K1846">
        <v>0.92209975418285595</v>
      </c>
      <c r="L1846">
        <v>12487.795066508501</v>
      </c>
      <c r="M1846">
        <v>250</v>
      </c>
      <c r="O1846">
        <v>49.947977795125901</v>
      </c>
      <c r="P1846">
        <v>-0.133283000260912</v>
      </c>
      <c r="Q1846">
        <v>0.89348452606251005</v>
      </c>
      <c r="R1846">
        <v>0.29064624732845201</v>
      </c>
      <c r="S1846" t="s">
        <v>3848</v>
      </c>
      <c r="T1846" t="s">
        <v>4002</v>
      </c>
      <c r="U1846" t="s">
        <v>4002</v>
      </c>
      <c r="V1846" t="s">
        <v>4002</v>
      </c>
      <c r="W1846" t="s">
        <v>5824</v>
      </c>
      <c r="X1846">
        <v>1</v>
      </c>
      <c r="Y1846" t="s">
        <v>7748</v>
      </c>
      <c r="Z1846" t="s">
        <v>9744</v>
      </c>
      <c r="AA1846">
        <v>0.92882568632890838</v>
      </c>
      <c r="AB1846" t="str">
        <f>HYPERLINK("Melting_Curves/meltCurve_Q9BZG9_3_LYNX1.pdf", "Melting_Curves/meltCurve_Q9BZG9_3_LYNX1.pdf")</f>
        <v>Melting_Curves/meltCurve_Q9BZG9_3_LYNX1.pdf</v>
      </c>
    </row>
    <row r="1847" spans="1:28" x14ac:dyDescent="0.25">
      <c r="A1847" t="s">
        <v>1851</v>
      </c>
      <c r="B1847">
        <v>1</v>
      </c>
      <c r="C1847">
        <v>1.0562269737974701</v>
      </c>
      <c r="D1847">
        <v>1.1884447198980801</v>
      </c>
      <c r="E1847">
        <v>1.4959542746961401</v>
      </c>
      <c r="F1847">
        <v>1.6539269359226001</v>
      </c>
      <c r="G1847">
        <v>1.6767895878524901</v>
      </c>
      <c r="H1847">
        <v>2.05212960093654</v>
      </c>
      <c r="I1847">
        <v>2.2205350686912499</v>
      </c>
      <c r="J1847">
        <v>2.1706090968563898</v>
      </c>
      <c r="K1847">
        <v>1.9269014908928099</v>
      </c>
      <c r="L1847">
        <v>2406.16727750974</v>
      </c>
      <c r="M1847">
        <v>51.845411278368601</v>
      </c>
      <c r="O1847">
        <v>46.341526265099603</v>
      </c>
      <c r="P1847">
        <v>0.139846090250728</v>
      </c>
      <c r="Q1847">
        <v>1.5</v>
      </c>
      <c r="R1847">
        <v>0.18052893333834699</v>
      </c>
      <c r="S1847" t="s">
        <v>3849</v>
      </c>
      <c r="T1847" t="s">
        <v>4002</v>
      </c>
      <c r="U1847" t="s">
        <v>4002</v>
      </c>
      <c r="V1847" t="s">
        <v>4002</v>
      </c>
      <c r="W1847" t="s">
        <v>5825</v>
      </c>
      <c r="X1847">
        <v>2</v>
      </c>
      <c r="Y1847" t="s">
        <v>7749</v>
      </c>
      <c r="Z1847" t="s">
        <v>9745</v>
      </c>
      <c r="AA1847">
        <v>1.392205389973818</v>
      </c>
      <c r="AB1847" t="str">
        <f>HYPERLINK("Melting_Curves/meltCurve_Q9BZM5_ULBP2.pdf", "Melting_Curves/meltCurve_Q9BZM5_ULBP2.pdf")</f>
        <v>Melting_Curves/meltCurve_Q9BZM5_ULBP2.pdf</v>
      </c>
    </row>
    <row r="1848" spans="1:28" x14ac:dyDescent="0.25">
      <c r="A1848" t="s">
        <v>1852</v>
      </c>
      <c r="B1848">
        <v>1</v>
      </c>
      <c r="C1848">
        <v>0.89102124742974598</v>
      </c>
      <c r="D1848">
        <v>1.0504626456477</v>
      </c>
      <c r="E1848">
        <v>0.99580191912268701</v>
      </c>
      <c r="F1848">
        <v>1.1418779986292</v>
      </c>
      <c r="G1848">
        <v>0.55217614804660697</v>
      </c>
      <c r="H1848">
        <v>1.04986291980809</v>
      </c>
      <c r="I1848">
        <v>0.84845784784098699</v>
      </c>
      <c r="J1848">
        <v>1.04583618917066</v>
      </c>
      <c r="K1848">
        <v>0.725368403015764</v>
      </c>
      <c r="L1848">
        <v>2602.1042520824399</v>
      </c>
      <c r="M1848">
        <v>47.7771241734646</v>
      </c>
      <c r="O1848">
        <v>54.368236049548401</v>
      </c>
      <c r="P1848">
        <v>-3.1878394766794098E-2</v>
      </c>
      <c r="Q1848">
        <v>0.85489539585716001</v>
      </c>
      <c r="R1848">
        <v>0.18270161672821</v>
      </c>
      <c r="S1848" t="s">
        <v>3850</v>
      </c>
      <c r="T1848" t="s">
        <v>4002</v>
      </c>
      <c r="U1848" t="s">
        <v>4002</v>
      </c>
      <c r="V1848" t="s">
        <v>4002</v>
      </c>
      <c r="W1848" t="s">
        <v>5826</v>
      </c>
      <c r="X1848">
        <v>1</v>
      </c>
      <c r="Y1848" t="s">
        <v>7750</v>
      </c>
      <c r="Z1848" t="s">
        <v>9746</v>
      </c>
      <c r="AA1848">
        <v>0.92523398104805987</v>
      </c>
      <c r="AB1848" t="str">
        <f>HYPERLINK("Melting_Curves/meltCurve_Q9BZQ8_FAM129A.pdf", "Melting_Curves/meltCurve_Q9BZQ8_FAM129A.pdf")</f>
        <v>Melting_Curves/meltCurve_Q9BZQ8_FAM129A.pdf</v>
      </c>
    </row>
    <row r="1849" spans="1:28" x14ac:dyDescent="0.25">
      <c r="A1849" t="s">
        <v>1853</v>
      </c>
      <c r="B1849">
        <v>1</v>
      </c>
      <c r="C1849">
        <v>1.1718481218528101</v>
      </c>
      <c r="D1849">
        <v>1.39575579395115</v>
      </c>
      <c r="E1849">
        <v>1.6621837175116501</v>
      </c>
      <c r="F1849">
        <v>1.61464360554218</v>
      </c>
      <c r="G1849">
        <v>1.8853407562630999</v>
      </c>
      <c r="H1849">
        <v>1.5457573577706201</v>
      </c>
      <c r="I1849">
        <v>2.2955306039470802</v>
      </c>
      <c r="J1849">
        <v>1.86250899196197</v>
      </c>
      <c r="K1849">
        <v>1.9467988615394201</v>
      </c>
      <c r="L1849">
        <v>1655.24196336776</v>
      </c>
      <c r="M1849">
        <v>37.816977276401701</v>
      </c>
      <c r="O1849">
        <v>43.647957005622203</v>
      </c>
      <c r="P1849">
        <v>0.10830139076685701</v>
      </c>
      <c r="Q1849">
        <v>1.5</v>
      </c>
      <c r="R1849">
        <v>0.13116589859960201</v>
      </c>
      <c r="S1849" t="s">
        <v>3851</v>
      </c>
      <c r="T1849" t="s">
        <v>4002</v>
      </c>
      <c r="U1849" t="s">
        <v>4002</v>
      </c>
      <c r="V1849" t="s">
        <v>4002</v>
      </c>
      <c r="W1849" t="s">
        <v>5827</v>
      </c>
      <c r="X1849">
        <v>2</v>
      </c>
      <c r="Y1849" t="s">
        <v>7751</v>
      </c>
      <c r="Z1849" t="s">
        <v>9747</v>
      </c>
      <c r="AA1849">
        <v>1.435045611310181</v>
      </c>
      <c r="AB1849" t="str">
        <f>HYPERLINK("Melting_Curves/meltCurve_Q9GZN4_PRSS22.pdf", "Melting_Curves/meltCurve_Q9GZN4_PRSS22.pdf")</f>
        <v>Melting_Curves/meltCurve_Q9GZN4_PRSS22.pdf</v>
      </c>
    </row>
    <row r="1850" spans="1:28" x14ac:dyDescent="0.25">
      <c r="A1850" t="s">
        <v>1854</v>
      </c>
      <c r="B1850">
        <v>1</v>
      </c>
      <c r="C1850">
        <v>0.95515972203147703</v>
      </c>
      <c r="D1850">
        <v>1.11403026890433</v>
      </c>
      <c r="E1850">
        <v>1.26352075150383</v>
      </c>
      <c r="F1850">
        <v>1.49669019694015</v>
      </c>
      <c r="G1850">
        <v>1.6984371137418599</v>
      </c>
      <c r="H1850">
        <v>1.8405801082209501</v>
      </c>
      <c r="I1850">
        <v>1.9378141566182301</v>
      </c>
      <c r="J1850">
        <v>2.01348641744719</v>
      </c>
      <c r="K1850">
        <v>1.86667399126542</v>
      </c>
      <c r="L1850">
        <v>1908.0289404893599</v>
      </c>
      <c r="M1850">
        <v>38.537582878489403</v>
      </c>
      <c r="O1850">
        <v>49.3781191762926</v>
      </c>
      <c r="P1850">
        <v>9.7557594838263997E-2</v>
      </c>
      <c r="Q1850">
        <v>1.5</v>
      </c>
      <c r="R1850">
        <v>0.49177313378190601</v>
      </c>
      <c r="S1850" t="s">
        <v>3852</v>
      </c>
      <c r="T1850" t="s">
        <v>4002</v>
      </c>
      <c r="U1850" t="s">
        <v>4002</v>
      </c>
      <c r="V1850" t="s">
        <v>4002</v>
      </c>
      <c r="W1850" t="s">
        <v>5828</v>
      </c>
      <c r="X1850">
        <v>2</v>
      </c>
      <c r="Y1850" t="s">
        <v>7752</v>
      </c>
      <c r="Z1850" t="s">
        <v>9748</v>
      </c>
      <c r="AA1850">
        <v>1.339639508923544</v>
      </c>
      <c r="AB1850" t="str">
        <f>HYPERLINK("Melting_Curves/meltCurve_Q9GZN8_C20orf27.pdf", "Melting_Curves/meltCurve_Q9GZN8_C20orf27.pdf")</f>
        <v>Melting_Curves/meltCurve_Q9GZN8_C20orf27.pdf</v>
      </c>
    </row>
    <row r="1851" spans="1:28" x14ac:dyDescent="0.25">
      <c r="A1851" t="s">
        <v>1855</v>
      </c>
      <c r="B1851">
        <v>1</v>
      </c>
      <c r="C1851">
        <v>0.93068145800317004</v>
      </c>
      <c r="D1851">
        <v>1.04906497622821</v>
      </c>
      <c r="E1851">
        <v>1.1562282091917599</v>
      </c>
      <c r="F1851">
        <v>1.0230427892234499</v>
      </c>
      <c r="G1851">
        <v>1.0580982567353401</v>
      </c>
      <c r="H1851">
        <v>0.94811410459587997</v>
      </c>
      <c r="I1851">
        <v>1.26</v>
      </c>
      <c r="J1851">
        <v>0.905768621236133</v>
      </c>
      <c r="K1851">
        <v>0.70976228209191805</v>
      </c>
      <c r="L1851">
        <v>15000</v>
      </c>
      <c r="M1851">
        <v>223.147737016831</v>
      </c>
      <c r="O1851">
        <v>67.214653386956996</v>
      </c>
      <c r="P1851">
        <v>-0.24092755099284999</v>
      </c>
      <c r="Q1851">
        <v>0.70971950269784301</v>
      </c>
      <c r="R1851">
        <v>0.46762360104042999</v>
      </c>
      <c r="S1851" t="s">
        <v>3853</v>
      </c>
      <c r="T1851" t="s">
        <v>4002</v>
      </c>
      <c r="U1851" t="s">
        <v>4002</v>
      </c>
      <c r="V1851" t="s">
        <v>4002</v>
      </c>
      <c r="W1851" t="s">
        <v>5829</v>
      </c>
      <c r="X1851">
        <v>2</v>
      </c>
      <c r="Y1851" t="s">
        <v>7753</v>
      </c>
      <c r="Z1851" t="s">
        <v>9749</v>
      </c>
      <c r="AA1851">
        <v>0.97314360153911961</v>
      </c>
      <c r="AB1851" t="str">
        <f>HYPERLINK("Melting_Curves/meltCurve_Q9GZP4_2_PITHD1.pdf", "Melting_Curves/meltCurve_Q9GZP4_2_PITHD1.pdf")</f>
        <v>Melting_Curves/meltCurve_Q9GZP4_2_PITHD1.pdf</v>
      </c>
    </row>
    <row r="1852" spans="1:28" x14ac:dyDescent="0.25">
      <c r="A1852" t="s">
        <v>1856</v>
      </c>
      <c r="B1852">
        <v>1</v>
      </c>
      <c r="C1852">
        <v>1.01134521880065</v>
      </c>
      <c r="D1852">
        <v>1.0911493199915401</v>
      </c>
      <c r="E1852">
        <v>1.0679303784088501</v>
      </c>
      <c r="F1852">
        <v>0.94013811570713801</v>
      </c>
      <c r="G1852">
        <v>1.0176167993798899</v>
      </c>
      <c r="H1852">
        <v>0.92622084419702599</v>
      </c>
      <c r="I1852">
        <v>1.10746247621732</v>
      </c>
      <c r="J1852">
        <v>0.996335705728983</v>
      </c>
      <c r="K1852">
        <v>1.0457684447889499</v>
      </c>
      <c r="L1852">
        <v>10729.9490446936</v>
      </c>
      <c r="M1852">
        <v>250</v>
      </c>
      <c r="O1852">
        <v>42.917049611943099</v>
      </c>
      <c r="P1852">
        <v>3.5064385390036902E-2</v>
      </c>
      <c r="Q1852">
        <v>1.0240777594414601</v>
      </c>
      <c r="R1852">
        <v>1.9017148435854201E-2</v>
      </c>
      <c r="S1852" t="s">
        <v>3854</v>
      </c>
      <c r="T1852" t="s">
        <v>4002</v>
      </c>
      <c r="U1852" t="s">
        <v>4002</v>
      </c>
      <c r="V1852" t="s">
        <v>4002</v>
      </c>
      <c r="W1852" t="s">
        <v>5830</v>
      </c>
      <c r="X1852">
        <v>2</v>
      </c>
      <c r="Y1852" t="s">
        <v>7754</v>
      </c>
      <c r="Z1852" t="s">
        <v>9750</v>
      </c>
      <c r="AA1852">
        <v>1.021732540816793</v>
      </c>
      <c r="AB1852" t="str">
        <f>HYPERLINK("Melting_Curves/meltCurve_Q9GZZ8_LACRT.pdf", "Melting_Curves/meltCurve_Q9GZZ8_LACRT.pdf")</f>
        <v>Melting_Curves/meltCurve_Q9GZZ8_LACRT.pdf</v>
      </c>
    </row>
    <row r="1853" spans="1:28" x14ac:dyDescent="0.25">
      <c r="A1853" t="s">
        <v>1857</v>
      </c>
      <c r="B1853">
        <v>1</v>
      </c>
      <c r="C1853">
        <v>0.93996752123099903</v>
      </c>
      <c r="D1853">
        <v>1.0178367010089699</v>
      </c>
      <c r="E1853">
        <v>0.94221707531347298</v>
      </c>
      <c r="F1853">
        <v>0.97963421451960697</v>
      </c>
      <c r="G1853">
        <v>1.0388813460053801</v>
      </c>
      <c r="H1853">
        <v>1.0806911056092401</v>
      </c>
      <c r="I1853">
        <v>1.1925831270132801</v>
      </c>
      <c r="J1853">
        <v>1.44064638074701</v>
      </c>
      <c r="K1853">
        <v>1.1660809839469699</v>
      </c>
      <c r="L1853">
        <v>3259.8142993299698</v>
      </c>
      <c r="M1853">
        <v>52.229882833422202</v>
      </c>
      <c r="O1853">
        <v>62.321527839013498</v>
      </c>
      <c r="P1853">
        <v>6.1377520012374898E-2</v>
      </c>
      <c r="Q1853">
        <v>1.29294632707688</v>
      </c>
      <c r="R1853">
        <v>0.75952910538617402</v>
      </c>
      <c r="S1853" t="s">
        <v>3855</v>
      </c>
      <c r="T1853" t="s">
        <v>4002</v>
      </c>
      <c r="U1853" t="s">
        <v>4002</v>
      </c>
      <c r="V1853" t="s">
        <v>4002</v>
      </c>
      <c r="W1853" t="s">
        <v>5831</v>
      </c>
      <c r="X1853">
        <v>4</v>
      </c>
      <c r="Y1853" t="s">
        <v>7755</v>
      </c>
      <c r="Z1853" t="s">
        <v>9751</v>
      </c>
      <c r="AA1853">
        <v>1.0734024412318981</v>
      </c>
      <c r="AB1853" t="str">
        <f>HYPERLINK("Melting_Curves/meltCurve_Q9H0E2_TOLLIP.pdf", "Melting_Curves/meltCurve_Q9H0E2_TOLLIP.pdf")</f>
        <v>Melting_Curves/meltCurve_Q9H0E2_TOLLIP.pdf</v>
      </c>
    </row>
    <row r="1854" spans="1:28" x14ac:dyDescent="0.25">
      <c r="A1854" t="s">
        <v>1858</v>
      </c>
      <c r="B1854">
        <v>1</v>
      </c>
      <c r="C1854">
        <v>1.0973794632253999</v>
      </c>
      <c r="D1854">
        <v>1.3034597419048399</v>
      </c>
      <c r="E1854">
        <v>1.5121526403293499</v>
      </c>
      <c r="F1854">
        <v>1.57628057952656</v>
      </c>
      <c r="G1854">
        <v>1.8539308051618999</v>
      </c>
      <c r="H1854">
        <v>1.37550471063257</v>
      </c>
      <c r="I1854">
        <v>2.3281608740400599</v>
      </c>
      <c r="J1854">
        <v>1.4677381046631299</v>
      </c>
      <c r="K1854">
        <v>1.93682210434645</v>
      </c>
      <c r="L1854">
        <v>1534.19904559725</v>
      </c>
      <c r="M1854">
        <v>33.973954700459103</v>
      </c>
      <c r="O1854">
        <v>45.002502823489401</v>
      </c>
      <c r="P1854">
        <v>9.4367236745955693E-2</v>
      </c>
      <c r="Q1854">
        <v>1.5</v>
      </c>
      <c r="R1854">
        <v>0.29391325185987</v>
      </c>
      <c r="S1854" t="s">
        <v>3856</v>
      </c>
      <c r="T1854" t="s">
        <v>4002</v>
      </c>
      <c r="U1854" t="s">
        <v>4002</v>
      </c>
      <c r="V1854" t="s">
        <v>4002</v>
      </c>
      <c r="W1854" t="s">
        <v>5832</v>
      </c>
      <c r="X1854">
        <v>1</v>
      </c>
      <c r="Y1854" t="s">
        <v>7756</v>
      </c>
      <c r="Z1854" t="s">
        <v>9752</v>
      </c>
      <c r="AA1854">
        <v>1.4116548434745919</v>
      </c>
      <c r="AB1854" t="str">
        <f>HYPERLINK("Melting_Curves/meltCurve_Q9H0N0_RAB6C.pdf", "Melting_Curves/meltCurve_Q9H0N0_RAB6C.pdf")</f>
        <v>Melting_Curves/meltCurve_Q9H0N0_RAB6C.pdf</v>
      </c>
    </row>
    <row r="1855" spans="1:28" x14ac:dyDescent="0.25">
      <c r="A1855" t="s">
        <v>1859</v>
      </c>
      <c r="B1855">
        <v>1</v>
      </c>
      <c r="C1855">
        <v>0.77454461253473295</v>
      </c>
      <c r="D1855">
        <v>0.799089225069466</v>
      </c>
      <c r="E1855">
        <v>0.73466347638159901</v>
      </c>
      <c r="F1855">
        <v>0.69857980858289603</v>
      </c>
      <c r="G1855">
        <v>0.68640784192652105</v>
      </c>
      <c r="H1855">
        <v>0.71799166409385595</v>
      </c>
      <c r="I1855">
        <v>0.73899351651744405</v>
      </c>
      <c r="J1855">
        <v>2.3373726458783599</v>
      </c>
      <c r="K1855">
        <v>0.69975301018833003</v>
      </c>
      <c r="L1855">
        <v>3218.3208580169098</v>
      </c>
      <c r="M1855">
        <v>49.761455594807302</v>
      </c>
      <c r="O1855">
        <v>64.570787699865704</v>
      </c>
      <c r="P1855">
        <v>6.5227598652651306E-2</v>
      </c>
      <c r="Q1855">
        <v>1.3385586884140801</v>
      </c>
      <c r="R1855">
        <v>9.5475768589404097E-2</v>
      </c>
      <c r="S1855" t="s">
        <v>3857</v>
      </c>
      <c r="T1855" t="s">
        <v>4002</v>
      </c>
      <c r="U1855" t="s">
        <v>4002</v>
      </c>
      <c r="V1855" t="s">
        <v>4002</v>
      </c>
      <c r="W1855" t="s">
        <v>5833</v>
      </c>
      <c r="X1855">
        <v>2</v>
      </c>
      <c r="Y1855" t="s">
        <v>7757</v>
      </c>
      <c r="Z1855" t="s">
        <v>9753</v>
      </c>
      <c r="AA1855">
        <v>1.0595230066608721</v>
      </c>
      <c r="AB1855" t="str">
        <f>HYPERLINK("Melting_Curves/meltCurve_Q9H0P0_3_NT5C3A.pdf", "Melting_Curves/meltCurve_Q9H0P0_3_NT5C3A.pdf")</f>
        <v>Melting_Curves/meltCurve_Q9H0P0_3_NT5C3A.pdf</v>
      </c>
    </row>
    <row r="1856" spans="1:28" x14ac:dyDescent="0.25">
      <c r="A1856" t="s">
        <v>1860</v>
      </c>
      <c r="B1856">
        <v>1</v>
      </c>
      <c r="C1856">
        <v>1.01214788732394</v>
      </c>
      <c r="D1856">
        <v>1.1293133802816899</v>
      </c>
      <c r="E1856">
        <v>1.22887323943662</v>
      </c>
      <c r="F1856">
        <v>1.1949823943661999</v>
      </c>
      <c r="G1856">
        <v>1.35352112676056</v>
      </c>
      <c r="H1856">
        <v>1.19542253521127</v>
      </c>
      <c r="I1856">
        <v>1.6001760563380301</v>
      </c>
      <c r="J1856">
        <v>1.4041373239436601</v>
      </c>
      <c r="K1856">
        <v>1.43609154929577</v>
      </c>
      <c r="L1856">
        <v>475.25627757189699</v>
      </c>
      <c r="M1856">
        <v>8.9034772946243592</v>
      </c>
      <c r="O1856">
        <v>50.8918994768771</v>
      </c>
      <c r="P1856">
        <v>2.1885144133680801E-2</v>
      </c>
      <c r="Q1856">
        <v>1.5</v>
      </c>
      <c r="R1856">
        <v>0.75865164279666497</v>
      </c>
      <c r="S1856" t="s">
        <v>3858</v>
      </c>
      <c r="T1856" t="s">
        <v>4002</v>
      </c>
      <c r="U1856" t="s">
        <v>4002</v>
      </c>
      <c r="V1856" t="s">
        <v>4002</v>
      </c>
      <c r="W1856" t="s">
        <v>5834</v>
      </c>
      <c r="X1856">
        <v>9</v>
      </c>
      <c r="Y1856" t="s">
        <v>7758</v>
      </c>
      <c r="Z1856" t="s">
        <v>9754</v>
      </c>
      <c r="AA1856">
        <v>1.2591561083833269</v>
      </c>
      <c r="AB1856" t="str">
        <f>HYPERLINK("Melting_Curves/meltCurve_Q9H0U4_RAB1B.pdf", "Melting_Curves/meltCurve_Q9H0U4_RAB1B.pdf")</f>
        <v>Melting_Curves/meltCurve_Q9H0U4_RAB1B.pdf</v>
      </c>
    </row>
    <row r="1857" spans="1:28" x14ac:dyDescent="0.25">
      <c r="A1857" t="s">
        <v>1861</v>
      </c>
      <c r="B1857">
        <v>1</v>
      </c>
      <c r="C1857">
        <v>0.96704534325727198</v>
      </c>
      <c r="D1857">
        <v>0.95742336695720298</v>
      </c>
      <c r="E1857">
        <v>1.1737586916070899</v>
      </c>
      <c r="F1857">
        <v>1.19882969346783</v>
      </c>
      <c r="G1857">
        <v>1.4049554402115401</v>
      </c>
      <c r="H1857">
        <v>1.1584810498482001</v>
      </c>
      <c r="I1857">
        <v>1.72732837136422</v>
      </c>
      <c r="J1857">
        <v>1.3781706003329699</v>
      </c>
      <c r="K1857">
        <v>1.34308588776809</v>
      </c>
      <c r="L1857">
        <v>1033.6811549941101</v>
      </c>
      <c r="M1857">
        <v>19.711577685938501</v>
      </c>
      <c r="O1857">
        <v>51.9095093404108</v>
      </c>
      <c r="P1857">
        <v>4.0240571666296202E-2</v>
      </c>
      <c r="Q1857">
        <v>1.42387211907568</v>
      </c>
      <c r="R1857">
        <v>0.65636917674312001</v>
      </c>
      <c r="S1857" t="s">
        <v>3859</v>
      </c>
      <c r="T1857" t="s">
        <v>4002</v>
      </c>
      <c r="U1857" t="s">
        <v>4002</v>
      </c>
      <c r="V1857" t="s">
        <v>4002</v>
      </c>
      <c r="W1857" t="s">
        <v>5835</v>
      </c>
      <c r="X1857">
        <v>3</v>
      </c>
      <c r="Y1857" t="s">
        <v>7759</v>
      </c>
      <c r="Z1857" t="s">
        <v>9755</v>
      </c>
      <c r="AA1857">
        <v>1.242098411551837</v>
      </c>
      <c r="AB1857" t="str">
        <f>HYPERLINK("Melting_Curves/meltCurve_Q9H0W9_3_C11orf54.pdf", "Melting_Curves/meltCurve_Q9H0W9_3_C11orf54.pdf")</f>
        <v>Melting_Curves/meltCurve_Q9H0W9_3_C11orf54.pdf</v>
      </c>
    </row>
    <row r="1858" spans="1:28" x14ac:dyDescent="0.25">
      <c r="A1858" t="s">
        <v>1862</v>
      </c>
      <c r="B1858">
        <v>1</v>
      </c>
      <c r="C1858">
        <v>1.0506549432082499</v>
      </c>
      <c r="D1858">
        <v>0.92551802781820602</v>
      </c>
      <c r="E1858">
        <v>1.2953621318288899</v>
      </c>
      <c r="F1858">
        <v>1.1350698456044499</v>
      </c>
      <c r="G1858">
        <v>1.1919666301559</v>
      </c>
      <c r="H1858">
        <v>1.1953726349272999</v>
      </c>
      <c r="I1858">
        <v>1.1501342896154401</v>
      </c>
      <c r="J1858">
        <v>1.7478656203580101</v>
      </c>
      <c r="K1858">
        <v>1.0704757903581601</v>
      </c>
      <c r="L1858">
        <v>543.65960344888902</v>
      </c>
      <c r="M1858">
        <v>10.325688395153501</v>
      </c>
      <c r="O1858">
        <v>50.791153539603997</v>
      </c>
      <c r="P1858">
        <v>1.6948998183694702E-2</v>
      </c>
      <c r="Q1858">
        <v>1.3333389904097499</v>
      </c>
      <c r="R1858">
        <v>0.28321357857799201</v>
      </c>
      <c r="S1858" t="s">
        <v>3860</v>
      </c>
      <c r="T1858" t="s">
        <v>4002</v>
      </c>
      <c r="U1858" t="s">
        <v>4002</v>
      </c>
      <c r="V1858" t="s">
        <v>4002</v>
      </c>
      <c r="W1858" t="s">
        <v>5836</v>
      </c>
      <c r="X1858">
        <v>1</v>
      </c>
      <c r="Y1858" t="s">
        <v>7760</v>
      </c>
      <c r="Z1858" t="s">
        <v>9756</v>
      </c>
      <c r="AA1858">
        <v>1.1812888495431679</v>
      </c>
      <c r="AB1858" t="str">
        <f>HYPERLINK("Melting_Curves/meltCurve_Q9H1E1_RNASE7.pdf", "Melting_Curves/meltCurve_Q9H1E1_RNASE7.pdf")</f>
        <v>Melting_Curves/meltCurve_Q9H1E1_RNASE7.pdf</v>
      </c>
    </row>
    <row r="1859" spans="1:28" x14ac:dyDescent="0.25">
      <c r="A1859" t="s">
        <v>1863</v>
      </c>
      <c r="B1859">
        <v>1</v>
      </c>
      <c r="C1859">
        <v>0.99699881121742995</v>
      </c>
      <c r="D1859">
        <v>0.985812562118761</v>
      </c>
      <c r="E1859">
        <v>1.14916298014148</v>
      </c>
      <c r="F1859">
        <v>1.1955644768382301</v>
      </c>
      <c r="G1859">
        <v>1.2130454270847499</v>
      </c>
      <c r="H1859">
        <v>0.78340771344493598</v>
      </c>
      <c r="I1859">
        <v>1.50959795763257</v>
      </c>
      <c r="J1859">
        <v>1.1672870422699899</v>
      </c>
      <c r="K1859">
        <v>1.2028725664061699</v>
      </c>
      <c r="L1859">
        <v>12418.9102113109</v>
      </c>
      <c r="M1859">
        <v>250</v>
      </c>
      <c r="O1859">
        <v>49.6724586431882</v>
      </c>
      <c r="P1859">
        <v>0.22475884046588299</v>
      </c>
      <c r="Q1859">
        <v>1.1786291989598801</v>
      </c>
      <c r="R1859">
        <v>0.204188474763039</v>
      </c>
      <c r="S1859" t="s">
        <v>3861</v>
      </c>
      <c r="T1859" t="s">
        <v>4002</v>
      </c>
      <c r="U1859" t="s">
        <v>4002</v>
      </c>
      <c r="V1859" t="s">
        <v>4002</v>
      </c>
      <c r="W1859" t="s">
        <v>5837</v>
      </c>
      <c r="X1859">
        <v>1</v>
      </c>
      <c r="Y1859" t="s">
        <v>7761</v>
      </c>
      <c r="Z1859" t="s">
        <v>9757</v>
      </c>
      <c r="AA1859">
        <v>1.121001893616854</v>
      </c>
      <c r="AB1859" t="str">
        <f>HYPERLINK("Melting_Curves/meltCurve_Q9H1E3_2_NUCKS1.pdf", "Melting_Curves/meltCurve_Q9H1E3_2_NUCKS1.pdf")</f>
        <v>Melting_Curves/meltCurve_Q9H1E3_2_NUCKS1.pdf</v>
      </c>
    </row>
    <row r="1860" spans="1:28" x14ac:dyDescent="0.25">
      <c r="A1860" t="s">
        <v>1864</v>
      </c>
      <c r="B1860">
        <v>1</v>
      </c>
      <c r="C1860">
        <v>1.11481811331095</v>
      </c>
      <c r="D1860">
        <v>1.1306090292525901</v>
      </c>
      <c r="E1860">
        <v>1.39196410221278</v>
      </c>
      <c r="F1860">
        <v>1.3775433308214</v>
      </c>
      <c r="G1860">
        <v>1.7033637048708601</v>
      </c>
      <c r="H1860">
        <v>1.4536548605877899</v>
      </c>
      <c r="I1860">
        <v>2.0251421524970898</v>
      </c>
      <c r="J1860">
        <v>2.1690073302733399</v>
      </c>
      <c r="K1860">
        <v>1.6946290333630201</v>
      </c>
      <c r="L1860">
        <v>1173.5247547250401</v>
      </c>
      <c r="M1860">
        <v>24.695312638819001</v>
      </c>
      <c r="O1860">
        <v>47.211838851254903</v>
      </c>
      <c r="P1860">
        <v>6.5385262092891999E-2</v>
      </c>
      <c r="Q1860">
        <v>1.5</v>
      </c>
      <c r="R1860">
        <v>0.39659899622183498</v>
      </c>
      <c r="S1860" t="s">
        <v>3862</v>
      </c>
      <c r="T1860" t="s">
        <v>4002</v>
      </c>
      <c r="U1860" t="s">
        <v>4002</v>
      </c>
      <c r="V1860" t="s">
        <v>4002</v>
      </c>
      <c r="W1860" t="s">
        <v>5838</v>
      </c>
      <c r="X1860">
        <v>1</v>
      </c>
      <c r="Y1860" t="s">
        <v>7762</v>
      </c>
      <c r="Z1860" t="s">
        <v>9758</v>
      </c>
      <c r="AA1860">
        <v>1.3701140295225409</v>
      </c>
      <c r="AB1860" t="str">
        <f>HYPERLINK("Melting_Curves/meltCurve_Q9H1Z4_WDR13.pdf", "Melting_Curves/meltCurve_Q9H1Z4_WDR13.pdf")</f>
        <v>Melting_Curves/meltCurve_Q9H1Z4_WDR13.pdf</v>
      </c>
    </row>
    <row r="1861" spans="1:28" x14ac:dyDescent="0.25">
      <c r="A1861" t="s">
        <v>1865</v>
      </c>
      <c r="B1861">
        <v>1</v>
      </c>
      <c r="C1861">
        <v>0.99049576162342701</v>
      </c>
      <c r="D1861">
        <v>0.993749464851443</v>
      </c>
      <c r="E1861">
        <v>1.24454148471616</v>
      </c>
      <c r="F1861">
        <v>1.4061991608870601</v>
      </c>
      <c r="G1861">
        <v>2.0327082798184799</v>
      </c>
      <c r="H1861">
        <v>2.1565202500214098</v>
      </c>
      <c r="I1861">
        <v>3.2495932870964999</v>
      </c>
      <c r="J1861">
        <v>2.6450038530696101</v>
      </c>
      <c r="K1861">
        <v>2.8068327767788301</v>
      </c>
      <c r="L1861">
        <v>2473.3946286718701</v>
      </c>
      <c r="M1861">
        <v>49.349254055879499</v>
      </c>
      <c r="O1861">
        <v>50.038108676186297</v>
      </c>
      <c r="P1861">
        <v>0.123279291036412</v>
      </c>
      <c r="Q1861">
        <v>1.5</v>
      </c>
      <c r="R1861">
        <v>-6.3949051358894102E-2</v>
      </c>
      <c r="S1861" t="s">
        <v>3863</v>
      </c>
      <c r="T1861" t="s">
        <v>4002</v>
      </c>
      <c r="U1861" t="s">
        <v>4002</v>
      </c>
      <c r="V1861" t="s">
        <v>4002</v>
      </c>
      <c r="W1861" t="s">
        <v>5839</v>
      </c>
      <c r="X1861">
        <v>5</v>
      </c>
      <c r="Y1861" t="s">
        <v>7763</v>
      </c>
      <c r="Z1861" t="s">
        <v>9759</v>
      </c>
      <c r="AA1861">
        <v>1.3301950125193249</v>
      </c>
      <c r="AB1861" t="str">
        <f>HYPERLINK("Melting_Curves/meltCurve_Q9H2E6_SEMA6A.pdf", "Melting_Curves/meltCurve_Q9H2E6_SEMA6A.pdf")</f>
        <v>Melting_Curves/meltCurve_Q9H2E6_SEMA6A.pdf</v>
      </c>
    </row>
    <row r="1862" spans="1:28" x14ac:dyDescent="0.25">
      <c r="A1862" t="s">
        <v>1866</v>
      </c>
      <c r="B1862">
        <v>1</v>
      </c>
      <c r="C1862">
        <v>0.94406795613911199</v>
      </c>
      <c r="D1862">
        <v>1.00489434796932</v>
      </c>
      <c r="E1862">
        <v>1.0363311214645401</v>
      </c>
      <c r="F1862">
        <v>0.97898724645865698</v>
      </c>
      <c r="G1862">
        <v>1.04666101934209</v>
      </c>
      <c r="H1862">
        <v>0.83443926773024601</v>
      </c>
      <c r="I1862">
        <v>1.2027389524212899</v>
      </c>
      <c r="J1862">
        <v>0.92691420772742295</v>
      </c>
      <c r="K1862">
        <v>0.98811708786295804</v>
      </c>
      <c r="L1862">
        <v>2553.3883402595902</v>
      </c>
      <c r="M1862">
        <v>37.163936693582599</v>
      </c>
      <c r="O1862">
        <v>68.508052211744996</v>
      </c>
      <c r="P1862">
        <v>-4.45856318916865E-3</v>
      </c>
      <c r="Q1862">
        <v>0.96712440509253705</v>
      </c>
      <c r="R1862">
        <v>5.4826432812217201E-3</v>
      </c>
      <c r="S1862" t="s">
        <v>3864</v>
      </c>
      <c r="T1862" t="s">
        <v>4002</v>
      </c>
      <c r="U1862" t="s">
        <v>4002</v>
      </c>
      <c r="V1862" t="s">
        <v>4002</v>
      </c>
      <c r="W1862" t="s">
        <v>5840</v>
      </c>
      <c r="X1862">
        <v>6</v>
      </c>
      <c r="Y1862" t="s">
        <v>7764</v>
      </c>
      <c r="Z1862" t="s">
        <v>9760</v>
      </c>
      <c r="AA1862">
        <v>0.99784911146690114</v>
      </c>
      <c r="AB1862" t="str">
        <f>HYPERLINK("Melting_Curves/meltCurve_Q9H2G2_2_SLK.pdf", "Melting_Curves/meltCurve_Q9H2G2_2_SLK.pdf")</f>
        <v>Melting_Curves/meltCurve_Q9H2G2_2_SLK.pdf</v>
      </c>
    </row>
    <row r="1863" spans="1:28" x14ac:dyDescent="0.25">
      <c r="A1863" t="s">
        <v>1867</v>
      </c>
      <c r="B1863">
        <v>1</v>
      </c>
      <c r="C1863">
        <v>0.95841736291174495</v>
      </c>
      <c r="D1863">
        <v>0.96398732353788497</v>
      </c>
      <c r="E1863">
        <v>1.0519062710073901</v>
      </c>
      <c r="F1863">
        <v>0.97743205608374195</v>
      </c>
      <c r="G1863">
        <v>1.05430711610487</v>
      </c>
      <c r="H1863">
        <v>0.82569864592336495</v>
      </c>
      <c r="I1863">
        <v>1.2419571689234601</v>
      </c>
      <c r="J1863">
        <v>1.0380774032459399</v>
      </c>
      <c r="K1863">
        <v>0.949246134639393</v>
      </c>
      <c r="L1863">
        <v>2305.0132679564299</v>
      </c>
      <c r="M1863">
        <v>37.005549980403998</v>
      </c>
      <c r="O1863">
        <v>62.1072352269682</v>
      </c>
      <c r="P1863">
        <v>6.7881962064749602E-3</v>
      </c>
      <c r="Q1863">
        <v>1.04557100422465</v>
      </c>
      <c r="R1863">
        <v>4.3559019133832803E-2</v>
      </c>
      <c r="S1863" t="s">
        <v>3865</v>
      </c>
      <c r="T1863" t="s">
        <v>4002</v>
      </c>
      <c r="U1863" t="s">
        <v>4002</v>
      </c>
      <c r="V1863" t="s">
        <v>4002</v>
      </c>
      <c r="W1863" t="s">
        <v>5841</v>
      </c>
      <c r="X1863">
        <v>2</v>
      </c>
      <c r="Y1863" t="s">
        <v>7765</v>
      </c>
      <c r="Z1863" t="s">
        <v>9761</v>
      </c>
      <c r="AA1863">
        <v>1.0115426250032289</v>
      </c>
      <c r="AB1863" t="str">
        <f>HYPERLINK("Melting_Curves/meltCurve_Q9H3K6_BOLA2.pdf", "Melting_Curves/meltCurve_Q9H3K6_BOLA2.pdf")</f>
        <v>Melting_Curves/meltCurve_Q9H3K6_BOLA2.pdf</v>
      </c>
    </row>
    <row r="1864" spans="1:28" x14ac:dyDescent="0.25">
      <c r="A1864" t="s">
        <v>1868</v>
      </c>
      <c r="B1864">
        <v>1</v>
      </c>
      <c r="C1864">
        <v>0.90209075512468595</v>
      </c>
      <c r="D1864">
        <v>0.88798691818022502</v>
      </c>
      <c r="E1864">
        <v>0.83586404251591395</v>
      </c>
      <c r="F1864">
        <v>0.76738889213338801</v>
      </c>
      <c r="G1864">
        <v>0.79165449979559699</v>
      </c>
      <c r="H1864">
        <v>0.73739998831980402</v>
      </c>
      <c r="I1864">
        <v>0.84269695730888305</v>
      </c>
      <c r="J1864">
        <v>0.87262746014132997</v>
      </c>
      <c r="K1864">
        <v>0.77903988787011602</v>
      </c>
      <c r="L1864">
        <v>856.38922385713204</v>
      </c>
      <c r="M1864">
        <v>19.3231337124368</v>
      </c>
      <c r="O1864">
        <v>43.852898768946602</v>
      </c>
      <c r="P1864">
        <v>-2.2012296406193399E-2</v>
      </c>
      <c r="Q1864">
        <v>0.80018418276519199</v>
      </c>
      <c r="R1864">
        <v>0.71957276446058005</v>
      </c>
      <c r="S1864" t="s">
        <v>3866</v>
      </c>
      <c r="T1864" t="s">
        <v>4002</v>
      </c>
      <c r="U1864" t="s">
        <v>4002</v>
      </c>
      <c r="V1864" t="s">
        <v>4002</v>
      </c>
      <c r="W1864" t="s">
        <v>5842</v>
      </c>
      <c r="X1864">
        <v>3</v>
      </c>
      <c r="Y1864" t="s">
        <v>7766</v>
      </c>
      <c r="Z1864" t="s">
        <v>9762</v>
      </c>
      <c r="AA1864">
        <v>0.83295403065553952</v>
      </c>
      <c r="AB1864" t="str">
        <f>HYPERLINK("Melting_Curves/meltCurve_Q9H3N1_TMX1.pdf", "Melting_Curves/meltCurve_Q9H3N1_TMX1.pdf")</f>
        <v>Melting_Curves/meltCurve_Q9H3N1_TMX1.pdf</v>
      </c>
    </row>
    <row r="1865" spans="1:28" x14ac:dyDescent="0.25">
      <c r="A1865" t="s">
        <v>1869</v>
      </c>
      <c r="B1865">
        <v>1</v>
      </c>
      <c r="C1865">
        <v>0.789646372584761</v>
      </c>
      <c r="D1865">
        <v>1.10546325712202</v>
      </c>
      <c r="E1865">
        <v>0.99197958439664602</v>
      </c>
      <c r="F1865">
        <v>0.76126243424821605</v>
      </c>
      <c r="G1865">
        <v>1.09129732826415</v>
      </c>
      <c r="H1865">
        <v>0.95802301963439396</v>
      </c>
      <c r="I1865">
        <v>1.2054059684391401</v>
      </c>
      <c r="J1865">
        <v>1.3459715639810399</v>
      </c>
      <c r="K1865">
        <v>1.0210405708035999</v>
      </c>
      <c r="L1865">
        <v>15000</v>
      </c>
      <c r="M1865">
        <v>239.63028333878299</v>
      </c>
      <c r="O1865">
        <v>62.592080814093798</v>
      </c>
      <c r="P1865">
        <v>0.18288736511122899</v>
      </c>
      <c r="Q1865">
        <v>1.1910826696969901</v>
      </c>
      <c r="R1865">
        <v>0.36699959462362203</v>
      </c>
      <c r="S1865" t="s">
        <v>3867</v>
      </c>
      <c r="T1865" t="s">
        <v>4002</v>
      </c>
      <c r="U1865" t="s">
        <v>4002</v>
      </c>
      <c r="V1865" t="s">
        <v>4002</v>
      </c>
      <c r="W1865" t="s">
        <v>5843</v>
      </c>
      <c r="X1865">
        <v>1</v>
      </c>
      <c r="Y1865" t="s">
        <v>7767</v>
      </c>
      <c r="Z1865" t="s">
        <v>9763</v>
      </c>
      <c r="AA1865">
        <v>1.0471336228028021</v>
      </c>
      <c r="AB1865" t="str">
        <f>HYPERLINK("Melting_Curves/meltCurve_Q9H3P7_ACBD3.pdf", "Melting_Curves/meltCurve_Q9H3P7_ACBD3.pdf")</f>
        <v>Melting_Curves/meltCurve_Q9H3P7_ACBD3.pdf</v>
      </c>
    </row>
    <row r="1866" spans="1:28" x14ac:dyDescent="0.25">
      <c r="A1866" t="s">
        <v>1870</v>
      </c>
      <c r="B1866">
        <v>1</v>
      </c>
      <c r="C1866">
        <v>0.92832831031742502</v>
      </c>
      <c r="D1866">
        <v>0.99187321008201801</v>
      </c>
      <c r="E1866">
        <v>1.00899644640367</v>
      </c>
      <c r="F1866">
        <v>0.96632330229559305</v>
      </c>
      <c r="G1866">
        <v>0.97167618790577703</v>
      </c>
      <c r="H1866">
        <v>0.79158232498163195</v>
      </c>
      <c r="I1866">
        <v>1.0637548168473501</v>
      </c>
      <c r="J1866">
        <v>0.98725503426146699</v>
      </c>
      <c r="K1866">
        <v>0.84671554735879295</v>
      </c>
      <c r="L1866">
        <v>202.39422956241199</v>
      </c>
      <c r="M1866">
        <v>0.50081956526355698</v>
      </c>
      <c r="Q1866">
        <v>0</v>
      </c>
      <c r="R1866">
        <v>8.7968145559326694E-2</v>
      </c>
      <c r="S1866" t="s">
        <v>3868</v>
      </c>
      <c r="T1866" t="s">
        <v>4002</v>
      </c>
      <c r="U1866" t="s">
        <v>4002</v>
      </c>
      <c r="V1866" t="s">
        <v>4002</v>
      </c>
      <c r="W1866" t="s">
        <v>5844</v>
      </c>
      <c r="X1866">
        <v>2</v>
      </c>
      <c r="Y1866" t="s">
        <v>7768</v>
      </c>
      <c r="Z1866" t="s">
        <v>9764</v>
      </c>
      <c r="AA1866">
        <v>0.95763367705667513</v>
      </c>
      <c r="AB1866" t="str">
        <f>HYPERLINK("Melting_Curves/meltCurve_Q9H3Z4_2_DNAJC5.pdf", "Melting_Curves/meltCurve_Q9H3Z4_2_DNAJC5.pdf")</f>
        <v>Melting_Curves/meltCurve_Q9H3Z4_2_DNAJC5.pdf</v>
      </c>
    </row>
    <row r="1867" spans="1:28" x14ac:dyDescent="0.25">
      <c r="A1867" t="s">
        <v>1871</v>
      </c>
      <c r="B1867">
        <v>1</v>
      </c>
      <c r="C1867">
        <v>0.94897824901772798</v>
      </c>
      <c r="D1867">
        <v>0.92472693775496795</v>
      </c>
      <c r="E1867">
        <v>0.97007124997650096</v>
      </c>
      <c r="F1867">
        <v>0.90451751170266803</v>
      </c>
      <c r="G1867">
        <v>0.89109469291072096</v>
      </c>
      <c r="H1867">
        <v>0.72842291278927696</v>
      </c>
      <c r="I1867">
        <v>0.99232981783317398</v>
      </c>
      <c r="J1867">
        <v>0.90117120673772899</v>
      </c>
      <c r="K1867">
        <v>0.86229391085293206</v>
      </c>
      <c r="L1867">
        <v>495.84182621283901</v>
      </c>
      <c r="M1867">
        <v>10.4323410626852</v>
      </c>
      <c r="O1867">
        <v>45.882426121104203</v>
      </c>
      <c r="P1867">
        <v>-7.3647949549165599E-3</v>
      </c>
      <c r="Q1867">
        <v>0.870489316349353</v>
      </c>
      <c r="R1867">
        <v>0.26547258075994901</v>
      </c>
      <c r="S1867" t="s">
        <v>3869</v>
      </c>
      <c r="T1867" t="s">
        <v>4002</v>
      </c>
      <c r="U1867" t="s">
        <v>4002</v>
      </c>
      <c r="V1867" t="s">
        <v>4002</v>
      </c>
      <c r="W1867" t="s">
        <v>5845</v>
      </c>
      <c r="X1867">
        <v>5</v>
      </c>
      <c r="Y1867" t="s">
        <v>7769</v>
      </c>
      <c r="Z1867" t="s">
        <v>9765</v>
      </c>
      <c r="AA1867">
        <v>0.90964901800814613</v>
      </c>
      <c r="AB1867" t="str">
        <f>HYPERLINK("Melting_Curves/meltCurve_Q9H444_CHMP4B.pdf", "Melting_Curves/meltCurve_Q9H444_CHMP4B.pdf")</f>
        <v>Melting_Curves/meltCurve_Q9H444_CHMP4B.pdf</v>
      </c>
    </row>
    <row r="1868" spans="1:28" x14ac:dyDescent="0.25">
      <c r="A1868" t="s">
        <v>1872</v>
      </c>
      <c r="B1868">
        <v>1</v>
      </c>
      <c r="C1868">
        <v>0.90962473002159805</v>
      </c>
      <c r="D1868">
        <v>1.3074379049675999</v>
      </c>
      <c r="E1868">
        <v>1.2668399028077799</v>
      </c>
      <c r="F1868">
        <v>1.15625</v>
      </c>
      <c r="G1868">
        <v>1.2829036177105799</v>
      </c>
      <c r="H1868">
        <v>1.2372435205183601</v>
      </c>
      <c r="I1868">
        <v>1.32103806695464</v>
      </c>
      <c r="J1868">
        <v>1.23430750539957</v>
      </c>
      <c r="K1868">
        <v>1.2801025917926601</v>
      </c>
      <c r="L1868">
        <v>11115.1401144556</v>
      </c>
      <c r="M1868">
        <v>250</v>
      </c>
      <c r="O1868">
        <v>44.457715266908799</v>
      </c>
      <c r="P1868">
        <v>0.36659882609345701</v>
      </c>
      <c r="Q1868">
        <v>1.26077033939501</v>
      </c>
      <c r="R1868">
        <v>0.84330907622736695</v>
      </c>
      <c r="S1868" t="s">
        <v>3870</v>
      </c>
      <c r="T1868" t="s">
        <v>4002</v>
      </c>
      <c r="U1868" t="s">
        <v>4002</v>
      </c>
      <c r="V1868" t="s">
        <v>4002</v>
      </c>
      <c r="W1868" t="s">
        <v>5846</v>
      </c>
      <c r="X1868">
        <v>1</v>
      </c>
      <c r="Y1868" t="s">
        <v>7770</v>
      </c>
      <c r="Z1868" t="s">
        <v>9766</v>
      </c>
      <c r="AA1868">
        <v>1.2219772632975101</v>
      </c>
      <c r="AB1868" t="str">
        <f>HYPERLINK("Melting_Curves/meltCurve_Q9H461_FZD8.pdf", "Melting_Curves/meltCurve_Q9H461_FZD8.pdf")</f>
        <v>Melting_Curves/meltCurve_Q9H461_FZD8.pdf</v>
      </c>
    </row>
    <row r="1869" spans="1:28" x14ac:dyDescent="0.25">
      <c r="A1869" t="s">
        <v>1873</v>
      </c>
      <c r="B1869">
        <v>1</v>
      </c>
      <c r="C1869">
        <v>0.80606379533678796</v>
      </c>
      <c r="D1869">
        <v>1.00024287564767</v>
      </c>
      <c r="E1869">
        <v>1.09593588082902</v>
      </c>
      <c r="F1869">
        <v>1.2344559585492201</v>
      </c>
      <c r="G1869">
        <v>1.0586139896373099</v>
      </c>
      <c r="H1869">
        <v>1.0535945595854901</v>
      </c>
      <c r="I1869">
        <v>1.18304727979275</v>
      </c>
      <c r="J1869">
        <v>1.2801975388600999</v>
      </c>
      <c r="K1869">
        <v>1.06986722797927</v>
      </c>
      <c r="L1869">
        <v>12468.105698158701</v>
      </c>
      <c r="M1869">
        <v>250</v>
      </c>
      <c r="O1869">
        <v>49.869231859116702</v>
      </c>
      <c r="P1869">
        <v>0.18376738814347701</v>
      </c>
      <c r="Q1869">
        <v>1.1466294139498201</v>
      </c>
      <c r="R1869">
        <v>0.470285045808224</v>
      </c>
      <c r="S1869" t="s">
        <v>3871</v>
      </c>
      <c r="T1869" t="s">
        <v>4002</v>
      </c>
      <c r="U1869" t="s">
        <v>4002</v>
      </c>
      <c r="V1869" t="s">
        <v>4002</v>
      </c>
      <c r="W1869" t="s">
        <v>5847</v>
      </c>
      <c r="X1869">
        <v>2</v>
      </c>
      <c r="Y1869" t="s">
        <v>7771</v>
      </c>
      <c r="Z1869" t="s">
        <v>9767</v>
      </c>
      <c r="AA1869">
        <v>1.0983636612176271</v>
      </c>
      <c r="AB1869" t="str">
        <f>HYPERLINK("Melting_Curves/meltCurve_Q9H4A9_DPEP2.pdf", "Melting_Curves/meltCurve_Q9H4A9_DPEP2.pdf")</f>
        <v>Melting_Curves/meltCurve_Q9H4A9_DPEP2.pdf</v>
      </c>
    </row>
    <row r="1870" spans="1:28" x14ac:dyDescent="0.25">
      <c r="A1870" t="s">
        <v>1874</v>
      </c>
      <c r="B1870">
        <v>1</v>
      </c>
      <c r="C1870">
        <v>1.0100058107399501</v>
      </c>
      <c r="D1870">
        <v>0.969118043056166</v>
      </c>
      <c r="E1870">
        <v>1.10987967516546</v>
      </c>
      <c r="F1870">
        <v>1.00107711277087</v>
      </c>
      <c r="G1870">
        <v>1.06825493558582</v>
      </c>
      <c r="H1870">
        <v>0.75392224946498698</v>
      </c>
      <c r="I1870">
        <v>1.14403548803129</v>
      </c>
      <c r="J1870">
        <v>0.75081846398049901</v>
      </c>
      <c r="K1870">
        <v>0.89330914553777696</v>
      </c>
      <c r="L1870">
        <v>1113.6078063080299</v>
      </c>
      <c r="M1870">
        <v>17.133717906960399</v>
      </c>
      <c r="O1870">
        <v>64.129111702966497</v>
      </c>
      <c r="P1870">
        <v>-1.23443271789063E-2</v>
      </c>
      <c r="Q1870">
        <v>0.81519872511145597</v>
      </c>
      <c r="R1870">
        <v>0.204936324643851</v>
      </c>
      <c r="S1870" t="s">
        <v>3872</v>
      </c>
      <c r="T1870" t="s">
        <v>4002</v>
      </c>
      <c r="U1870" t="s">
        <v>4002</v>
      </c>
      <c r="V1870" t="s">
        <v>4002</v>
      </c>
      <c r="W1870" t="s">
        <v>5848</v>
      </c>
      <c r="X1870">
        <v>3</v>
      </c>
      <c r="Y1870" t="s">
        <v>7772</v>
      </c>
      <c r="Z1870" t="s">
        <v>9768</v>
      </c>
      <c r="AA1870">
        <v>0.96572551842976917</v>
      </c>
      <c r="AB1870" t="str">
        <f>HYPERLINK("Melting_Curves/meltCurve_Q9H4F8_SMOC1.pdf", "Melting_Curves/meltCurve_Q9H4F8_SMOC1.pdf")</f>
        <v>Melting_Curves/meltCurve_Q9H4F8_SMOC1.pdf</v>
      </c>
    </row>
    <row r="1871" spans="1:28" x14ac:dyDescent="0.25">
      <c r="A1871" t="s">
        <v>1875</v>
      </c>
      <c r="B1871">
        <v>1</v>
      </c>
      <c r="C1871">
        <v>0.92678271743064899</v>
      </c>
      <c r="D1871">
        <v>1.0140621058058299</v>
      </c>
      <c r="E1871">
        <v>1.03775488937883</v>
      </c>
      <c r="F1871">
        <v>0.989831847049919</v>
      </c>
      <c r="G1871">
        <v>0.90411003981703897</v>
      </c>
      <c r="H1871">
        <v>0.848563624995887</v>
      </c>
      <c r="I1871">
        <v>1.21831364419143</v>
      </c>
      <c r="J1871">
        <v>1.24760055721917</v>
      </c>
      <c r="K1871">
        <v>0.99545888314850794</v>
      </c>
      <c r="L1871">
        <v>1495.2229000720399</v>
      </c>
      <c r="M1871">
        <v>23.590545632855299</v>
      </c>
      <c r="O1871">
        <v>62.932095123225203</v>
      </c>
      <c r="P1871">
        <v>1.3364537874273399E-2</v>
      </c>
      <c r="Q1871">
        <v>1.1426070172662399</v>
      </c>
      <c r="R1871">
        <v>0.23593206301002401</v>
      </c>
      <c r="S1871" t="s">
        <v>3873</v>
      </c>
      <c r="T1871" t="s">
        <v>4002</v>
      </c>
      <c r="U1871" t="s">
        <v>4002</v>
      </c>
      <c r="V1871" t="s">
        <v>4002</v>
      </c>
      <c r="W1871" t="s">
        <v>5849</v>
      </c>
      <c r="X1871">
        <v>5</v>
      </c>
      <c r="Y1871" t="s">
        <v>7773</v>
      </c>
      <c r="Z1871" t="s">
        <v>9769</v>
      </c>
      <c r="AA1871">
        <v>1.0314002413783661</v>
      </c>
      <c r="AB1871" t="str">
        <f>HYPERLINK("Melting_Curves/meltCurve_Q9H4M9_EHD1.pdf", "Melting_Curves/meltCurve_Q9H4M9_EHD1.pdf")</f>
        <v>Melting_Curves/meltCurve_Q9H4M9_EHD1.pdf</v>
      </c>
    </row>
    <row r="1872" spans="1:28" x14ac:dyDescent="0.25">
      <c r="A1872" t="s">
        <v>1876</v>
      </c>
      <c r="B1872">
        <v>1</v>
      </c>
      <c r="C1872">
        <v>1.0803208556149699</v>
      </c>
      <c r="D1872">
        <v>0.97657754010695197</v>
      </c>
      <c r="E1872">
        <v>1.0689572192513399</v>
      </c>
      <c r="F1872">
        <v>1.0662566844919801</v>
      </c>
      <c r="G1872">
        <v>1.06256684491979</v>
      </c>
      <c r="H1872">
        <v>0.909144385026738</v>
      </c>
      <c r="I1872">
        <v>1.2070855614973299</v>
      </c>
      <c r="J1872">
        <v>1.66716577540107</v>
      </c>
      <c r="K1872">
        <v>0.94312834224598896</v>
      </c>
      <c r="L1872">
        <v>15000</v>
      </c>
      <c r="M1872">
        <v>235.12279253611001</v>
      </c>
      <c r="O1872">
        <v>63.7918245014055</v>
      </c>
      <c r="P1872">
        <v>0.28117106599424002</v>
      </c>
      <c r="Q1872">
        <v>1.3051413013431299</v>
      </c>
      <c r="R1872">
        <v>0.313829601329637</v>
      </c>
      <c r="S1872" t="s">
        <v>3874</v>
      </c>
      <c r="T1872" t="s">
        <v>4002</v>
      </c>
      <c r="U1872" t="s">
        <v>4002</v>
      </c>
      <c r="V1872" t="s">
        <v>4002</v>
      </c>
      <c r="W1872" t="s">
        <v>5850</v>
      </c>
      <c r="X1872">
        <v>2</v>
      </c>
      <c r="Y1872" t="s">
        <v>7774</v>
      </c>
      <c r="Z1872" t="s">
        <v>9770</v>
      </c>
      <c r="AA1872">
        <v>1.063059995934664</v>
      </c>
      <c r="AB1872" t="str">
        <f>HYPERLINK("Melting_Curves/meltCurve_Q9H6S3_EPS8L2.pdf", "Melting_Curves/meltCurve_Q9H6S3_EPS8L2.pdf")</f>
        <v>Melting_Curves/meltCurve_Q9H6S3_EPS8L2.pdf</v>
      </c>
    </row>
    <row r="1873" spans="1:28" x14ac:dyDescent="0.25">
      <c r="A1873" t="s">
        <v>1877</v>
      </c>
      <c r="B1873">
        <v>1</v>
      </c>
      <c r="C1873">
        <v>0.87406627082934296</v>
      </c>
      <c r="D1873">
        <v>0.92477494732809795</v>
      </c>
      <c r="E1873">
        <v>0.947462171997702</v>
      </c>
      <c r="F1873">
        <v>1.1292855774755799</v>
      </c>
      <c r="G1873">
        <v>1.0180042137521499</v>
      </c>
      <c r="H1873">
        <v>0.84820915533422703</v>
      </c>
      <c r="I1873">
        <v>1.26326374257805</v>
      </c>
      <c r="J1873">
        <v>1.1087914192683399</v>
      </c>
      <c r="K1873">
        <v>0.94533614250143605</v>
      </c>
      <c r="L1873">
        <v>955.56382819596604</v>
      </c>
      <c r="M1873">
        <v>16.275536416392999</v>
      </c>
      <c r="O1873">
        <v>57.846777899999402</v>
      </c>
      <c r="P1873">
        <v>4.3614004341959401E-3</v>
      </c>
      <c r="Q1873">
        <v>1.0620008957964</v>
      </c>
      <c r="R1873">
        <v>7.1701393456517507E-2</v>
      </c>
      <c r="S1873" t="s">
        <v>3875</v>
      </c>
      <c r="T1873" t="s">
        <v>4002</v>
      </c>
      <c r="U1873" t="s">
        <v>4002</v>
      </c>
      <c r="V1873" t="s">
        <v>4002</v>
      </c>
      <c r="W1873" t="s">
        <v>5851</v>
      </c>
      <c r="X1873">
        <v>1</v>
      </c>
      <c r="Y1873" t="s">
        <v>7775</v>
      </c>
      <c r="Z1873" t="s">
        <v>9771</v>
      </c>
      <c r="AA1873">
        <v>1.022619011061014</v>
      </c>
      <c r="AB1873" t="str">
        <f>HYPERLINK("Melting_Curves/meltCurve_Q9H741_C12orf49.pdf", "Melting_Curves/meltCurve_Q9H741_C12orf49.pdf")</f>
        <v>Melting_Curves/meltCurve_Q9H741_C12orf49.pdf</v>
      </c>
    </row>
    <row r="1874" spans="1:28" x14ac:dyDescent="0.25">
      <c r="A1874" t="s">
        <v>1878</v>
      </c>
      <c r="B1874">
        <v>1</v>
      </c>
      <c r="C1874">
        <v>0.82888303873636704</v>
      </c>
      <c r="D1874">
        <v>0.90962174145404895</v>
      </c>
      <c r="E1874">
        <v>0.90706834781575996</v>
      </c>
      <c r="F1874">
        <v>0.89081767977672699</v>
      </c>
      <c r="G1874">
        <v>0.95172304586211698</v>
      </c>
      <c r="H1874">
        <v>0.76199996041250195</v>
      </c>
      <c r="I1874">
        <v>1</v>
      </c>
      <c r="J1874">
        <v>0.77278755369054497</v>
      </c>
      <c r="K1874">
        <v>0.83228756358741895</v>
      </c>
      <c r="L1874">
        <v>97.678390370549707</v>
      </c>
      <c r="M1874">
        <v>1.0000000000000001E-5</v>
      </c>
      <c r="O1874">
        <v>40.710179097461598</v>
      </c>
      <c r="P1874">
        <v>-3.6045275910749799E-3</v>
      </c>
      <c r="Q1874">
        <v>0.19840983478876101</v>
      </c>
      <c r="R1874">
        <v>0.14705365077402299</v>
      </c>
      <c r="S1874" t="s">
        <v>3876</v>
      </c>
      <c r="T1874" t="s">
        <v>4002</v>
      </c>
      <c r="U1874" t="s">
        <v>4002</v>
      </c>
      <c r="V1874" t="s">
        <v>4002</v>
      </c>
      <c r="W1874" t="s">
        <v>5852</v>
      </c>
      <c r="X1874">
        <v>6</v>
      </c>
      <c r="Y1874" t="s">
        <v>7776</v>
      </c>
      <c r="Z1874" t="s">
        <v>9772</v>
      </c>
      <c r="AA1874">
        <v>0.88545847262763455</v>
      </c>
      <c r="AB1874" t="str">
        <f>HYPERLINK("Melting_Curves/meltCurve_Q9H8J5_MANSC1.pdf", "Melting_Curves/meltCurve_Q9H8J5_MANSC1.pdf")</f>
        <v>Melting_Curves/meltCurve_Q9H8J5_MANSC1.pdf</v>
      </c>
    </row>
    <row r="1875" spans="1:28" x14ac:dyDescent="0.25">
      <c r="A1875" t="s">
        <v>1879</v>
      </c>
      <c r="B1875">
        <v>1</v>
      </c>
      <c r="C1875">
        <v>0.84283300046090004</v>
      </c>
      <c r="D1875">
        <v>0.94845598402212306</v>
      </c>
      <c r="E1875">
        <v>0.91811338147180799</v>
      </c>
      <c r="F1875">
        <v>0.842448916884314</v>
      </c>
      <c r="G1875">
        <v>0.93155630665232803</v>
      </c>
      <c r="H1875">
        <v>0.86295897987402104</v>
      </c>
      <c r="I1875">
        <v>1.1122292210785101</v>
      </c>
      <c r="J1875">
        <v>0.959748041173759</v>
      </c>
      <c r="K1875">
        <v>0.83469042863727105</v>
      </c>
      <c r="L1875">
        <v>10232.8881059058</v>
      </c>
      <c r="M1875">
        <v>250</v>
      </c>
      <c r="O1875">
        <v>40.928933102794602</v>
      </c>
      <c r="P1875">
        <v>-0.12673816077853201</v>
      </c>
      <c r="Q1875">
        <v>0.917003876886889</v>
      </c>
      <c r="R1875">
        <v>9.1035762740287102E-2</v>
      </c>
      <c r="S1875" t="s">
        <v>3877</v>
      </c>
      <c r="T1875" t="s">
        <v>4002</v>
      </c>
      <c r="U1875" t="s">
        <v>4002</v>
      </c>
      <c r="V1875" t="s">
        <v>4002</v>
      </c>
      <c r="W1875" t="s">
        <v>5853</v>
      </c>
      <c r="X1875">
        <v>3</v>
      </c>
      <c r="Y1875" t="s">
        <v>7777</v>
      </c>
      <c r="Z1875" t="s">
        <v>9773</v>
      </c>
      <c r="AA1875">
        <v>0.91958828259938241</v>
      </c>
      <c r="AB1875" t="str">
        <f>HYPERLINK("Melting_Curves/meltCurve_Q9H8S9_MOB1A.pdf", "Melting_Curves/meltCurve_Q9H8S9_MOB1A.pdf")</f>
        <v>Melting_Curves/meltCurve_Q9H8S9_MOB1A.pdf</v>
      </c>
    </row>
    <row r="1876" spans="1:28" x14ac:dyDescent="0.25">
      <c r="A1876" t="s">
        <v>1880</v>
      </c>
      <c r="B1876">
        <v>1</v>
      </c>
      <c r="C1876">
        <v>0.88361357078897595</v>
      </c>
      <c r="D1876">
        <v>0.92075415381554104</v>
      </c>
      <c r="E1876">
        <v>1.0365137797234101</v>
      </c>
      <c r="F1876">
        <v>1.1627698736444101</v>
      </c>
      <c r="G1876">
        <v>1.0295492985772601</v>
      </c>
      <c r="H1876">
        <v>0.98327529599044905</v>
      </c>
      <c r="I1876">
        <v>1.1957019202069401</v>
      </c>
      <c r="J1876">
        <v>1.11929161277485</v>
      </c>
      <c r="K1876">
        <v>0.86678937419162305</v>
      </c>
      <c r="L1876">
        <v>12476.996164269</v>
      </c>
      <c r="M1876">
        <v>250</v>
      </c>
      <c r="O1876">
        <v>49.904790877240302</v>
      </c>
      <c r="P1876">
        <v>7.4595635184253495E-2</v>
      </c>
      <c r="Q1876">
        <v>1.0595628731176101</v>
      </c>
      <c r="R1876">
        <v>0.162301532143935</v>
      </c>
      <c r="S1876" t="s">
        <v>3878</v>
      </c>
      <c r="T1876" t="s">
        <v>4002</v>
      </c>
      <c r="U1876" t="s">
        <v>4002</v>
      </c>
      <c r="V1876" t="s">
        <v>4002</v>
      </c>
      <c r="W1876" t="s">
        <v>5854</v>
      </c>
      <c r="X1876">
        <v>2</v>
      </c>
      <c r="Y1876" t="s">
        <v>7778</v>
      </c>
      <c r="Z1876" t="s">
        <v>9774</v>
      </c>
      <c r="AA1876">
        <v>1.0398860550410289</v>
      </c>
      <c r="AB1876" t="str">
        <f>HYPERLINK("Melting_Curves/meltCurve_Q9H8Y8_2_GORASP2.pdf", "Melting_Curves/meltCurve_Q9H8Y8_2_GORASP2.pdf")</f>
        <v>Melting_Curves/meltCurve_Q9H8Y8_2_GORASP2.pdf</v>
      </c>
    </row>
    <row r="1877" spans="1:28" x14ac:dyDescent="0.25">
      <c r="A1877" t="s">
        <v>1881</v>
      </c>
      <c r="B1877">
        <v>1</v>
      </c>
      <c r="C1877">
        <v>0.87777777777777799</v>
      </c>
      <c r="D1877">
        <v>0.935880640465793</v>
      </c>
      <c r="E1877">
        <v>0.890659873847647</v>
      </c>
      <c r="F1877">
        <v>0.72025715672003898</v>
      </c>
      <c r="G1877">
        <v>0.80781174187287696</v>
      </c>
      <c r="H1877">
        <v>0.83612324114507497</v>
      </c>
      <c r="I1877">
        <v>0.88993207180980105</v>
      </c>
      <c r="J1877">
        <v>0.99211547792333799</v>
      </c>
      <c r="K1877">
        <v>0.78951965065502205</v>
      </c>
      <c r="L1877">
        <v>860.77866836004796</v>
      </c>
      <c r="M1877">
        <v>20.012092115784</v>
      </c>
      <c r="O1877">
        <v>42.590335398135899</v>
      </c>
      <c r="P1877">
        <v>-1.7817560396141099E-2</v>
      </c>
      <c r="Q1877">
        <v>0.84832545827828598</v>
      </c>
      <c r="R1877">
        <v>0.26178802778743498</v>
      </c>
      <c r="S1877" t="s">
        <v>3879</v>
      </c>
      <c r="T1877" t="s">
        <v>4002</v>
      </c>
      <c r="U1877" t="s">
        <v>4002</v>
      </c>
      <c r="V1877" t="s">
        <v>4002</v>
      </c>
      <c r="W1877" t="s">
        <v>5855</v>
      </c>
      <c r="X1877">
        <v>1</v>
      </c>
      <c r="Y1877" t="s">
        <v>6616</v>
      </c>
      <c r="Z1877" t="s">
        <v>9775</v>
      </c>
      <c r="AA1877">
        <v>0.8671150772088706</v>
      </c>
      <c r="AB1877" t="str">
        <f>HYPERLINK("Melting_Curves/meltCurve_Q9HB40_2_SCPEP1.pdf", "Melting_Curves/meltCurve_Q9HB40_2_SCPEP1.pdf")</f>
        <v>Melting_Curves/meltCurve_Q9HB40_2_SCPEP1.pdf</v>
      </c>
    </row>
    <row r="1878" spans="1:28" x14ac:dyDescent="0.25">
      <c r="A1878" t="s">
        <v>1882</v>
      </c>
      <c r="B1878">
        <v>1</v>
      </c>
      <c r="C1878">
        <v>0.88965315666406897</v>
      </c>
      <c r="D1878">
        <v>1.0184138737334401</v>
      </c>
      <c r="E1878">
        <v>1.0167575993764599</v>
      </c>
      <c r="F1878">
        <v>0.93567809820732695</v>
      </c>
      <c r="G1878">
        <v>1.04218628215121</v>
      </c>
      <c r="H1878">
        <v>0.77092751363990597</v>
      </c>
      <c r="I1878">
        <v>1.06537412314887</v>
      </c>
      <c r="J1878">
        <v>0.73677903351519902</v>
      </c>
      <c r="K1878">
        <v>0.84928877630553401</v>
      </c>
      <c r="L1878">
        <v>708.47684621625694</v>
      </c>
      <c r="M1878">
        <v>10.635530136380099</v>
      </c>
      <c r="O1878">
        <v>64.388562994760306</v>
      </c>
      <c r="P1878">
        <v>-1.19868318269003E-2</v>
      </c>
      <c r="Q1878">
        <v>0.70983353194569898</v>
      </c>
      <c r="R1878">
        <v>0.25570359994696501</v>
      </c>
      <c r="S1878" t="s">
        <v>3880</v>
      </c>
      <c r="T1878" t="s">
        <v>4002</v>
      </c>
      <c r="U1878" t="s">
        <v>4002</v>
      </c>
      <c r="V1878" t="s">
        <v>4002</v>
      </c>
      <c r="W1878" t="s">
        <v>5856</v>
      </c>
      <c r="X1878">
        <v>21</v>
      </c>
      <c r="Y1878" t="s">
        <v>7779</v>
      </c>
      <c r="Z1878" t="s">
        <v>9776</v>
      </c>
      <c r="AA1878">
        <v>0.94679271373522034</v>
      </c>
      <c r="AB1878" t="str">
        <f>HYPERLINK("Melting_Curves/meltCurve_Q9HBR0_SLC38A10.pdf", "Melting_Curves/meltCurve_Q9HBR0_SLC38A10.pdf")</f>
        <v>Melting_Curves/meltCurve_Q9HBR0_SLC38A10.pdf</v>
      </c>
    </row>
    <row r="1879" spans="1:28" x14ac:dyDescent="0.25">
      <c r="A1879" t="s">
        <v>1883</v>
      </c>
      <c r="B1879">
        <v>1</v>
      </c>
      <c r="C1879">
        <v>0.921518037247267</v>
      </c>
      <c r="D1879">
        <v>0.96216634610873997</v>
      </c>
      <c r="E1879">
        <v>0.952619974668105</v>
      </c>
      <c r="F1879">
        <v>0.96584885302809997</v>
      </c>
      <c r="G1879">
        <v>0.96845240887554496</v>
      </c>
      <c r="H1879">
        <v>1.0890603743491101</v>
      </c>
      <c r="I1879">
        <v>1.00999202514425</v>
      </c>
      <c r="J1879">
        <v>2.6987850072711899</v>
      </c>
      <c r="K1879">
        <v>0.86271520382793099</v>
      </c>
      <c r="L1879">
        <v>15000</v>
      </c>
      <c r="M1879">
        <v>231.395509991636</v>
      </c>
      <c r="O1879">
        <v>64.8192388502151</v>
      </c>
      <c r="P1879">
        <v>0.44623234949641899</v>
      </c>
      <c r="Q1879">
        <v>1.5</v>
      </c>
      <c r="R1879">
        <v>0.31468679156513302</v>
      </c>
      <c r="S1879" t="s">
        <v>3881</v>
      </c>
      <c r="T1879" t="s">
        <v>4002</v>
      </c>
      <c r="U1879" t="s">
        <v>4002</v>
      </c>
      <c r="V1879" t="s">
        <v>4002</v>
      </c>
      <c r="W1879" t="s">
        <v>5857</v>
      </c>
      <c r="X1879">
        <v>4</v>
      </c>
      <c r="Y1879" t="s">
        <v>7780</v>
      </c>
      <c r="Z1879" t="s">
        <v>9777</v>
      </c>
      <c r="AA1879">
        <v>1.086199009603978</v>
      </c>
      <c r="AB1879" t="str">
        <f>HYPERLINK("Melting_Curves/meltCurve_Q9HCY8_S100A14.pdf", "Melting_Curves/meltCurve_Q9HCY8_S100A14.pdf")</f>
        <v>Melting_Curves/meltCurve_Q9HCY8_S100A14.pdf</v>
      </c>
    </row>
    <row r="1880" spans="1:28" x14ac:dyDescent="0.25">
      <c r="A1880" t="s">
        <v>1884</v>
      </c>
      <c r="B1880">
        <v>1</v>
      </c>
      <c r="C1880">
        <v>0.90961508248232503</v>
      </c>
      <c r="D1880">
        <v>0.92749410840534197</v>
      </c>
      <c r="E1880">
        <v>0.94224666142969404</v>
      </c>
      <c r="F1880">
        <v>0.925970149253731</v>
      </c>
      <c r="G1880">
        <v>0.98306362922230905</v>
      </c>
      <c r="H1880">
        <v>0.76012568735271002</v>
      </c>
      <c r="I1880">
        <v>1.11005498821681</v>
      </c>
      <c r="J1880">
        <v>0.862199528672427</v>
      </c>
      <c r="K1880">
        <v>0.88447761194029895</v>
      </c>
      <c r="L1880">
        <v>10255.50636868</v>
      </c>
      <c r="M1880">
        <v>250</v>
      </c>
      <c r="O1880">
        <v>41.019398624629801</v>
      </c>
      <c r="P1880">
        <v>-0.11761939016249801</v>
      </c>
      <c r="Q1880">
        <v>0.92280517044850796</v>
      </c>
      <c r="R1880">
        <v>7.0337832023885896E-2</v>
      </c>
      <c r="S1880" t="s">
        <v>3882</v>
      </c>
      <c r="T1880" t="s">
        <v>4002</v>
      </c>
      <c r="U1880" t="s">
        <v>4002</v>
      </c>
      <c r="V1880" t="s">
        <v>4002</v>
      </c>
      <c r="W1880" t="s">
        <v>5858</v>
      </c>
      <c r="X1880">
        <v>5</v>
      </c>
      <c r="Y1880" t="s">
        <v>7781</v>
      </c>
      <c r="Z1880" t="s">
        <v>9778</v>
      </c>
      <c r="AA1880">
        <v>0.92544123355436925</v>
      </c>
      <c r="AB1880" t="str">
        <f>HYPERLINK("Melting_Curves/meltCurve_Q9HD89_RETN.pdf", "Melting_Curves/meltCurve_Q9HD89_RETN.pdf")</f>
        <v>Melting_Curves/meltCurve_Q9HD89_RETN.pdf</v>
      </c>
    </row>
    <row r="1881" spans="1:28" x14ac:dyDescent="0.25">
      <c r="A1881" t="s">
        <v>1885</v>
      </c>
      <c r="B1881">
        <v>1</v>
      </c>
      <c r="C1881">
        <v>1.09725614377874</v>
      </c>
      <c r="D1881">
        <v>1.0372753457191499</v>
      </c>
      <c r="E1881">
        <v>1.1660799407097999</v>
      </c>
      <c r="F1881">
        <v>1.01950512893935</v>
      </c>
      <c r="G1881">
        <v>1.16067307854267</v>
      </c>
      <c r="H1881">
        <v>1.0239182064713901</v>
      </c>
      <c r="I1881">
        <v>1.0926240967508301</v>
      </c>
      <c r="J1881">
        <v>1.1232292947497899</v>
      </c>
      <c r="K1881">
        <v>1.02477724064748</v>
      </c>
      <c r="L1881">
        <v>10255.097529802701</v>
      </c>
      <c r="M1881">
        <v>250</v>
      </c>
      <c r="O1881">
        <v>41.017759534117197</v>
      </c>
      <c r="P1881">
        <v>0.12618845244676</v>
      </c>
      <c r="Q1881">
        <v>1.0828154927118001</v>
      </c>
      <c r="R1881">
        <v>0.18141157319127299</v>
      </c>
      <c r="S1881" t="s">
        <v>3883</v>
      </c>
      <c r="T1881" t="s">
        <v>4002</v>
      </c>
      <c r="U1881" t="s">
        <v>4002</v>
      </c>
      <c r="V1881" t="s">
        <v>4002</v>
      </c>
      <c r="W1881" t="s">
        <v>5859</v>
      </c>
      <c r="X1881">
        <v>1</v>
      </c>
      <c r="Y1881" t="s">
        <v>7782</v>
      </c>
      <c r="Z1881" t="s">
        <v>9779</v>
      </c>
      <c r="AA1881">
        <v>1.079992001437883</v>
      </c>
      <c r="AB1881" t="str">
        <f>HYPERLINK("Melting_Curves/meltCurve_Q9NP31_4_SH2D2A.pdf", "Melting_Curves/meltCurve_Q9NP31_4_SH2D2A.pdf")</f>
        <v>Melting_Curves/meltCurve_Q9NP31_4_SH2D2A.pdf</v>
      </c>
    </row>
    <row r="1882" spans="1:28" x14ac:dyDescent="0.25">
      <c r="A1882" t="s">
        <v>1886</v>
      </c>
      <c r="B1882">
        <v>1</v>
      </c>
      <c r="C1882">
        <v>0.99097798628653899</v>
      </c>
      <c r="D1882">
        <v>1.0334415974978901</v>
      </c>
      <c r="E1882">
        <v>1.17671117526765</v>
      </c>
      <c r="F1882">
        <v>1.0065559966317801</v>
      </c>
      <c r="G1882">
        <v>1.1482617586912101</v>
      </c>
      <c r="H1882">
        <v>1.13268374834596</v>
      </c>
      <c r="I1882">
        <v>1.54883916756887</v>
      </c>
      <c r="J1882">
        <v>1.4413569108625</v>
      </c>
      <c r="K1882">
        <v>1.4271021291952399</v>
      </c>
      <c r="L1882">
        <v>15000</v>
      </c>
      <c r="M1882">
        <v>244.961493777599</v>
      </c>
      <c r="O1882">
        <v>61.230032789383401</v>
      </c>
      <c r="P1882">
        <v>0.472514964115479</v>
      </c>
      <c r="Q1882">
        <v>1.472435174973</v>
      </c>
      <c r="R1882">
        <v>0.83650406442287095</v>
      </c>
      <c r="S1882" t="s">
        <v>3884</v>
      </c>
      <c r="T1882" t="s">
        <v>4002</v>
      </c>
      <c r="U1882" t="s">
        <v>4002</v>
      </c>
      <c r="V1882" t="s">
        <v>4002</v>
      </c>
      <c r="W1882" t="s">
        <v>5860</v>
      </c>
      <c r="X1882">
        <v>2</v>
      </c>
      <c r="Y1882" t="s">
        <v>7783</v>
      </c>
      <c r="Z1882" t="s">
        <v>9780</v>
      </c>
      <c r="AA1882">
        <v>1.13799088444859</v>
      </c>
      <c r="AB1882" t="str">
        <f>HYPERLINK("Melting_Curves/meltCurve_Q9NP79_VTA1.pdf", "Melting_Curves/meltCurve_Q9NP79_VTA1.pdf")</f>
        <v>Melting_Curves/meltCurve_Q9NP79_VTA1.pdf</v>
      </c>
    </row>
    <row r="1883" spans="1:28" x14ac:dyDescent="0.25">
      <c r="A1883" t="s">
        <v>1887</v>
      </c>
      <c r="B1883">
        <v>1</v>
      </c>
      <c r="C1883">
        <v>0.98349003340029195</v>
      </c>
      <c r="D1883">
        <v>1.00872448918948</v>
      </c>
      <c r="E1883">
        <v>1.02987008356016</v>
      </c>
      <c r="F1883">
        <v>0.98988482247922904</v>
      </c>
      <c r="G1883">
        <v>1.2396144108592599</v>
      </c>
      <c r="H1883">
        <v>1.0990241409230801</v>
      </c>
      <c r="I1883">
        <v>1.3915203670466301</v>
      </c>
      <c r="J1883">
        <v>1.2950042196098901</v>
      </c>
      <c r="K1883">
        <v>1.12019350774388</v>
      </c>
      <c r="L1883">
        <v>8974.8269158597395</v>
      </c>
      <c r="M1883">
        <v>163.388678132076</v>
      </c>
      <c r="O1883">
        <v>54.921079018467204</v>
      </c>
      <c r="P1883">
        <v>0.170446132718577</v>
      </c>
      <c r="Q1883">
        <v>1.22917341783062</v>
      </c>
      <c r="R1883">
        <v>0.67799425994504303</v>
      </c>
      <c r="S1883" t="s">
        <v>3885</v>
      </c>
      <c r="T1883" t="s">
        <v>4002</v>
      </c>
      <c r="U1883" t="s">
        <v>4002</v>
      </c>
      <c r="V1883" t="s">
        <v>4002</v>
      </c>
      <c r="W1883" t="s">
        <v>5861</v>
      </c>
      <c r="X1883">
        <v>2</v>
      </c>
      <c r="Y1883" t="s">
        <v>7784</v>
      </c>
      <c r="Z1883" t="s">
        <v>9781</v>
      </c>
      <c r="AA1883">
        <v>1.115075000605001</v>
      </c>
      <c r="AB1883" t="str">
        <f>HYPERLINK("Melting_Curves/meltCurve_Q9NPA2_MMP25.pdf", "Melting_Curves/meltCurve_Q9NPA2_MMP25.pdf")</f>
        <v>Melting_Curves/meltCurve_Q9NPA2_MMP25.pdf</v>
      </c>
    </row>
    <row r="1884" spans="1:28" x14ac:dyDescent="0.25">
      <c r="A1884" t="s">
        <v>1888</v>
      </c>
      <c r="B1884">
        <v>1</v>
      </c>
      <c r="C1884">
        <v>1.0219427165219801</v>
      </c>
      <c r="D1884">
        <v>1.08387449586438</v>
      </c>
      <c r="E1884">
        <v>1.11080730056737</v>
      </c>
      <c r="F1884">
        <v>1.1241369881741701</v>
      </c>
      <c r="G1884">
        <v>1.0272745915646999</v>
      </c>
      <c r="H1884">
        <v>1.3052840248820801</v>
      </c>
      <c r="I1884">
        <v>0.98120172260578298</v>
      </c>
      <c r="J1884">
        <v>1.0749196800875001</v>
      </c>
      <c r="K1884">
        <v>1.03704969580969</v>
      </c>
      <c r="L1884">
        <v>2188.8078536835001</v>
      </c>
      <c r="M1884">
        <v>49.8066493900306</v>
      </c>
      <c r="O1884">
        <v>43.875426229842802</v>
      </c>
      <c r="P1884">
        <v>2.6752990287555099E-2</v>
      </c>
      <c r="Q1884">
        <v>1.0942683640897599</v>
      </c>
      <c r="R1884">
        <v>0.14292908745579899</v>
      </c>
      <c r="S1884" t="s">
        <v>3886</v>
      </c>
      <c r="T1884" t="s">
        <v>4002</v>
      </c>
      <c r="U1884" t="s">
        <v>4002</v>
      </c>
      <c r="V1884" t="s">
        <v>4002</v>
      </c>
      <c r="W1884" t="s">
        <v>5862</v>
      </c>
      <c r="X1884">
        <v>1</v>
      </c>
      <c r="Y1884" t="s">
        <v>7785</v>
      </c>
      <c r="Z1884" t="s">
        <v>9782</v>
      </c>
      <c r="AA1884">
        <v>1.081668230828285</v>
      </c>
      <c r="AB1884" t="str">
        <f>HYPERLINK("Melting_Curves/meltCurve_Q9NPY3_CD93.pdf", "Melting_Curves/meltCurve_Q9NPY3_CD93.pdf")</f>
        <v>Melting_Curves/meltCurve_Q9NPY3_CD93.pdf</v>
      </c>
    </row>
    <row r="1885" spans="1:28" x14ac:dyDescent="0.25">
      <c r="A1885" t="s">
        <v>1889</v>
      </c>
      <c r="B1885">
        <v>1</v>
      </c>
      <c r="C1885">
        <v>0.97270924236414102</v>
      </c>
      <c r="D1885">
        <v>0.98040460134867102</v>
      </c>
      <c r="E1885">
        <v>0.97556525188417298</v>
      </c>
      <c r="F1885">
        <v>1.02023006743356</v>
      </c>
      <c r="G1885">
        <v>1.00650535501785</v>
      </c>
      <c r="H1885">
        <v>0.57036096786989299</v>
      </c>
      <c r="I1885">
        <v>1.1746132487108301</v>
      </c>
      <c r="J1885">
        <v>0.587005156683856</v>
      </c>
      <c r="K1885">
        <v>0.72861562871876195</v>
      </c>
      <c r="L1885">
        <v>607.379924342923</v>
      </c>
      <c r="M1885">
        <v>8.4346618198843597</v>
      </c>
      <c r="O1885">
        <v>68.303934343008606</v>
      </c>
      <c r="P1885">
        <v>-2.1365140464371799E-2</v>
      </c>
      <c r="Q1885">
        <v>0.30858128416209801</v>
      </c>
      <c r="R1885">
        <v>0.29181051176627099</v>
      </c>
      <c r="S1885" t="s">
        <v>3887</v>
      </c>
      <c r="T1885" t="s">
        <v>4002</v>
      </c>
      <c r="U1885" t="s">
        <v>4002</v>
      </c>
      <c r="V1885" t="s">
        <v>4002</v>
      </c>
      <c r="W1885" t="s">
        <v>5863</v>
      </c>
      <c r="X1885">
        <v>58</v>
      </c>
      <c r="Y1885" t="s">
        <v>7786</v>
      </c>
      <c r="Z1885" t="s">
        <v>9783</v>
      </c>
      <c r="AA1885">
        <v>0.91361435318772466</v>
      </c>
      <c r="AB1885" t="str">
        <f>HYPERLINK("Melting_Curves/meltCurve_Q9NQ38_SPINK5.pdf", "Melting_Curves/meltCurve_Q9NQ38_SPINK5.pdf")</f>
        <v>Melting_Curves/meltCurve_Q9NQ38_SPINK5.pdf</v>
      </c>
    </row>
    <row r="1886" spans="1:28" x14ac:dyDescent="0.25">
      <c r="A1886" t="s">
        <v>1890</v>
      </c>
      <c r="B1886">
        <v>1</v>
      </c>
      <c r="C1886">
        <v>0.93686069615129897</v>
      </c>
      <c r="D1886">
        <v>1.0505555964383</v>
      </c>
      <c r="E1886">
        <v>1.05129148576054</v>
      </c>
      <c r="F1886">
        <v>0.97188902789020504</v>
      </c>
      <c r="G1886">
        <v>1.04775921701376</v>
      </c>
      <c r="H1886">
        <v>0.71407756273456502</v>
      </c>
      <c r="I1886">
        <v>1.1541688130105201</v>
      </c>
      <c r="J1886">
        <v>0.73736110089042595</v>
      </c>
      <c r="K1886">
        <v>0.86305099713003197</v>
      </c>
      <c r="L1886">
        <v>826.88313699271202</v>
      </c>
      <c r="M1886">
        <v>12.522522952740299</v>
      </c>
      <c r="O1886">
        <v>64.415611098027</v>
      </c>
      <c r="P1886">
        <v>-1.18599344426111E-2</v>
      </c>
      <c r="Q1886">
        <v>0.75602077770951004</v>
      </c>
      <c r="R1886">
        <v>0.20090252677270201</v>
      </c>
      <c r="S1886" t="s">
        <v>3888</v>
      </c>
      <c r="T1886" t="s">
        <v>4002</v>
      </c>
      <c r="U1886" t="s">
        <v>4002</v>
      </c>
      <c r="V1886" t="s">
        <v>4002</v>
      </c>
      <c r="W1886" t="s">
        <v>5864</v>
      </c>
      <c r="X1886">
        <v>60</v>
      </c>
      <c r="Y1886" t="s">
        <v>7786</v>
      </c>
      <c r="Z1886" t="s">
        <v>9784</v>
      </c>
      <c r="AA1886">
        <v>0.95579472776042951</v>
      </c>
      <c r="AB1886" t="str">
        <f>HYPERLINK("Melting_Curves/meltCurve_Q9NQ38_3_SPINK5.pdf", "Melting_Curves/meltCurve_Q9NQ38_3_SPINK5.pdf")</f>
        <v>Melting_Curves/meltCurve_Q9NQ38_3_SPINK5.pdf</v>
      </c>
    </row>
    <row r="1887" spans="1:28" x14ac:dyDescent="0.25">
      <c r="A1887" t="s">
        <v>1891</v>
      </c>
      <c r="B1887">
        <v>1</v>
      </c>
      <c r="C1887">
        <v>1.05613411226822</v>
      </c>
      <c r="D1887">
        <v>1.0371856743713499</v>
      </c>
      <c r="E1887">
        <v>1.1668783337566699</v>
      </c>
      <c r="F1887">
        <v>1.44749809499619</v>
      </c>
      <c r="G1887">
        <v>1.70485140970282</v>
      </c>
      <c r="H1887">
        <v>1.55788671577343</v>
      </c>
      <c r="I1887">
        <v>2.39740919481839</v>
      </c>
      <c r="J1887">
        <v>1.7213106426212901</v>
      </c>
      <c r="K1887">
        <v>1.72710185420371</v>
      </c>
      <c r="L1887">
        <v>2753.2368833064702</v>
      </c>
      <c r="M1887">
        <v>54.364306152144003</v>
      </c>
      <c r="O1887">
        <v>50.575813859616098</v>
      </c>
      <c r="P1887">
        <v>0.134363483201969</v>
      </c>
      <c r="Q1887">
        <v>1.5</v>
      </c>
      <c r="R1887">
        <v>0.44495272429718302</v>
      </c>
      <c r="S1887" t="s">
        <v>3889</v>
      </c>
      <c r="T1887" t="s">
        <v>4002</v>
      </c>
      <c r="U1887" t="s">
        <v>4002</v>
      </c>
      <c r="V1887" t="s">
        <v>4002</v>
      </c>
      <c r="W1887" t="s">
        <v>5865</v>
      </c>
      <c r="X1887">
        <v>6</v>
      </c>
      <c r="Y1887" t="s">
        <v>7787</v>
      </c>
      <c r="Z1887" t="s">
        <v>9785</v>
      </c>
      <c r="AA1887">
        <v>1.321652633257695</v>
      </c>
      <c r="AB1887" t="str">
        <f>HYPERLINK("Melting_Curves/meltCurve_Q9NQ79_2_CRTAC1.pdf", "Melting_Curves/meltCurve_Q9NQ79_2_CRTAC1.pdf")</f>
        <v>Melting_Curves/meltCurve_Q9NQ79_2_CRTAC1.pdf</v>
      </c>
    </row>
    <row r="1888" spans="1:28" x14ac:dyDescent="0.25">
      <c r="A1888" t="s">
        <v>1892</v>
      </c>
      <c r="B1888">
        <v>1</v>
      </c>
      <c r="C1888">
        <v>1.00215634509583</v>
      </c>
      <c r="D1888">
        <v>1.2420749279538901</v>
      </c>
      <c r="E1888">
        <v>1.6959956470042901</v>
      </c>
      <c r="F1888">
        <v>2.0261582797605899</v>
      </c>
      <c r="G1888">
        <v>2.4382821789161802</v>
      </c>
      <c r="H1888">
        <v>2.51163821769009</v>
      </c>
      <c r="I1888">
        <v>3.0595917051248498</v>
      </c>
      <c r="J1888">
        <v>2.9487515366477899</v>
      </c>
      <c r="K1888">
        <v>2.6706434775599002</v>
      </c>
      <c r="L1888">
        <v>10790.039741709001</v>
      </c>
      <c r="M1888">
        <v>234.50265890294401</v>
      </c>
      <c r="O1888">
        <v>46.009094430051697</v>
      </c>
      <c r="P1888">
        <v>0.63710952707370505</v>
      </c>
      <c r="Q1888">
        <v>1.5</v>
      </c>
      <c r="R1888">
        <v>-0.46204936265775998</v>
      </c>
      <c r="S1888" t="s">
        <v>3890</v>
      </c>
      <c r="T1888" t="s">
        <v>4002</v>
      </c>
      <c r="U1888" t="s">
        <v>4002</v>
      </c>
      <c r="V1888" t="s">
        <v>4002</v>
      </c>
      <c r="W1888" t="s">
        <v>5866</v>
      </c>
      <c r="X1888">
        <v>8</v>
      </c>
      <c r="Y1888" t="s">
        <v>7788</v>
      </c>
      <c r="Z1888" t="s">
        <v>9786</v>
      </c>
      <c r="AA1888">
        <v>1.399746761297356</v>
      </c>
      <c r="AB1888" t="str">
        <f>HYPERLINK("Melting_Curves/meltCurve_Q9NQR4_NIT2.pdf", "Melting_Curves/meltCurve_Q9NQR4_NIT2.pdf")</f>
        <v>Melting_Curves/meltCurve_Q9NQR4_NIT2.pdf</v>
      </c>
    </row>
    <row r="1889" spans="1:28" x14ac:dyDescent="0.25">
      <c r="A1889" t="s">
        <v>1893</v>
      </c>
      <c r="B1889">
        <v>1</v>
      </c>
      <c r="C1889">
        <v>0.92887686675953196</v>
      </c>
      <c r="D1889">
        <v>0.83745829148984396</v>
      </c>
      <c r="E1889">
        <v>0.83697236709967904</v>
      </c>
      <c r="F1889">
        <v>0.71581521915190005</v>
      </c>
      <c r="G1889">
        <v>0.71364475687582996</v>
      </c>
      <c r="H1889">
        <v>0.93608474521364504</v>
      </c>
      <c r="I1889">
        <v>1.12105996306975</v>
      </c>
      <c r="J1889">
        <v>1.0351809258479401</v>
      </c>
      <c r="K1889">
        <v>1.0618581748679901</v>
      </c>
      <c r="L1889">
        <v>4602.7785880622696</v>
      </c>
      <c r="M1889">
        <v>73.503486189433602</v>
      </c>
      <c r="O1889">
        <v>62.573563518530797</v>
      </c>
      <c r="P1889">
        <v>2.01714560824903E-2</v>
      </c>
      <c r="Q1889">
        <v>1.06868787995912</v>
      </c>
      <c r="R1889">
        <v>-0.29584281493407</v>
      </c>
      <c r="S1889" t="s">
        <v>3891</v>
      </c>
      <c r="T1889" t="s">
        <v>4002</v>
      </c>
      <c r="U1889" t="s">
        <v>4002</v>
      </c>
      <c r="V1889" t="s">
        <v>4002</v>
      </c>
      <c r="W1889" t="s">
        <v>5867</v>
      </c>
      <c r="X1889">
        <v>2</v>
      </c>
      <c r="Y1889" t="s">
        <v>7789</v>
      </c>
      <c r="Z1889" t="s">
        <v>9787</v>
      </c>
      <c r="AA1889">
        <v>1.0168110763806999</v>
      </c>
      <c r="AB1889" t="str">
        <f>HYPERLINK("Melting_Curves/meltCurve_Q9NR12_2_PDLIM7.pdf", "Melting_Curves/meltCurve_Q9NR12_2_PDLIM7.pdf")</f>
        <v>Melting_Curves/meltCurve_Q9NR12_2_PDLIM7.pdf</v>
      </c>
    </row>
    <row r="1890" spans="1:28" x14ac:dyDescent="0.25">
      <c r="A1890" t="s">
        <v>1894</v>
      </c>
      <c r="B1890">
        <v>1</v>
      </c>
      <c r="C1890">
        <v>0.94971257864481995</v>
      </c>
      <c r="D1890">
        <v>0.97438102566423801</v>
      </c>
      <c r="E1890">
        <v>1.0401937265197101</v>
      </c>
      <c r="F1890">
        <v>1.1269632915403101</v>
      </c>
      <c r="G1890">
        <v>1.3766351333001401</v>
      </c>
      <c r="H1890">
        <v>1.39573620603811</v>
      </c>
      <c r="I1890">
        <v>2.0524600552211099</v>
      </c>
      <c r="J1890">
        <v>1.9619789073462199</v>
      </c>
      <c r="K1890">
        <v>1.7188702303897201</v>
      </c>
      <c r="L1890">
        <v>2006.8333763858</v>
      </c>
      <c r="M1890">
        <v>36.647834441828302</v>
      </c>
      <c r="O1890">
        <v>54.597662038157701</v>
      </c>
      <c r="P1890">
        <v>8.39045625457778E-2</v>
      </c>
      <c r="Q1890">
        <v>1.5</v>
      </c>
      <c r="R1890">
        <v>0.62972495238096804</v>
      </c>
      <c r="S1890" t="s">
        <v>3892</v>
      </c>
      <c r="T1890" t="s">
        <v>4002</v>
      </c>
      <c r="U1890" t="s">
        <v>4002</v>
      </c>
      <c r="V1890" t="s">
        <v>4002</v>
      </c>
      <c r="W1890" t="s">
        <v>5868</v>
      </c>
      <c r="X1890">
        <v>7</v>
      </c>
      <c r="Y1890" t="s">
        <v>7790</v>
      </c>
      <c r="Z1890" t="s">
        <v>9788</v>
      </c>
      <c r="AA1890">
        <v>1.2517567869618429</v>
      </c>
      <c r="AB1890" t="str">
        <f>HYPERLINK("Melting_Curves/meltCurve_Q9NR45_NANS.pdf", "Melting_Curves/meltCurve_Q9NR45_NANS.pdf")</f>
        <v>Melting_Curves/meltCurve_Q9NR45_NANS.pdf</v>
      </c>
    </row>
    <row r="1891" spans="1:28" x14ac:dyDescent="0.25">
      <c r="A1891" t="s">
        <v>1895</v>
      </c>
      <c r="B1891">
        <v>1</v>
      </c>
      <c r="C1891">
        <v>0.95932634254845905</v>
      </c>
      <c r="D1891">
        <v>1.0841436288528801</v>
      </c>
      <c r="E1891">
        <v>1.2238322211630099</v>
      </c>
      <c r="F1891">
        <v>1.13587543692405</v>
      </c>
      <c r="G1891">
        <v>1.2773435017476999</v>
      </c>
      <c r="H1891">
        <v>1.19529710835717</v>
      </c>
      <c r="I1891">
        <v>1.70549729901493</v>
      </c>
      <c r="J1891">
        <v>1.38010803940261</v>
      </c>
      <c r="K1891">
        <v>1.3473149030823</v>
      </c>
      <c r="L1891">
        <v>573.54289908534099</v>
      </c>
      <c r="M1891">
        <v>10.489743877345999</v>
      </c>
      <c r="O1891">
        <v>52.801544784776603</v>
      </c>
      <c r="P1891">
        <v>2.3966988342752599E-2</v>
      </c>
      <c r="Q1891">
        <v>1.48236882316569</v>
      </c>
      <c r="R1891">
        <v>0.64210751126169696</v>
      </c>
      <c r="S1891" t="s">
        <v>3893</v>
      </c>
      <c r="T1891" t="s">
        <v>4002</v>
      </c>
      <c r="U1891" t="s">
        <v>4002</v>
      </c>
      <c r="V1891" t="s">
        <v>4002</v>
      </c>
      <c r="W1891" t="s">
        <v>5869</v>
      </c>
      <c r="X1891">
        <v>5</v>
      </c>
      <c r="Y1891" t="s">
        <v>7791</v>
      </c>
      <c r="Z1891" t="s">
        <v>9789</v>
      </c>
      <c r="AA1891">
        <v>1.2335362397138301</v>
      </c>
      <c r="AB1891" t="str">
        <f>HYPERLINK("Melting_Curves/meltCurve_Q9NRV9_HEBP1.pdf", "Melting_Curves/meltCurve_Q9NRV9_HEBP1.pdf")</f>
        <v>Melting_Curves/meltCurve_Q9NRV9_HEBP1.pdf</v>
      </c>
    </row>
    <row r="1892" spans="1:28" x14ac:dyDescent="0.25">
      <c r="A1892" t="s">
        <v>1896</v>
      </c>
      <c r="B1892">
        <v>1</v>
      </c>
      <c r="C1892">
        <v>0.96919107779166103</v>
      </c>
      <c r="D1892">
        <v>1.0272918691285999</v>
      </c>
      <c r="E1892">
        <v>1.0609236892035701</v>
      </c>
      <c r="F1892">
        <v>1.0595585172844599</v>
      </c>
      <c r="G1892">
        <v>1.5484288953676699</v>
      </c>
      <c r="H1892">
        <v>0.66325373686889699</v>
      </c>
      <c r="I1892">
        <v>2.3417326114119099</v>
      </c>
      <c r="J1892">
        <v>0.67150261465130301</v>
      </c>
      <c r="K1892">
        <v>1.6567171086121499</v>
      </c>
      <c r="L1892">
        <v>13338.574056083</v>
      </c>
      <c r="M1892">
        <v>250</v>
      </c>
      <c r="O1892">
        <v>53.350883156134003</v>
      </c>
      <c r="P1892">
        <v>0.44086313601615901</v>
      </c>
      <c r="Q1892">
        <v>1.3763269932436999</v>
      </c>
      <c r="R1892">
        <v>0.13212070616897301</v>
      </c>
      <c r="S1892" t="s">
        <v>3894</v>
      </c>
      <c r="T1892" t="s">
        <v>4002</v>
      </c>
      <c r="U1892" t="s">
        <v>4002</v>
      </c>
      <c r="V1892" t="s">
        <v>4002</v>
      </c>
      <c r="W1892" t="s">
        <v>5870</v>
      </c>
      <c r="X1892">
        <v>2</v>
      </c>
      <c r="Y1892" t="s">
        <v>7792</v>
      </c>
      <c r="Z1892" t="s">
        <v>9790</v>
      </c>
      <c r="AA1892">
        <v>1.208772350671651</v>
      </c>
      <c r="AB1892" t="str">
        <f>HYPERLINK("Melting_Curves/meltCurve_Q9NRX4_2_PHPT1.pdf", "Melting_Curves/meltCurve_Q9NRX4_2_PHPT1.pdf")</f>
        <v>Melting_Curves/meltCurve_Q9NRX4_2_PHPT1.pdf</v>
      </c>
    </row>
    <row r="1893" spans="1:28" x14ac:dyDescent="0.25">
      <c r="A1893" t="s">
        <v>1897</v>
      </c>
      <c r="B1893">
        <v>1</v>
      </c>
      <c r="C1893">
        <v>0.90760883878953902</v>
      </c>
      <c r="D1893">
        <v>1.02336116305407</v>
      </c>
      <c r="E1893">
        <v>1.1202823355895599</v>
      </c>
      <c r="F1893">
        <v>0.99905185809476105</v>
      </c>
      <c r="G1893">
        <v>1.0459585451289199</v>
      </c>
      <c r="H1893">
        <v>1.00373989307066</v>
      </c>
      <c r="I1893">
        <v>1.1631857568016</v>
      </c>
      <c r="J1893">
        <v>1.1071927098422401</v>
      </c>
      <c r="K1893">
        <v>1.0315257183491799</v>
      </c>
      <c r="L1893">
        <v>11527.0352376058</v>
      </c>
      <c r="M1893">
        <v>249.95652778437801</v>
      </c>
      <c r="O1893">
        <v>46.113209207761599</v>
      </c>
      <c r="P1893">
        <v>9.1168279877071406E-2</v>
      </c>
      <c r="Q1893">
        <v>1.06727668806443</v>
      </c>
      <c r="R1893">
        <v>0.330524106038252</v>
      </c>
      <c r="S1893" t="s">
        <v>3895</v>
      </c>
      <c r="T1893" t="s">
        <v>4002</v>
      </c>
      <c r="U1893" t="s">
        <v>4002</v>
      </c>
      <c r="V1893" t="s">
        <v>4002</v>
      </c>
      <c r="W1893" t="s">
        <v>5871</v>
      </c>
      <c r="X1893">
        <v>5</v>
      </c>
      <c r="Y1893" t="s">
        <v>7793</v>
      </c>
      <c r="Z1893" t="s">
        <v>9791</v>
      </c>
      <c r="AA1893">
        <v>1.0535554082239491</v>
      </c>
      <c r="AB1893" t="str">
        <f>HYPERLINK("Melting_Curves/meltCurve_Q9NS68_2_TNFRSF19.pdf", "Melting_Curves/meltCurve_Q9NS68_2_TNFRSF19.pdf")</f>
        <v>Melting_Curves/meltCurve_Q9NS68_2_TNFRSF19.pdf</v>
      </c>
    </row>
    <row r="1894" spans="1:28" x14ac:dyDescent="0.25">
      <c r="A1894" t="s">
        <v>1898</v>
      </c>
      <c r="B1894">
        <v>1</v>
      </c>
      <c r="C1894">
        <v>0.99563371015012803</v>
      </c>
      <c r="D1894">
        <v>0.93307015969854701</v>
      </c>
      <c r="E1894">
        <v>1.0004784975177901</v>
      </c>
      <c r="F1894">
        <v>1.10592738800167</v>
      </c>
      <c r="G1894">
        <v>1.4307075782044401</v>
      </c>
      <c r="H1894">
        <v>1.23087505233567</v>
      </c>
      <c r="I1894">
        <v>1.61774029547222</v>
      </c>
      <c r="J1894">
        <v>1.2321909205096</v>
      </c>
      <c r="K1894">
        <v>1.40283509779293</v>
      </c>
      <c r="L1894">
        <v>13300.9359437237</v>
      </c>
      <c r="M1894">
        <v>250</v>
      </c>
      <c r="O1894">
        <v>53.200323027790098</v>
      </c>
      <c r="P1894">
        <v>0.44979717056318602</v>
      </c>
      <c r="Q1894">
        <v>1.3828697920150801</v>
      </c>
      <c r="R1894">
        <v>0.77099270530977004</v>
      </c>
      <c r="S1894" t="s">
        <v>3896</v>
      </c>
      <c r="T1894" t="s">
        <v>4002</v>
      </c>
      <c r="U1894" t="s">
        <v>4002</v>
      </c>
      <c r="V1894" t="s">
        <v>4002</v>
      </c>
      <c r="W1894" t="s">
        <v>5872</v>
      </c>
      <c r="X1894">
        <v>2</v>
      </c>
      <c r="Y1894" t="s">
        <v>7794</v>
      </c>
      <c r="Z1894" t="s">
        <v>9792</v>
      </c>
      <c r="AA1894">
        <v>1.214323555031716</v>
      </c>
      <c r="AB1894" t="str">
        <f>HYPERLINK("Melting_Curves/meltCurve_Q9NS98_SEMA3G.pdf", "Melting_Curves/meltCurve_Q9NS98_SEMA3G.pdf")</f>
        <v>Melting_Curves/meltCurve_Q9NS98_SEMA3G.pdf</v>
      </c>
    </row>
    <row r="1895" spans="1:28" x14ac:dyDescent="0.25">
      <c r="A1895" t="s">
        <v>1899</v>
      </c>
      <c r="B1895">
        <v>1</v>
      </c>
      <c r="C1895">
        <v>0.95037116511048003</v>
      </c>
      <c r="D1895">
        <v>0.96257901757234798</v>
      </c>
      <c r="E1895">
        <v>0.97317752131299695</v>
      </c>
      <c r="F1895">
        <v>0.90825262425331998</v>
      </c>
      <c r="G1895">
        <v>0.97533781824508503</v>
      </c>
      <c r="H1895">
        <v>0.79739604477179105</v>
      </c>
      <c r="I1895">
        <v>1.1028823290610701</v>
      </c>
      <c r="J1895">
        <v>0.905947340949951</v>
      </c>
      <c r="K1895">
        <v>0.84830075972858598</v>
      </c>
      <c r="L1895">
        <v>148.62875125195399</v>
      </c>
      <c r="M1895">
        <v>1.0000000000000001E-5</v>
      </c>
      <c r="O1895">
        <v>61.945159218099498</v>
      </c>
      <c r="P1895">
        <v>-2.6492868000898601E-3</v>
      </c>
      <c r="Q1895">
        <v>0.10352674768450899</v>
      </c>
      <c r="R1895">
        <v>9.4406036356391193E-2</v>
      </c>
      <c r="S1895" t="s">
        <v>3897</v>
      </c>
      <c r="T1895" t="s">
        <v>4002</v>
      </c>
      <c r="U1895" t="s">
        <v>4002</v>
      </c>
      <c r="V1895" t="s">
        <v>4002</v>
      </c>
      <c r="W1895" t="s">
        <v>5873</v>
      </c>
      <c r="X1895">
        <v>3</v>
      </c>
      <c r="Y1895" t="s">
        <v>7795</v>
      </c>
      <c r="Z1895" t="s">
        <v>9793</v>
      </c>
      <c r="AA1895">
        <v>0.94296825217362756</v>
      </c>
      <c r="AB1895" t="str">
        <f>HYPERLINK("Melting_Curves/meltCurve_Q9NSA3_CTNNBIP1.pdf", "Melting_Curves/meltCurve_Q9NSA3_CTNNBIP1.pdf")</f>
        <v>Melting_Curves/meltCurve_Q9NSA3_CTNNBIP1.pdf</v>
      </c>
    </row>
    <row r="1896" spans="1:28" x14ac:dyDescent="0.25">
      <c r="A1896" t="s">
        <v>1900</v>
      </c>
      <c r="B1896">
        <v>1</v>
      </c>
      <c r="C1896">
        <v>0.87674608948708599</v>
      </c>
      <c r="D1896">
        <v>1.2512731902509999</v>
      </c>
      <c r="E1896">
        <v>1.3354856311386001</v>
      </c>
      <c r="F1896">
        <v>1.55283739541652</v>
      </c>
      <c r="G1896">
        <v>2.7978355765732998</v>
      </c>
      <c r="H1896">
        <v>0.99117861040378297</v>
      </c>
      <c r="I1896">
        <v>3.7195343761367798</v>
      </c>
      <c r="J1896">
        <v>0.94116042197162597</v>
      </c>
      <c r="K1896">
        <v>1.73417606402328</v>
      </c>
      <c r="L1896">
        <v>1867.50766209621</v>
      </c>
      <c r="M1896">
        <v>40.252297493255199</v>
      </c>
      <c r="O1896">
        <v>46.280988540540598</v>
      </c>
      <c r="P1896">
        <v>0.10871736997986201</v>
      </c>
      <c r="Q1896">
        <v>1.5</v>
      </c>
      <c r="R1896">
        <v>6.9171964841573105E-2</v>
      </c>
      <c r="S1896" t="s">
        <v>3898</v>
      </c>
      <c r="T1896" t="s">
        <v>4002</v>
      </c>
      <c r="U1896" t="s">
        <v>4002</v>
      </c>
      <c r="V1896" t="s">
        <v>4002</v>
      </c>
      <c r="W1896" t="s">
        <v>5874</v>
      </c>
      <c r="X1896">
        <v>2</v>
      </c>
      <c r="Y1896" t="s">
        <v>7796</v>
      </c>
      <c r="Z1896" t="s">
        <v>9794</v>
      </c>
      <c r="AA1896">
        <v>1.391810084613087</v>
      </c>
      <c r="AB1896" t="str">
        <f>HYPERLINK("Melting_Curves/meltCurve_Q9NSC7_ST6GALNAC1.pdf", "Melting_Curves/meltCurve_Q9NSC7_ST6GALNAC1.pdf")</f>
        <v>Melting_Curves/meltCurve_Q9NSC7_ST6GALNAC1.pdf</v>
      </c>
    </row>
    <row r="1897" spans="1:28" x14ac:dyDescent="0.25">
      <c r="A1897" t="s">
        <v>1901</v>
      </c>
      <c r="B1897">
        <v>1</v>
      </c>
      <c r="C1897">
        <v>0.907508253153128</v>
      </c>
      <c r="D1897">
        <v>1.15680990942694</v>
      </c>
      <c r="E1897">
        <v>1.22387912304958</v>
      </c>
      <c r="F1897">
        <v>1.29003131965802</v>
      </c>
      <c r="G1897">
        <v>1.4394345532010899</v>
      </c>
      <c r="H1897">
        <v>1.33235518185153</v>
      </c>
      <c r="I1897">
        <v>1.5874269913377199</v>
      </c>
      <c r="J1897">
        <v>1.64273017127056</v>
      </c>
      <c r="K1897">
        <v>1.3811969188228299</v>
      </c>
      <c r="L1897">
        <v>772.57639090738905</v>
      </c>
      <c r="M1897">
        <v>15.161784573167299</v>
      </c>
      <c r="O1897">
        <v>50.093737690934503</v>
      </c>
      <c r="P1897">
        <v>3.7837194118701102E-2</v>
      </c>
      <c r="Q1897">
        <v>1.5</v>
      </c>
      <c r="R1897">
        <v>0.82532493357127601</v>
      </c>
      <c r="S1897" t="s">
        <v>3899</v>
      </c>
      <c r="T1897" t="s">
        <v>4002</v>
      </c>
      <c r="U1897" t="s">
        <v>4002</v>
      </c>
      <c r="V1897" t="s">
        <v>4002</v>
      </c>
      <c r="W1897" t="s">
        <v>5875</v>
      </c>
      <c r="X1897">
        <v>2</v>
      </c>
      <c r="Y1897" t="s">
        <v>7797</v>
      </c>
      <c r="Z1897" t="s">
        <v>9795</v>
      </c>
      <c r="AA1897">
        <v>1.306044269876907</v>
      </c>
      <c r="AB1897" t="str">
        <f>HYPERLINK("Melting_Curves/meltCurve_Q9NT62_2_ATG3.pdf", "Melting_Curves/meltCurve_Q9NT62_2_ATG3.pdf")</f>
        <v>Melting_Curves/meltCurve_Q9NT62_2_ATG3.pdf</v>
      </c>
    </row>
    <row r="1898" spans="1:28" x14ac:dyDescent="0.25">
      <c r="A1898" t="s">
        <v>1902</v>
      </c>
      <c r="B1898">
        <v>1</v>
      </c>
      <c r="C1898">
        <v>1.06614476968459</v>
      </c>
      <c r="D1898">
        <v>1.1569094622192</v>
      </c>
      <c r="E1898">
        <v>1.08514862718403</v>
      </c>
      <c r="F1898">
        <v>1.2163036078965299</v>
      </c>
      <c r="G1898">
        <v>1.0597345132743401</v>
      </c>
      <c r="H1898">
        <v>1.0131608804175201</v>
      </c>
      <c r="I1898">
        <v>1.0259246653052001</v>
      </c>
      <c r="J1898">
        <v>1.45234853641933</v>
      </c>
      <c r="K1898">
        <v>1.09518947129567</v>
      </c>
      <c r="L1898">
        <v>10728.6061231858</v>
      </c>
      <c r="M1898">
        <v>250</v>
      </c>
      <c r="O1898">
        <v>42.911678265937297</v>
      </c>
      <c r="P1898">
        <v>0.20112527788854501</v>
      </c>
      <c r="Q1898">
        <v>1.13808997125484</v>
      </c>
      <c r="R1898">
        <v>0.120910297343837</v>
      </c>
      <c r="S1898" t="s">
        <v>3900</v>
      </c>
      <c r="T1898" t="s">
        <v>4002</v>
      </c>
      <c r="U1898" t="s">
        <v>4002</v>
      </c>
      <c r="V1898" t="s">
        <v>4002</v>
      </c>
      <c r="W1898" t="s">
        <v>5876</v>
      </c>
      <c r="X1898">
        <v>1</v>
      </c>
      <c r="Y1898" t="s">
        <v>7798</v>
      </c>
      <c r="Z1898" t="s">
        <v>9796</v>
      </c>
      <c r="AA1898">
        <v>1.124664477970488</v>
      </c>
      <c r="AB1898" t="str">
        <f>HYPERLINK("Melting_Curves/meltCurve_Q9NTX5_3_ECHDC1.pdf", "Melting_Curves/meltCurve_Q9NTX5_3_ECHDC1.pdf")</f>
        <v>Melting_Curves/meltCurve_Q9NTX5_3_ECHDC1.pdf</v>
      </c>
    </row>
    <row r="1899" spans="1:28" x14ac:dyDescent="0.25">
      <c r="A1899" t="s">
        <v>1903</v>
      </c>
      <c r="B1899">
        <v>1</v>
      </c>
      <c r="C1899">
        <v>0.99317828135325803</v>
      </c>
      <c r="D1899">
        <v>1.0966552260760201</v>
      </c>
      <c r="E1899">
        <v>1.3394870920292501</v>
      </c>
      <c r="F1899">
        <v>2.6065360591784099</v>
      </c>
      <c r="G1899">
        <v>3.9823914387430999</v>
      </c>
      <c r="H1899">
        <v>3.3260141977019302</v>
      </c>
      <c r="I1899">
        <v>5.4230531454518296</v>
      </c>
      <c r="J1899">
        <v>3.49165405359313</v>
      </c>
      <c r="K1899">
        <v>4.2290392035643496</v>
      </c>
      <c r="L1899">
        <v>2573.1475783156998</v>
      </c>
      <c r="M1899">
        <v>54.0973552984333</v>
      </c>
      <c r="O1899">
        <v>47.500262329696199</v>
      </c>
      <c r="P1899">
        <v>0.14236076350378299</v>
      </c>
      <c r="Q1899">
        <v>1.5</v>
      </c>
      <c r="R1899">
        <v>-0.65947847414739402</v>
      </c>
      <c r="S1899" t="s">
        <v>3901</v>
      </c>
      <c r="T1899" t="s">
        <v>4002</v>
      </c>
      <c r="U1899" t="s">
        <v>4002</v>
      </c>
      <c r="V1899" t="s">
        <v>4002</v>
      </c>
      <c r="W1899" t="s">
        <v>5877</v>
      </c>
      <c r="X1899">
        <v>9</v>
      </c>
      <c r="Y1899" t="s">
        <v>7799</v>
      </c>
      <c r="Z1899" t="s">
        <v>9797</v>
      </c>
      <c r="AA1899">
        <v>1.3730187576324011</v>
      </c>
      <c r="AB1899" t="str">
        <f>HYPERLINK("Melting_Curves/meltCurve_Q9NUQ9_FAM49B.pdf", "Melting_Curves/meltCurve_Q9NUQ9_FAM49B.pdf")</f>
        <v>Melting_Curves/meltCurve_Q9NUQ9_FAM49B.pdf</v>
      </c>
    </row>
    <row r="1900" spans="1:28" x14ac:dyDescent="0.25">
      <c r="A1900" t="s">
        <v>1904</v>
      </c>
      <c r="B1900">
        <v>1</v>
      </c>
      <c r="C1900">
        <v>0.96580117576123004</v>
      </c>
      <c r="D1900">
        <v>0.84696261682243001</v>
      </c>
      <c r="E1900">
        <v>0.88888679529695502</v>
      </c>
      <c r="F1900">
        <v>0.88700256255652699</v>
      </c>
      <c r="G1900">
        <v>0.84754672897196304</v>
      </c>
      <c r="H1900">
        <v>0.57911893277057602</v>
      </c>
      <c r="I1900">
        <v>0.90386644558335805</v>
      </c>
      <c r="J1900">
        <v>0.64380464274947202</v>
      </c>
      <c r="K1900">
        <v>0.62492463069038295</v>
      </c>
      <c r="L1900">
        <v>253.392333700417</v>
      </c>
      <c r="M1900">
        <v>3.0225190286447199</v>
      </c>
      <c r="O1900">
        <v>61.931035413780897</v>
      </c>
      <c r="P1900">
        <v>-1.25700041559149E-2</v>
      </c>
      <c r="Q1900">
        <v>0</v>
      </c>
      <c r="R1900">
        <v>0.60802113791420997</v>
      </c>
      <c r="S1900" t="s">
        <v>3902</v>
      </c>
      <c r="T1900" t="s">
        <v>4002</v>
      </c>
      <c r="U1900" t="s">
        <v>4002</v>
      </c>
      <c r="V1900" t="s">
        <v>4002</v>
      </c>
      <c r="W1900" t="s">
        <v>5878</v>
      </c>
      <c r="X1900">
        <v>1</v>
      </c>
      <c r="Y1900" t="s">
        <v>7800</v>
      </c>
      <c r="Z1900" t="s">
        <v>9798</v>
      </c>
      <c r="AA1900">
        <v>0.82149780117088211</v>
      </c>
      <c r="AB1900" t="str">
        <f>HYPERLINK("Melting_Curves/meltCurve_Q9NV96_3_TMEM30A.pdf", "Melting_Curves/meltCurve_Q9NV96_3_TMEM30A.pdf")</f>
        <v>Melting_Curves/meltCurve_Q9NV96_3_TMEM30A.pdf</v>
      </c>
    </row>
    <row r="1901" spans="1:28" x14ac:dyDescent="0.25">
      <c r="A1901" t="s">
        <v>1905</v>
      </c>
      <c r="B1901">
        <v>1</v>
      </c>
      <c r="C1901">
        <v>0.96864992192255805</v>
      </c>
      <c r="D1901">
        <v>1.04079877193447</v>
      </c>
      <c r="E1901">
        <v>1.1206891988460399</v>
      </c>
      <c r="F1901">
        <v>0.88083264960431895</v>
      </c>
      <c r="G1901">
        <v>1.0675171373368999</v>
      </c>
      <c r="H1901">
        <v>1.04156631289204</v>
      </c>
      <c r="I1901">
        <v>1.07199004843448</v>
      </c>
      <c r="J1901">
        <v>1.4424476616467701</v>
      </c>
      <c r="K1901">
        <v>1.1018712119207099</v>
      </c>
      <c r="L1901">
        <v>15000</v>
      </c>
      <c r="M1901">
        <v>233.35367325559301</v>
      </c>
      <c r="O1901">
        <v>64.275383092001505</v>
      </c>
      <c r="P1901">
        <v>0.24701613840106201</v>
      </c>
      <c r="Q1901">
        <v>1.2721544222530099</v>
      </c>
      <c r="R1901">
        <v>0.50870226130941798</v>
      </c>
      <c r="S1901" t="s">
        <v>3903</v>
      </c>
      <c r="T1901" t="s">
        <v>4002</v>
      </c>
      <c r="U1901" t="s">
        <v>4002</v>
      </c>
      <c r="V1901" t="s">
        <v>4002</v>
      </c>
      <c r="W1901" t="s">
        <v>5879</v>
      </c>
      <c r="X1901">
        <v>2</v>
      </c>
      <c r="Y1901" t="s">
        <v>7801</v>
      </c>
      <c r="Z1901" t="s">
        <v>9799</v>
      </c>
      <c r="AA1901">
        <v>1.0518545307586971</v>
      </c>
      <c r="AB1901" t="str">
        <f>HYPERLINK("Melting_Curves/meltCurve_Q9NWB6_2_ARGLU1.pdf", "Melting_Curves/meltCurve_Q9NWB6_2_ARGLU1.pdf")</f>
        <v>Melting_Curves/meltCurve_Q9NWB6_2_ARGLU1.pdf</v>
      </c>
    </row>
    <row r="1902" spans="1:28" x14ac:dyDescent="0.25">
      <c r="A1902" t="s">
        <v>1906</v>
      </c>
      <c r="B1902">
        <v>1</v>
      </c>
      <c r="C1902">
        <v>0.96624322009705998</v>
      </c>
      <c r="D1902">
        <v>1.0895660862118199</v>
      </c>
      <c r="E1902">
        <v>1.0774336283185799</v>
      </c>
      <c r="F1902">
        <v>1.1820582357978899</v>
      </c>
      <c r="G1902">
        <v>1.55645161290323</v>
      </c>
      <c r="H1902">
        <v>1.23822437910363</v>
      </c>
      <c r="I1902">
        <v>1.82721952612047</v>
      </c>
      <c r="J1902">
        <v>1.60012846131887</v>
      </c>
      <c r="K1902">
        <v>1.48230088495575</v>
      </c>
      <c r="L1902">
        <v>4888.1414654677601</v>
      </c>
      <c r="M1902">
        <v>91.683610038607497</v>
      </c>
      <c r="O1902">
        <v>53.289976600594798</v>
      </c>
      <c r="P1902">
        <v>0.21505831446840101</v>
      </c>
      <c r="Q1902">
        <v>1.5</v>
      </c>
      <c r="R1902">
        <v>0.73810979943450195</v>
      </c>
      <c r="S1902" t="s">
        <v>3904</v>
      </c>
      <c r="T1902" t="s">
        <v>4002</v>
      </c>
      <c r="U1902" t="s">
        <v>4002</v>
      </c>
      <c r="V1902" t="s">
        <v>4002</v>
      </c>
      <c r="W1902" t="s">
        <v>5880</v>
      </c>
      <c r="X1902">
        <v>5</v>
      </c>
      <c r="Y1902" t="s">
        <v>7802</v>
      </c>
      <c r="Z1902" t="s">
        <v>9800</v>
      </c>
      <c r="AA1902">
        <v>1.2777295700143689</v>
      </c>
      <c r="AB1902" t="str">
        <f>HYPERLINK("Melting_Curves/meltCurve_Q9NX46_ADPRHL2.pdf", "Melting_Curves/meltCurve_Q9NX46_ADPRHL2.pdf")</f>
        <v>Melting_Curves/meltCurve_Q9NX46_ADPRHL2.pdf</v>
      </c>
    </row>
    <row r="1903" spans="1:28" x14ac:dyDescent="0.25">
      <c r="A1903" t="s">
        <v>1907</v>
      </c>
      <c r="B1903">
        <v>1</v>
      </c>
      <c r="C1903">
        <v>1.02254564545295</v>
      </c>
      <c r="D1903">
        <v>1.07329522253981</v>
      </c>
      <c r="E1903">
        <v>1.0709035758035399</v>
      </c>
      <c r="F1903">
        <v>1.10202414979875</v>
      </c>
      <c r="G1903">
        <v>1.1315114040716301</v>
      </c>
      <c r="H1903">
        <v>1.0593536720527299</v>
      </c>
      <c r="I1903">
        <v>1.6700402496645901</v>
      </c>
      <c r="J1903">
        <v>2.0162165315289</v>
      </c>
      <c r="K1903">
        <v>1.84241381321822</v>
      </c>
      <c r="L1903">
        <v>15000</v>
      </c>
      <c r="M1903">
        <v>243.89917568561</v>
      </c>
      <c r="O1903">
        <v>61.496692701376801</v>
      </c>
      <c r="P1903">
        <v>0.495756731708966</v>
      </c>
      <c r="Q1903">
        <v>1.5</v>
      </c>
      <c r="R1903">
        <v>0.66334815163815997</v>
      </c>
      <c r="S1903" t="s">
        <v>3905</v>
      </c>
      <c r="T1903" t="s">
        <v>4002</v>
      </c>
      <c r="U1903" t="s">
        <v>4002</v>
      </c>
      <c r="V1903" t="s">
        <v>4002</v>
      </c>
      <c r="W1903" t="s">
        <v>5881</v>
      </c>
      <c r="X1903">
        <v>9</v>
      </c>
      <c r="Y1903" t="s">
        <v>7803</v>
      </c>
      <c r="Z1903" t="s">
        <v>9801</v>
      </c>
      <c r="AA1903">
        <v>1.1415962516020339</v>
      </c>
      <c r="AB1903" t="str">
        <f>HYPERLINK("Melting_Curves/meltCurve_Q9NYL9_TMOD3.pdf", "Melting_Curves/meltCurve_Q9NYL9_TMOD3.pdf")</f>
        <v>Melting_Curves/meltCurve_Q9NYL9_TMOD3.pdf</v>
      </c>
    </row>
    <row r="1904" spans="1:28" x14ac:dyDescent="0.25">
      <c r="A1904" t="s">
        <v>1908</v>
      </c>
      <c r="B1904">
        <v>1</v>
      </c>
      <c r="C1904">
        <v>0.975730393595171</v>
      </c>
      <c r="D1904">
        <v>1.0491400148104699</v>
      </c>
      <c r="E1904">
        <v>1.2850875354543001</v>
      </c>
      <c r="F1904">
        <v>1.0909726006343301</v>
      </c>
      <c r="G1904">
        <v>0.86888544242779897</v>
      </c>
      <c r="H1904">
        <v>0.680694694778611</v>
      </c>
      <c r="I1904">
        <v>0.93495969037738702</v>
      </c>
      <c r="J1904">
        <v>0.79919241033379396</v>
      </c>
      <c r="K1904">
        <v>0.75214821645638597</v>
      </c>
      <c r="L1904">
        <v>14219.761914001199</v>
      </c>
      <c r="M1904">
        <v>250</v>
      </c>
      <c r="O1904">
        <v>56.875407855430197</v>
      </c>
      <c r="P1904">
        <v>-0.22884588195490399</v>
      </c>
      <c r="Q1904">
        <v>0.791748754585897</v>
      </c>
      <c r="R1904">
        <v>0.55582184879560703</v>
      </c>
      <c r="S1904" t="s">
        <v>3906</v>
      </c>
      <c r="T1904" t="s">
        <v>4002</v>
      </c>
      <c r="U1904" t="s">
        <v>4002</v>
      </c>
      <c r="V1904" t="s">
        <v>4002</v>
      </c>
      <c r="W1904" t="s">
        <v>5882</v>
      </c>
      <c r="X1904">
        <v>4</v>
      </c>
      <c r="Y1904" t="s">
        <v>7804</v>
      </c>
      <c r="Z1904" t="s">
        <v>9802</v>
      </c>
      <c r="AA1904">
        <v>0.90893896580133837</v>
      </c>
      <c r="AB1904" t="str">
        <f>HYPERLINK("Melting_Curves/meltCurve_Q9NYQ8_FAT2.pdf", "Melting_Curves/meltCurve_Q9NYQ8_FAT2.pdf")</f>
        <v>Melting_Curves/meltCurve_Q9NYQ8_FAT2.pdf</v>
      </c>
    </row>
    <row r="1905" spans="1:28" x14ac:dyDescent="0.25">
      <c r="A1905" t="s">
        <v>1909</v>
      </c>
      <c r="B1905">
        <v>1</v>
      </c>
      <c r="C1905">
        <v>1.09953409572215</v>
      </c>
      <c r="D1905">
        <v>1.11252294225611</v>
      </c>
      <c r="E1905">
        <v>1.3056614428914299</v>
      </c>
      <c r="F1905">
        <v>1.6589015953691899</v>
      </c>
      <c r="G1905">
        <v>2.1783142736128802</v>
      </c>
      <c r="H1905">
        <v>2.1498894065603098</v>
      </c>
      <c r="I1905">
        <v>2.94117370229187</v>
      </c>
      <c r="J1905">
        <v>2.7773542284342798</v>
      </c>
      <c r="K1905">
        <v>2.6519836227587201</v>
      </c>
      <c r="L1905">
        <v>12477.3560602244</v>
      </c>
      <c r="M1905">
        <v>250</v>
      </c>
      <c r="O1905">
        <v>49.906222106257701</v>
      </c>
      <c r="P1905">
        <v>0.62617432317140997</v>
      </c>
      <c r="Q1905">
        <v>1.5</v>
      </c>
      <c r="R1905">
        <v>-0.18375769029061201</v>
      </c>
      <c r="S1905" t="s">
        <v>3907</v>
      </c>
      <c r="T1905" t="s">
        <v>4002</v>
      </c>
      <c r="U1905" t="s">
        <v>4002</v>
      </c>
      <c r="V1905" t="s">
        <v>4002</v>
      </c>
      <c r="W1905" t="s">
        <v>5883</v>
      </c>
      <c r="X1905">
        <v>4</v>
      </c>
      <c r="Y1905" t="s">
        <v>7805</v>
      </c>
      <c r="Z1905" t="s">
        <v>9803</v>
      </c>
      <c r="AA1905">
        <v>1.3347991341869829</v>
      </c>
      <c r="AB1905" t="str">
        <f>HYPERLINK("Melting_Curves/meltCurve_Q9NZ08_ERAP1.pdf", "Melting_Curves/meltCurve_Q9NZ08_ERAP1.pdf")</f>
        <v>Melting_Curves/meltCurve_Q9NZ08_ERAP1.pdf</v>
      </c>
    </row>
    <row r="1906" spans="1:28" x14ac:dyDescent="0.25">
      <c r="A1906" t="s">
        <v>1910</v>
      </c>
      <c r="B1906">
        <v>1</v>
      </c>
      <c r="C1906">
        <v>0.93155638204452695</v>
      </c>
      <c r="D1906">
        <v>0.99948344439278902</v>
      </c>
      <c r="E1906">
        <v>1.0332661811043999</v>
      </c>
      <c r="F1906">
        <v>1.03930988170877</v>
      </c>
      <c r="G1906">
        <v>1.11359057802572</v>
      </c>
      <c r="H1906">
        <v>1.01131256779792</v>
      </c>
      <c r="I1906">
        <v>1.17170308383698</v>
      </c>
      <c r="J1906">
        <v>1.1496978149697801</v>
      </c>
      <c r="K1906">
        <v>1.0609019060901901</v>
      </c>
      <c r="L1906">
        <v>1095.0387390148601</v>
      </c>
      <c r="M1906">
        <v>20.5161385996505</v>
      </c>
      <c r="O1906">
        <v>52.875186276064703</v>
      </c>
      <c r="P1906">
        <v>1.0442808301576701E-2</v>
      </c>
      <c r="Q1906">
        <v>1.1076516393443201</v>
      </c>
      <c r="R1906">
        <v>0.55245581084718298</v>
      </c>
      <c r="S1906" t="s">
        <v>3908</v>
      </c>
      <c r="T1906" t="s">
        <v>4002</v>
      </c>
      <c r="U1906" t="s">
        <v>4002</v>
      </c>
      <c r="V1906" t="s">
        <v>4002</v>
      </c>
      <c r="W1906" t="s">
        <v>5884</v>
      </c>
      <c r="X1906">
        <v>1</v>
      </c>
      <c r="Y1906" t="s">
        <v>7806</v>
      </c>
      <c r="Z1906" t="s">
        <v>9804</v>
      </c>
      <c r="AA1906">
        <v>1.05824546116507</v>
      </c>
      <c r="AB1906" t="str">
        <f>HYPERLINK("Melting_Curves/meltCurve_Q9NZ53_PODXL2.pdf", "Melting_Curves/meltCurve_Q9NZ53_PODXL2.pdf")</f>
        <v>Melting_Curves/meltCurve_Q9NZ53_PODXL2.pdf</v>
      </c>
    </row>
    <row r="1907" spans="1:28" x14ac:dyDescent="0.25">
      <c r="A1907" t="s">
        <v>1911</v>
      </c>
      <c r="B1907">
        <v>1</v>
      </c>
      <c r="C1907">
        <v>0.98459038866746196</v>
      </c>
      <c r="D1907">
        <v>1.0202076616486</v>
      </c>
      <c r="E1907">
        <v>1.09806808661877</v>
      </c>
      <c r="F1907">
        <v>1.08057678149831</v>
      </c>
      <c r="G1907">
        <v>1.1806504023761799</v>
      </c>
      <c r="H1907">
        <v>1.42486862481277</v>
      </c>
      <c r="I1907">
        <v>1.30613591937245</v>
      </c>
      <c r="J1907">
        <v>2.1501104313167998</v>
      </c>
      <c r="K1907">
        <v>1.2439389708309001</v>
      </c>
      <c r="L1907">
        <v>1806.89626182851</v>
      </c>
      <c r="M1907">
        <v>31.281513350815501</v>
      </c>
      <c r="O1907">
        <v>57.527911730398401</v>
      </c>
      <c r="P1907">
        <v>6.7970673974869805E-2</v>
      </c>
      <c r="Q1907">
        <v>1.5</v>
      </c>
      <c r="R1907">
        <v>0.50503891545855195</v>
      </c>
      <c r="S1907" t="s">
        <v>3909</v>
      </c>
      <c r="T1907" t="s">
        <v>4002</v>
      </c>
      <c r="U1907" t="s">
        <v>4002</v>
      </c>
      <c r="V1907" t="s">
        <v>4002</v>
      </c>
      <c r="W1907" t="s">
        <v>5885</v>
      </c>
      <c r="X1907">
        <v>6</v>
      </c>
      <c r="Y1907" t="s">
        <v>7807</v>
      </c>
      <c r="Z1907" t="s">
        <v>9805</v>
      </c>
      <c r="AA1907">
        <v>1.2008825328213439</v>
      </c>
      <c r="AB1907" t="str">
        <f>HYPERLINK("Melting_Curves/meltCurve_Q9NZH8_IL36G.pdf", "Melting_Curves/meltCurve_Q9NZH8_IL36G.pdf")</f>
        <v>Melting_Curves/meltCurve_Q9NZH8_IL36G.pdf</v>
      </c>
    </row>
    <row r="1908" spans="1:28" x14ac:dyDescent="0.25">
      <c r="A1908" t="s">
        <v>1912</v>
      </c>
      <c r="B1908">
        <v>1</v>
      </c>
      <c r="C1908">
        <v>0.89426861487032905</v>
      </c>
      <c r="D1908">
        <v>0.93193867831275501</v>
      </c>
      <c r="E1908">
        <v>0.93806725256555401</v>
      </c>
      <c r="F1908">
        <v>0.83393540734350602</v>
      </c>
      <c r="G1908">
        <v>0.80861235419924105</v>
      </c>
      <c r="H1908">
        <v>0.83916536367067396</v>
      </c>
      <c r="I1908">
        <v>0.94169766898510099</v>
      </c>
      <c r="J1908">
        <v>1.00008986179256</v>
      </c>
      <c r="K1908">
        <v>0.76914505490555496</v>
      </c>
      <c r="L1908">
        <v>671.651582081323</v>
      </c>
      <c r="M1908">
        <v>15.537659210437999</v>
      </c>
      <c r="O1908">
        <v>42.530280866901798</v>
      </c>
      <c r="P1908">
        <v>-1.16921567488548E-2</v>
      </c>
      <c r="Q1908">
        <v>0.87199436869663605</v>
      </c>
      <c r="R1908">
        <v>0.21148066165650201</v>
      </c>
      <c r="S1908" t="s">
        <v>3910</v>
      </c>
      <c r="T1908" t="s">
        <v>4002</v>
      </c>
      <c r="U1908" t="s">
        <v>4002</v>
      </c>
      <c r="V1908" t="s">
        <v>4002</v>
      </c>
      <c r="W1908" t="s">
        <v>5886</v>
      </c>
      <c r="X1908">
        <v>2</v>
      </c>
      <c r="Y1908" t="s">
        <v>7808</v>
      </c>
      <c r="Z1908" t="s">
        <v>9806</v>
      </c>
      <c r="AA1908">
        <v>0.8906165404464782</v>
      </c>
      <c r="AB1908" t="str">
        <f>HYPERLINK("Melting_Curves/meltCurve_Q9NZM3_4_ITSN2.pdf", "Melting_Curves/meltCurve_Q9NZM3_4_ITSN2.pdf")</f>
        <v>Melting_Curves/meltCurve_Q9NZM3_4_ITSN2.pdf</v>
      </c>
    </row>
    <row r="1909" spans="1:28" x14ac:dyDescent="0.25">
      <c r="A1909" t="s">
        <v>1913</v>
      </c>
      <c r="B1909">
        <v>1</v>
      </c>
      <c r="C1909">
        <v>0.87795217476874599</v>
      </c>
      <c r="D1909">
        <v>0.95347864593583898</v>
      </c>
      <c r="E1909">
        <v>1.00976677819327</v>
      </c>
      <c r="F1909">
        <v>1.06590730171226</v>
      </c>
      <c r="G1909">
        <v>1.24953257232828</v>
      </c>
      <c r="H1909">
        <v>1.32788821098209</v>
      </c>
      <c r="I1909">
        <v>1.50890572721905</v>
      </c>
      <c r="J1909">
        <v>1.45775929935052</v>
      </c>
      <c r="K1909">
        <v>1.3287492619563099</v>
      </c>
      <c r="L1909">
        <v>1603.1499361630899</v>
      </c>
      <c r="M1909">
        <v>28.449699659405901</v>
      </c>
      <c r="O1909">
        <v>56.074116737957802</v>
      </c>
      <c r="P1909">
        <v>5.3641809770997202E-2</v>
      </c>
      <c r="Q1909">
        <v>1.42290680579287</v>
      </c>
      <c r="R1909">
        <v>0.91154506987664696</v>
      </c>
      <c r="S1909" t="s">
        <v>3911</v>
      </c>
      <c r="T1909" t="s">
        <v>4002</v>
      </c>
      <c r="U1909" t="s">
        <v>4002</v>
      </c>
      <c r="V1909" t="s">
        <v>4002</v>
      </c>
      <c r="W1909" t="s">
        <v>5887</v>
      </c>
      <c r="X1909">
        <v>4</v>
      </c>
      <c r="Y1909" t="s">
        <v>7809</v>
      </c>
      <c r="Z1909" t="s">
        <v>9807</v>
      </c>
      <c r="AA1909">
        <v>1.1893161972174631</v>
      </c>
      <c r="AB1909" t="str">
        <f>HYPERLINK("Melting_Curves/meltCurve_Q9NZP8_C1RL.pdf", "Melting_Curves/meltCurve_Q9NZP8_C1RL.pdf")</f>
        <v>Melting_Curves/meltCurve_Q9NZP8_C1RL.pdf</v>
      </c>
    </row>
    <row r="1910" spans="1:28" x14ac:dyDescent="0.25">
      <c r="A1910" t="s">
        <v>1914</v>
      </c>
      <c r="B1910">
        <v>1</v>
      </c>
      <c r="C1910">
        <v>0.89426810737801798</v>
      </c>
      <c r="D1910">
        <v>0.97197366199560997</v>
      </c>
      <c r="E1910">
        <v>1.04351679891947</v>
      </c>
      <c r="F1910">
        <v>1.00637345939558</v>
      </c>
      <c r="G1910">
        <v>1.2036974506162399</v>
      </c>
      <c r="H1910">
        <v>0.91427486071247699</v>
      </c>
      <c r="I1910">
        <v>1.20395070065845</v>
      </c>
      <c r="J1910">
        <v>1.3329393888232299</v>
      </c>
      <c r="K1910">
        <v>0.90397602566267099</v>
      </c>
      <c r="L1910">
        <v>13398.6902751052</v>
      </c>
      <c r="M1910">
        <v>250</v>
      </c>
      <c r="O1910">
        <v>53.591331336745</v>
      </c>
      <c r="P1910">
        <v>0.13034720116294499</v>
      </c>
      <c r="Q1910">
        <v>1.11176768072401</v>
      </c>
      <c r="R1910">
        <v>0.19787864448444101</v>
      </c>
      <c r="S1910" t="s">
        <v>3912</v>
      </c>
      <c r="T1910" t="s">
        <v>4002</v>
      </c>
      <c r="U1910" t="s">
        <v>4002</v>
      </c>
      <c r="V1910" t="s">
        <v>4002</v>
      </c>
      <c r="W1910" t="s">
        <v>5888</v>
      </c>
      <c r="X1910">
        <v>7</v>
      </c>
      <c r="Y1910" t="s">
        <v>7810</v>
      </c>
      <c r="Z1910" t="s">
        <v>9808</v>
      </c>
      <c r="AA1910">
        <v>1.0611086708096349</v>
      </c>
      <c r="AB1910" t="str">
        <f>HYPERLINK("Melting_Curves/meltCurve_Q9NZT1_CALML5.pdf", "Melting_Curves/meltCurve_Q9NZT1_CALML5.pdf")</f>
        <v>Melting_Curves/meltCurve_Q9NZT1_CALML5.pdf</v>
      </c>
    </row>
    <row r="1911" spans="1:28" x14ac:dyDescent="0.25">
      <c r="A1911" t="s">
        <v>1915</v>
      </c>
      <c r="B1911">
        <v>1</v>
      </c>
      <c r="C1911">
        <v>0.88297258297258296</v>
      </c>
      <c r="D1911">
        <v>0.99398749398749398</v>
      </c>
      <c r="E1911">
        <v>1.04396344396344</v>
      </c>
      <c r="F1911">
        <v>1.27282347282347</v>
      </c>
      <c r="G1911">
        <v>1.1049543049543</v>
      </c>
      <c r="H1911">
        <v>0.78850408850408804</v>
      </c>
      <c r="I1911">
        <v>1.1902356902356901</v>
      </c>
      <c r="J1911">
        <v>0.94660894660894701</v>
      </c>
      <c r="K1911">
        <v>1.0297739297739299</v>
      </c>
      <c r="L1911">
        <v>12433.034600011901</v>
      </c>
      <c r="M1911">
        <v>250</v>
      </c>
      <c r="O1911">
        <v>49.7289560131996</v>
      </c>
      <c r="P1911">
        <v>6.9732219041749199E-2</v>
      </c>
      <c r="Q1911">
        <v>1.05548336703349</v>
      </c>
      <c r="R1911">
        <v>7.7849801067854094E-2</v>
      </c>
      <c r="S1911" t="s">
        <v>3913</v>
      </c>
      <c r="T1911" t="s">
        <v>4002</v>
      </c>
      <c r="U1911" t="s">
        <v>4002</v>
      </c>
      <c r="V1911" t="s">
        <v>4002</v>
      </c>
      <c r="W1911" t="s">
        <v>5889</v>
      </c>
      <c r="X1911">
        <v>2</v>
      </c>
      <c r="Y1911" t="s">
        <v>7811</v>
      </c>
      <c r="Z1911" t="s">
        <v>9809</v>
      </c>
      <c r="AA1911">
        <v>1.037479464264528</v>
      </c>
      <c r="AB1911" t="str">
        <f>HYPERLINK("Melting_Curves/meltCurve_Q9NZT2_2_OGFR.pdf", "Melting_Curves/meltCurve_Q9NZT2_2_OGFR.pdf")</f>
        <v>Melting_Curves/meltCurve_Q9NZT2_2_OGFR.pdf</v>
      </c>
    </row>
    <row r="1912" spans="1:28" x14ac:dyDescent="0.25">
      <c r="A1912" t="s">
        <v>1916</v>
      </c>
      <c r="B1912">
        <v>1</v>
      </c>
      <c r="C1912">
        <v>0.83517924023542001</v>
      </c>
      <c r="D1912">
        <v>0.88309256286784399</v>
      </c>
      <c r="E1912">
        <v>0.86551631888710501</v>
      </c>
      <c r="F1912">
        <v>0.80518994114499698</v>
      </c>
      <c r="G1912">
        <v>0.88475120385232697</v>
      </c>
      <c r="H1912">
        <v>0.615596575708935</v>
      </c>
      <c r="I1912">
        <v>0.86484751203852295</v>
      </c>
      <c r="J1912">
        <v>0.68801498127340799</v>
      </c>
      <c r="K1912">
        <v>0.72664526484751202</v>
      </c>
      <c r="L1912">
        <v>232.439097364795</v>
      </c>
      <c r="M1912">
        <v>4.1280477371690196</v>
      </c>
      <c r="O1912">
        <v>46.681024222863201</v>
      </c>
      <c r="P1912">
        <v>-9.06910605228212E-3</v>
      </c>
      <c r="Q1912">
        <v>0.59448571715201604</v>
      </c>
      <c r="R1912">
        <v>0.49235044225588498</v>
      </c>
      <c r="S1912" t="s">
        <v>3914</v>
      </c>
      <c r="T1912" t="s">
        <v>4002</v>
      </c>
      <c r="U1912" t="s">
        <v>4002</v>
      </c>
      <c r="V1912" t="s">
        <v>4002</v>
      </c>
      <c r="W1912" t="s">
        <v>5890</v>
      </c>
      <c r="X1912">
        <v>9</v>
      </c>
      <c r="Y1912" t="s">
        <v>7812</v>
      </c>
      <c r="Z1912" t="s">
        <v>9810</v>
      </c>
      <c r="AA1912">
        <v>0.815113183264078</v>
      </c>
      <c r="AB1912" t="str">
        <f>HYPERLINK("Melting_Curves/meltCurve_Q9NZV1_CRIM1.pdf", "Melting_Curves/meltCurve_Q9NZV1_CRIM1.pdf")</f>
        <v>Melting_Curves/meltCurve_Q9NZV1_CRIM1.pdf</v>
      </c>
    </row>
    <row r="1913" spans="1:28" x14ac:dyDescent="0.25">
      <c r="A1913" t="s">
        <v>1917</v>
      </c>
      <c r="B1913">
        <v>1</v>
      </c>
      <c r="C1913">
        <v>0.97082332700096796</v>
      </c>
      <c r="D1913">
        <v>1.0601096813505899</v>
      </c>
      <c r="E1913">
        <v>0.98154055700921194</v>
      </c>
      <c r="F1913">
        <v>0.97885228861249496</v>
      </c>
      <c r="G1913">
        <v>1.0385318470196101</v>
      </c>
      <c r="H1913">
        <v>0.794437076597728</v>
      </c>
      <c r="I1913">
        <v>0.94282949209649103</v>
      </c>
      <c r="J1913">
        <v>1.440499659486</v>
      </c>
      <c r="K1913">
        <v>0.90085666152908705</v>
      </c>
      <c r="L1913">
        <v>1843.9693713208601</v>
      </c>
      <c r="M1913">
        <v>28.455639228743799</v>
      </c>
      <c r="O1913">
        <v>64.484041876227806</v>
      </c>
      <c r="P1913">
        <v>1.3019520753180301E-2</v>
      </c>
      <c r="Q1913">
        <v>1.1180145025597601</v>
      </c>
      <c r="R1913">
        <v>7.5417695904693896E-2</v>
      </c>
      <c r="S1913" t="s">
        <v>3915</v>
      </c>
      <c r="T1913" t="s">
        <v>4002</v>
      </c>
      <c r="U1913" t="s">
        <v>4002</v>
      </c>
      <c r="V1913" t="s">
        <v>4002</v>
      </c>
      <c r="W1913" t="s">
        <v>5891</v>
      </c>
      <c r="X1913">
        <v>3</v>
      </c>
      <c r="Y1913" t="s">
        <v>7813</v>
      </c>
      <c r="Z1913" t="s">
        <v>9811</v>
      </c>
      <c r="AA1913">
        <v>1.0206942086452819</v>
      </c>
      <c r="AB1913" t="str">
        <f>HYPERLINK("Melting_Curves/meltCurve_Q9NZZ3_CHMP5.pdf", "Melting_Curves/meltCurve_Q9NZZ3_CHMP5.pdf")</f>
        <v>Melting_Curves/meltCurve_Q9NZZ3_CHMP5.pdf</v>
      </c>
    </row>
    <row r="1914" spans="1:28" x14ac:dyDescent="0.25">
      <c r="A1914" t="s">
        <v>1918</v>
      </c>
      <c r="B1914">
        <v>1</v>
      </c>
      <c r="C1914">
        <v>0.89916321651408204</v>
      </c>
      <c r="D1914">
        <v>1.0825849903784499</v>
      </c>
      <c r="E1914">
        <v>1.23276867455828</v>
      </c>
      <c r="F1914">
        <v>1.3235611405912899</v>
      </c>
      <c r="G1914">
        <v>1.54906991661321</v>
      </c>
      <c r="H1914">
        <v>1.40177269811651</v>
      </c>
      <c r="I1914">
        <v>1.7681789025599199</v>
      </c>
      <c r="J1914">
        <v>1.66000932999009</v>
      </c>
      <c r="K1914">
        <v>1.6675899469356801</v>
      </c>
      <c r="L1914">
        <v>1277.3200472155299</v>
      </c>
      <c r="M1914">
        <v>25.2744598331102</v>
      </c>
      <c r="O1914">
        <v>50.224783319408402</v>
      </c>
      <c r="P1914">
        <v>6.2904167439897005E-2</v>
      </c>
      <c r="Q1914">
        <v>1.5</v>
      </c>
      <c r="R1914">
        <v>0.80784247574966495</v>
      </c>
      <c r="S1914" t="s">
        <v>3916</v>
      </c>
      <c r="T1914" t="s">
        <v>4002</v>
      </c>
      <c r="U1914" t="s">
        <v>4002</v>
      </c>
      <c r="V1914" t="s">
        <v>4002</v>
      </c>
      <c r="W1914" t="s">
        <v>5892</v>
      </c>
      <c r="X1914">
        <v>2</v>
      </c>
      <c r="Y1914" t="s">
        <v>7814</v>
      </c>
      <c r="Z1914" t="s">
        <v>9812</v>
      </c>
      <c r="AA1914">
        <v>1.3199693010731799</v>
      </c>
      <c r="AB1914" t="str">
        <f>HYPERLINK("Melting_Curves/meltCurve_Q9P0G3_KLK14.pdf", "Melting_Curves/meltCurve_Q9P0G3_KLK14.pdf")</f>
        <v>Melting_Curves/meltCurve_Q9P0G3_KLK14.pdf</v>
      </c>
    </row>
    <row r="1915" spans="1:28" x14ac:dyDescent="0.25">
      <c r="A1915" t="s">
        <v>1919</v>
      </c>
      <c r="B1915">
        <v>1</v>
      </c>
      <c r="C1915">
        <v>0.93764729378869605</v>
      </c>
      <c r="D1915">
        <v>0.99640503295386496</v>
      </c>
      <c r="E1915">
        <v>1.0436389055322499</v>
      </c>
      <c r="F1915">
        <v>1.0392051128420201</v>
      </c>
      <c r="G1915">
        <v>1.0809666466946299</v>
      </c>
      <c r="H1915">
        <v>0.847273816656681</v>
      </c>
      <c r="I1915">
        <v>1.2625524266027599</v>
      </c>
      <c r="J1915">
        <v>0.98867585380467304</v>
      </c>
      <c r="K1915">
        <v>1.02718194527661</v>
      </c>
      <c r="L1915">
        <v>6167.6905173131499</v>
      </c>
      <c r="M1915">
        <v>128.392320337174</v>
      </c>
      <c r="O1915">
        <v>48.026197093191399</v>
      </c>
      <c r="P1915">
        <v>2.7662857527041399E-2</v>
      </c>
      <c r="Q1915">
        <v>1.0413900688675299</v>
      </c>
      <c r="R1915">
        <v>6.83432045525251E-2</v>
      </c>
      <c r="S1915" t="s">
        <v>3917</v>
      </c>
      <c r="T1915" t="s">
        <v>4002</v>
      </c>
      <c r="U1915" t="s">
        <v>4002</v>
      </c>
      <c r="V1915" t="s">
        <v>4002</v>
      </c>
      <c r="W1915" t="s">
        <v>5893</v>
      </c>
      <c r="X1915">
        <v>4</v>
      </c>
      <c r="Y1915" t="s">
        <v>7815</v>
      </c>
      <c r="Z1915" t="s">
        <v>9813</v>
      </c>
      <c r="AA1915">
        <v>1.030287264129601</v>
      </c>
      <c r="AB1915" t="str">
        <f>HYPERLINK("Melting_Curves/meltCurve_Q9P0L0_VAPA.pdf", "Melting_Curves/meltCurve_Q9P0L0_VAPA.pdf")</f>
        <v>Melting_Curves/meltCurve_Q9P0L0_VAPA.pdf</v>
      </c>
    </row>
    <row r="1916" spans="1:28" x14ac:dyDescent="0.25">
      <c r="A1916" t="s">
        <v>1920</v>
      </c>
      <c r="B1916">
        <v>1</v>
      </c>
      <c r="C1916">
        <v>0.91766131475310497</v>
      </c>
      <c r="D1916">
        <v>0.90563465616479899</v>
      </c>
      <c r="E1916">
        <v>0.88451984247197801</v>
      </c>
      <c r="F1916">
        <v>0.70478642835504401</v>
      </c>
      <c r="G1916">
        <v>0.77946076946379905</v>
      </c>
      <c r="H1916">
        <v>0.83447440169645604</v>
      </c>
      <c r="I1916">
        <v>1.0445319600121199</v>
      </c>
      <c r="J1916">
        <v>0.63992729475916399</v>
      </c>
      <c r="K1916">
        <v>0.78848833686761599</v>
      </c>
      <c r="L1916">
        <v>838.715519869221</v>
      </c>
      <c r="M1916">
        <v>18.5451535587659</v>
      </c>
      <c r="O1916">
        <v>44.709567007728999</v>
      </c>
      <c r="P1916">
        <v>-2.0274186639070699E-2</v>
      </c>
      <c r="Q1916">
        <v>0.80449655600689596</v>
      </c>
      <c r="R1916">
        <v>0.28168011482678001</v>
      </c>
      <c r="S1916" t="s">
        <v>3918</v>
      </c>
      <c r="T1916" t="s">
        <v>4002</v>
      </c>
      <c r="U1916" t="s">
        <v>4002</v>
      </c>
      <c r="V1916" t="s">
        <v>4002</v>
      </c>
      <c r="W1916" t="s">
        <v>5894</v>
      </c>
      <c r="X1916">
        <v>1</v>
      </c>
      <c r="Y1916" t="s">
        <v>7816</v>
      </c>
      <c r="Z1916" t="s">
        <v>9814</v>
      </c>
      <c r="AA1916">
        <v>0.84239543567178787</v>
      </c>
      <c r="AB1916" t="str">
        <f>HYPERLINK("Melting_Curves/meltCurve_Q9P0S2_COX16.pdf", "Melting_Curves/meltCurve_Q9P0S2_COX16.pdf")</f>
        <v>Melting_Curves/meltCurve_Q9P0S2_COX16.pdf</v>
      </c>
    </row>
    <row r="1917" spans="1:28" x14ac:dyDescent="0.25">
      <c r="A1917" t="s">
        <v>1921</v>
      </c>
      <c r="B1917">
        <v>1</v>
      </c>
      <c r="C1917">
        <v>0.76485426008968604</v>
      </c>
      <c r="D1917">
        <v>0.91799327354260096</v>
      </c>
      <c r="E1917">
        <v>0.95084080717488795</v>
      </c>
      <c r="F1917">
        <v>1.18514573991031</v>
      </c>
      <c r="G1917">
        <v>1.1333520179372201</v>
      </c>
      <c r="H1917">
        <v>1.06961883408072</v>
      </c>
      <c r="I1917">
        <v>1.48559417040359</v>
      </c>
      <c r="J1917">
        <v>2.4069506726457401</v>
      </c>
      <c r="K1917">
        <v>1.52062780269058</v>
      </c>
      <c r="L1917">
        <v>7853.3364648651605</v>
      </c>
      <c r="M1917">
        <v>126.915396457906</v>
      </c>
      <c r="O1917">
        <v>61.863156632115597</v>
      </c>
      <c r="P1917">
        <v>0.256443831216494</v>
      </c>
      <c r="Q1917">
        <v>1.5</v>
      </c>
      <c r="R1917">
        <v>0.53365778986815704</v>
      </c>
      <c r="S1917" t="s">
        <v>3919</v>
      </c>
      <c r="T1917" t="s">
        <v>4002</v>
      </c>
      <c r="U1917" t="s">
        <v>4002</v>
      </c>
      <c r="V1917" t="s">
        <v>4002</v>
      </c>
      <c r="W1917" t="s">
        <v>5895</v>
      </c>
      <c r="X1917">
        <v>1</v>
      </c>
      <c r="Y1917" t="s">
        <v>7817</v>
      </c>
      <c r="Z1917" t="s">
        <v>9815</v>
      </c>
      <c r="AA1917">
        <v>1.1351472412375581</v>
      </c>
      <c r="AB1917" t="str">
        <f>HYPERLINK("Melting_Curves/meltCurve_Q9P258_RCC2.pdf", "Melting_Curves/meltCurve_Q9P258_RCC2.pdf")</f>
        <v>Melting_Curves/meltCurve_Q9P258_RCC2.pdf</v>
      </c>
    </row>
    <row r="1918" spans="1:28" x14ac:dyDescent="0.25">
      <c r="A1918" t="s">
        <v>1922</v>
      </c>
      <c r="B1918">
        <v>1</v>
      </c>
      <c r="C1918">
        <v>0.87452238711447905</v>
      </c>
      <c r="D1918">
        <v>0.90012877076692499</v>
      </c>
      <c r="E1918">
        <v>0.67163454434147496</v>
      </c>
      <c r="F1918">
        <v>0.45618627430284397</v>
      </c>
      <c r="G1918">
        <v>0.42893331363070197</v>
      </c>
      <c r="H1918">
        <v>0.36283802326317799</v>
      </c>
      <c r="I1918">
        <v>0.41972937028983998</v>
      </c>
      <c r="J1918">
        <v>0.49635853159105803</v>
      </c>
      <c r="K1918">
        <v>0.41111650587912402</v>
      </c>
      <c r="L1918">
        <v>1083.23271101007</v>
      </c>
      <c r="M1918">
        <v>22.150738519605198</v>
      </c>
      <c r="N1918">
        <v>53.091088899086401</v>
      </c>
      <c r="O1918">
        <v>48.509455778859198</v>
      </c>
      <c r="P1918">
        <v>-6.7023922616666898E-2</v>
      </c>
      <c r="Q1918">
        <v>0.41289138024298</v>
      </c>
      <c r="R1918">
        <v>0.95384758782548695</v>
      </c>
      <c r="S1918" t="s">
        <v>3920</v>
      </c>
      <c r="T1918" t="s">
        <v>4002</v>
      </c>
      <c r="U1918" t="s">
        <v>4002</v>
      </c>
      <c r="V1918" t="s">
        <v>4002</v>
      </c>
      <c r="W1918" t="s">
        <v>5896</v>
      </c>
      <c r="X1918">
        <v>1</v>
      </c>
      <c r="Y1918" t="s">
        <v>7818</v>
      </c>
      <c r="Z1918" t="s">
        <v>9816</v>
      </c>
      <c r="AA1918">
        <v>0.59379657685661558</v>
      </c>
      <c r="AB1918" t="str">
        <f>HYPERLINK("Melting_Curves/meltCurve_Q9P2D7_5_DNAH1.pdf", "Melting_Curves/meltCurve_Q9P2D7_5_DNAH1.pdf")</f>
        <v>Melting_Curves/meltCurve_Q9P2D7_5_DNAH1.pdf</v>
      </c>
    </row>
    <row r="1919" spans="1:28" x14ac:dyDescent="0.25">
      <c r="A1919" t="s">
        <v>1923</v>
      </c>
      <c r="B1919">
        <v>1</v>
      </c>
      <c r="C1919">
        <v>0.91609977324263003</v>
      </c>
      <c r="D1919">
        <v>0.98971681695934199</v>
      </c>
      <c r="E1919">
        <v>1.0013710910720901</v>
      </c>
      <c r="F1919">
        <v>0.93445129989980502</v>
      </c>
      <c r="G1919">
        <v>0.98228128460686603</v>
      </c>
      <c r="H1919">
        <v>0.76955123134525105</v>
      </c>
      <c r="I1919">
        <v>1.04619522227496</v>
      </c>
      <c r="J1919">
        <v>0.93255286610768295</v>
      </c>
      <c r="K1919">
        <v>0.85782840267890104</v>
      </c>
      <c r="L1919">
        <v>174.73343543053201</v>
      </c>
      <c r="M1919">
        <v>0.31463101092335899</v>
      </c>
      <c r="O1919">
        <v>69.773909917242307</v>
      </c>
      <c r="P1919">
        <v>-3.2498404897341199E-3</v>
      </c>
      <c r="Q1919">
        <v>0</v>
      </c>
      <c r="R1919">
        <v>0.12528237728457201</v>
      </c>
      <c r="S1919" t="s">
        <v>3921</v>
      </c>
      <c r="T1919" t="s">
        <v>4002</v>
      </c>
      <c r="U1919" t="s">
        <v>4002</v>
      </c>
      <c r="V1919" t="s">
        <v>4002</v>
      </c>
      <c r="W1919" t="s">
        <v>5897</v>
      </c>
      <c r="X1919">
        <v>29</v>
      </c>
      <c r="Y1919" t="s">
        <v>7819</v>
      </c>
      <c r="Z1919" t="s">
        <v>9817</v>
      </c>
      <c r="AA1919">
        <v>0.94424119552446784</v>
      </c>
      <c r="AB1919" t="str">
        <f>HYPERLINK("Melting_Curves/meltCurve_Q9P2E9_2_RRBP1.pdf", "Melting_Curves/meltCurve_Q9P2E9_2_RRBP1.pdf")</f>
        <v>Melting_Curves/meltCurve_Q9P2E9_2_RRBP1.pdf</v>
      </c>
    </row>
    <row r="1920" spans="1:28" x14ac:dyDescent="0.25">
      <c r="A1920" t="s">
        <v>1924</v>
      </c>
      <c r="B1920">
        <v>1</v>
      </c>
      <c r="C1920">
        <v>0.96999117387466904</v>
      </c>
      <c r="D1920">
        <v>1.0486239268234001</v>
      </c>
      <c r="E1920">
        <v>1.17555965658349</v>
      </c>
      <c r="F1920">
        <v>1.1571050308914399</v>
      </c>
      <c r="G1920">
        <v>1.13351520500682</v>
      </c>
      <c r="H1920">
        <v>1.0798363154938599</v>
      </c>
      <c r="I1920">
        <v>1.1906443071491599</v>
      </c>
      <c r="J1920">
        <v>1.06900425258766</v>
      </c>
      <c r="K1920">
        <v>1.02174436331541</v>
      </c>
      <c r="L1920">
        <v>11516.482893517599</v>
      </c>
      <c r="M1920">
        <v>250</v>
      </c>
      <c r="O1920">
        <v>46.062973209245101</v>
      </c>
      <c r="P1920">
        <v>0.16038000460669599</v>
      </c>
      <c r="Q1920">
        <v>1.11820130446211</v>
      </c>
      <c r="R1920">
        <v>0.53970718761428405</v>
      </c>
      <c r="S1920" t="s">
        <v>3922</v>
      </c>
      <c r="T1920" t="s">
        <v>4002</v>
      </c>
      <c r="U1920" t="s">
        <v>4002</v>
      </c>
      <c r="V1920" t="s">
        <v>4002</v>
      </c>
      <c r="W1920" t="s">
        <v>5898</v>
      </c>
      <c r="X1920">
        <v>1</v>
      </c>
      <c r="Y1920" t="s">
        <v>7820</v>
      </c>
      <c r="Z1920" t="s">
        <v>9818</v>
      </c>
      <c r="AA1920">
        <v>1.0942917143174049</v>
      </c>
      <c r="AB1920" t="str">
        <f>HYPERLINK("Melting_Curves/meltCurve_Q9P2L0_2_WDR35.pdf", "Melting_Curves/meltCurve_Q9P2L0_2_WDR35.pdf")</f>
        <v>Melting_Curves/meltCurve_Q9P2L0_2_WDR35.pdf</v>
      </c>
    </row>
    <row r="1921" spans="1:28" x14ac:dyDescent="0.25">
      <c r="A1921" t="s">
        <v>1925</v>
      </c>
      <c r="B1921">
        <v>1</v>
      </c>
      <c r="C1921">
        <v>0.96100760955129905</v>
      </c>
      <c r="D1921">
        <v>1.0016793492521601</v>
      </c>
      <c r="E1921">
        <v>1.04957578938161</v>
      </c>
      <c r="F1921">
        <v>0.95383538878684504</v>
      </c>
      <c r="G1921">
        <v>1.00131199160325</v>
      </c>
      <c r="H1921">
        <v>0.69754220239657105</v>
      </c>
      <c r="I1921">
        <v>1.0865914458147501</v>
      </c>
      <c r="J1921">
        <v>0.65183241493921096</v>
      </c>
      <c r="K1921">
        <v>0.73338581299746297</v>
      </c>
      <c r="L1921">
        <v>654.60626088517199</v>
      </c>
      <c r="M1921">
        <v>8.8726550814746403</v>
      </c>
      <c r="Q1921">
        <v>0.23532423009810499</v>
      </c>
      <c r="R1921">
        <v>0.44265804444241602</v>
      </c>
      <c r="S1921" t="s">
        <v>3923</v>
      </c>
      <c r="T1921" t="s">
        <v>4002</v>
      </c>
      <c r="U1921" t="s">
        <v>4002</v>
      </c>
      <c r="V1921" t="s">
        <v>4002</v>
      </c>
      <c r="W1921" t="s">
        <v>5899</v>
      </c>
      <c r="X1921">
        <v>2</v>
      </c>
      <c r="Y1921" t="s">
        <v>7821</v>
      </c>
      <c r="Z1921" t="s">
        <v>9819</v>
      </c>
      <c r="AA1921">
        <v>0.92485937000205531</v>
      </c>
      <c r="AB1921" t="str">
        <f>HYPERLINK("Melting_Curves/meltCurve_Q9P2X0_DPM3.pdf", "Melting_Curves/meltCurve_Q9P2X0_DPM3.pdf")</f>
        <v>Melting_Curves/meltCurve_Q9P2X0_DPM3.pdf</v>
      </c>
    </row>
    <row r="1922" spans="1:28" x14ac:dyDescent="0.25">
      <c r="A1922" t="s">
        <v>1926</v>
      </c>
      <c r="B1922">
        <v>1</v>
      </c>
      <c r="C1922">
        <v>0.89721913236929896</v>
      </c>
      <c r="D1922">
        <v>0.97934742306266198</v>
      </c>
      <c r="E1922">
        <v>1.0920281794586599</v>
      </c>
      <c r="F1922">
        <v>1.0287356321839101</v>
      </c>
      <c r="G1922">
        <v>1.07538005190953</v>
      </c>
      <c r="H1922">
        <v>0.87144975899147203</v>
      </c>
      <c r="I1922">
        <v>1.26344086021505</v>
      </c>
      <c r="J1922">
        <v>0.97879124953652197</v>
      </c>
      <c r="K1922">
        <v>0.97152391546162398</v>
      </c>
      <c r="L1922">
        <v>174.62847904420599</v>
      </c>
      <c r="M1922">
        <v>1.0000000000000001E-5</v>
      </c>
      <c r="Q1922">
        <v>1.4717388146233501</v>
      </c>
      <c r="R1922">
        <v>2.2260532827672E-2</v>
      </c>
      <c r="S1922" t="s">
        <v>3924</v>
      </c>
      <c r="T1922" t="s">
        <v>4002</v>
      </c>
      <c r="U1922" t="s">
        <v>4002</v>
      </c>
      <c r="V1922" t="s">
        <v>4002</v>
      </c>
      <c r="W1922" t="s">
        <v>5900</v>
      </c>
      <c r="X1922">
        <v>24</v>
      </c>
      <c r="Y1922" t="s">
        <v>7822</v>
      </c>
      <c r="Z1922" t="s">
        <v>9820</v>
      </c>
      <c r="AA1922">
        <v>1.019590993245908</v>
      </c>
      <c r="AB1922" t="str">
        <f>HYPERLINK("Melting_Curves/meltCurve_Q9UBG3_CRNN.pdf", "Melting_Curves/meltCurve_Q9UBG3_CRNN.pdf")</f>
        <v>Melting_Curves/meltCurve_Q9UBG3_CRNN.pdf</v>
      </c>
    </row>
    <row r="1923" spans="1:28" x14ac:dyDescent="0.25">
      <c r="A1923" t="s">
        <v>1927</v>
      </c>
      <c r="B1923">
        <v>1</v>
      </c>
      <c r="C1923">
        <v>0.95608831768001301</v>
      </c>
      <c r="D1923">
        <v>1.0628604382929601</v>
      </c>
      <c r="E1923">
        <v>1.0689569945625299</v>
      </c>
      <c r="F1923">
        <v>1.02455099686934</v>
      </c>
      <c r="G1923">
        <v>0.99505684626791902</v>
      </c>
      <c r="H1923">
        <v>0.97058823529411797</v>
      </c>
      <c r="I1923">
        <v>1.19130004943154</v>
      </c>
      <c r="J1923">
        <v>1.5040369088812</v>
      </c>
      <c r="K1923">
        <v>1.12563849069039</v>
      </c>
      <c r="L1923">
        <v>15000</v>
      </c>
      <c r="M1923">
        <v>234.812484057978</v>
      </c>
      <c r="O1923">
        <v>63.876126487319802</v>
      </c>
      <c r="P1923">
        <v>0.28933797223184698</v>
      </c>
      <c r="Q1923">
        <v>1.3148348598575099</v>
      </c>
      <c r="R1923">
        <v>0.64782251716123396</v>
      </c>
      <c r="S1923" t="s">
        <v>3925</v>
      </c>
      <c r="T1923" t="s">
        <v>4002</v>
      </c>
      <c r="U1923" t="s">
        <v>4002</v>
      </c>
      <c r="V1923" t="s">
        <v>4002</v>
      </c>
      <c r="W1923" t="s">
        <v>5901</v>
      </c>
      <c r="X1923">
        <v>3</v>
      </c>
      <c r="Y1923" t="s">
        <v>7823</v>
      </c>
      <c r="Z1923" t="s">
        <v>9821</v>
      </c>
      <c r="AA1923">
        <v>1.064178322131955</v>
      </c>
      <c r="AB1923" t="str">
        <f>HYPERLINK("Melting_Curves/meltCurve_Q9UBQ7_GRHPR.pdf", "Melting_Curves/meltCurve_Q9UBQ7_GRHPR.pdf")</f>
        <v>Melting_Curves/meltCurve_Q9UBQ7_GRHPR.pdf</v>
      </c>
    </row>
    <row r="1924" spans="1:28" x14ac:dyDescent="0.25">
      <c r="A1924" t="s">
        <v>1928</v>
      </c>
      <c r="B1924">
        <v>1</v>
      </c>
      <c r="C1924">
        <v>0.92558436378141196</v>
      </c>
      <c r="D1924">
        <v>1.0586996410051901</v>
      </c>
      <c r="E1924">
        <v>1.7814120462704399</v>
      </c>
      <c r="F1924">
        <v>2.3808536098922999</v>
      </c>
      <c r="G1924">
        <v>2.6367770243318698</v>
      </c>
      <c r="H1924">
        <v>2.4366972477064199</v>
      </c>
      <c r="I1924">
        <v>3.2183486238532102</v>
      </c>
      <c r="J1924">
        <v>2.8477064220183501</v>
      </c>
      <c r="K1924">
        <v>2.8371759074591099</v>
      </c>
      <c r="L1924">
        <v>11592.795408419301</v>
      </c>
      <c r="M1924">
        <v>250</v>
      </c>
      <c r="O1924">
        <v>46.368208817697997</v>
      </c>
      <c r="P1924">
        <v>0.67395306416070599</v>
      </c>
      <c r="Q1924">
        <v>1.5</v>
      </c>
      <c r="R1924">
        <v>-0.45106928313604899</v>
      </c>
      <c r="S1924" t="s">
        <v>3926</v>
      </c>
      <c r="T1924" t="s">
        <v>4002</v>
      </c>
      <c r="U1924" t="s">
        <v>4002</v>
      </c>
      <c r="V1924" t="s">
        <v>4002</v>
      </c>
      <c r="W1924" t="s">
        <v>5902</v>
      </c>
      <c r="X1924">
        <v>7</v>
      </c>
      <c r="Y1924" t="s">
        <v>7824</v>
      </c>
      <c r="Z1924" t="s">
        <v>9822</v>
      </c>
      <c r="AA1924">
        <v>1.3937729490876769</v>
      </c>
      <c r="AB1924" t="str">
        <f>HYPERLINK("Melting_Curves/meltCurve_Q9UBR2_CTSZ.pdf", "Melting_Curves/meltCurve_Q9UBR2_CTSZ.pdf")</f>
        <v>Melting_Curves/meltCurve_Q9UBR2_CTSZ.pdf</v>
      </c>
    </row>
    <row r="1925" spans="1:28" x14ac:dyDescent="0.25">
      <c r="A1925" t="s">
        <v>1929</v>
      </c>
      <c r="B1925">
        <v>1</v>
      </c>
      <c r="C1925">
        <v>0.95687171665819304</v>
      </c>
      <c r="D1925">
        <v>0.96339603457041201</v>
      </c>
      <c r="E1925">
        <v>0.95958312150483005</v>
      </c>
      <c r="F1925">
        <v>0.91374343331638697</v>
      </c>
      <c r="G1925">
        <v>0.91486612438569703</v>
      </c>
      <c r="H1925">
        <v>0.83098203694289097</v>
      </c>
      <c r="I1925">
        <v>1.03414675478732</v>
      </c>
      <c r="J1925">
        <v>1.0251652262328399</v>
      </c>
      <c r="K1925">
        <v>0.88737078461277796</v>
      </c>
      <c r="L1925">
        <v>870.81398993802702</v>
      </c>
      <c r="M1925">
        <v>20.138582101714299</v>
      </c>
      <c r="O1925">
        <v>42.8214828179593</v>
      </c>
      <c r="P1925">
        <v>-7.3349907738601396E-3</v>
      </c>
      <c r="Q1925">
        <v>0.93761523130012103</v>
      </c>
      <c r="R1925">
        <v>9.1777294692312703E-2</v>
      </c>
      <c r="S1925" t="s">
        <v>3927</v>
      </c>
      <c r="T1925" t="s">
        <v>4002</v>
      </c>
      <c r="U1925" t="s">
        <v>4002</v>
      </c>
      <c r="V1925" t="s">
        <v>4002</v>
      </c>
      <c r="W1925" t="s">
        <v>5903</v>
      </c>
      <c r="X1925">
        <v>1</v>
      </c>
      <c r="Y1925" t="s">
        <v>7825</v>
      </c>
      <c r="Z1925" t="s">
        <v>9823</v>
      </c>
      <c r="AA1925">
        <v>0.94572988050618823</v>
      </c>
      <c r="AB1925" t="str">
        <f>HYPERLINK("Melting_Curves/meltCurve_Q9UBS3_DNAJB9.pdf", "Melting_Curves/meltCurve_Q9UBS3_DNAJB9.pdf")</f>
        <v>Melting_Curves/meltCurve_Q9UBS3_DNAJB9.pdf</v>
      </c>
    </row>
    <row r="1926" spans="1:28" x14ac:dyDescent="0.25">
      <c r="A1926" t="s">
        <v>1930</v>
      </c>
      <c r="B1926">
        <v>1</v>
      </c>
      <c r="C1926">
        <v>0.65976956934495601</v>
      </c>
      <c r="D1926">
        <v>0.52679727280573097</v>
      </c>
      <c r="E1926">
        <v>0.537455769396738</v>
      </c>
      <c r="F1926">
        <v>0.56413437473030104</v>
      </c>
      <c r="G1926">
        <v>0.49947139035125598</v>
      </c>
      <c r="H1926">
        <v>0.55872961077069105</v>
      </c>
      <c r="I1926">
        <v>0.62544230603262296</v>
      </c>
      <c r="J1926">
        <v>0.58323983774920196</v>
      </c>
      <c r="K1926">
        <v>0.51146759299214595</v>
      </c>
      <c r="L1926">
        <v>10676.139368619401</v>
      </c>
      <c r="M1926">
        <v>250</v>
      </c>
      <c r="O1926">
        <v>42.701825496973598</v>
      </c>
      <c r="P1926">
        <v>-0.65740418498585595</v>
      </c>
      <c r="Q1926">
        <v>0.55084226865194896</v>
      </c>
      <c r="R1926">
        <v>0.93925557334249699</v>
      </c>
      <c r="S1926" t="s">
        <v>3928</v>
      </c>
      <c r="T1926" t="s">
        <v>4002</v>
      </c>
      <c r="U1926" t="s">
        <v>4002</v>
      </c>
      <c r="V1926" t="s">
        <v>4002</v>
      </c>
      <c r="W1926" t="s">
        <v>5904</v>
      </c>
      <c r="X1926">
        <v>1</v>
      </c>
      <c r="Y1926" t="s">
        <v>7826</v>
      </c>
      <c r="Z1926" t="s">
        <v>9824</v>
      </c>
      <c r="AA1926">
        <v>0.59136836123870995</v>
      </c>
      <c r="AB1926" t="str">
        <f>HYPERLINK("Melting_Curves/meltCurve_Q9UBT6_3_POLK.pdf", "Melting_Curves/meltCurve_Q9UBT6_3_POLK.pdf")</f>
        <v>Melting_Curves/meltCurve_Q9UBT6_3_POLK.pdf</v>
      </c>
    </row>
    <row r="1927" spans="1:28" x14ac:dyDescent="0.25">
      <c r="A1927" t="s">
        <v>1931</v>
      </c>
      <c r="B1927">
        <v>1</v>
      </c>
      <c r="C1927">
        <v>0.91441191836993196</v>
      </c>
      <c r="D1927">
        <v>0.99035827937241705</v>
      </c>
      <c r="E1927">
        <v>0.955939394898912</v>
      </c>
      <c r="F1927">
        <v>0.90342447318841701</v>
      </c>
      <c r="G1927">
        <v>0.99178316419422796</v>
      </c>
      <c r="H1927">
        <v>0.68130076152177699</v>
      </c>
      <c r="I1927">
        <v>1.28065481373589</v>
      </c>
      <c r="J1927">
        <v>0.67666196982410598</v>
      </c>
      <c r="K1927">
        <v>1.0143913367002799</v>
      </c>
      <c r="L1927">
        <v>447.50428839255102</v>
      </c>
      <c r="M1927">
        <v>10.262804161086599</v>
      </c>
      <c r="O1927">
        <v>42.046224717620298</v>
      </c>
      <c r="P1927">
        <v>-4.63609704954537E-3</v>
      </c>
      <c r="Q1927">
        <v>0.92405797798839695</v>
      </c>
      <c r="R1927">
        <v>1.22007654953085E-2</v>
      </c>
      <c r="S1927" t="s">
        <v>3929</v>
      </c>
      <c r="T1927" t="s">
        <v>4002</v>
      </c>
      <c r="U1927" t="s">
        <v>4002</v>
      </c>
      <c r="V1927" t="s">
        <v>4002</v>
      </c>
      <c r="W1927" t="s">
        <v>5905</v>
      </c>
      <c r="X1927">
        <v>5</v>
      </c>
      <c r="Y1927" t="s">
        <v>7827</v>
      </c>
      <c r="Z1927" t="s">
        <v>9825</v>
      </c>
      <c r="AA1927">
        <v>0.9389262639863557</v>
      </c>
      <c r="AB1927" t="str">
        <f>HYPERLINK("Melting_Curves/meltCurve_Q9UBW5_2_BIN2.pdf", "Melting_Curves/meltCurve_Q9UBW5_2_BIN2.pdf")</f>
        <v>Melting_Curves/meltCurve_Q9UBW5_2_BIN2.pdf</v>
      </c>
    </row>
    <row r="1928" spans="1:28" x14ac:dyDescent="0.25">
      <c r="A1928" t="s">
        <v>1932</v>
      </c>
      <c r="B1928">
        <v>1</v>
      </c>
      <c r="C1928">
        <v>1.0105311656684</v>
      </c>
      <c r="D1928">
        <v>0.93181070229711105</v>
      </c>
      <c r="E1928">
        <v>1.01132100309353</v>
      </c>
      <c r="F1928">
        <v>0.87211215691436805</v>
      </c>
      <c r="G1928">
        <v>1.1440136905153699</v>
      </c>
      <c r="H1928">
        <v>0.68682946093595698</v>
      </c>
      <c r="I1928">
        <v>1.17758178108339</v>
      </c>
      <c r="J1928">
        <v>0.765089185809254</v>
      </c>
      <c r="K1928">
        <v>0.90041466464819297</v>
      </c>
      <c r="L1928">
        <v>335.15880843975202</v>
      </c>
      <c r="M1928">
        <v>2.8134750057978999</v>
      </c>
      <c r="Q1928">
        <v>0</v>
      </c>
      <c r="R1928">
        <v>6.7149126822789604E-2</v>
      </c>
      <c r="S1928" t="s">
        <v>3930</v>
      </c>
      <c r="T1928" t="s">
        <v>4002</v>
      </c>
      <c r="U1928" t="s">
        <v>4002</v>
      </c>
      <c r="V1928" t="s">
        <v>4002</v>
      </c>
      <c r="W1928" t="s">
        <v>5906</v>
      </c>
      <c r="X1928">
        <v>2</v>
      </c>
      <c r="Y1928" t="s">
        <v>7828</v>
      </c>
      <c r="Z1928" t="s">
        <v>9826</v>
      </c>
      <c r="AA1928">
        <v>0.95458093447508419</v>
      </c>
      <c r="AB1928" t="str">
        <f>HYPERLINK("Melting_Curves/meltCurve_Q9UDY5_IL13RA1.pdf", "Melting_Curves/meltCurve_Q9UDY5_IL13RA1.pdf")</f>
        <v>Melting_Curves/meltCurve_Q9UDY5_IL13RA1.pdf</v>
      </c>
    </row>
    <row r="1929" spans="1:28" x14ac:dyDescent="0.25">
      <c r="A1929" t="s">
        <v>1933</v>
      </c>
      <c r="B1929">
        <v>1</v>
      </c>
      <c r="C1929">
        <v>0.67599173225216602</v>
      </c>
      <c r="D1929">
        <v>0.27339216153907298</v>
      </c>
      <c r="E1929">
        <v>8.5348596867795501E-2</v>
      </c>
      <c r="F1929">
        <v>4.96764448684315E-2</v>
      </c>
      <c r="G1929">
        <v>3.5807297877414698E-2</v>
      </c>
      <c r="H1929">
        <v>2.8452182208442599E-2</v>
      </c>
      <c r="I1929">
        <v>3.60386358216074E-2</v>
      </c>
      <c r="J1929">
        <v>2.9765482152794301E-2</v>
      </c>
      <c r="K1929">
        <v>2.9740042928690699E-2</v>
      </c>
      <c r="L1929">
        <v>1241.89466164652</v>
      </c>
      <c r="M1929">
        <v>28.165092965988201</v>
      </c>
      <c r="N1929">
        <v>44.2109604417859</v>
      </c>
      <c r="O1929">
        <v>43.872912049991001</v>
      </c>
      <c r="P1929">
        <v>-0.15470300173372101</v>
      </c>
      <c r="Q1929">
        <v>3.6081381813527699E-2</v>
      </c>
      <c r="R1929">
        <v>0.99655989420945801</v>
      </c>
      <c r="S1929" t="s">
        <v>3931</v>
      </c>
      <c r="T1929" t="s">
        <v>4002</v>
      </c>
      <c r="U1929" t="s">
        <v>4002</v>
      </c>
      <c r="V1929" t="s">
        <v>4002</v>
      </c>
      <c r="W1929" t="s">
        <v>5907</v>
      </c>
      <c r="X1929">
        <v>1</v>
      </c>
      <c r="Y1929" t="s">
        <v>7829</v>
      </c>
      <c r="Z1929" t="s">
        <v>9827</v>
      </c>
      <c r="AA1929">
        <v>0.17570405119157601</v>
      </c>
      <c r="AB1929" t="str">
        <f>HYPERLINK("Melting_Curves/meltCurve_Q9UFH2_4_DNAH17.pdf", "Melting_Curves/meltCurve_Q9UFH2_4_DNAH17.pdf")</f>
        <v>Melting_Curves/meltCurve_Q9UFH2_4_DNAH17.pdf</v>
      </c>
    </row>
    <row r="1930" spans="1:28" x14ac:dyDescent="0.25">
      <c r="A1930" t="s">
        <v>1934</v>
      </c>
      <c r="B1930">
        <v>1</v>
      </c>
      <c r="C1930">
        <v>0.79859424388620903</v>
      </c>
      <c r="D1930">
        <v>0.87048743969389497</v>
      </c>
      <c r="E1930">
        <v>0.88421227749126596</v>
      </c>
      <c r="F1930">
        <v>0.83904508401264299</v>
      </c>
      <c r="G1930">
        <v>0.92829812011312596</v>
      </c>
      <c r="H1930">
        <v>0.74757111961404099</v>
      </c>
      <c r="I1930">
        <v>1.0109798702379</v>
      </c>
      <c r="J1930">
        <v>0.74997504574945895</v>
      </c>
      <c r="K1930">
        <v>0.76992181001497295</v>
      </c>
      <c r="L1930">
        <v>87.4803016563244</v>
      </c>
      <c r="M1930">
        <v>1.0000000000000001E-5</v>
      </c>
      <c r="Q1930">
        <v>0.15799945956574099</v>
      </c>
      <c r="R1930">
        <v>0.135250100430271</v>
      </c>
      <c r="S1930" t="s">
        <v>3932</v>
      </c>
      <c r="T1930" t="s">
        <v>4002</v>
      </c>
      <c r="U1930" t="s">
        <v>4002</v>
      </c>
      <c r="V1930" t="s">
        <v>4002</v>
      </c>
      <c r="W1930" t="s">
        <v>5908</v>
      </c>
      <c r="X1930">
        <v>3</v>
      </c>
      <c r="Y1930" t="s">
        <v>7830</v>
      </c>
      <c r="Z1930" t="s">
        <v>9828</v>
      </c>
      <c r="AA1930">
        <v>0.85958815655854492</v>
      </c>
      <c r="AB1930" t="str">
        <f>HYPERLINK("Melting_Curves/meltCurve_Q9UGI8_2_TES.pdf", "Melting_Curves/meltCurve_Q9UGI8_2_TES.pdf")</f>
        <v>Melting_Curves/meltCurve_Q9UGI8_2_TES.pdf</v>
      </c>
    </row>
    <row r="1931" spans="1:28" x14ac:dyDescent="0.25">
      <c r="A1931" t="s">
        <v>1935</v>
      </c>
      <c r="B1931">
        <v>1</v>
      </c>
      <c r="C1931">
        <v>0.87733591260245802</v>
      </c>
      <c r="D1931">
        <v>1.0005208139578099</v>
      </c>
      <c r="E1931">
        <v>0.97601775727589501</v>
      </c>
      <c r="F1931">
        <v>0.98079188522252403</v>
      </c>
      <c r="G1931">
        <v>1.12596257579703</v>
      </c>
      <c r="H1931">
        <v>0.93376982503131101</v>
      </c>
      <c r="I1931">
        <v>1.2839304093349699</v>
      </c>
      <c r="J1931">
        <v>0.98988132881961199</v>
      </c>
      <c r="K1931">
        <v>1.12614858078196</v>
      </c>
      <c r="L1931">
        <v>13716.917008931299</v>
      </c>
      <c r="M1931">
        <v>250</v>
      </c>
      <c r="O1931">
        <v>54.8641569081827</v>
      </c>
      <c r="P1931">
        <v>0.10473478977734001</v>
      </c>
      <c r="Q1931">
        <v>1.0919389748678401</v>
      </c>
      <c r="R1931">
        <v>0.27048778319346001</v>
      </c>
      <c r="S1931" t="s">
        <v>3933</v>
      </c>
      <c r="T1931" t="s">
        <v>4002</v>
      </c>
      <c r="U1931" t="s">
        <v>4002</v>
      </c>
      <c r="V1931" t="s">
        <v>4002</v>
      </c>
      <c r="W1931" t="s">
        <v>5909</v>
      </c>
      <c r="X1931">
        <v>23</v>
      </c>
      <c r="Y1931" t="s">
        <v>7831</v>
      </c>
      <c r="Z1931" t="s">
        <v>9829</v>
      </c>
      <c r="AA1931">
        <v>1.0463661832929589</v>
      </c>
      <c r="AB1931" t="str">
        <f>HYPERLINK("Melting_Curves/meltCurve_Q9UGM3_5_DMBT1.pdf", "Melting_Curves/meltCurve_Q9UGM3_5_DMBT1.pdf")</f>
        <v>Melting_Curves/meltCurve_Q9UGM3_5_DMBT1.pdf</v>
      </c>
    </row>
    <row r="1932" spans="1:28" x14ac:dyDescent="0.25">
      <c r="A1932" t="s">
        <v>1936</v>
      </c>
      <c r="B1932">
        <v>1</v>
      </c>
      <c r="C1932">
        <v>1.02857286331224</v>
      </c>
      <c r="D1932">
        <v>1.0977201968464401</v>
      </c>
      <c r="E1932">
        <v>1.2189414482273799</v>
      </c>
      <c r="F1932">
        <v>1.2181882092999901</v>
      </c>
      <c r="G1932">
        <v>1.3223862609219601</v>
      </c>
      <c r="H1932">
        <v>1.3182183388570901</v>
      </c>
      <c r="I1932">
        <v>1.7416892638344901</v>
      </c>
      <c r="J1932">
        <v>1.73365471527569</v>
      </c>
      <c r="K1932">
        <v>1.5364065481570801</v>
      </c>
      <c r="L1932">
        <v>840.00329777420802</v>
      </c>
      <c r="M1932">
        <v>16.0591148742336</v>
      </c>
      <c r="O1932">
        <v>51.516031643961497</v>
      </c>
      <c r="P1932">
        <v>3.89693211819798E-2</v>
      </c>
      <c r="Q1932">
        <v>1.5</v>
      </c>
      <c r="R1932">
        <v>0.74332312701470005</v>
      </c>
      <c r="S1932" t="s">
        <v>3934</v>
      </c>
      <c r="T1932" t="s">
        <v>4002</v>
      </c>
      <c r="U1932" t="s">
        <v>4002</v>
      </c>
      <c r="V1932" t="s">
        <v>4002</v>
      </c>
      <c r="W1932" t="s">
        <v>5910</v>
      </c>
      <c r="X1932">
        <v>4</v>
      </c>
      <c r="Y1932" t="s">
        <v>7832</v>
      </c>
      <c r="Z1932" t="s">
        <v>9830</v>
      </c>
      <c r="AA1932">
        <v>1.2849201356989439</v>
      </c>
      <c r="AB1932" t="str">
        <f>HYPERLINK("Melting_Curves/meltCurve_Q9UHA7_IL36A.pdf", "Melting_Curves/meltCurve_Q9UHA7_IL36A.pdf")</f>
        <v>Melting_Curves/meltCurve_Q9UHA7_IL36A.pdf</v>
      </c>
    </row>
    <row r="1933" spans="1:28" x14ac:dyDescent="0.25">
      <c r="A1933" t="s">
        <v>1937</v>
      </c>
      <c r="B1933">
        <v>1</v>
      </c>
      <c r="C1933">
        <v>0.88415168047417003</v>
      </c>
      <c r="D1933">
        <v>0.92597831211692605</v>
      </c>
      <c r="E1933">
        <v>1.0969219370916701</v>
      </c>
      <c r="F1933">
        <v>1.15881996362902</v>
      </c>
      <c r="G1933">
        <v>1.13585236074628</v>
      </c>
      <c r="H1933">
        <v>0.951774769313666</v>
      </c>
      <c r="I1933">
        <v>1.4505960800161599</v>
      </c>
      <c r="J1933">
        <v>0.96484138209739301</v>
      </c>
      <c r="K1933">
        <v>0.99144608338384899</v>
      </c>
      <c r="L1933">
        <v>12395.4100366902</v>
      </c>
      <c r="M1933">
        <v>250</v>
      </c>
      <c r="O1933">
        <v>49.578451743756503</v>
      </c>
      <c r="P1933">
        <v>0.13726780018131499</v>
      </c>
      <c r="Q1933">
        <v>1.10888843421279</v>
      </c>
      <c r="R1933">
        <v>0.19871646353876199</v>
      </c>
      <c r="S1933" t="s">
        <v>3935</v>
      </c>
      <c r="T1933" t="s">
        <v>4002</v>
      </c>
      <c r="U1933" t="s">
        <v>4002</v>
      </c>
      <c r="V1933" t="s">
        <v>4002</v>
      </c>
      <c r="W1933" t="s">
        <v>5911</v>
      </c>
      <c r="X1933">
        <v>1</v>
      </c>
      <c r="Y1933" t="s">
        <v>7833</v>
      </c>
      <c r="Z1933" t="s">
        <v>9831</v>
      </c>
      <c r="AA1933">
        <v>1.074101299525908</v>
      </c>
      <c r="AB1933" t="str">
        <f>HYPERLINK("Melting_Curves/meltCurve_Q9UHD0_IL19.pdf", "Melting_Curves/meltCurve_Q9UHD0_IL19.pdf")</f>
        <v>Melting_Curves/meltCurve_Q9UHD0_IL19.pdf</v>
      </c>
    </row>
    <row r="1934" spans="1:28" x14ac:dyDescent="0.25">
      <c r="A1934" t="s">
        <v>1938</v>
      </c>
      <c r="B1934">
        <v>1</v>
      </c>
      <c r="C1934">
        <v>0.95666153677036403</v>
      </c>
      <c r="D1934">
        <v>1.0675497416730799</v>
      </c>
      <c r="E1934">
        <v>1.14818071891832</v>
      </c>
      <c r="F1934">
        <v>1.10528196108607</v>
      </c>
      <c r="G1934">
        <v>1.1377651973178</v>
      </c>
      <c r="H1934">
        <v>1.1054743321974301</v>
      </c>
      <c r="I1934">
        <v>1.2459602066615401</v>
      </c>
      <c r="J1934">
        <v>1.50717269429482</v>
      </c>
      <c r="K1934">
        <v>1.1374903814444299</v>
      </c>
      <c r="L1934">
        <v>438.03214025057002</v>
      </c>
      <c r="M1934">
        <v>7.4193922668966099</v>
      </c>
      <c r="O1934">
        <v>55.205215556744001</v>
      </c>
      <c r="P1934">
        <v>1.2684270521969101E-2</v>
      </c>
      <c r="Q1934">
        <v>1.3769535588613</v>
      </c>
      <c r="R1934">
        <v>0.50667567082062104</v>
      </c>
      <c r="S1934" t="s">
        <v>3936</v>
      </c>
      <c r="T1934" t="s">
        <v>4002</v>
      </c>
      <c r="U1934" t="s">
        <v>4002</v>
      </c>
      <c r="V1934" t="s">
        <v>4002</v>
      </c>
      <c r="W1934" t="s">
        <v>5912</v>
      </c>
      <c r="X1934">
        <v>8</v>
      </c>
      <c r="Y1934" t="s">
        <v>7834</v>
      </c>
      <c r="Z1934" t="s">
        <v>9832</v>
      </c>
      <c r="AA1934">
        <v>1.1413080213400779</v>
      </c>
      <c r="AB1934" t="str">
        <f>HYPERLINK("Melting_Curves/meltCurve_Q9UHD8_7_SEPT9.pdf", "Melting_Curves/meltCurve_Q9UHD8_7_SEPT9.pdf")</f>
        <v>Melting_Curves/meltCurve_Q9UHD8_7_SEPT9.pdf</v>
      </c>
    </row>
    <row r="1935" spans="1:28" x14ac:dyDescent="0.25">
      <c r="A1935" t="s">
        <v>1939</v>
      </c>
      <c r="B1935">
        <v>1</v>
      </c>
      <c r="C1935">
        <v>0.84342277661194998</v>
      </c>
      <c r="D1935">
        <v>0.87811711068738896</v>
      </c>
      <c r="E1935">
        <v>0.81462978152263099</v>
      </c>
      <c r="F1935">
        <v>0.79709620034726303</v>
      </c>
      <c r="G1935">
        <v>0.78018044888524296</v>
      </c>
      <c r="H1935">
        <v>0.70423000308914896</v>
      </c>
      <c r="I1935">
        <v>0.81032627800206602</v>
      </c>
      <c r="J1935">
        <v>0.67827050289208202</v>
      </c>
      <c r="K1935">
        <v>0.74379240921631495</v>
      </c>
      <c r="L1935">
        <v>417.64657448874601</v>
      </c>
      <c r="M1935">
        <v>9.0154780385386992</v>
      </c>
      <c r="O1935">
        <v>44.2166089048009</v>
      </c>
      <c r="P1935">
        <v>-1.43210653278596E-2</v>
      </c>
      <c r="Q1935">
        <v>0.71925060111511596</v>
      </c>
      <c r="R1935">
        <v>0.76309994350724397</v>
      </c>
      <c r="S1935" t="s">
        <v>3937</v>
      </c>
      <c r="T1935" t="s">
        <v>4002</v>
      </c>
      <c r="U1935" t="s">
        <v>4002</v>
      </c>
      <c r="V1935" t="s">
        <v>4002</v>
      </c>
      <c r="W1935" t="s">
        <v>5913</v>
      </c>
      <c r="X1935">
        <v>3</v>
      </c>
      <c r="Y1935" t="s">
        <v>7835</v>
      </c>
      <c r="Z1935" t="s">
        <v>9833</v>
      </c>
      <c r="AA1935">
        <v>0.79851766788449219</v>
      </c>
      <c r="AB1935" t="str">
        <f>HYPERLINK("Melting_Curves/meltCurve_Q9UHG2_PCSK1N.pdf", "Melting_Curves/meltCurve_Q9UHG2_PCSK1N.pdf")</f>
        <v>Melting_Curves/meltCurve_Q9UHG2_PCSK1N.pdf</v>
      </c>
    </row>
    <row r="1936" spans="1:28" x14ac:dyDescent="0.25">
      <c r="A1936" t="s">
        <v>1940</v>
      </c>
      <c r="B1936">
        <v>1</v>
      </c>
      <c r="C1936">
        <v>1.0602984344422699</v>
      </c>
      <c r="D1936">
        <v>1.45107632093933</v>
      </c>
      <c r="E1936">
        <v>1.9483243639921699</v>
      </c>
      <c r="F1936">
        <v>2.2314090019569499</v>
      </c>
      <c r="G1936">
        <v>2.5135151663405102</v>
      </c>
      <c r="H1936">
        <v>2.3261374755381601</v>
      </c>
      <c r="I1936">
        <v>2.9248409980430501</v>
      </c>
      <c r="J1936">
        <v>2.5425636007827799</v>
      </c>
      <c r="K1936">
        <v>2.24792074363992</v>
      </c>
      <c r="L1936">
        <v>2853.96964211981</v>
      </c>
      <c r="M1936">
        <v>64.4742179921668</v>
      </c>
      <c r="O1936">
        <v>44.222761002937901</v>
      </c>
      <c r="P1936">
        <v>0.18224280677185001</v>
      </c>
      <c r="Q1936">
        <v>1.5</v>
      </c>
      <c r="R1936">
        <v>-0.60454319868011896</v>
      </c>
      <c r="S1936" t="s">
        <v>3938</v>
      </c>
      <c r="T1936" t="s">
        <v>4002</v>
      </c>
      <c r="U1936" t="s">
        <v>4002</v>
      </c>
      <c r="V1936" t="s">
        <v>4002</v>
      </c>
      <c r="W1936" t="s">
        <v>5914</v>
      </c>
      <c r="X1936">
        <v>6</v>
      </c>
      <c r="Y1936" t="s">
        <v>7836</v>
      </c>
      <c r="Z1936" t="s">
        <v>9834</v>
      </c>
      <c r="AA1936">
        <v>1.428316696392659</v>
      </c>
      <c r="AB1936" t="str">
        <f>HYPERLINK("Melting_Curves/meltCurve_Q9UHL4_DPP7.pdf", "Melting_Curves/meltCurve_Q9UHL4_DPP7.pdf")</f>
        <v>Melting_Curves/meltCurve_Q9UHL4_DPP7.pdf</v>
      </c>
    </row>
    <row r="1937" spans="1:28" x14ac:dyDescent="0.25">
      <c r="A1937" t="s">
        <v>1941</v>
      </c>
      <c r="B1937">
        <v>1</v>
      </c>
      <c r="C1937">
        <v>0.83674105750812999</v>
      </c>
      <c r="D1937">
        <v>0.78025747249320698</v>
      </c>
      <c r="E1937">
        <v>0.74136932602788497</v>
      </c>
      <c r="F1937">
        <v>0.778520201345271</v>
      </c>
      <c r="G1937">
        <v>0.80141654416677799</v>
      </c>
      <c r="H1937">
        <v>0.48999955454585897</v>
      </c>
      <c r="I1937">
        <v>1.06102721724798</v>
      </c>
      <c r="J1937">
        <v>0.583188560737672</v>
      </c>
      <c r="K1937">
        <v>0.75896476457748696</v>
      </c>
      <c r="L1937">
        <v>2118.4670093449899</v>
      </c>
      <c r="M1937">
        <v>49.918226015585503</v>
      </c>
      <c r="O1937">
        <v>42.370790743657899</v>
      </c>
      <c r="P1937">
        <v>-7.4126386705456307E-2</v>
      </c>
      <c r="Q1937">
        <v>0.74832503184837995</v>
      </c>
      <c r="R1937">
        <v>0.23142787119215899</v>
      </c>
      <c r="S1937" t="s">
        <v>3939</v>
      </c>
      <c r="T1937" t="s">
        <v>4002</v>
      </c>
      <c r="U1937" t="s">
        <v>4002</v>
      </c>
      <c r="V1937" t="s">
        <v>4002</v>
      </c>
      <c r="W1937" t="s">
        <v>5915</v>
      </c>
      <c r="X1937">
        <v>1</v>
      </c>
      <c r="Y1937" t="s">
        <v>7837</v>
      </c>
      <c r="Z1937" t="s">
        <v>9835</v>
      </c>
      <c r="AA1937">
        <v>0.76954116519689575</v>
      </c>
      <c r="AB1937" t="str">
        <f>HYPERLINK("Melting_Curves/meltCurve_Q9UHV9_PFDN2.pdf", "Melting_Curves/meltCurve_Q9UHV9_PFDN2.pdf")</f>
        <v>Melting_Curves/meltCurve_Q9UHV9_PFDN2.pdf</v>
      </c>
    </row>
    <row r="1938" spans="1:28" x14ac:dyDescent="0.25">
      <c r="A1938" t="s">
        <v>1942</v>
      </c>
      <c r="B1938">
        <v>1</v>
      </c>
      <c r="C1938">
        <v>1.09365110609754</v>
      </c>
      <c r="D1938">
        <v>1.20150508002362</v>
      </c>
      <c r="E1938">
        <v>1.10076768166195</v>
      </c>
      <c r="F1938">
        <v>1.1596687006949999</v>
      </c>
      <c r="G1938">
        <v>1.18771103674878</v>
      </c>
      <c r="H1938">
        <v>0.89311509168269199</v>
      </c>
      <c r="I1938">
        <v>1.6127371560952699</v>
      </c>
      <c r="J1938">
        <v>0.96823281801250705</v>
      </c>
      <c r="K1938">
        <v>0.96443226382811198</v>
      </c>
      <c r="L1938">
        <v>10690.974593815299</v>
      </c>
      <c r="M1938">
        <v>250</v>
      </c>
      <c r="O1938">
        <v>42.761161778538899</v>
      </c>
      <c r="P1938">
        <v>0.198809537167939</v>
      </c>
      <c r="Q1938">
        <v>1.1360212283228099</v>
      </c>
      <c r="R1938">
        <v>4.6289121053820499E-2</v>
      </c>
      <c r="S1938" t="s">
        <v>3940</v>
      </c>
      <c r="T1938" t="s">
        <v>4002</v>
      </c>
      <c r="U1938" t="s">
        <v>4002</v>
      </c>
      <c r="V1938" t="s">
        <v>4002</v>
      </c>
      <c r="W1938" t="s">
        <v>5916</v>
      </c>
      <c r="X1938">
        <v>1</v>
      </c>
      <c r="Y1938" t="s">
        <v>7838</v>
      </c>
      <c r="Z1938" t="s">
        <v>9836</v>
      </c>
      <c r="AA1938">
        <v>1.123479391512934</v>
      </c>
      <c r="AB1938" t="str">
        <f>HYPERLINK("Melting_Curves/meltCurve_Q9UII2_3_ATPIF1.pdf", "Melting_Curves/meltCurve_Q9UII2_3_ATPIF1.pdf")</f>
        <v>Melting_Curves/meltCurve_Q9UII2_3_ATPIF1.pdf</v>
      </c>
    </row>
    <row r="1939" spans="1:28" x14ac:dyDescent="0.25">
      <c r="A1939" t="s">
        <v>1943</v>
      </c>
      <c r="B1939">
        <v>1</v>
      </c>
      <c r="C1939">
        <v>1.0144018976618101</v>
      </c>
      <c r="D1939">
        <v>1.1925618434428999</v>
      </c>
      <c r="E1939">
        <v>1.8980006777363601</v>
      </c>
      <c r="F1939">
        <v>2.6501186038630999</v>
      </c>
      <c r="G1939">
        <v>3.2854964418841099</v>
      </c>
      <c r="H1939">
        <v>3.2318705523551299</v>
      </c>
      <c r="I1939">
        <v>3.8386987461877302</v>
      </c>
      <c r="J1939">
        <v>3.3415791257201</v>
      </c>
      <c r="K1939">
        <v>3.1462216197899</v>
      </c>
      <c r="L1939">
        <v>11521.521400744101</v>
      </c>
      <c r="M1939">
        <v>250</v>
      </c>
      <c r="O1939">
        <v>46.0831519296256</v>
      </c>
      <c r="P1939">
        <v>0.67812224650979003</v>
      </c>
      <c r="Q1939">
        <v>1.5</v>
      </c>
      <c r="R1939">
        <v>-0.81406553197478404</v>
      </c>
      <c r="S1939" t="s">
        <v>3941</v>
      </c>
      <c r="T1939" t="s">
        <v>4002</v>
      </c>
      <c r="U1939" t="s">
        <v>4002</v>
      </c>
      <c r="V1939" t="s">
        <v>4002</v>
      </c>
      <c r="W1939" t="s">
        <v>5917</v>
      </c>
      <c r="X1939">
        <v>14</v>
      </c>
      <c r="Y1939" t="s">
        <v>7839</v>
      </c>
      <c r="Z1939" t="s">
        <v>9837</v>
      </c>
      <c r="AA1939">
        <v>1.3985247997689061</v>
      </c>
      <c r="AB1939" t="str">
        <f>HYPERLINK("Melting_Curves/meltCurve_Q9UIV8_2_SERPINB13.pdf", "Melting_Curves/meltCurve_Q9UIV8_2_SERPINB13.pdf")</f>
        <v>Melting_Curves/meltCurve_Q9UIV8_2_SERPINB13.pdf</v>
      </c>
    </row>
    <row r="1940" spans="1:28" x14ac:dyDescent="0.25">
      <c r="A1940" t="s">
        <v>1944</v>
      </c>
      <c r="B1940">
        <v>1</v>
      </c>
      <c r="C1940">
        <v>1.08746233799934</v>
      </c>
      <c r="D1940">
        <v>1.0877794916891299</v>
      </c>
      <c r="E1940">
        <v>1.1029596205688601</v>
      </c>
      <c r="F1940">
        <v>1.0864820447763299</v>
      </c>
      <c r="G1940">
        <v>1.14816843744143</v>
      </c>
      <c r="H1940">
        <v>0.93075958308705897</v>
      </c>
      <c r="I1940">
        <v>1.42782591145646</v>
      </c>
      <c r="J1940">
        <v>1.3782634393876101</v>
      </c>
      <c r="K1940">
        <v>1.33193016852394</v>
      </c>
      <c r="L1940">
        <v>657.52274512885799</v>
      </c>
      <c r="M1940">
        <v>10.3629344049808</v>
      </c>
      <c r="O1940">
        <v>61.223115160549398</v>
      </c>
      <c r="P1940">
        <v>2.1167109758715399E-2</v>
      </c>
      <c r="Q1940">
        <v>1.5</v>
      </c>
      <c r="R1940">
        <v>0.49390324353318299</v>
      </c>
      <c r="S1940" t="s">
        <v>3942</v>
      </c>
      <c r="T1940" t="s">
        <v>4002</v>
      </c>
      <c r="U1940" t="s">
        <v>4002</v>
      </c>
      <c r="V1940" t="s">
        <v>4002</v>
      </c>
      <c r="W1940" t="s">
        <v>5918</v>
      </c>
      <c r="X1940">
        <v>3</v>
      </c>
      <c r="Y1940" t="s">
        <v>7840</v>
      </c>
      <c r="Z1940" t="s">
        <v>9838</v>
      </c>
      <c r="AA1940">
        <v>1.125908887881272</v>
      </c>
      <c r="AB1940" t="str">
        <f>HYPERLINK("Melting_Curves/meltCurve_Q9UJ68_2_MSRA.pdf", "Melting_Curves/meltCurve_Q9UJ68_2_MSRA.pdf")</f>
        <v>Melting_Curves/meltCurve_Q9UJ68_2_MSRA.pdf</v>
      </c>
    </row>
    <row r="1941" spans="1:28" x14ac:dyDescent="0.25">
      <c r="A1941" t="s">
        <v>1945</v>
      </c>
      <c r="B1941">
        <v>1</v>
      </c>
      <c r="C1941">
        <v>0.94613520996769696</v>
      </c>
      <c r="D1941">
        <v>0.88849792339640099</v>
      </c>
      <c r="E1941">
        <v>0.915113059529303</v>
      </c>
      <c r="F1941">
        <v>0.83595985233041104</v>
      </c>
      <c r="G1941">
        <v>0.89815413013382595</v>
      </c>
      <c r="H1941">
        <v>0.642212736502077</v>
      </c>
      <c r="I1941">
        <v>0.91120212275034596</v>
      </c>
      <c r="J1941">
        <v>0.64603137978772496</v>
      </c>
      <c r="K1941">
        <v>0.86039455468389503</v>
      </c>
      <c r="L1941">
        <v>445.18657108669998</v>
      </c>
      <c r="M1941">
        <v>8.8537195200936392</v>
      </c>
      <c r="O1941">
        <v>47.915477577189002</v>
      </c>
      <c r="P1941">
        <v>-1.1371933193616301E-2</v>
      </c>
      <c r="Q1941">
        <v>0.754014834464943</v>
      </c>
      <c r="R1941">
        <v>0.41956685678505801</v>
      </c>
      <c r="S1941" t="s">
        <v>3943</v>
      </c>
      <c r="T1941" t="s">
        <v>4002</v>
      </c>
      <c r="U1941" t="s">
        <v>4002</v>
      </c>
      <c r="V1941" t="s">
        <v>4002</v>
      </c>
      <c r="W1941" t="s">
        <v>5919</v>
      </c>
      <c r="X1941">
        <v>3</v>
      </c>
      <c r="Y1941" t="s">
        <v>7841</v>
      </c>
      <c r="Z1941" t="s">
        <v>9839</v>
      </c>
      <c r="AA1941">
        <v>0.85100112335642164</v>
      </c>
      <c r="AB1941" t="str">
        <f>HYPERLINK("Melting_Curves/meltCurve_Q9UJJ9_GNPTG.pdf", "Melting_Curves/meltCurve_Q9UJJ9_GNPTG.pdf")</f>
        <v>Melting_Curves/meltCurve_Q9UJJ9_GNPTG.pdf</v>
      </c>
    </row>
    <row r="1942" spans="1:28" x14ac:dyDescent="0.25">
      <c r="A1942" t="s">
        <v>1946</v>
      </c>
      <c r="B1942">
        <v>1</v>
      </c>
      <c r="C1942">
        <v>0.93161540434993295</v>
      </c>
      <c r="D1942">
        <v>1.0781477152874801</v>
      </c>
      <c r="E1942">
        <v>1.0367435363872199</v>
      </c>
      <c r="F1942">
        <v>0.82195490436418595</v>
      </c>
      <c r="G1942">
        <v>0.83687751204355598</v>
      </c>
      <c r="H1942">
        <v>0.69973774977908298</v>
      </c>
      <c r="I1942">
        <v>0.87426242125367004</v>
      </c>
      <c r="J1942">
        <v>0.796827342436077</v>
      </c>
      <c r="K1942">
        <v>0.66229582965137801</v>
      </c>
      <c r="L1942">
        <v>13180.476140042099</v>
      </c>
      <c r="M1942">
        <v>250</v>
      </c>
      <c r="O1942">
        <v>52.718530741619901</v>
      </c>
      <c r="P1942">
        <v>-0.26793219466169799</v>
      </c>
      <c r="Q1942">
        <v>0.77400013415406399</v>
      </c>
      <c r="R1942">
        <v>0.74126706237504103</v>
      </c>
      <c r="S1942" t="s">
        <v>3944</v>
      </c>
      <c r="T1942" t="s">
        <v>4002</v>
      </c>
      <c r="U1942" t="s">
        <v>4002</v>
      </c>
      <c r="V1942" t="s">
        <v>4002</v>
      </c>
      <c r="W1942" t="s">
        <v>5920</v>
      </c>
      <c r="X1942">
        <v>8</v>
      </c>
      <c r="Y1942" t="s">
        <v>7842</v>
      </c>
      <c r="Z1942" t="s">
        <v>9840</v>
      </c>
      <c r="AA1942">
        <v>0.8698593358419815</v>
      </c>
      <c r="AB1942" t="str">
        <f>HYPERLINK("Melting_Curves/meltCurve_Q9UJU6_DBNL.pdf", "Melting_Curves/meltCurve_Q9UJU6_DBNL.pdf")</f>
        <v>Melting_Curves/meltCurve_Q9UJU6_DBNL.pdf</v>
      </c>
    </row>
    <row r="1943" spans="1:28" x14ac:dyDescent="0.25">
      <c r="A1943" t="s">
        <v>1947</v>
      </c>
      <c r="B1943">
        <v>1</v>
      </c>
      <c r="C1943">
        <v>0.89484217987741299</v>
      </c>
      <c r="D1943">
        <v>0.93082600175123997</v>
      </c>
      <c r="E1943">
        <v>0.99478797481549397</v>
      </c>
      <c r="F1943">
        <v>0.94512779885752396</v>
      </c>
      <c r="G1943">
        <v>0.96647625401325898</v>
      </c>
      <c r="H1943">
        <v>0.72922486761455996</v>
      </c>
      <c r="I1943">
        <v>1.05549764416462</v>
      </c>
      <c r="J1943">
        <v>0.86010924404786704</v>
      </c>
      <c r="K1943">
        <v>0.85606471250469096</v>
      </c>
      <c r="L1943">
        <v>139.40333113174</v>
      </c>
      <c r="M1943">
        <v>2.8257625691409001E-2</v>
      </c>
      <c r="O1943">
        <v>57.8905149053817</v>
      </c>
      <c r="P1943">
        <v>-3.2257356390320798E-3</v>
      </c>
      <c r="Q1943">
        <v>0</v>
      </c>
      <c r="R1943">
        <v>0.113658371676344</v>
      </c>
      <c r="S1943" t="s">
        <v>3945</v>
      </c>
      <c r="T1943" t="s">
        <v>4002</v>
      </c>
      <c r="U1943" t="s">
        <v>4002</v>
      </c>
      <c r="V1943" t="s">
        <v>4002</v>
      </c>
      <c r="W1943" t="s">
        <v>5921</v>
      </c>
      <c r="X1943">
        <v>5</v>
      </c>
      <c r="Y1943" t="s">
        <v>7843</v>
      </c>
      <c r="Z1943" t="s">
        <v>9841</v>
      </c>
      <c r="AA1943">
        <v>0.92416551268712466</v>
      </c>
      <c r="AB1943" t="str">
        <f>HYPERLINK("Melting_Curves/meltCurve_Q9UKG1_APPL1.pdf", "Melting_Curves/meltCurve_Q9UKG1_APPL1.pdf")</f>
        <v>Melting_Curves/meltCurve_Q9UKG1_APPL1.pdf</v>
      </c>
    </row>
    <row r="1944" spans="1:28" x14ac:dyDescent="0.25">
      <c r="A1944" t="s">
        <v>1948</v>
      </c>
      <c r="B1944">
        <v>1</v>
      </c>
      <c r="C1944">
        <v>1.57352626396678</v>
      </c>
      <c r="D1944">
        <v>2.3950083479601001</v>
      </c>
      <c r="E1944">
        <v>3.16794383321204</v>
      </c>
      <c r="F1944">
        <v>2.91579262810908</v>
      </c>
      <c r="G1944">
        <v>3.2627680979494</v>
      </c>
      <c r="H1944">
        <v>2.7115886810223002</v>
      </c>
      <c r="I1944">
        <v>3.7229761548011502</v>
      </c>
      <c r="J1944">
        <v>2.8579990581788599</v>
      </c>
      <c r="K1944">
        <v>3.1058692581018001</v>
      </c>
      <c r="L1944">
        <v>10257.435013436099</v>
      </c>
      <c r="M1944">
        <v>250</v>
      </c>
      <c r="O1944">
        <v>41.027114453552699</v>
      </c>
      <c r="P1944">
        <v>0.76169139547069697</v>
      </c>
      <c r="Q1944">
        <v>1.5</v>
      </c>
      <c r="R1944">
        <v>-2.2220163451460002</v>
      </c>
      <c r="S1944" t="s">
        <v>3946</v>
      </c>
      <c r="T1944" t="s">
        <v>4002</v>
      </c>
      <c r="U1944" t="s">
        <v>4002</v>
      </c>
      <c r="V1944" t="s">
        <v>4002</v>
      </c>
      <c r="W1944" t="s">
        <v>5922</v>
      </c>
      <c r="X1944">
        <v>9</v>
      </c>
      <c r="Y1944" t="s">
        <v>7844</v>
      </c>
      <c r="Z1944" t="s">
        <v>9842</v>
      </c>
      <c r="AA1944">
        <v>1.4827975305485941</v>
      </c>
      <c r="AB1944" t="str">
        <f>HYPERLINK("Melting_Curves/meltCurve_Q9UKR3_KLK13.pdf", "Melting_Curves/meltCurve_Q9UKR3_KLK13.pdf")</f>
        <v>Melting_Curves/meltCurve_Q9UKR3_KLK13.pdf</v>
      </c>
    </row>
    <row r="1945" spans="1:28" x14ac:dyDescent="0.25">
      <c r="A1945" t="s">
        <v>1949</v>
      </c>
      <c r="B1945">
        <v>1</v>
      </c>
      <c r="C1945">
        <v>0.87951457089028695</v>
      </c>
      <c r="D1945">
        <v>0.97415520904317199</v>
      </c>
      <c r="E1945">
        <v>0.96262075600272601</v>
      </c>
      <c r="F1945">
        <v>0.88504629815208202</v>
      </c>
      <c r="G1945">
        <v>0.89555858419850098</v>
      </c>
      <c r="H1945">
        <v>0.76174489918627497</v>
      </c>
      <c r="I1945">
        <v>0.887271014550848</v>
      </c>
      <c r="J1945">
        <v>0.75961037399286502</v>
      </c>
      <c r="K1945">
        <v>0.80984687537579703</v>
      </c>
      <c r="L1945">
        <v>265.10691429425799</v>
      </c>
      <c r="M1945">
        <v>3.94715953187012</v>
      </c>
      <c r="O1945">
        <v>54.904458428782199</v>
      </c>
      <c r="P1945">
        <v>-7.1889033239624697E-3</v>
      </c>
      <c r="Q1945">
        <v>0.605307430999243</v>
      </c>
      <c r="R1945">
        <v>0.62181696727513103</v>
      </c>
      <c r="S1945" t="s">
        <v>3947</v>
      </c>
      <c r="T1945" t="s">
        <v>4002</v>
      </c>
      <c r="U1945" t="s">
        <v>4002</v>
      </c>
      <c r="V1945" t="s">
        <v>4002</v>
      </c>
      <c r="W1945" t="s">
        <v>5923</v>
      </c>
      <c r="X1945">
        <v>5</v>
      </c>
      <c r="Y1945" t="s">
        <v>7845</v>
      </c>
      <c r="Z1945" t="s">
        <v>9843</v>
      </c>
      <c r="AA1945">
        <v>0.88310801560833097</v>
      </c>
      <c r="AB1945" t="str">
        <f>HYPERLINK("Melting_Curves/meltCurve_Q9UKY7_CDV3.pdf", "Melting_Curves/meltCurve_Q9UKY7_CDV3.pdf")</f>
        <v>Melting_Curves/meltCurve_Q9UKY7_CDV3.pdf</v>
      </c>
    </row>
    <row r="1946" spans="1:28" x14ac:dyDescent="0.25">
      <c r="A1946" t="s">
        <v>1950</v>
      </c>
      <c r="B1946">
        <v>1</v>
      </c>
      <c r="C1946">
        <v>1.0806266513651299</v>
      </c>
      <c r="D1946">
        <v>1.2336197923616901</v>
      </c>
      <c r="E1946">
        <v>1.32047826202994</v>
      </c>
      <c r="F1946">
        <v>1.49096586511516</v>
      </c>
      <c r="G1946">
        <v>1.5467453094558199</v>
      </c>
      <c r="H1946">
        <v>1.47575328938589</v>
      </c>
      <c r="I1946">
        <v>2.2114281139075</v>
      </c>
      <c r="J1946">
        <v>1.9203875203501599</v>
      </c>
      <c r="K1946">
        <v>1.7104806640155901</v>
      </c>
      <c r="L1946">
        <v>1024.21255501001</v>
      </c>
      <c r="M1946">
        <v>21.928098344447399</v>
      </c>
      <c r="O1946">
        <v>46.3245359110241</v>
      </c>
      <c r="P1946">
        <v>5.9171130093207402E-2</v>
      </c>
      <c r="Q1946">
        <v>1.5</v>
      </c>
      <c r="R1946">
        <v>0.41052524586094502</v>
      </c>
      <c r="S1946" t="s">
        <v>3948</v>
      </c>
      <c r="T1946" t="s">
        <v>4002</v>
      </c>
      <c r="U1946" t="s">
        <v>4002</v>
      </c>
      <c r="V1946" t="s">
        <v>4002</v>
      </c>
      <c r="W1946" t="s">
        <v>5924</v>
      </c>
      <c r="X1946">
        <v>2</v>
      </c>
      <c r="Y1946" t="s">
        <v>7846</v>
      </c>
      <c r="Z1946" t="s">
        <v>9844</v>
      </c>
      <c r="AA1946">
        <v>1.38217236805279</v>
      </c>
      <c r="AB1946" t="str">
        <f>HYPERLINK("Melting_Curves/meltCurve_Q9UL25_RAB21.pdf", "Melting_Curves/meltCurve_Q9UL25_RAB21.pdf")</f>
        <v>Melting_Curves/meltCurve_Q9UL25_RAB21.pdf</v>
      </c>
    </row>
    <row r="1947" spans="1:28" x14ac:dyDescent="0.25">
      <c r="A1947" t="s">
        <v>1951</v>
      </c>
      <c r="B1947">
        <v>1</v>
      </c>
      <c r="C1947">
        <v>0.99981462846247504</v>
      </c>
      <c r="D1947">
        <v>1.1802208569461401</v>
      </c>
      <c r="E1947">
        <v>1.3104046395847699</v>
      </c>
      <c r="F1947">
        <v>1.14527832212277</v>
      </c>
      <c r="G1947">
        <v>1.34208993167735</v>
      </c>
      <c r="H1947">
        <v>0.95259784969016503</v>
      </c>
      <c r="I1947">
        <v>1.4584767755945101</v>
      </c>
      <c r="J1947">
        <v>1.0955060642974399</v>
      </c>
      <c r="K1947">
        <v>1.17178645198877</v>
      </c>
      <c r="L1947">
        <v>11418.5181195196</v>
      </c>
      <c r="M1947">
        <v>250</v>
      </c>
      <c r="O1947">
        <v>45.671149659268998</v>
      </c>
      <c r="P1947">
        <v>0.28858090625639699</v>
      </c>
      <c r="Q1947">
        <v>1.2108771478007401</v>
      </c>
      <c r="R1947">
        <v>0.285013284513075</v>
      </c>
      <c r="S1947" t="s">
        <v>3949</v>
      </c>
      <c r="T1947" t="s">
        <v>4002</v>
      </c>
      <c r="U1947" t="s">
        <v>4002</v>
      </c>
      <c r="V1947" t="s">
        <v>4002</v>
      </c>
      <c r="W1947" t="s">
        <v>5925</v>
      </c>
      <c r="X1947">
        <v>8</v>
      </c>
      <c r="Y1947" t="s">
        <v>7847</v>
      </c>
      <c r="Z1947" t="s">
        <v>9845</v>
      </c>
      <c r="AA1947">
        <v>1.170975837107757</v>
      </c>
      <c r="AB1947" t="str">
        <f>HYPERLINK("Melting_Curves/meltCurve_Q9UL46_PSME2.pdf", "Melting_Curves/meltCurve_Q9UL46_PSME2.pdf")</f>
        <v>Melting_Curves/meltCurve_Q9UL46_PSME2.pdf</v>
      </c>
    </row>
    <row r="1948" spans="1:28" x14ac:dyDescent="0.25">
      <c r="A1948" t="s">
        <v>1952</v>
      </c>
      <c r="B1948">
        <v>1</v>
      </c>
      <c r="C1948">
        <v>0.90498344109761897</v>
      </c>
      <c r="D1948">
        <v>0.91457709088997496</v>
      </c>
      <c r="E1948">
        <v>1.0406087367923</v>
      </c>
      <c r="F1948">
        <v>1.0306471113914699</v>
      </c>
      <c r="G1948">
        <v>1.21455606371235</v>
      </c>
      <c r="H1948">
        <v>1.07916732376597</v>
      </c>
      <c r="I1948">
        <v>1.52943804867792</v>
      </c>
      <c r="J1948">
        <v>1.1157808968091301</v>
      </c>
      <c r="K1948">
        <v>1.11168059717184</v>
      </c>
      <c r="L1948">
        <v>7687.6135368850801</v>
      </c>
      <c r="M1948">
        <v>143.28240715480601</v>
      </c>
      <c r="O1948">
        <v>53.643125876481399</v>
      </c>
      <c r="P1948">
        <v>0.14031820079073001</v>
      </c>
      <c r="Q1948">
        <v>1.21013345438297</v>
      </c>
      <c r="R1948">
        <v>0.460822256375924</v>
      </c>
      <c r="S1948" t="s">
        <v>3950</v>
      </c>
      <c r="T1948" t="s">
        <v>4002</v>
      </c>
      <c r="U1948" t="s">
        <v>4002</v>
      </c>
      <c r="V1948" t="s">
        <v>4002</v>
      </c>
      <c r="W1948" t="s">
        <v>5926</v>
      </c>
      <c r="X1948">
        <v>5</v>
      </c>
      <c r="Y1948" t="s">
        <v>7848</v>
      </c>
      <c r="Z1948" t="s">
        <v>9846</v>
      </c>
      <c r="AA1948">
        <v>1.1144374199820659</v>
      </c>
      <c r="AB1948" t="str">
        <f>HYPERLINK("Melting_Curves/meltCurve_Q9UL52_TMPRSS11E.pdf", "Melting_Curves/meltCurve_Q9UL52_TMPRSS11E.pdf")</f>
        <v>Melting_Curves/meltCurve_Q9UL52_TMPRSS11E.pdf</v>
      </c>
    </row>
    <row r="1949" spans="1:28" x14ac:dyDescent="0.25">
      <c r="A1949" t="s">
        <v>1953</v>
      </c>
      <c r="B1949">
        <v>1</v>
      </c>
      <c r="C1949">
        <v>0.88681592039801005</v>
      </c>
      <c r="D1949">
        <v>0.97060991339598301</v>
      </c>
      <c r="E1949">
        <v>0.96701676801179304</v>
      </c>
      <c r="F1949">
        <v>0.88220932375161198</v>
      </c>
      <c r="G1949">
        <v>0.98535102266445596</v>
      </c>
      <c r="H1949">
        <v>0.77782384374424196</v>
      </c>
      <c r="I1949">
        <v>1.08886124930901</v>
      </c>
      <c r="J1949">
        <v>0.81440022111663901</v>
      </c>
      <c r="K1949">
        <v>0.89538419016031001</v>
      </c>
      <c r="L1949">
        <v>109.428842604219</v>
      </c>
      <c r="M1949">
        <v>1.0000000000000001E-5</v>
      </c>
      <c r="O1949">
        <v>45.6075067418355</v>
      </c>
      <c r="P1949">
        <v>-2.4641532942455899E-3</v>
      </c>
      <c r="Q1949">
        <v>0.38608950317110502</v>
      </c>
      <c r="R1949">
        <v>6.6785326433877704E-2</v>
      </c>
      <c r="S1949" t="s">
        <v>3951</v>
      </c>
      <c r="T1949" t="s">
        <v>4002</v>
      </c>
      <c r="U1949" t="s">
        <v>4002</v>
      </c>
      <c r="V1949" t="s">
        <v>4002</v>
      </c>
      <c r="W1949" t="s">
        <v>5927</v>
      </c>
      <c r="X1949">
        <v>6</v>
      </c>
      <c r="Y1949" t="s">
        <v>7849</v>
      </c>
      <c r="Z1949" t="s">
        <v>9847</v>
      </c>
      <c r="AA1949">
        <v>0.92686159850809302</v>
      </c>
      <c r="AB1949" t="str">
        <f>HYPERLINK("Melting_Curves/meltCurve_Q9ULH1_ASAP1.pdf", "Melting_Curves/meltCurve_Q9ULH1_ASAP1.pdf")</f>
        <v>Melting_Curves/meltCurve_Q9ULH1_ASAP1.pdf</v>
      </c>
    </row>
    <row r="1950" spans="1:28" x14ac:dyDescent="0.25">
      <c r="A1950" t="s">
        <v>1954</v>
      </c>
      <c r="B1950">
        <v>1</v>
      </c>
      <c r="C1950">
        <v>0.98629974262522302</v>
      </c>
      <c r="D1950">
        <v>0.93862601465056394</v>
      </c>
      <c r="E1950">
        <v>1.1540685012868701</v>
      </c>
      <c r="F1950">
        <v>1.1633339932686599</v>
      </c>
      <c r="G1950">
        <v>1.2920213819045701</v>
      </c>
      <c r="H1950">
        <v>1.30386062165908</v>
      </c>
      <c r="I1950">
        <v>1.59885171253217</v>
      </c>
      <c r="J1950">
        <v>1.4374975252425299</v>
      </c>
      <c r="K1950">
        <v>1.2309245693922</v>
      </c>
      <c r="L1950">
        <v>1045.2989075115499</v>
      </c>
      <c r="M1950">
        <v>19.598694542263999</v>
      </c>
      <c r="O1950">
        <v>52.789159980853697</v>
      </c>
      <c r="P1950">
        <v>3.73443529101046E-2</v>
      </c>
      <c r="Q1950">
        <v>1.4023344786004901</v>
      </c>
      <c r="R1950">
        <v>0.76726535893151504</v>
      </c>
      <c r="S1950" t="s">
        <v>3952</v>
      </c>
      <c r="T1950" t="s">
        <v>4002</v>
      </c>
      <c r="U1950" t="s">
        <v>4002</v>
      </c>
      <c r="V1950" t="s">
        <v>4002</v>
      </c>
      <c r="W1950" t="s">
        <v>5928</v>
      </c>
      <c r="X1950">
        <v>4</v>
      </c>
      <c r="Y1950" t="s">
        <v>7850</v>
      </c>
      <c r="Z1950" t="s">
        <v>9848</v>
      </c>
      <c r="AA1950">
        <v>1.217789744403635</v>
      </c>
      <c r="AB1950" t="str">
        <f>HYPERLINK("Melting_Curves/meltCurve_Q9ULZ3_2_PYCARD.pdf", "Melting_Curves/meltCurve_Q9ULZ3_2_PYCARD.pdf")</f>
        <v>Melting_Curves/meltCurve_Q9ULZ3_2_PYCARD.pdf</v>
      </c>
    </row>
    <row r="1951" spans="1:28" x14ac:dyDescent="0.25">
      <c r="A1951" t="s">
        <v>1955</v>
      </c>
      <c r="B1951">
        <v>1</v>
      </c>
      <c r="C1951">
        <v>0.92850939523132803</v>
      </c>
      <c r="D1951">
        <v>0.91031106900363201</v>
      </c>
      <c r="E1951">
        <v>0.78292278540975802</v>
      </c>
      <c r="F1951">
        <v>0.85638717827254096</v>
      </c>
      <c r="G1951">
        <v>0.89602084320227404</v>
      </c>
      <c r="H1951">
        <v>0.74392073267014103</v>
      </c>
      <c r="I1951">
        <v>0.67519343123322295</v>
      </c>
      <c r="J1951">
        <v>0.78568608874151302</v>
      </c>
      <c r="K1951">
        <v>0.83293857571451102</v>
      </c>
      <c r="L1951">
        <v>554.23663467564904</v>
      </c>
      <c r="M1951">
        <v>11.843874725463801</v>
      </c>
      <c r="O1951">
        <v>45.520985192183304</v>
      </c>
      <c r="P1951">
        <v>-1.47774273709092E-2</v>
      </c>
      <c r="Q1951">
        <v>0.77287416077270099</v>
      </c>
      <c r="R1951">
        <v>0.61502973503258096</v>
      </c>
      <c r="S1951" t="s">
        <v>3953</v>
      </c>
      <c r="T1951" t="s">
        <v>4002</v>
      </c>
      <c r="U1951" t="s">
        <v>4002</v>
      </c>
      <c r="V1951" t="s">
        <v>4002</v>
      </c>
      <c r="W1951" t="s">
        <v>5929</v>
      </c>
      <c r="X1951">
        <v>1</v>
      </c>
      <c r="Y1951" t="s">
        <v>7851</v>
      </c>
      <c r="Z1951" t="s">
        <v>9849</v>
      </c>
      <c r="AA1951">
        <v>0.83423970411061732</v>
      </c>
      <c r="AB1951" t="str">
        <f>HYPERLINK("Melting_Curves/meltCurve_Q9UM07_PADI4.pdf", "Melting_Curves/meltCurve_Q9UM07_PADI4.pdf")</f>
        <v>Melting_Curves/meltCurve_Q9UM07_PADI4.pdf</v>
      </c>
    </row>
    <row r="1952" spans="1:28" x14ac:dyDescent="0.25">
      <c r="A1952" t="s">
        <v>1956</v>
      </c>
      <c r="B1952">
        <v>1</v>
      </c>
      <c r="C1952">
        <v>0.94366128954124895</v>
      </c>
      <c r="D1952">
        <v>1.0045536017051799</v>
      </c>
      <c r="E1952">
        <v>0.95722520951412104</v>
      </c>
      <c r="F1952">
        <v>1.0608438695925999</v>
      </c>
      <c r="G1952">
        <v>1.0919924429588701</v>
      </c>
      <c r="H1952">
        <v>1.2425035120864201</v>
      </c>
      <c r="I1952">
        <v>1.2582957903405501</v>
      </c>
      <c r="J1952">
        <v>1.2674029937509099</v>
      </c>
      <c r="K1952">
        <v>1.2847454342876501</v>
      </c>
      <c r="L1952">
        <v>1578.6652936009</v>
      </c>
      <c r="M1952">
        <v>27.248802385844201</v>
      </c>
      <c r="O1952">
        <v>57.625882124710699</v>
      </c>
      <c r="P1952">
        <v>3.3453231896024199E-2</v>
      </c>
      <c r="Q1952">
        <v>1.2829854356439401</v>
      </c>
      <c r="R1952">
        <v>0.95516365920313995</v>
      </c>
      <c r="S1952" t="s">
        <v>3954</v>
      </c>
      <c r="T1952" t="s">
        <v>4002</v>
      </c>
      <c r="U1952" t="s">
        <v>4002</v>
      </c>
      <c r="V1952" t="s">
        <v>4002</v>
      </c>
      <c r="W1952" t="s">
        <v>5930</v>
      </c>
      <c r="X1952">
        <v>1</v>
      </c>
      <c r="Y1952" t="s">
        <v>7852</v>
      </c>
      <c r="Z1952" t="s">
        <v>9850</v>
      </c>
      <c r="AA1952">
        <v>1.111630236758701</v>
      </c>
      <c r="AB1952" t="str">
        <f>HYPERLINK("Melting_Curves/meltCurve_Q9UM21_2_MGAT4A.pdf", "Melting_Curves/meltCurve_Q9UM21_2_MGAT4A.pdf")</f>
        <v>Melting_Curves/meltCurve_Q9UM21_2_MGAT4A.pdf</v>
      </c>
    </row>
    <row r="1953" spans="1:28" x14ac:dyDescent="0.25">
      <c r="A1953" t="s">
        <v>1957</v>
      </c>
      <c r="B1953">
        <v>1</v>
      </c>
      <c r="C1953">
        <v>0.89772950336975699</v>
      </c>
      <c r="D1953">
        <v>1.01016379855613</v>
      </c>
      <c r="E1953">
        <v>0.91047787301795002</v>
      </c>
      <c r="F1953">
        <v>0.95934480577547998</v>
      </c>
      <c r="G1953">
        <v>0.88564636088028104</v>
      </c>
      <c r="H1953">
        <v>0.92323714802940104</v>
      </c>
      <c r="I1953">
        <v>0.99127570939387999</v>
      </c>
      <c r="J1953">
        <v>1.0036423913280601</v>
      </c>
      <c r="K1953">
        <v>0.76486946280180601</v>
      </c>
      <c r="L1953">
        <v>147.678104360167</v>
      </c>
      <c r="M1953">
        <v>1.0000000000000001E-5</v>
      </c>
      <c r="O1953">
        <v>61.548951354436603</v>
      </c>
      <c r="P1953">
        <v>-2.94463865966467E-3</v>
      </c>
      <c r="Q1953">
        <v>9.95792849628023E-3</v>
      </c>
      <c r="R1953">
        <v>0.124483406784075</v>
      </c>
      <c r="S1953" t="s">
        <v>3955</v>
      </c>
      <c r="T1953" t="s">
        <v>4002</v>
      </c>
      <c r="U1953" t="s">
        <v>4002</v>
      </c>
      <c r="V1953" t="s">
        <v>4002</v>
      </c>
      <c r="W1953" t="s">
        <v>5931</v>
      </c>
      <c r="X1953">
        <v>3</v>
      </c>
      <c r="Y1953" t="s">
        <v>7853</v>
      </c>
      <c r="Z1953" t="s">
        <v>9851</v>
      </c>
      <c r="AA1953">
        <v>0.93603290717181598</v>
      </c>
      <c r="AB1953" t="str">
        <f>HYPERLINK("Melting_Curves/meltCurve_Q9UMX0_2_UBQLN1.pdf", "Melting_Curves/meltCurve_Q9UMX0_2_UBQLN1.pdf")</f>
        <v>Melting_Curves/meltCurve_Q9UMX0_2_UBQLN1.pdf</v>
      </c>
    </row>
    <row r="1954" spans="1:28" x14ac:dyDescent="0.25">
      <c r="A1954" t="s">
        <v>1958</v>
      </c>
      <c r="B1954">
        <v>1</v>
      </c>
      <c r="C1954">
        <v>0.84416150271107704</v>
      </c>
      <c r="D1954">
        <v>0.93055286599535203</v>
      </c>
      <c r="E1954">
        <v>1.00128292021689</v>
      </c>
      <c r="F1954">
        <v>0.995667118512781</v>
      </c>
      <c r="G1954">
        <v>0.93520042602633602</v>
      </c>
      <c r="H1954">
        <v>1.01002130131681</v>
      </c>
      <c r="I1954">
        <v>0.94425348567002299</v>
      </c>
      <c r="J1954">
        <v>1.0245207203718001</v>
      </c>
      <c r="K1954">
        <v>0.93769364833462399</v>
      </c>
      <c r="L1954">
        <v>1.0515434786178399E-5</v>
      </c>
      <c r="M1954">
        <v>14.611297592295101</v>
      </c>
      <c r="Q1954">
        <v>0.96233538198040602</v>
      </c>
      <c r="R1954">
        <v>-6.4392935428259103E-15</v>
      </c>
      <c r="S1954" t="s">
        <v>3956</v>
      </c>
      <c r="T1954" t="s">
        <v>4002</v>
      </c>
      <c r="U1954" t="s">
        <v>4002</v>
      </c>
      <c r="V1954" t="s">
        <v>4002</v>
      </c>
      <c r="W1954" t="s">
        <v>5932</v>
      </c>
      <c r="X1954">
        <v>1</v>
      </c>
      <c r="Y1954" t="s">
        <v>7854</v>
      </c>
      <c r="Z1954" t="s">
        <v>9852</v>
      </c>
      <c r="AA1954">
        <v>0.96233539897565523</v>
      </c>
      <c r="AB1954" t="str">
        <f>HYPERLINK("Melting_Curves/meltCurve_Q9UMX5_NENF.pdf", "Melting_Curves/meltCurve_Q9UMX5_NENF.pdf")</f>
        <v>Melting_Curves/meltCurve_Q9UMX5_NENF.pdf</v>
      </c>
    </row>
    <row r="1955" spans="1:28" x14ac:dyDescent="0.25">
      <c r="A1955" t="s">
        <v>1959</v>
      </c>
      <c r="B1955">
        <v>1</v>
      </c>
      <c r="C1955">
        <v>0.88921787709497202</v>
      </c>
      <c r="D1955">
        <v>0.98927374301675997</v>
      </c>
      <c r="E1955">
        <v>1.0888826815642501</v>
      </c>
      <c r="F1955">
        <v>1.0853631284916201</v>
      </c>
      <c r="G1955">
        <v>1.08625698324022</v>
      </c>
      <c r="H1955">
        <v>1.0725139664804499</v>
      </c>
      <c r="I1955">
        <v>1.38642458100559</v>
      </c>
      <c r="J1955">
        <v>1.42519553072626</v>
      </c>
      <c r="K1955">
        <v>1.15826815642458</v>
      </c>
      <c r="L1955">
        <v>15000</v>
      </c>
      <c r="M1955">
        <v>244.66104595549101</v>
      </c>
      <c r="O1955">
        <v>61.305213044147898</v>
      </c>
      <c r="P1955">
        <v>0.3225600714288</v>
      </c>
      <c r="Q1955">
        <v>1.3232981216047</v>
      </c>
      <c r="R1955">
        <v>0.70055081092956895</v>
      </c>
      <c r="S1955" t="s">
        <v>3957</v>
      </c>
      <c r="T1955" t="s">
        <v>4002</v>
      </c>
      <c r="U1955" t="s">
        <v>4002</v>
      </c>
      <c r="V1955" t="s">
        <v>4002</v>
      </c>
      <c r="W1955" t="s">
        <v>5933</v>
      </c>
      <c r="X1955">
        <v>3</v>
      </c>
      <c r="Y1955" t="s">
        <v>7855</v>
      </c>
      <c r="Z1955" t="s">
        <v>9853</v>
      </c>
      <c r="AA1955">
        <v>1.0936198002057891</v>
      </c>
      <c r="AB1955" t="str">
        <f>HYPERLINK("Melting_Curves/meltCurve_Q9UNF0_2_PACSIN2.pdf", "Melting_Curves/meltCurve_Q9UNF0_2_PACSIN2.pdf")</f>
        <v>Melting_Curves/meltCurve_Q9UNF0_2_PACSIN2.pdf</v>
      </c>
    </row>
    <row r="1956" spans="1:28" x14ac:dyDescent="0.25">
      <c r="A1956" t="s">
        <v>1960</v>
      </c>
      <c r="B1956">
        <v>1</v>
      </c>
      <c r="C1956">
        <v>1.01524292407419</v>
      </c>
      <c r="D1956">
        <v>1.17017521340094</v>
      </c>
      <c r="E1956">
        <v>1.24497785764713</v>
      </c>
      <c r="F1956">
        <v>1.2209421731596199</v>
      </c>
      <c r="G1956">
        <v>1.0782363134587001</v>
      </c>
      <c r="H1956">
        <v>1.21619279892176</v>
      </c>
      <c r="I1956">
        <v>1.4966946922533899</v>
      </c>
      <c r="J1956">
        <v>1.27061806045825</v>
      </c>
      <c r="K1956">
        <v>1.17835825685129</v>
      </c>
      <c r="L1956">
        <v>2244.4872432765401</v>
      </c>
      <c r="M1956">
        <v>49.626774355646397</v>
      </c>
      <c r="O1956">
        <v>45.154086669824999</v>
      </c>
      <c r="P1956">
        <v>6.7055337178678898E-2</v>
      </c>
      <c r="Q1956">
        <v>1.2440472836880501</v>
      </c>
      <c r="R1956">
        <v>0.47179776617389901</v>
      </c>
      <c r="S1956" t="s">
        <v>3958</v>
      </c>
      <c r="T1956" t="s">
        <v>4002</v>
      </c>
      <c r="U1956" t="s">
        <v>4002</v>
      </c>
      <c r="V1956" t="s">
        <v>4002</v>
      </c>
      <c r="W1956" t="s">
        <v>5934</v>
      </c>
      <c r="X1956">
        <v>2</v>
      </c>
      <c r="Y1956" t="s">
        <v>7856</v>
      </c>
      <c r="Z1956" t="s">
        <v>9854</v>
      </c>
      <c r="AA1956">
        <v>1.201020498899033</v>
      </c>
      <c r="AB1956" t="str">
        <f>HYPERLINK("Melting_Curves/meltCurve_Q9UNW1_3_MINPP1.pdf", "Melting_Curves/meltCurve_Q9UNW1_3_MINPP1.pdf")</f>
        <v>Melting_Curves/meltCurve_Q9UNW1_3_MINPP1.pdf</v>
      </c>
    </row>
    <row r="1957" spans="1:28" x14ac:dyDescent="0.25">
      <c r="A1957" t="s">
        <v>1961</v>
      </c>
      <c r="B1957">
        <v>1</v>
      </c>
      <c r="C1957">
        <v>1.05906625675386</v>
      </c>
      <c r="D1957">
        <v>0.75974138723482498</v>
      </c>
      <c r="E1957">
        <v>0.91343826284126795</v>
      </c>
      <c r="F1957">
        <v>1.0937930893603101</v>
      </c>
      <c r="G1957">
        <v>1.03782160621815</v>
      </c>
      <c r="H1957">
        <v>0.72795612162562395</v>
      </c>
      <c r="I1957">
        <v>1.23188331784244</v>
      </c>
      <c r="J1957">
        <v>1.3249308016791399</v>
      </c>
      <c r="K1957">
        <v>0.88810810258714901</v>
      </c>
      <c r="L1957">
        <v>15000</v>
      </c>
      <c r="M1957">
        <v>239.548773683365</v>
      </c>
      <c r="O1957">
        <v>62.613385172903797</v>
      </c>
      <c r="P1957">
        <v>0.14181377099318601</v>
      </c>
      <c r="Q1957">
        <v>1.14826938341138</v>
      </c>
      <c r="R1957">
        <v>0.201953901449728</v>
      </c>
      <c r="S1957" t="s">
        <v>3959</v>
      </c>
      <c r="T1957" t="s">
        <v>4002</v>
      </c>
      <c r="U1957" t="s">
        <v>4002</v>
      </c>
      <c r="V1957" t="s">
        <v>4002</v>
      </c>
      <c r="W1957" t="s">
        <v>5935</v>
      </c>
      <c r="X1957">
        <v>1</v>
      </c>
      <c r="Y1957" t="s">
        <v>7857</v>
      </c>
      <c r="Z1957" t="s">
        <v>9855</v>
      </c>
      <c r="AA1957">
        <v>1.036467749379395</v>
      </c>
      <c r="AB1957" t="str">
        <f>HYPERLINK("Melting_Curves/meltCurve_Q9UPN7_PPP6R1.pdf", "Melting_Curves/meltCurve_Q9UPN7_PPP6R1.pdf")</f>
        <v>Melting_Curves/meltCurve_Q9UPN7_PPP6R1.pdf</v>
      </c>
    </row>
    <row r="1958" spans="1:28" x14ac:dyDescent="0.25">
      <c r="A1958" t="s">
        <v>1962</v>
      </c>
      <c r="B1958">
        <v>1</v>
      </c>
      <c r="C1958">
        <v>0.92296749719803395</v>
      </c>
      <c r="D1958">
        <v>1.1963100267264399</v>
      </c>
      <c r="E1958">
        <v>1.0174152944219299</v>
      </c>
      <c r="F1958">
        <v>1.0577204931459601</v>
      </c>
      <c r="G1958">
        <v>1.0795758255022001</v>
      </c>
      <c r="H1958">
        <v>1.1467367876541099</v>
      </c>
      <c r="I1958">
        <v>1.1438917148029999</v>
      </c>
      <c r="J1958">
        <v>1.25648762824381</v>
      </c>
      <c r="K1958">
        <v>1.2945512544184801</v>
      </c>
      <c r="L1958">
        <v>478.37416523332899</v>
      </c>
      <c r="M1958">
        <v>6.9972993773073799</v>
      </c>
      <c r="O1958">
        <v>63.4386065891958</v>
      </c>
      <c r="P1958">
        <v>1.38131395638509E-2</v>
      </c>
      <c r="Q1958">
        <v>1.5</v>
      </c>
      <c r="R1958">
        <v>0.64864389298472203</v>
      </c>
      <c r="S1958" t="s">
        <v>3960</v>
      </c>
      <c r="T1958" t="s">
        <v>4002</v>
      </c>
      <c r="U1958" t="s">
        <v>4002</v>
      </c>
      <c r="V1958" t="s">
        <v>4002</v>
      </c>
      <c r="W1958" t="s">
        <v>5936</v>
      </c>
      <c r="X1958">
        <v>1</v>
      </c>
      <c r="Y1958" t="s">
        <v>7858</v>
      </c>
      <c r="Z1958" t="s">
        <v>9856</v>
      </c>
      <c r="AA1958">
        <v>1.099999431332362</v>
      </c>
      <c r="AB1958" t="str">
        <f>HYPERLINK("Melting_Curves/meltCurve_Q9UQ35_SRRM2.pdf", "Melting_Curves/meltCurve_Q9UQ35_SRRM2.pdf")</f>
        <v>Melting_Curves/meltCurve_Q9UQ35_SRRM2.pdf</v>
      </c>
    </row>
    <row r="1959" spans="1:28" x14ac:dyDescent="0.25">
      <c r="A1959" t="s">
        <v>1963</v>
      </c>
      <c r="B1959">
        <v>1</v>
      </c>
      <c r="C1959">
        <v>0.93217271933108703</v>
      </c>
      <c r="D1959">
        <v>1.043928615999</v>
      </c>
      <c r="E1959">
        <v>1.0311993011356499</v>
      </c>
      <c r="F1959">
        <v>1.1770872332459801</v>
      </c>
      <c r="G1959">
        <v>1.1925620866092601</v>
      </c>
      <c r="H1959">
        <v>1.4128915512292499</v>
      </c>
      <c r="I1959">
        <v>1.71234244352926</v>
      </c>
      <c r="J1959">
        <v>3.0609010358168001</v>
      </c>
      <c r="K1959">
        <v>1.6868214152003</v>
      </c>
      <c r="L1959">
        <v>2732.00378250632</v>
      </c>
      <c r="M1959">
        <v>47.574886228348497</v>
      </c>
      <c r="O1959">
        <v>57.324146578682601</v>
      </c>
      <c r="P1959">
        <v>0.10374104635095301</v>
      </c>
      <c r="Q1959">
        <v>1.5</v>
      </c>
      <c r="R1959">
        <v>0.30210334010791801</v>
      </c>
      <c r="S1959" t="s">
        <v>3961</v>
      </c>
      <c r="T1959" t="s">
        <v>4002</v>
      </c>
      <c r="U1959" t="s">
        <v>4002</v>
      </c>
      <c r="V1959" t="s">
        <v>4002</v>
      </c>
      <c r="W1959" t="s">
        <v>5937</v>
      </c>
      <c r="X1959">
        <v>4</v>
      </c>
      <c r="Y1959" t="s">
        <v>7859</v>
      </c>
      <c r="Z1959" t="s">
        <v>9857</v>
      </c>
      <c r="AA1959">
        <v>1.2081841115708849</v>
      </c>
      <c r="AB1959" t="str">
        <f>HYPERLINK("Melting_Curves/meltCurve_Q9UQ80_PA2G4.pdf", "Melting_Curves/meltCurve_Q9UQ80_PA2G4.pdf")</f>
        <v>Melting_Curves/meltCurve_Q9UQ80_PA2G4.pdf</v>
      </c>
    </row>
    <row r="1960" spans="1:28" x14ac:dyDescent="0.25">
      <c r="A1960" t="s">
        <v>1964</v>
      </c>
      <c r="B1960">
        <v>1</v>
      </c>
      <c r="C1960">
        <v>0.96510579937304097</v>
      </c>
      <c r="D1960">
        <v>1.0607366771159901</v>
      </c>
      <c r="E1960">
        <v>1.09694357366771</v>
      </c>
      <c r="F1960">
        <v>1.02198275862069</v>
      </c>
      <c r="G1960">
        <v>1.0833659874608199</v>
      </c>
      <c r="H1960">
        <v>0.854271159874608</v>
      </c>
      <c r="I1960">
        <v>1.01600705329154</v>
      </c>
      <c r="J1960">
        <v>3.7993730407523501</v>
      </c>
      <c r="K1960">
        <v>1.0068769592476501</v>
      </c>
      <c r="L1960">
        <v>15000</v>
      </c>
      <c r="M1960">
        <v>231.68452995698999</v>
      </c>
      <c r="O1960">
        <v>64.738405734928605</v>
      </c>
      <c r="P1960">
        <v>0.44734767708247603</v>
      </c>
      <c r="Q1960">
        <v>1.5</v>
      </c>
      <c r="R1960">
        <v>0.20773170093102999</v>
      </c>
      <c r="S1960" t="s">
        <v>3962</v>
      </c>
      <c r="T1960" t="s">
        <v>4002</v>
      </c>
      <c r="U1960" t="s">
        <v>4002</v>
      </c>
      <c r="V1960" t="s">
        <v>4002</v>
      </c>
      <c r="W1960" t="s">
        <v>5938</v>
      </c>
      <c r="X1960">
        <v>2</v>
      </c>
      <c r="Y1960" t="s">
        <v>7860</v>
      </c>
      <c r="Z1960" t="s">
        <v>9858</v>
      </c>
      <c r="AA1960">
        <v>1.087547028104848</v>
      </c>
      <c r="AB1960" t="str">
        <f>HYPERLINK("Melting_Curves/meltCurve_Q9Y265_2_RUVBL1.pdf", "Melting_Curves/meltCurve_Q9Y265_2_RUVBL1.pdf")</f>
        <v>Melting_Curves/meltCurve_Q9Y265_2_RUVBL1.pdf</v>
      </c>
    </row>
    <row r="1961" spans="1:28" x14ac:dyDescent="0.25">
      <c r="A1961" t="s">
        <v>1965</v>
      </c>
      <c r="B1961">
        <v>1</v>
      </c>
      <c r="C1961">
        <v>0.93488202889512495</v>
      </c>
      <c r="D1961">
        <v>0.94444444444444398</v>
      </c>
      <c r="E1961">
        <v>1.08699719363891</v>
      </c>
      <c r="F1961">
        <v>1.2300003464643301</v>
      </c>
      <c r="G1961">
        <v>1.4100232131102099</v>
      </c>
      <c r="H1961">
        <v>0.90260887641617304</v>
      </c>
      <c r="I1961">
        <v>1.9625472057651701</v>
      </c>
      <c r="J1961">
        <v>0.99991338391712603</v>
      </c>
      <c r="K1961">
        <v>1.3695735024079301</v>
      </c>
      <c r="L1961">
        <v>2049.9116697651598</v>
      </c>
      <c r="M1961">
        <v>39.768203770914198</v>
      </c>
      <c r="O1961">
        <v>51.416673033921803</v>
      </c>
      <c r="P1961">
        <v>6.3498866114109501E-2</v>
      </c>
      <c r="Q1961">
        <v>1.3283923535726301</v>
      </c>
      <c r="R1961">
        <v>0.269199786471992</v>
      </c>
      <c r="S1961" t="s">
        <v>3963</v>
      </c>
      <c r="T1961" t="s">
        <v>4002</v>
      </c>
      <c r="U1961" t="s">
        <v>4002</v>
      </c>
      <c r="V1961" t="s">
        <v>4002</v>
      </c>
      <c r="W1961" t="s">
        <v>5939</v>
      </c>
      <c r="X1961">
        <v>1</v>
      </c>
      <c r="Y1961" t="s">
        <v>7861</v>
      </c>
      <c r="Z1961" t="s">
        <v>9859</v>
      </c>
      <c r="AA1961">
        <v>1.200816105554023</v>
      </c>
      <c r="AB1961" t="str">
        <f>HYPERLINK("Melting_Curves/meltCurve_Q9Y266_NUDC.pdf", "Melting_Curves/meltCurve_Q9Y266_NUDC.pdf")</f>
        <v>Melting_Curves/meltCurve_Q9Y266_NUDC.pdf</v>
      </c>
    </row>
    <row r="1962" spans="1:28" x14ac:dyDescent="0.25">
      <c r="A1962" t="s">
        <v>1966</v>
      </c>
      <c r="B1962">
        <v>1</v>
      </c>
      <c r="C1962">
        <v>0.94379122454832198</v>
      </c>
      <c r="D1962">
        <v>1.09509607112131</v>
      </c>
      <c r="E1962">
        <v>1.1878405506165799</v>
      </c>
      <c r="F1962">
        <v>1.2149125322626899</v>
      </c>
      <c r="G1962">
        <v>1.2798967593920301</v>
      </c>
      <c r="H1962">
        <v>1.1705190708345301</v>
      </c>
      <c r="I1962">
        <v>1.4658445655291099</v>
      </c>
      <c r="J1962">
        <v>1.3598508746773701</v>
      </c>
      <c r="K1962">
        <v>1.2899913966159999</v>
      </c>
      <c r="L1962">
        <v>713.20211717968402</v>
      </c>
      <c r="M1962">
        <v>14.116209662417001</v>
      </c>
      <c r="O1962">
        <v>49.542100666382403</v>
      </c>
      <c r="P1962">
        <v>2.4168787935428E-2</v>
      </c>
      <c r="Q1962">
        <v>1.3392467204715499</v>
      </c>
      <c r="R1962">
        <v>0.77384412592986196</v>
      </c>
      <c r="S1962" t="s">
        <v>3964</v>
      </c>
      <c r="T1962" t="s">
        <v>4002</v>
      </c>
      <c r="U1962" t="s">
        <v>4002</v>
      </c>
      <c r="V1962" t="s">
        <v>4002</v>
      </c>
      <c r="W1962" t="s">
        <v>5940</v>
      </c>
      <c r="X1962">
        <v>7</v>
      </c>
      <c r="Y1962" t="s">
        <v>7862</v>
      </c>
      <c r="Z1962" t="s">
        <v>9860</v>
      </c>
      <c r="AA1962">
        <v>1.211430246838527</v>
      </c>
      <c r="AB1962" t="str">
        <f>HYPERLINK("Melting_Curves/meltCurve_Q9Y2B0_CNPY2.pdf", "Melting_Curves/meltCurve_Q9Y2B0_CNPY2.pdf")</f>
        <v>Melting_Curves/meltCurve_Q9Y2B0_CNPY2.pdf</v>
      </c>
    </row>
    <row r="1963" spans="1:28" x14ac:dyDescent="0.25">
      <c r="A1963" t="s">
        <v>1967</v>
      </c>
      <c r="B1963">
        <v>1</v>
      </c>
      <c r="C1963">
        <v>0.92276246813831597</v>
      </c>
      <c r="D1963">
        <v>1.0557880055788</v>
      </c>
      <c r="E1963">
        <v>0.98225364305295004</v>
      </c>
      <c r="F1963">
        <v>1.00211609676333</v>
      </c>
      <c r="G1963">
        <v>0.97128841437022095</v>
      </c>
      <c r="H1963">
        <v>0.99153561294666503</v>
      </c>
      <c r="I1963">
        <v>1.1281681335064699</v>
      </c>
      <c r="J1963">
        <v>1.1608233540133699</v>
      </c>
      <c r="K1963">
        <v>0.98302313278507203</v>
      </c>
      <c r="L1963">
        <v>10493.994824494301</v>
      </c>
      <c r="M1963">
        <v>168.62606279781599</v>
      </c>
      <c r="O1963">
        <v>62.223590376963202</v>
      </c>
      <c r="P1963">
        <v>6.1458341677861697E-2</v>
      </c>
      <c r="Q1963">
        <v>1.0907133464278</v>
      </c>
      <c r="R1963">
        <v>0.42136159967244702</v>
      </c>
      <c r="S1963" t="s">
        <v>3965</v>
      </c>
      <c r="T1963" t="s">
        <v>4002</v>
      </c>
      <c r="U1963" t="s">
        <v>4002</v>
      </c>
      <c r="V1963" t="s">
        <v>4002</v>
      </c>
      <c r="W1963" t="s">
        <v>5941</v>
      </c>
      <c r="X1963">
        <v>1</v>
      </c>
      <c r="Y1963" t="s">
        <v>7863</v>
      </c>
      <c r="Z1963" t="s">
        <v>9861</v>
      </c>
      <c r="AA1963">
        <v>1.023465892356487</v>
      </c>
      <c r="AB1963" t="str">
        <f>HYPERLINK("Melting_Curves/meltCurve_Q9Y2R0_COA3.pdf", "Melting_Curves/meltCurve_Q9Y2R0_COA3.pdf")</f>
        <v>Melting_Curves/meltCurve_Q9Y2R0_COA3.pdf</v>
      </c>
    </row>
    <row r="1964" spans="1:28" x14ac:dyDescent="0.25">
      <c r="A1964" t="s">
        <v>1968</v>
      </c>
      <c r="B1964">
        <v>1</v>
      </c>
      <c r="C1964">
        <v>1.10322660915727</v>
      </c>
      <c r="D1964">
        <v>1.10841074983411</v>
      </c>
      <c r="E1964">
        <v>1.2044625082946301</v>
      </c>
      <c r="F1964">
        <v>1.13225779694758</v>
      </c>
      <c r="G1964">
        <v>1.0883377571333801</v>
      </c>
      <c r="H1964">
        <v>0.97735567352355701</v>
      </c>
      <c r="I1964">
        <v>1.38030856005309</v>
      </c>
      <c r="J1964">
        <v>1.0629976775049801</v>
      </c>
      <c r="K1964">
        <v>0.76070006635700105</v>
      </c>
      <c r="L1964">
        <v>15000</v>
      </c>
      <c r="M1964">
        <v>213.12915212175801</v>
      </c>
      <c r="Q1964">
        <v>0</v>
      </c>
      <c r="R1964">
        <v>-4.2189445622214702E-2</v>
      </c>
      <c r="S1964" t="s">
        <v>3966</v>
      </c>
      <c r="T1964" t="s">
        <v>4002</v>
      </c>
      <c r="U1964" t="s">
        <v>4002</v>
      </c>
      <c r="V1964" t="s">
        <v>4002</v>
      </c>
      <c r="W1964" t="s">
        <v>5942</v>
      </c>
      <c r="X1964">
        <v>1</v>
      </c>
      <c r="Y1964" t="s">
        <v>7864</v>
      </c>
      <c r="Z1964" t="s">
        <v>9862</v>
      </c>
      <c r="AA1964">
        <v>0.99705115066655869</v>
      </c>
      <c r="AB1964" t="str">
        <f>HYPERLINK("Melting_Curves/meltCurve_Q9Y2S2_2_CRYL1.pdf", "Melting_Curves/meltCurve_Q9Y2S2_2_CRYL1.pdf")</f>
        <v>Melting_Curves/meltCurve_Q9Y2S2_2_CRYL1.pdf</v>
      </c>
    </row>
    <row r="1965" spans="1:28" x14ac:dyDescent="0.25">
      <c r="A1965" t="s">
        <v>1969</v>
      </c>
      <c r="B1965">
        <v>1</v>
      </c>
      <c r="C1965">
        <v>0.93073338238901104</v>
      </c>
      <c r="D1965">
        <v>1.04537650233014</v>
      </c>
      <c r="E1965">
        <v>1.04792739759627</v>
      </c>
      <c r="F1965">
        <v>0.91837135148393401</v>
      </c>
      <c r="G1965">
        <v>0.905273485405936</v>
      </c>
      <c r="H1965">
        <v>0.438528329654157</v>
      </c>
      <c r="I1965">
        <v>0.96806475349521703</v>
      </c>
      <c r="J1965">
        <v>0.29951434878587202</v>
      </c>
      <c r="K1965">
        <v>0.58690213392200197</v>
      </c>
      <c r="L1965">
        <v>14321.4895197613</v>
      </c>
      <c r="M1965">
        <v>250</v>
      </c>
      <c r="O1965">
        <v>57.282292175604702</v>
      </c>
      <c r="P1965">
        <v>-0.46561904285565697</v>
      </c>
      <c r="Q1965">
        <v>0.573252383747482</v>
      </c>
      <c r="R1965">
        <v>0.59651544276082602</v>
      </c>
      <c r="S1965" t="s">
        <v>3967</v>
      </c>
      <c r="T1965" t="s">
        <v>4002</v>
      </c>
      <c r="U1965" t="s">
        <v>4002</v>
      </c>
      <c r="V1965" t="s">
        <v>4002</v>
      </c>
      <c r="W1965" t="s">
        <v>5943</v>
      </c>
      <c r="X1965">
        <v>4</v>
      </c>
      <c r="Y1965" t="s">
        <v>7865</v>
      </c>
      <c r="Z1965" t="s">
        <v>9863</v>
      </c>
      <c r="AA1965">
        <v>0.81918666739328327</v>
      </c>
      <c r="AB1965" t="str">
        <f>HYPERLINK("Melting_Curves/meltCurve_Q9Y2S6_TMA7.pdf", "Melting_Curves/meltCurve_Q9Y2S6_TMA7.pdf")</f>
        <v>Melting_Curves/meltCurve_Q9Y2S6_TMA7.pdf</v>
      </c>
    </row>
    <row r="1966" spans="1:28" x14ac:dyDescent="0.25">
      <c r="A1966" t="s">
        <v>1970</v>
      </c>
      <c r="B1966">
        <v>1</v>
      </c>
      <c r="C1966">
        <v>0.90810125475451398</v>
      </c>
      <c r="D1966">
        <v>1.0221658724260001</v>
      </c>
      <c r="E1966">
        <v>1.06824640405719</v>
      </c>
      <c r="F1966">
        <v>1.0390853845144901</v>
      </c>
      <c r="G1966">
        <v>0.99890700826301704</v>
      </c>
      <c r="H1966">
        <v>0.80898876404494402</v>
      </c>
      <c r="I1966">
        <v>1.12001049272068</v>
      </c>
      <c r="J1966">
        <v>0.96161413019717601</v>
      </c>
      <c r="K1966">
        <v>0.900625191273554</v>
      </c>
      <c r="L1966">
        <v>15000</v>
      </c>
      <c r="M1966">
        <v>223.417021691315</v>
      </c>
      <c r="O1966">
        <v>67.133640471732207</v>
      </c>
      <c r="P1966">
        <v>-8.2688501082320995E-2</v>
      </c>
      <c r="Q1966">
        <v>0.90061312087700895</v>
      </c>
      <c r="R1966">
        <v>0.112661991442115</v>
      </c>
      <c r="S1966" t="s">
        <v>3968</v>
      </c>
      <c r="T1966" t="s">
        <v>4002</v>
      </c>
      <c r="U1966" t="s">
        <v>4002</v>
      </c>
      <c r="V1966" t="s">
        <v>4002</v>
      </c>
      <c r="W1966" t="s">
        <v>5944</v>
      </c>
      <c r="X1966">
        <v>2</v>
      </c>
      <c r="Y1966" t="s">
        <v>7866</v>
      </c>
      <c r="Z1966" t="s">
        <v>9864</v>
      </c>
      <c r="AA1966">
        <v>0.99053641821267502</v>
      </c>
      <c r="AB1966" t="str">
        <f>HYPERLINK("Melting_Curves/meltCurve_Q9Y2W1_THRAP3.pdf", "Melting_Curves/meltCurve_Q9Y2W1_THRAP3.pdf")</f>
        <v>Melting_Curves/meltCurve_Q9Y2W1_THRAP3.pdf</v>
      </c>
    </row>
    <row r="1967" spans="1:28" x14ac:dyDescent="0.25">
      <c r="A1967" t="s">
        <v>1971</v>
      </c>
      <c r="B1967">
        <v>1</v>
      </c>
      <c r="C1967">
        <v>1.5191255023235</v>
      </c>
      <c r="D1967">
        <v>1.04324529924424</v>
      </c>
      <c r="E1967">
        <v>1.52597198564554</v>
      </c>
      <c r="F1967">
        <v>2.1845904513056298</v>
      </c>
      <c r="G1967">
        <v>1.5806280904265</v>
      </c>
      <c r="H1967">
        <v>2.1549885065074701</v>
      </c>
      <c r="I1967">
        <v>1.89733582496817</v>
      </c>
      <c r="J1967">
        <v>2.59322958871488</v>
      </c>
      <c r="K1967">
        <v>2.2249417056673702</v>
      </c>
      <c r="L1967">
        <v>978.03813528534295</v>
      </c>
      <c r="M1967">
        <v>23.1593213255357</v>
      </c>
      <c r="O1967">
        <v>41.919768935898198</v>
      </c>
      <c r="P1967">
        <v>6.9059718773446702E-2</v>
      </c>
      <c r="Q1967">
        <v>1.5</v>
      </c>
      <c r="R1967">
        <v>-0.20259741963420899</v>
      </c>
      <c r="S1967" t="s">
        <v>3969</v>
      </c>
      <c r="T1967" t="s">
        <v>4002</v>
      </c>
      <c r="U1967" t="s">
        <v>4002</v>
      </c>
      <c r="V1967" t="s">
        <v>4002</v>
      </c>
      <c r="W1967" t="s">
        <v>5945</v>
      </c>
      <c r="X1967">
        <v>1</v>
      </c>
      <c r="Y1967" t="s">
        <v>7867</v>
      </c>
      <c r="Z1967" t="s">
        <v>9865</v>
      </c>
      <c r="AA1967">
        <v>1.4522856463916429</v>
      </c>
      <c r="AB1967" t="str">
        <f>HYPERLINK("Melting_Curves/meltCurve_Q9Y333_LSM2.pdf", "Melting_Curves/meltCurve_Q9Y333_LSM2.pdf")</f>
        <v>Melting_Curves/meltCurve_Q9Y333_LSM2.pdf</v>
      </c>
    </row>
    <row r="1968" spans="1:28" x14ac:dyDescent="0.25">
      <c r="A1968" t="s">
        <v>1972</v>
      </c>
      <c r="B1968">
        <v>1</v>
      </c>
      <c r="C1968">
        <v>0.89610194902548701</v>
      </c>
      <c r="D1968">
        <v>0.98515742128935502</v>
      </c>
      <c r="E1968">
        <v>1.1173163418290899</v>
      </c>
      <c r="F1968">
        <v>1.1425787106446801</v>
      </c>
      <c r="G1968">
        <v>1.37946026986507</v>
      </c>
      <c r="H1968">
        <v>1.1633433283358301</v>
      </c>
      <c r="I1968">
        <v>1.4368065967016499</v>
      </c>
      <c r="J1968">
        <v>1.9586206896551701</v>
      </c>
      <c r="K1968">
        <v>1.2187406296851599</v>
      </c>
      <c r="L1968">
        <v>889.01667910194999</v>
      </c>
      <c r="M1968">
        <v>16.001651324927799</v>
      </c>
      <c r="O1968">
        <v>54.7118373244965</v>
      </c>
      <c r="P1968">
        <v>3.6561799641391099E-2</v>
      </c>
      <c r="Q1968">
        <v>1.5</v>
      </c>
      <c r="R1968">
        <v>0.54129670417004006</v>
      </c>
      <c r="S1968" t="s">
        <v>3970</v>
      </c>
      <c r="T1968" t="s">
        <v>4002</v>
      </c>
      <c r="U1968" t="s">
        <v>4002</v>
      </c>
      <c r="V1968" t="s">
        <v>4002</v>
      </c>
      <c r="W1968" t="s">
        <v>5946</v>
      </c>
      <c r="X1968">
        <v>2</v>
      </c>
      <c r="Y1968" t="s">
        <v>7868</v>
      </c>
      <c r="Z1968" t="s">
        <v>9866</v>
      </c>
      <c r="AA1968">
        <v>1.2320519936061449</v>
      </c>
      <c r="AB1968" t="str">
        <f>HYPERLINK("Melting_Curves/meltCurve_Q9Y3B3_2_TMED7.pdf", "Melting_Curves/meltCurve_Q9Y3B3_2_TMED7.pdf")</f>
        <v>Melting_Curves/meltCurve_Q9Y3B3_2_TMED7.pdf</v>
      </c>
    </row>
    <row r="1969" spans="1:28" x14ac:dyDescent="0.25">
      <c r="A1969" t="s">
        <v>1973</v>
      </c>
      <c r="B1969">
        <v>1</v>
      </c>
      <c r="C1969">
        <v>1.2832033395583899</v>
      </c>
      <c r="D1969">
        <v>1.3289574865428999</v>
      </c>
      <c r="E1969">
        <v>1.64890695375151</v>
      </c>
      <c r="F1969">
        <v>1.9730308689442999</v>
      </c>
      <c r="G1969">
        <v>2.3086894430407598</v>
      </c>
      <c r="H1969">
        <v>2.5095572888058899</v>
      </c>
      <c r="I1969">
        <v>2.6269911018345602</v>
      </c>
      <c r="J1969">
        <v>2.9326046358343398</v>
      </c>
      <c r="K1969">
        <v>2.27787542568384</v>
      </c>
      <c r="L1969">
        <v>1389.83307225863</v>
      </c>
      <c r="M1969">
        <v>32.3048709200595</v>
      </c>
      <c r="O1969">
        <v>42.858550645077102</v>
      </c>
      <c r="P1969">
        <v>9.4219911994078698E-2</v>
      </c>
      <c r="Q1969">
        <v>1.5</v>
      </c>
      <c r="R1969">
        <v>-0.55130859992516301</v>
      </c>
      <c r="S1969" t="s">
        <v>3971</v>
      </c>
      <c r="T1969" t="s">
        <v>4002</v>
      </c>
      <c r="U1969" t="s">
        <v>4002</v>
      </c>
      <c r="V1969" t="s">
        <v>4002</v>
      </c>
      <c r="W1969" t="s">
        <v>5947</v>
      </c>
      <c r="X1969">
        <v>2</v>
      </c>
      <c r="Y1969" t="s">
        <v>7869</v>
      </c>
      <c r="Z1969" t="s">
        <v>9867</v>
      </c>
      <c r="AA1969">
        <v>1.445820444022905</v>
      </c>
      <c r="AB1969" t="str">
        <f>HYPERLINK("Melting_Curves/meltCurve_Q9Y3C8_UFC1.pdf", "Melting_Curves/meltCurve_Q9Y3C8_UFC1.pdf")</f>
        <v>Melting_Curves/meltCurve_Q9Y3C8_UFC1.pdf</v>
      </c>
    </row>
    <row r="1970" spans="1:28" x14ac:dyDescent="0.25">
      <c r="A1970" t="s">
        <v>1974</v>
      </c>
      <c r="B1970">
        <v>1</v>
      </c>
      <c r="C1970">
        <v>0.84681790027872395</v>
      </c>
      <c r="D1970">
        <v>0.93674512232889495</v>
      </c>
      <c r="E1970">
        <v>0.92164756890678201</v>
      </c>
      <c r="F1970">
        <v>0.94677144626819498</v>
      </c>
      <c r="G1970">
        <v>1.08938525859399</v>
      </c>
      <c r="H1970">
        <v>0.97824403840198204</v>
      </c>
      <c r="I1970">
        <v>1.0733586249612901</v>
      </c>
      <c r="J1970">
        <v>1.83973366367296</v>
      </c>
      <c r="K1970">
        <v>0.96275936822545705</v>
      </c>
      <c r="L1970">
        <v>15000</v>
      </c>
      <c r="M1970">
        <v>232.883778694987</v>
      </c>
      <c r="O1970">
        <v>64.405050297160102</v>
      </c>
      <c r="P1970">
        <v>0.36268725446998601</v>
      </c>
      <c r="Q1970">
        <v>1.40121119009576</v>
      </c>
      <c r="R1970">
        <v>0.40461910792931899</v>
      </c>
      <c r="S1970" t="s">
        <v>3972</v>
      </c>
      <c r="T1970" t="s">
        <v>4002</v>
      </c>
      <c r="U1970" t="s">
        <v>4002</v>
      </c>
      <c r="V1970" t="s">
        <v>4002</v>
      </c>
      <c r="W1970" t="s">
        <v>5948</v>
      </c>
      <c r="X1970">
        <v>1</v>
      </c>
      <c r="Y1970" t="s">
        <v>7870</v>
      </c>
      <c r="Z1970" t="s">
        <v>9868</v>
      </c>
      <c r="AA1970">
        <v>1.074709290464047</v>
      </c>
      <c r="AB1970" t="str">
        <f>HYPERLINK("Melting_Curves/meltCurve_Q9Y3D6_FIS1.pdf", "Melting_Curves/meltCurve_Q9Y3D6_FIS1.pdf")</f>
        <v>Melting_Curves/meltCurve_Q9Y3D6_FIS1.pdf</v>
      </c>
    </row>
    <row r="1971" spans="1:28" x14ac:dyDescent="0.25">
      <c r="A1971" t="s">
        <v>1975</v>
      </c>
      <c r="B1971">
        <v>1</v>
      </c>
      <c r="C1971">
        <v>0.88842114215248602</v>
      </c>
      <c r="D1971">
        <v>1.1330526852914899</v>
      </c>
      <c r="E1971">
        <v>1.02104860313816</v>
      </c>
      <c r="F1971">
        <v>1.3201513798528699</v>
      </c>
      <c r="G1971">
        <v>1.2923842326827399</v>
      </c>
      <c r="H1971">
        <v>0.95292766934558004</v>
      </c>
      <c r="I1971">
        <v>0.83088829357486105</v>
      </c>
      <c r="J1971">
        <v>0.95160947399753404</v>
      </c>
      <c r="K1971">
        <v>0.813666709189097</v>
      </c>
      <c r="L1971">
        <v>15000</v>
      </c>
      <c r="M1971">
        <v>245.281321340348</v>
      </c>
      <c r="O1971">
        <v>61.150207650404603</v>
      </c>
      <c r="P1971">
        <v>-0.134986635317592</v>
      </c>
      <c r="Q1971">
        <v>0.86538787022492503</v>
      </c>
      <c r="R1971">
        <v>0.18565644887185201</v>
      </c>
      <c r="S1971" t="s">
        <v>3973</v>
      </c>
      <c r="T1971" t="s">
        <v>4002</v>
      </c>
      <c r="U1971" t="s">
        <v>4002</v>
      </c>
      <c r="V1971" t="s">
        <v>4002</v>
      </c>
      <c r="W1971" t="s">
        <v>5949</v>
      </c>
      <c r="X1971">
        <v>1</v>
      </c>
      <c r="Y1971" t="s">
        <v>7871</v>
      </c>
      <c r="Z1971" t="s">
        <v>9869</v>
      </c>
      <c r="AA1971">
        <v>0.96032358730401191</v>
      </c>
      <c r="AB1971" t="str">
        <f>HYPERLINK("Melting_Curves/meltCurve_Q9Y3E7_2_CHMP3.pdf", "Melting_Curves/meltCurve_Q9Y3E7_2_CHMP3.pdf")</f>
        <v>Melting_Curves/meltCurve_Q9Y3E7_2_CHMP3.pdf</v>
      </c>
    </row>
    <row r="1972" spans="1:28" x14ac:dyDescent="0.25">
      <c r="A1972" t="s">
        <v>1976</v>
      </c>
      <c r="B1972">
        <v>1</v>
      </c>
      <c r="C1972">
        <v>0.94561225781942504</v>
      </c>
      <c r="D1972">
        <v>0.99871259127938905</v>
      </c>
      <c r="E1972">
        <v>1.02378540373982</v>
      </c>
      <c r="F1972">
        <v>1.0631674475539199</v>
      </c>
      <c r="G1972">
        <v>1.1465957536617299</v>
      </c>
      <c r="H1972">
        <v>0.94033599257101896</v>
      </c>
      <c r="I1972">
        <v>1.31045544721624</v>
      </c>
      <c r="J1972">
        <v>1.5334093115529099</v>
      </c>
      <c r="K1972">
        <v>1.1128276560719299</v>
      </c>
      <c r="L1972">
        <v>15000</v>
      </c>
      <c r="M1972">
        <v>237.533837725018</v>
      </c>
      <c r="O1972">
        <v>63.144425490624599</v>
      </c>
      <c r="P1972">
        <v>0.30402387278188397</v>
      </c>
      <c r="Q1972">
        <v>1.3232787657371301</v>
      </c>
      <c r="R1972">
        <v>0.61044717637266499</v>
      </c>
      <c r="S1972" t="s">
        <v>3974</v>
      </c>
      <c r="T1972" t="s">
        <v>4002</v>
      </c>
      <c r="U1972" t="s">
        <v>4002</v>
      </c>
      <c r="V1972" t="s">
        <v>4002</v>
      </c>
      <c r="W1972" t="s">
        <v>5950</v>
      </c>
      <c r="X1972">
        <v>3</v>
      </c>
      <c r="Y1972" t="s">
        <v>7872</v>
      </c>
      <c r="Z1972" t="s">
        <v>9870</v>
      </c>
      <c r="AA1972">
        <v>1.0737875096970899</v>
      </c>
      <c r="AB1972" t="str">
        <f>HYPERLINK("Melting_Curves/meltCurve_Q9Y3F4_STRAP.pdf", "Melting_Curves/meltCurve_Q9Y3F4_STRAP.pdf")</f>
        <v>Melting_Curves/meltCurve_Q9Y3F4_STRAP.pdf</v>
      </c>
    </row>
    <row r="1973" spans="1:28" x14ac:dyDescent="0.25">
      <c r="A1973" t="s">
        <v>1977</v>
      </c>
      <c r="B1973">
        <v>1</v>
      </c>
      <c r="C1973">
        <v>0.83058861601524603</v>
      </c>
      <c r="D1973">
        <v>0.95408291683146995</v>
      </c>
      <c r="E1973">
        <v>0.92995577289561704</v>
      </c>
      <c r="F1973">
        <v>0.91828772787745905</v>
      </c>
      <c r="G1973">
        <v>1.0549063320269001</v>
      </c>
      <c r="H1973">
        <v>0.97047930674912797</v>
      </c>
      <c r="I1973">
        <v>1.05087914853835</v>
      </c>
      <c r="J1973">
        <v>1.2812196612850999</v>
      </c>
      <c r="K1973">
        <v>1.02072920786739</v>
      </c>
      <c r="L1973">
        <v>15000</v>
      </c>
      <c r="M1973">
        <v>233.699298347747</v>
      </c>
      <c r="O1973">
        <v>64.180344308527097</v>
      </c>
      <c r="P1973">
        <v>0.13743113512112001</v>
      </c>
      <c r="Q1973">
        <v>1.15096968937011</v>
      </c>
      <c r="R1973">
        <v>0.37517559620113999</v>
      </c>
      <c r="S1973" t="s">
        <v>3975</v>
      </c>
      <c r="T1973" t="s">
        <v>4002</v>
      </c>
      <c r="U1973" t="s">
        <v>4002</v>
      </c>
      <c r="V1973" t="s">
        <v>4002</v>
      </c>
      <c r="W1973" t="s">
        <v>5951</v>
      </c>
      <c r="X1973">
        <v>4</v>
      </c>
      <c r="Y1973" t="s">
        <v>7873</v>
      </c>
      <c r="Z1973" t="s">
        <v>9871</v>
      </c>
      <c r="AA1973">
        <v>1.029243269779587</v>
      </c>
      <c r="AB1973" t="str">
        <f>HYPERLINK("Melting_Curves/meltCurve_Q9Y3L3_SH3BP1.pdf", "Melting_Curves/meltCurve_Q9Y3L3_SH3BP1.pdf")</f>
        <v>Melting_Curves/meltCurve_Q9Y3L3_SH3BP1.pdf</v>
      </c>
    </row>
    <row r="1974" spans="1:28" x14ac:dyDescent="0.25">
      <c r="A1974" t="s">
        <v>1978</v>
      </c>
      <c r="B1974">
        <v>1</v>
      </c>
      <c r="C1974">
        <v>0.95594879518072295</v>
      </c>
      <c r="D1974">
        <v>0.91939006024096404</v>
      </c>
      <c r="E1974">
        <v>0.96978539156626498</v>
      </c>
      <c r="F1974">
        <v>0.87435052710843397</v>
      </c>
      <c r="G1974">
        <v>0.90425451807228896</v>
      </c>
      <c r="H1974">
        <v>0.65767131024096404</v>
      </c>
      <c r="I1974">
        <v>0.93800828313253004</v>
      </c>
      <c r="J1974">
        <v>0.83105233433734904</v>
      </c>
      <c r="K1974">
        <v>0.83930722891566301</v>
      </c>
      <c r="L1974">
        <v>547.85484313954703</v>
      </c>
      <c r="M1974">
        <v>10.8408810461346</v>
      </c>
      <c r="O1974">
        <v>48.907602756205698</v>
      </c>
      <c r="P1974">
        <v>-1.0214218821192301E-2</v>
      </c>
      <c r="Q1974">
        <v>0.81574384989088899</v>
      </c>
      <c r="R1974">
        <v>0.39950378911971002</v>
      </c>
      <c r="S1974" t="s">
        <v>3976</v>
      </c>
      <c r="T1974" t="s">
        <v>4002</v>
      </c>
      <c r="U1974" t="s">
        <v>4002</v>
      </c>
      <c r="V1974" t="s">
        <v>4002</v>
      </c>
      <c r="W1974" t="s">
        <v>5952</v>
      </c>
      <c r="X1974">
        <v>3</v>
      </c>
      <c r="Y1974" t="s">
        <v>7874</v>
      </c>
      <c r="Z1974" t="s">
        <v>9872</v>
      </c>
      <c r="AA1974">
        <v>0.88760732102169071</v>
      </c>
      <c r="AB1974" t="str">
        <f>HYPERLINK("Melting_Curves/meltCurve_Q9Y3Q8_TSC22D4.pdf", "Melting_Curves/meltCurve_Q9Y3Q8_TSC22D4.pdf")</f>
        <v>Melting_Curves/meltCurve_Q9Y3Q8_TSC22D4.pdf</v>
      </c>
    </row>
    <row r="1975" spans="1:28" x14ac:dyDescent="0.25">
      <c r="A1975" t="s">
        <v>1979</v>
      </c>
      <c r="B1975">
        <v>1</v>
      </c>
      <c r="C1975">
        <v>0.796069516755885</v>
      </c>
      <c r="D1975">
        <v>1.12000439979468</v>
      </c>
      <c r="E1975">
        <v>1.18728459338564</v>
      </c>
      <c r="F1975">
        <v>1.0470778030358601</v>
      </c>
      <c r="G1975">
        <v>1.1004619784410099</v>
      </c>
      <c r="H1975">
        <v>1.3834787709906899</v>
      </c>
      <c r="I1975">
        <v>1.47239128840654</v>
      </c>
      <c r="J1975">
        <v>1.6577693040991399</v>
      </c>
      <c r="K1975">
        <v>1.1815281953508801</v>
      </c>
      <c r="L1975">
        <v>2984.6823218007598</v>
      </c>
      <c r="M1975">
        <v>51.163919858485897</v>
      </c>
      <c r="O1975">
        <v>58.2467638239509</v>
      </c>
      <c r="P1975">
        <v>9.5695978163996304E-2</v>
      </c>
      <c r="Q1975">
        <v>1.43577408353652</v>
      </c>
      <c r="R1975">
        <v>0.62717026319106295</v>
      </c>
      <c r="S1975" t="s">
        <v>3977</v>
      </c>
      <c r="T1975" t="s">
        <v>4002</v>
      </c>
      <c r="U1975" t="s">
        <v>4002</v>
      </c>
      <c r="V1975" t="s">
        <v>4002</v>
      </c>
      <c r="W1975" t="s">
        <v>5953</v>
      </c>
      <c r="X1975">
        <v>3</v>
      </c>
      <c r="Y1975" t="s">
        <v>7875</v>
      </c>
      <c r="Z1975" t="s">
        <v>9873</v>
      </c>
      <c r="AA1975">
        <v>1.1683678746097259</v>
      </c>
      <c r="AB1975" t="str">
        <f>HYPERLINK("Melting_Curves/meltCurve_Q9Y3R4_NEU2.pdf", "Melting_Curves/meltCurve_Q9Y3R4_NEU2.pdf")</f>
        <v>Melting_Curves/meltCurve_Q9Y3R4_NEU2.pdf</v>
      </c>
    </row>
    <row r="1976" spans="1:28" x14ac:dyDescent="0.25">
      <c r="A1976" t="s">
        <v>1980</v>
      </c>
      <c r="B1976">
        <v>1</v>
      </c>
      <c r="C1976">
        <v>0.883439803439803</v>
      </c>
      <c r="D1976">
        <v>0.88022113022113002</v>
      </c>
      <c r="E1976">
        <v>0.86208845208845197</v>
      </c>
      <c r="F1976">
        <v>1.0117444717444699</v>
      </c>
      <c r="G1976">
        <v>0.87528255528255505</v>
      </c>
      <c r="H1976">
        <v>0.79823095823095802</v>
      </c>
      <c r="I1976">
        <v>0.846781326781327</v>
      </c>
      <c r="J1976">
        <v>2.94398034398034</v>
      </c>
      <c r="K1976">
        <v>0.83511056511056503</v>
      </c>
      <c r="L1976">
        <v>15000</v>
      </c>
      <c r="M1976">
        <v>230.23881047332799</v>
      </c>
      <c r="O1976">
        <v>65.144831046652399</v>
      </c>
      <c r="P1976">
        <v>0.44178258122932501</v>
      </c>
      <c r="Q1976">
        <v>1.5</v>
      </c>
      <c r="R1976">
        <v>0.30851805070605298</v>
      </c>
      <c r="S1976" t="s">
        <v>3978</v>
      </c>
      <c r="T1976" t="s">
        <v>4002</v>
      </c>
      <c r="U1976" t="s">
        <v>4002</v>
      </c>
      <c r="V1976" t="s">
        <v>4002</v>
      </c>
      <c r="W1976" t="s">
        <v>5954</v>
      </c>
      <c r="X1976">
        <v>3</v>
      </c>
      <c r="Y1976" t="s">
        <v>7876</v>
      </c>
      <c r="Z1976" t="s">
        <v>9874</v>
      </c>
      <c r="AA1976">
        <v>1.08077016325685</v>
      </c>
      <c r="AB1976" t="str">
        <f>HYPERLINK("Melting_Curves/meltCurve_Q9Y446_PKP3.pdf", "Melting_Curves/meltCurve_Q9Y446_PKP3.pdf")</f>
        <v>Melting_Curves/meltCurve_Q9Y446_PKP3.pdf</v>
      </c>
    </row>
    <row r="1977" spans="1:28" x14ac:dyDescent="0.25">
      <c r="A1977" t="s">
        <v>1981</v>
      </c>
      <c r="B1977">
        <v>1</v>
      </c>
      <c r="C1977">
        <v>0.96947231678910595</v>
      </c>
      <c r="D1977">
        <v>0.991265006271278</v>
      </c>
      <c r="E1977">
        <v>1.0055993549543101</v>
      </c>
      <c r="F1977">
        <v>0.93614495610105697</v>
      </c>
      <c r="G1977">
        <v>1.0199337036373399</v>
      </c>
      <c r="H1977">
        <v>0.88102490593083704</v>
      </c>
      <c r="I1977">
        <v>1.1481141372513901</v>
      </c>
      <c r="J1977">
        <v>0.93437555993549504</v>
      </c>
      <c r="K1977">
        <v>0.948597921519441</v>
      </c>
      <c r="L1977">
        <v>10236.971666867001</v>
      </c>
      <c r="M1977">
        <v>250</v>
      </c>
      <c r="O1977">
        <v>40.945266828031798</v>
      </c>
      <c r="P1977">
        <v>-2.80645789362312E-2</v>
      </c>
      <c r="Q1977">
        <v>0.98161421350276801</v>
      </c>
      <c r="R1977">
        <v>6.6398938079120801E-3</v>
      </c>
      <c r="S1977" t="s">
        <v>3979</v>
      </c>
      <c r="T1977" t="s">
        <v>4002</v>
      </c>
      <c r="U1977" t="s">
        <v>4002</v>
      </c>
      <c r="V1977" t="s">
        <v>4002</v>
      </c>
      <c r="W1977" t="s">
        <v>5955</v>
      </c>
      <c r="X1977">
        <v>46</v>
      </c>
      <c r="Y1977" t="s">
        <v>7877</v>
      </c>
      <c r="Z1977" t="s">
        <v>9875</v>
      </c>
      <c r="AA1977">
        <v>0.98219670994393826</v>
      </c>
      <c r="AB1977" t="str">
        <f>HYPERLINK("Melting_Curves/meltCurve_Q9Y490_TLN1.pdf", "Melting_Curves/meltCurve_Q9Y490_TLN1.pdf")</f>
        <v>Melting_Curves/meltCurve_Q9Y490_TLN1.pdf</v>
      </c>
    </row>
    <row r="1978" spans="1:28" x14ac:dyDescent="0.25">
      <c r="A1978" t="s">
        <v>1982</v>
      </c>
      <c r="B1978">
        <v>1</v>
      </c>
      <c r="C1978">
        <v>1.0024330900243299</v>
      </c>
      <c r="D1978">
        <v>1.0371622486874099</v>
      </c>
      <c r="E1978">
        <v>1.0030733768728399</v>
      </c>
      <c r="F1978">
        <v>1.0052247406838299</v>
      </c>
      <c r="G1978">
        <v>1.07127673197593</v>
      </c>
      <c r="H1978">
        <v>1.05076194134972</v>
      </c>
      <c r="I1978">
        <v>1.4824433346139101</v>
      </c>
      <c r="J1978">
        <v>1.47611730055065</v>
      </c>
      <c r="K1978">
        <v>1.3405813804584501</v>
      </c>
      <c r="L1978">
        <v>15000</v>
      </c>
      <c r="M1978">
        <v>243.88338791587699</v>
      </c>
      <c r="O1978">
        <v>61.5006742684443</v>
      </c>
      <c r="P1978">
        <v>0.429324721359019</v>
      </c>
      <c r="Q1978">
        <v>1.4330554449123201</v>
      </c>
      <c r="R1978">
        <v>0.94751208016569199</v>
      </c>
      <c r="S1978" t="s">
        <v>3980</v>
      </c>
      <c r="T1978" t="s">
        <v>4002</v>
      </c>
      <c r="U1978" t="s">
        <v>4002</v>
      </c>
      <c r="V1978" t="s">
        <v>4002</v>
      </c>
      <c r="W1978" t="s">
        <v>5956</v>
      </c>
      <c r="X1978">
        <v>5</v>
      </c>
      <c r="Y1978" t="s">
        <v>7878</v>
      </c>
      <c r="Z1978" t="s">
        <v>9876</v>
      </c>
      <c r="AA1978">
        <v>1.1225805758598</v>
      </c>
      <c r="AB1978" t="str">
        <f>HYPERLINK("Melting_Curves/meltCurve_Q9Y4E8_USP15.pdf", "Melting_Curves/meltCurve_Q9Y4E8_USP15.pdf")</f>
        <v>Melting_Curves/meltCurve_Q9Y4E8_USP15.pdf</v>
      </c>
    </row>
    <row r="1979" spans="1:28" x14ac:dyDescent="0.25">
      <c r="A1979" t="s">
        <v>1983</v>
      </c>
      <c r="B1979">
        <v>1</v>
      </c>
      <c r="C1979">
        <v>0.93999265515974995</v>
      </c>
      <c r="D1979">
        <v>1.05383767903048</v>
      </c>
      <c r="E1979">
        <v>1.10774880646346</v>
      </c>
      <c r="F1979">
        <v>1.01424899008447</v>
      </c>
      <c r="G1979">
        <v>1.0347410943812001</v>
      </c>
      <c r="H1979">
        <v>0.80767535806096202</v>
      </c>
      <c r="I1979">
        <v>1.09823723834007</v>
      </c>
      <c r="J1979">
        <v>0.821042967315461</v>
      </c>
      <c r="K1979">
        <v>0.85886889460154203</v>
      </c>
      <c r="L1979">
        <v>1027.48422542399</v>
      </c>
      <c r="M1979">
        <v>14.6145132503356</v>
      </c>
      <c r="O1979">
        <v>69.028722660758604</v>
      </c>
      <c r="P1979">
        <v>-1.70554531151231E-2</v>
      </c>
      <c r="Q1979">
        <v>0.67780394462955895</v>
      </c>
      <c r="R1979">
        <v>0.30037511395303501</v>
      </c>
      <c r="S1979" t="s">
        <v>3981</v>
      </c>
      <c r="T1979" t="s">
        <v>4002</v>
      </c>
      <c r="U1979" t="s">
        <v>4002</v>
      </c>
      <c r="V1979" t="s">
        <v>4002</v>
      </c>
      <c r="W1979" t="s">
        <v>5957</v>
      </c>
      <c r="X1979">
        <v>4</v>
      </c>
      <c r="Y1979" t="s">
        <v>7879</v>
      </c>
      <c r="Z1979" t="s">
        <v>9877</v>
      </c>
      <c r="AA1979">
        <v>0.97059218700902117</v>
      </c>
      <c r="AB1979" t="str">
        <f>HYPERLINK("Melting_Curves/meltCurve_Q9Y4K1_AIM1.pdf", "Melting_Curves/meltCurve_Q9Y4K1_AIM1.pdf")</f>
        <v>Melting_Curves/meltCurve_Q9Y4K1_AIM1.pdf</v>
      </c>
    </row>
    <row r="1980" spans="1:28" x14ac:dyDescent="0.25">
      <c r="A1980" t="s">
        <v>1984</v>
      </c>
      <c r="B1980">
        <v>1</v>
      </c>
      <c r="C1980">
        <v>0.87230911537167899</v>
      </c>
      <c r="D1980">
        <v>1.03272508128714</v>
      </c>
      <c r="E1980">
        <v>1.03474324475838</v>
      </c>
      <c r="F1980">
        <v>1.03967653324364</v>
      </c>
      <c r="G1980">
        <v>1.1592947639869899</v>
      </c>
      <c r="H1980">
        <v>0.83612232313039603</v>
      </c>
      <c r="I1980">
        <v>1.1427290054938899</v>
      </c>
      <c r="J1980">
        <v>0.94402399372126899</v>
      </c>
      <c r="K1980">
        <v>0.97473091153716795</v>
      </c>
      <c r="L1980">
        <v>2202.4653714118799</v>
      </c>
      <c r="M1980">
        <v>31.5922863256441</v>
      </c>
      <c r="O1980">
        <v>69.437762450992693</v>
      </c>
      <c r="P1980">
        <v>-6.0915049125710302E-3</v>
      </c>
      <c r="Q1980">
        <v>0.94644539555005103</v>
      </c>
      <c r="R1980">
        <v>1.0074002752512501E-2</v>
      </c>
      <c r="S1980" t="s">
        <v>3982</v>
      </c>
      <c r="T1980" t="s">
        <v>4002</v>
      </c>
      <c r="U1980" t="s">
        <v>4002</v>
      </c>
      <c r="V1980" t="s">
        <v>4002</v>
      </c>
      <c r="W1980" t="s">
        <v>5958</v>
      </c>
      <c r="X1980">
        <v>2</v>
      </c>
      <c r="Y1980" t="s">
        <v>7880</v>
      </c>
      <c r="Z1980" t="s">
        <v>9878</v>
      </c>
      <c r="AA1980">
        <v>0.9971933807284965</v>
      </c>
      <c r="AB1980" t="str">
        <f>HYPERLINK("Melting_Curves/meltCurve_Q9Y5F9_2_PCDHGB6.pdf", "Melting_Curves/meltCurve_Q9Y5F9_2_PCDHGB6.pdf")</f>
        <v>Melting_Curves/meltCurve_Q9Y5F9_2_PCDHGB6.pdf</v>
      </c>
    </row>
    <row r="1981" spans="1:28" x14ac:dyDescent="0.25">
      <c r="A1981" t="s">
        <v>1985</v>
      </c>
      <c r="B1981">
        <v>1</v>
      </c>
      <c r="C1981">
        <v>0.96096904441453601</v>
      </c>
      <c r="D1981">
        <v>1.10412333292549</v>
      </c>
      <c r="E1981">
        <v>1.0826501896488401</v>
      </c>
      <c r="F1981">
        <v>1.1749051755781199</v>
      </c>
      <c r="G1981">
        <v>1.01657897956687</v>
      </c>
      <c r="H1981">
        <v>0.78019087238468099</v>
      </c>
      <c r="I1981">
        <v>1.1327541906276799</v>
      </c>
      <c r="J1981">
        <v>0.94916187446470102</v>
      </c>
      <c r="K1981">
        <v>0.96543496879970603</v>
      </c>
      <c r="L1981">
        <v>11084.655214886499</v>
      </c>
      <c r="M1981">
        <v>250</v>
      </c>
      <c r="O1981">
        <v>44.335783663396001</v>
      </c>
      <c r="P1981">
        <v>3.6261685377230901E-2</v>
      </c>
      <c r="Q1981">
        <v>1.02572304367504</v>
      </c>
      <c r="R1981">
        <v>2.1470514915169599E-2</v>
      </c>
      <c r="S1981" t="s">
        <v>3983</v>
      </c>
      <c r="T1981" t="s">
        <v>4002</v>
      </c>
      <c r="U1981" t="s">
        <v>4002</v>
      </c>
      <c r="V1981" t="s">
        <v>4002</v>
      </c>
      <c r="W1981" t="s">
        <v>5959</v>
      </c>
      <c r="X1981">
        <v>2</v>
      </c>
      <c r="Y1981" t="s">
        <v>7881</v>
      </c>
      <c r="Z1981" t="s">
        <v>9879</v>
      </c>
      <c r="AA1981">
        <v>1.022000957610693</v>
      </c>
      <c r="AB1981" t="str">
        <f>HYPERLINK("Melting_Curves/meltCurve_Q9Y5G0_2_PCDHGB5.pdf", "Melting_Curves/meltCurve_Q9Y5G0_2_PCDHGB5.pdf")</f>
        <v>Melting_Curves/meltCurve_Q9Y5G0_2_PCDHGB5.pdf</v>
      </c>
    </row>
    <row r="1982" spans="1:28" x14ac:dyDescent="0.25">
      <c r="A1982" t="s">
        <v>1986</v>
      </c>
      <c r="B1982">
        <v>1</v>
      </c>
      <c r="C1982">
        <v>1.0686599337351801</v>
      </c>
      <c r="D1982">
        <v>1.2267973334397799</v>
      </c>
      <c r="E1982">
        <v>1.07977725440102</v>
      </c>
      <c r="F1982">
        <v>0.80898966109137405</v>
      </c>
      <c r="G1982">
        <v>0.83210251087780895</v>
      </c>
      <c r="H1982">
        <v>0.72713664125184596</v>
      </c>
      <c r="I1982">
        <v>0.92772743603049801</v>
      </c>
      <c r="J1982">
        <v>0.986347850385214</v>
      </c>
      <c r="K1982">
        <v>0.83166340665043303</v>
      </c>
      <c r="L1982">
        <v>5373.4520474187402</v>
      </c>
      <c r="M1982">
        <v>104.132606586283</v>
      </c>
      <c r="O1982">
        <v>51.582989154580901</v>
      </c>
      <c r="P1982">
        <v>-7.4768005269712404E-2</v>
      </c>
      <c r="Q1982">
        <v>0.85185208956800595</v>
      </c>
      <c r="R1982">
        <v>0.49243231587925301</v>
      </c>
      <c r="S1982" t="s">
        <v>3984</v>
      </c>
      <c r="T1982" t="s">
        <v>4002</v>
      </c>
      <c r="U1982" t="s">
        <v>4002</v>
      </c>
      <c r="V1982" t="s">
        <v>4002</v>
      </c>
      <c r="W1982" t="s">
        <v>5960</v>
      </c>
      <c r="X1982">
        <v>1</v>
      </c>
      <c r="Y1982" t="s">
        <v>7882</v>
      </c>
      <c r="Z1982" t="s">
        <v>9880</v>
      </c>
      <c r="AA1982">
        <v>0.9092232962332204</v>
      </c>
      <c r="AB1982" t="str">
        <f>HYPERLINK("Melting_Curves/meltCurve_Q9Y5H7_2_PCDHA5.pdf", "Melting_Curves/meltCurve_Q9Y5H7_2_PCDHA5.pdf")</f>
        <v>Melting_Curves/meltCurve_Q9Y5H7_2_PCDHA5.pdf</v>
      </c>
    </row>
    <row r="1983" spans="1:28" x14ac:dyDescent="0.25">
      <c r="A1983" t="s">
        <v>1987</v>
      </c>
      <c r="B1983">
        <v>1</v>
      </c>
      <c r="C1983">
        <v>0.90880257412089205</v>
      </c>
      <c r="D1983">
        <v>1.2016547920018401</v>
      </c>
      <c r="E1983">
        <v>1.1489542633877301</v>
      </c>
      <c r="F1983">
        <v>1.1328889910365401</v>
      </c>
      <c r="G1983">
        <v>1.10027579866697</v>
      </c>
      <c r="H1983">
        <v>1.212801654792</v>
      </c>
      <c r="I1983">
        <v>1.3151919099057701</v>
      </c>
      <c r="J1983">
        <v>1.2098598023442899</v>
      </c>
      <c r="K1983">
        <v>1.1697770627441999</v>
      </c>
      <c r="L1983">
        <v>11139.871727976801</v>
      </c>
      <c r="M1983">
        <v>250</v>
      </c>
      <c r="O1983">
        <v>44.556635513011202</v>
      </c>
      <c r="P1983">
        <v>0.26151173333959998</v>
      </c>
      <c r="Q1983">
        <v>1.1864333270665099</v>
      </c>
      <c r="R1983">
        <v>0.68128632147914203</v>
      </c>
      <c r="S1983" t="s">
        <v>3985</v>
      </c>
      <c r="T1983" t="s">
        <v>4002</v>
      </c>
      <c r="U1983" t="s">
        <v>4002</v>
      </c>
      <c r="V1983" t="s">
        <v>4002</v>
      </c>
      <c r="W1983" t="s">
        <v>5961</v>
      </c>
      <c r="X1983">
        <v>2</v>
      </c>
      <c r="Y1983" t="s">
        <v>7883</v>
      </c>
      <c r="Z1983" t="s">
        <v>9881</v>
      </c>
      <c r="AA1983">
        <v>1.158084070598719</v>
      </c>
      <c r="AB1983" t="str">
        <f>HYPERLINK("Melting_Curves/meltCurve_Q9Y5K6_CD2AP.pdf", "Melting_Curves/meltCurve_Q9Y5K6_CD2AP.pdf")</f>
        <v>Melting_Curves/meltCurve_Q9Y5K6_CD2AP.pdf</v>
      </c>
    </row>
    <row r="1984" spans="1:28" x14ac:dyDescent="0.25">
      <c r="A1984" t="s">
        <v>1988</v>
      </c>
      <c r="B1984">
        <v>1</v>
      </c>
      <c r="C1984">
        <v>0.97555481394960797</v>
      </c>
      <c r="D1984">
        <v>1.07900884365093</v>
      </c>
      <c r="E1984">
        <v>1.0699983313866199</v>
      </c>
      <c r="F1984">
        <v>0.99340897713999698</v>
      </c>
      <c r="G1984">
        <v>0.98723510762556299</v>
      </c>
      <c r="H1984">
        <v>0.85591523444018003</v>
      </c>
      <c r="I1984">
        <v>1.0330385449691299</v>
      </c>
      <c r="J1984">
        <v>1.12698147839146</v>
      </c>
      <c r="K1984">
        <v>1.03162022359419</v>
      </c>
      <c r="L1984">
        <v>15000</v>
      </c>
      <c r="M1984">
        <v>234.03853843162</v>
      </c>
      <c r="O1984">
        <v>64.087328630833895</v>
      </c>
      <c r="P1984">
        <v>7.2398526749788403E-2</v>
      </c>
      <c r="Q1984">
        <v>1.0793002417253701</v>
      </c>
      <c r="R1984">
        <v>0.23327963231302701</v>
      </c>
      <c r="S1984" t="s">
        <v>3986</v>
      </c>
      <c r="T1984" t="s">
        <v>4002</v>
      </c>
      <c r="U1984" t="s">
        <v>4002</v>
      </c>
      <c r="V1984" t="s">
        <v>4002</v>
      </c>
      <c r="W1984" t="s">
        <v>5962</v>
      </c>
      <c r="X1984">
        <v>1</v>
      </c>
      <c r="Y1984" t="s">
        <v>7884</v>
      </c>
      <c r="Z1984" t="s">
        <v>9882</v>
      </c>
      <c r="AA1984">
        <v>1.015606660220493</v>
      </c>
      <c r="AB1984" t="str">
        <f>HYPERLINK("Melting_Curves/meltCurve_Q9Y5P6_GMPPB.pdf", "Melting_Curves/meltCurve_Q9Y5P6_GMPPB.pdf")</f>
        <v>Melting_Curves/meltCurve_Q9Y5P6_GMPPB.pdf</v>
      </c>
    </row>
    <row r="1985" spans="1:28" x14ac:dyDescent="0.25">
      <c r="A1985" t="s">
        <v>1989</v>
      </c>
      <c r="B1985">
        <v>1</v>
      </c>
      <c r="C1985">
        <v>1.2802604838181</v>
      </c>
      <c r="D1985">
        <v>1.78569087214003</v>
      </c>
      <c r="E1985">
        <v>2.03374052140469</v>
      </c>
      <c r="F1985">
        <v>2.3924302353532498</v>
      </c>
      <c r="G1985">
        <v>2.7009899259194499</v>
      </c>
      <c r="H1985">
        <v>1.9665217106269499</v>
      </c>
      <c r="I1985">
        <v>3.2936343174318701</v>
      </c>
      <c r="J1985">
        <v>2.9999344419920901</v>
      </c>
      <c r="K1985">
        <v>2.6221017897336201</v>
      </c>
      <c r="S1985" t="s">
        <v>3987</v>
      </c>
      <c r="T1985" t="s">
        <v>4002</v>
      </c>
      <c r="U1985" t="s">
        <v>4003</v>
      </c>
      <c r="V1985" t="s">
        <v>4002</v>
      </c>
      <c r="W1985" t="s">
        <v>5963</v>
      </c>
      <c r="X1985">
        <v>2</v>
      </c>
      <c r="Y1985" t="s">
        <v>7885</v>
      </c>
      <c r="Z1985" t="s">
        <v>9883</v>
      </c>
      <c r="AB1985" t="str">
        <f>HYPERLINK("Melting_Curves/meltCurve_Q9Y5Y6_ST14.pdf", "Melting_Curves/meltCurve_Q9Y5Y6_ST14.pdf")</f>
        <v>Melting_Curves/meltCurve_Q9Y5Y6_ST14.pdf</v>
      </c>
    </row>
    <row r="1986" spans="1:28" x14ac:dyDescent="0.25">
      <c r="A1986" t="s">
        <v>1990</v>
      </c>
      <c r="B1986">
        <v>1</v>
      </c>
      <c r="C1986">
        <v>0.900821188989128</v>
      </c>
      <c r="D1986">
        <v>1.0005783021050201</v>
      </c>
      <c r="E1986">
        <v>1.0708420078649099</v>
      </c>
      <c r="F1986">
        <v>1.0377631274577801</v>
      </c>
      <c r="G1986">
        <v>1.2420772611612301</v>
      </c>
      <c r="H1986">
        <v>1.2450266018968299</v>
      </c>
      <c r="I1986">
        <v>1.52521397177886</v>
      </c>
      <c r="J1986">
        <v>1.24149895905621</v>
      </c>
      <c r="K1986">
        <v>1.13607448531113</v>
      </c>
      <c r="L1986">
        <v>2389.5220272684101</v>
      </c>
      <c r="M1986">
        <v>43.469037208746599</v>
      </c>
      <c r="O1986">
        <v>54.854710688230398</v>
      </c>
      <c r="P1986">
        <v>5.7204622157620101E-2</v>
      </c>
      <c r="Q1986">
        <v>1.28875157981605</v>
      </c>
      <c r="R1986">
        <v>0.66474213388679604</v>
      </c>
      <c r="S1986" t="s">
        <v>3988</v>
      </c>
      <c r="T1986" t="s">
        <v>4002</v>
      </c>
      <c r="U1986" t="s">
        <v>4002</v>
      </c>
      <c r="V1986" t="s">
        <v>4002</v>
      </c>
      <c r="W1986" t="s">
        <v>5964</v>
      </c>
      <c r="X1986">
        <v>10</v>
      </c>
      <c r="Y1986" t="s">
        <v>7886</v>
      </c>
      <c r="Z1986" t="s">
        <v>9884</v>
      </c>
      <c r="AA1986">
        <v>1.143731918280539</v>
      </c>
      <c r="AB1986" t="str">
        <f>HYPERLINK("Melting_Curves/meltCurve_Q9Y5Z4_HEBP2.pdf", "Melting_Curves/meltCurve_Q9Y5Z4_HEBP2.pdf")</f>
        <v>Melting_Curves/meltCurve_Q9Y5Z4_HEBP2.pdf</v>
      </c>
    </row>
    <row r="1987" spans="1:28" x14ac:dyDescent="0.25">
      <c r="A1987" t="s">
        <v>1991</v>
      </c>
      <c r="B1987">
        <v>1</v>
      </c>
      <c r="C1987">
        <v>0.84245596119479205</v>
      </c>
      <c r="D1987">
        <v>1.08688622244915</v>
      </c>
      <c r="E1987">
        <v>1.1941111394774899</v>
      </c>
      <c r="F1987">
        <v>1.28959237511701</v>
      </c>
      <c r="G1987">
        <v>1.4514509403455</v>
      </c>
      <c r="H1987">
        <v>0.65891413496723705</v>
      </c>
      <c r="I1987">
        <v>1.1295208918389901</v>
      </c>
      <c r="J1987">
        <v>0.77455535699089395</v>
      </c>
      <c r="K1987">
        <v>0.92468726065866702</v>
      </c>
      <c r="L1987">
        <v>2442.7908214930699</v>
      </c>
      <c r="M1987">
        <v>40.7483196883963</v>
      </c>
      <c r="O1987">
        <v>59.804419591683697</v>
      </c>
      <c r="P1987">
        <v>-1.8312959311485199E-2</v>
      </c>
      <c r="Q1987">
        <v>0.89249188153367198</v>
      </c>
      <c r="R1987">
        <v>4.8349257918629401E-2</v>
      </c>
      <c r="S1987" t="s">
        <v>3989</v>
      </c>
      <c r="T1987" t="s">
        <v>4002</v>
      </c>
      <c r="U1987" t="s">
        <v>4002</v>
      </c>
      <c r="V1987" t="s">
        <v>4002</v>
      </c>
      <c r="W1987" t="s">
        <v>5965</v>
      </c>
      <c r="X1987">
        <v>1</v>
      </c>
      <c r="Y1987" t="s">
        <v>7887</v>
      </c>
      <c r="Z1987" t="s">
        <v>9885</v>
      </c>
      <c r="AA1987">
        <v>0.96438586067162579</v>
      </c>
      <c r="AB1987" t="str">
        <f>HYPERLINK("Melting_Curves/meltCurve_Q9Y613_FHOD1.pdf", "Melting_Curves/meltCurve_Q9Y613_FHOD1.pdf")</f>
        <v>Melting_Curves/meltCurve_Q9Y613_FHOD1.pdf</v>
      </c>
    </row>
    <row r="1988" spans="1:28" x14ac:dyDescent="0.25">
      <c r="A1988" t="s">
        <v>1992</v>
      </c>
      <c r="B1988">
        <v>1</v>
      </c>
      <c r="C1988">
        <v>0.93531174862488098</v>
      </c>
      <c r="D1988">
        <v>0.94581864892460699</v>
      </c>
      <c r="E1988">
        <v>1.02170547742169</v>
      </c>
      <c r="F1988">
        <v>0.92579295807120998</v>
      </c>
      <c r="G1988">
        <v>1.0540825401007901</v>
      </c>
      <c r="H1988">
        <v>0.98017193109581402</v>
      </c>
      <c r="I1988">
        <v>1.11778268172985</v>
      </c>
      <c r="J1988">
        <v>1.00638977635783</v>
      </c>
      <c r="K1988">
        <v>0.99769441059253605</v>
      </c>
      <c r="L1988">
        <v>5888.70064086208</v>
      </c>
      <c r="M1988">
        <v>94.955686650577107</v>
      </c>
      <c r="O1988">
        <v>61.987772542060398</v>
      </c>
      <c r="P1988">
        <v>1.47169215657478E-2</v>
      </c>
      <c r="Q1988">
        <v>1.0384292485962801</v>
      </c>
      <c r="R1988">
        <v>0.141996640175514</v>
      </c>
      <c r="S1988" t="s">
        <v>3990</v>
      </c>
      <c r="T1988" t="s">
        <v>4002</v>
      </c>
      <c r="U1988" t="s">
        <v>4002</v>
      </c>
      <c r="V1988" t="s">
        <v>4002</v>
      </c>
      <c r="W1988" t="s">
        <v>5966</v>
      </c>
      <c r="X1988">
        <v>3</v>
      </c>
      <c r="Y1988" t="s">
        <v>7888</v>
      </c>
      <c r="Z1988" t="s">
        <v>9886</v>
      </c>
      <c r="AA1988">
        <v>1.01019925669501</v>
      </c>
      <c r="AB1988" t="str">
        <f>HYPERLINK("Melting_Curves/meltCurve_Q9Y653_2_GPR56.pdf", "Melting_Curves/meltCurve_Q9Y653_2_GPR56.pdf")</f>
        <v>Melting_Curves/meltCurve_Q9Y653_2_GPR56.pdf</v>
      </c>
    </row>
    <row r="1989" spans="1:28" x14ac:dyDescent="0.25">
      <c r="A1989" t="s">
        <v>1993</v>
      </c>
      <c r="B1989">
        <v>1</v>
      </c>
      <c r="C1989">
        <v>0.70535931297091503</v>
      </c>
      <c r="D1989">
        <v>0.87654946123308797</v>
      </c>
      <c r="E1989">
        <v>0.97304139998379702</v>
      </c>
      <c r="F1989">
        <v>0.896459531718383</v>
      </c>
      <c r="G1989">
        <v>0.88094466499230295</v>
      </c>
      <c r="H1989">
        <v>0.73707769586000205</v>
      </c>
      <c r="I1989">
        <v>1.00686623997407</v>
      </c>
      <c r="J1989">
        <v>0.78929352669529296</v>
      </c>
      <c r="K1989">
        <v>0.71408895730373501</v>
      </c>
      <c r="L1989">
        <v>90.853269964587199</v>
      </c>
      <c r="M1989">
        <v>1.0000000000000001E-5</v>
      </c>
      <c r="Q1989">
        <v>0.10644453466408001</v>
      </c>
      <c r="R1989">
        <v>8.9455206069473006E-2</v>
      </c>
      <c r="S1989" t="s">
        <v>3991</v>
      </c>
      <c r="T1989" t="s">
        <v>4002</v>
      </c>
      <c r="U1989" t="s">
        <v>4002</v>
      </c>
      <c r="V1989" t="s">
        <v>4002</v>
      </c>
      <c r="W1989" t="s">
        <v>5967</v>
      </c>
      <c r="X1989">
        <v>2</v>
      </c>
      <c r="Y1989" t="s">
        <v>7889</v>
      </c>
      <c r="Z1989" t="s">
        <v>9887</v>
      </c>
      <c r="AA1989">
        <v>0.85835777730924057</v>
      </c>
      <c r="AB1989" t="str">
        <f>HYPERLINK("Melting_Curves/meltCurve_Q9Y662_HS3ST3B1.pdf", "Melting_Curves/meltCurve_Q9Y662_HS3ST3B1.pdf")</f>
        <v>Melting_Curves/meltCurve_Q9Y662_HS3ST3B1.pdf</v>
      </c>
    </row>
    <row r="1990" spans="1:28" x14ac:dyDescent="0.25">
      <c r="A1990" t="s">
        <v>1994</v>
      </c>
      <c r="B1990">
        <v>1</v>
      </c>
      <c r="C1990">
        <v>0.87318008629608102</v>
      </c>
      <c r="D1990">
        <v>0.87456788877393998</v>
      </c>
      <c r="E1990">
        <v>1.0273018596553201</v>
      </c>
      <c r="F1990">
        <v>0.91651737276374601</v>
      </c>
      <c r="G1990">
        <v>0.90509954328682096</v>
      </c>
      <c r="H1990">
        <v>0.89693674143978197</v>
      </c>
      <c r="I1990">
        <v>1.1179001286871399</v>
      </c>
      <c r="J1990">
        <v>1.6871893214907501</v>
      </c>
      <c r="K1990">
        <v>1.02654487648558</v>
      </c>
      <c r="L1990">
        <v>15000</v>
      </c>
      <c r="M1990">
        <v>233.66959776868799</v>
      </c>
      <c r="O1990">
        <v>64.188500018209297</v>
      </c>
      <c r="P1990">
        <v>0.32476986146446402</v>
      </c>
      <c r="Q1990">
        <v>1.3568541361419599</v>
      </c>
      <c r="R1990">
        <v>0.48190064665079801</v>
      </c>
      <c r="S1990" t="s">
        <v>3992</v>
      </c>
      <c r="T1990" t="s">
        <v>4002</v>
      </c>
      <c r="U1990" t="s">
        <v>4002</v>
      </c>
      <c r="V1990" t="s">
        <v>4002</v>
      </c>
      <c r="W1990" t="s">
        <v>5968</v>
      </c>
      <c r="X1990">
        <v>3</v>
      </c>
      <c r="Y1990" t="s">
        <v>7890</v>
      </c>
      <c r="Z1990" t="s">
        <v>9888</v>
      </c>
      <c r="AA1990">
        <v>1.0690266275083311</v>
      </c>
      <c r="AB1990" t="str">
        <f>HYPERLINK("Melting_Curves/meltCurve_Q9Y678_COPG1.pdf", "Melting_Curves/meltCurve_Q9Y678_COPG1.pdf")</f>
        <v>Melting_Curves/meltCurve_Q9Y678_COPG1.pdf</v>
      </c>
    </row>
    <row r="1991" spans="1:28" x14ac:dyDescent="0.25">
      <c r="A1991" t="s">
        <v>1995</v>
      </c>
      <c r="B1991">
        <v>1</v>
      </c>
      <c r="C1991">
        <v>0.78771973188711297</v>
      </c>
      <c r="D1991">
        <v>0.86505663230440399</v>
      </c>
      <c r="E1991">
        <v>0.98862991988600801</v>
      </c>
      <c r="F1991">
        <v>0.99289006499265797</v>
      </c>
      <c r="G1991">
        <v>0.903863210084767</v>
      </c>
      <c r="H1991">
        <v>0.80973290489553196</v>
      </c>
      <c r="I1991">
        <v>1.0295447606031101</v>
      </c>
      <c r="J1991">
        <v>0.89608444683542499</v>
      </c>
      <c r="K1991">
        <v>0.90083894325137803</v>
      </c>
      <c r="L1991">
        <v>10227.516507652999</v>
      </c>
      <c r="M1991">
        <v>250</v>
      </c>
      <c r="O1991">
        <v>40.907459936945401</v>
      </c>
      <c r="P1991">
        <v>-0.14016024005399</v>
      </c>
      <c r="Q1991">
        <v>0.90826243615050295</v>
      </c>
      <c r="R1991">
        <v>0.121703698416685</v>
      </c>
      <c r="S1991" t="s">
        <v>3993</v>
      </c>
      <c r="T1991" t="s">
        <v>4002</v>
      </c>
      <c r="U1991" t="s">
        <v>4002</v>
      </c>
      <c r="V1991" t="s">
        <v>4002</v>
      </c>
      <c r="W1991" t="s">
        <v>5969</v>
      </c>
      <c r="X1991">
        <v>2</v>
      </c>
      <c r="Y1991" t="s">
        <v>7891</v>
      </c>
      <c r="Z1991" t="s">
        <v>9889</v>
      </c>
      <c r="AA1991">
        <v>0.91105353547408918</v>
      </c>
      <c r="AB1991" t="str">
        <f>HYPERLINK("Melting_Curves/meltCurve_Q9Y6A5_TACC3.pdf", "Melting_Curves/meltCurve_Q9Y6A5_TACC3.pdf")</f>
        <v>Melting_Curves/meltCurve_Q9Y6A5_TACC3.pdf</v>
      </c>
    </row>
    <row r="1992" spans="1:28" x14ac:dyDescent="0.25">
      <c r="A1992" t="s">
        <v>1996</v>
      </c>
      <c r="B1992">
        <v>1</v>
      </c>
      <c r="C1992">
        <v>0.96423558766959505</v>
      </c>
      <c r="D1992">
        <v>0.99480168425430204</v>
      </c>
      <c r="E1992">
        <v>1.17611893746426</v>
      </c>
      <c r="F1992">
        <v>1.02500389873681</v>
      </c>
      <c r="G1992">
        <v>1.05333471955087</v>
      </c>
      <c r="H1992">
        <v>1.1593803607631099</v>
      </c>
      <c r="I1992">
        <v>0.93611269948536702</v>
      </c>
      <c r="J1992">
        <v>1.1525185839787899</v>
      </c>
      <c r="K1992">
        <v>1.0181941051099399</v>
      </c>
      <c r="L1992">
        <v>11910.6836750931</v>
      </c>
      <c r="M1992">
        <v>250</v>
      </c>
      <c r="O1992">
        <v>47.639685878468804</v>
      </c>
      <c r="P1992">
        <v>9.7581909114566504E-2</v>
      </c>
      <c r="Q1992">
        <v>1.0743803438795601</v>
      </c>
      <c r="R1992">
        <v>0.23862592374752101</v>
      </c>
      <c r="S1992" t="s">
        <v>3994</v>
      </c>
      <c r="T1992" t="s">
        <v>4002</v>
      </c>
      <c r="U1992" t="s">
        <v>4002</v>
      </c>
      <c r="V1992" t="s">
        <v>4002</v>
      </c>
      <c r="W1992" t="s">
        <v>5970</v>
      </c>
      <c r="X1992">
        <v>2</v>
      </c>
      <c r="Y1992" t="s">
        <v>7892</v>
      </c>
      <c r="Z1992" t="s">
        <v>9890</v>
      </c>
      <c r="AA1992">
        <v>1.055425150264599</v>
      </c>
      <c r="AB1992" t="str">
        <f>HYPERLINK("Melting_Curves/meltCurve_Q9Y6H1_CHCHD2.pdf", "Melting_Curves/meltCurve_Q9Y6H1_CHCHD2.pdf")</f>
        <v>Melting_Curves/meltCurve_Q9Y6H1_CHCHD2.pdf</v>
      </c>
    </row>
    <row r="1993" spans="1:28" x14ac:dyDescent="0.25">
      <c r="A1993" t="s">
        <v>1997</v>
      </c>
      <c r="B1993">
        <v>1</v>
      </c>
      <c r="C1993">
        <v>0.96735106024907402</v>
      </c>
      <c r="D1993">
        <v>0.94648266576910101</v>
      </c>
      <c r="E1993">
        <v>0.92837428475260897</v>
      </c>
      <c r="F1993">
        <v>1.06253786603837</v>
      </c>
      <c r="G1993">
        <v>1.22699427802087</v>
      </c>
      <c r="H1993">
        <v>1.3864692022887899</v>
      </c>
      <c r="I1993">
        <v>1.25839784584315</v>
      </c>
      <c r="J1993">
        <v>5.6492763379333599</v>
      </c>
      <c r="K1993">
        <v>1.19027263547627</v>
      </c>
      <c r="L1993">
        <v>2821.0199344422299</v>
      </c>
      <c r="M1993">
        <v>49.2668231956009</v>
      </c>
      <c r="O1993">
        <v>57.1659287538562</v>
      </c>
      <c r="P1993">
        <v>0.107727778043002</v>
      </c>
      <c r="Q1993">
        <v>1.5</v>
      </c>
      <c r="R1993">
        <v>7.3792937128300803E-2</v>
      </c>
      <c r="S1993" t="s">
        <v>3995</v>
      </c>
      <c r="T1993" t="s">
        <v>4002</v>
      </c>
      <c r="U1993" t="s">
        <v>4002</v>
      </c>
      <c r="V1993" t="s">
        <v>4002</v>
      </c>
      <c r="W1993" t="s">
        <v>5971</v>
      </c>
      <c r="X1993">
        <v>2</v>
      </c>
      <c r="Y1993" t="s">
        <v>7893</v>
      </c>
      <c r="Z1993" t="s">
        <v>9891</v>
      </c>
      <c r="AA1993">
        <v>1.211035701244747</v>
      </c>
      <c r="AB1993" t="str">
        <f>HYPERLINK("Melting_Curves/meltCurve_Q9Y6N5_SQRDL.pdf", "Melting_Curves/meltCurve_Q9Y6N5_SQRDL.pdf")</f>
        <v>Melting_Curves/meltCurve_Q9Y6N5_SQRDL.pdf</v>
      </c>
    </row>
    <row r="1994" spans="1:28" x14ac:dyDescent="0.25">
      <c r="A1994" t="s">
        <v>1998</v>
      </c>
      <c r="B1994">
        <v>1</v>
      </c>
      <c r="C1994">
        <v>0.94362580933244</v>
      </c>
      <c r="D1994">
        <v>0.96332886805090401</v>
      </c>
      <c r="E1994">
        <v>1.1707970529136</v>
      </c>
      <c r="F1994">
        <v>1.28521991515963</v>
      </c>
      <c r="G1994">
        <v>1.24854878321054</v>
      </c>
      <c r="H1994">
        <v>0.73961821835231101</v>
      </c>
      <c r="I1994">
        <v>1.5310895289127</v>
      </c>
      <c r="J1994">
        <v>1.48370171913374</v>
      </c>
      <c r="K1994">
        <v>1.03940611743693</v>
      </c>
      <c r="L1994">
        <v>12439.0420726707</v>
      </c>
      <c r="M1994">
        <v>250</v>
      </c>
      <c r="O1994">
        <v>49.752984240763404</v>
      </c>
      <c r="P1994">
        <v>0.27795323085250001</v>
      </c>
      <c r="Q1994">
        <v>1.2212640431030899</v>
      </c>
      <c r="R1994">
        <v>0.22210289637994299</v>
      </c>
      <c r="S1994" t="s">
        <v>3996</v>
      </c>
      <c r="T1994" t="s">
        <v>4002</v>
      </c>
      <c r="U1994" t="s">
        <v>4002</v>
      </c>
      <c r="V1994" t="s">
        <v>4002</v>
      </c>
      <c r="W1994" t="s">
        <v>5972</v>
      </c>
      <c r="X1994">
        <v>1</v>
      </c>
      <c r="Y1994" t="s">
        <v>7894</v>
      </c>
      <c r="Z1994" t="s">
        <v>9892</v>
      </c>
      <c r="AA1994">
        <v>1.1492884139993</v>
      </c>
      <c r="AB1994" t="str">
        <f>HYPERLINK("Melting_Curves/meltCurve_Q9Y6R7_FCGBP.pdf", "Melting_Curves/meltCurve_Q9Y6R7_FCGBP.pdf")</f>
        <v>Melting_Curves/meltCurve_Q9Y6R7_FCGBP.pdf</v>
      </c>
    </row>
    <row r="1995" spans="1:28" x14ac:dyDescent="0.25">
      <c r="A1995" t="s">
        <v>1999</v>
      </c>
      <c r="B1995">
        <v>1</v>
      </c>
      <c r="C1995">
        <v>0.89753527523769105</v>
      </c>
      <c r="D1995">
        <v>0.98619269666323495</v>
      </c>
      <c r="E1995">
        <v>0.90819354448010703</v>
      </c>
      <c r="F1995">
        <v>0.92405983164779304</v>
      </c>
      <c r="G1995">
        <v>0.92811724096166703</v>
      </c>
      <c r="H1995">
        <v>0.809422878943862</v>
      </c>
      <c r="I1995">
        <v>0.89438624114334198</v>
      </c>
      <c r="J1995">
        <v>0.98903893901774398</v>
      </c>
      <c r="K1995">
        <v>0.91261430388178999</v>
      </c>
      <c r="L1995">
        <v>549.13181488069097</v>
      </c>
      <c r="M1995">
        <v>12.7845717041734</v>
      </c>
      <c r="O1995">
        <v>41.942470701557703</v>
      </c>
      <c r="P1995">
        <v>-7.04299930953395E-3</v>
      </c>
      <c r="Q1995">
        <v>0.90759327202182305</v>
      </c>
      <c r="R1995">
        <v>0.18044963279331999</v>
      </c>
      <c r="S1995" t="s">
        <v>3997</v>
      </c>
      <c r="T1995" t="s">
        <v>4002</v>
      </c>
      <c r="U1995" t="s">
        <v>4002</v>
      </c>
      <c r="V1995" t="s">
        <v>4002</v>
      </c>
      <c r="W1995" t="s">
        <v>5973</v>
      </c>
      <c r="X1995">
        <v>2</v>
      </c>
      <c r="Y1995" t="s">
        <v>7895</v>
      </c>
      <c r="Z1995" t="s">
        <v>9893</v>
      </c>
      <c r="AA1995">
        <v>0.92192417125685655</v>
      </c>
      <c r="AB1995" t="str">
        <f>HYPERLINK("Melting_Curves/meltCurve_Q9Y6W5_WASF2.pdf", "Melting_Curves/meltCurve_Q9Y6W5_WASF2.pdf")</f>
        <v>Melting_Curves/meltCurve_Q9Y6W5_WASF2.pdf</v>
      </c>
    </row>
    <row r="1996" spans="1:28" x14ac:dyDescent="0.25">
      <c r="A1996" t="s">
        <v>2000</v>
      </c>
      <c r="B1996">
        <v>1</v>
      </c>
      <c r="C1996">
        <v>0.76712328767123295</v>
      </c>
      <c r="D1996">
        <v>0.93500360490266798</v>
      </c>
      <c r="E1996">
        <v>0.78013698630136996</v>
      </c>
      <c r="F1996">
        <v>0.63496755587599096</v>
      </c>
      <c r="G1996">
        <v>0.87988464311463599</v>
      </c>
      <c r="H1996">
        <v>0.82613554434030301</v>
      </c>
      <c r="I1996">
        <v>1.0533886085075701</v>
      </c>
      <c r="J1996">
        <v>1.1528118240807499</v>
      </c>
      <c r="K1996">
        <v>1.0759192501802499</v>
      </c>
      <c r="L1996">
        <v>10227.309788591099</v>
      </c>
      <c r="M1996">
        <v>250</v>
      </c>
      <c r="O1996">
        <v>40.906634632819099</v>
      </c>
      <c r="P1996">
        <v>-0.15187490341874299</v>
      </c>
      <c r="Q1996">
        <v>0.90059697356347101</v>
      </c>
      <c r="R1996">
        <v>3.7579837950497803E-2</v>
      </c>
      <c r="S1996" t="s">
        <v>3998</v>
      </c>
      <c r="T1996" t="s">
        <v>4002</v>
      </c>
      <c r="U1996" t="s">
        <v>4002</v>
      </c>
      <c r="V1996" t="s">
        <v>4002</v>
      </c>
      <c r="W1996" t="s">
        <v>5974</v>
      </c>
      <c r="X1996">
        <v>1</v>
      </c>
      <c r="Y1996" t="s">
        <v>7896</v>
      </c>
      <c r="Z1996" t="s">
        <v>9894</v>
      </c>
      <c r="AA1996">
        <v>0.90361856233020832</v>
      </c>
      <c r="AB1996" t="str">
        <f>HYPERLINK("Melting_Curves/meltCurve_R4GMN6_C1R.pdf", "Melting_Curves/meltCurve_R4GMN6_C1R.pdf")</f>
        <v>Melting_Curves/meltCurve_R4GMN6_C1R.pdf</v>
      </c>
    </row>
    <row r="1997" spans="1:28" x14ac:dyDescent="0.25">
      <c r="A1997" t="s">
        <v>2001</v>
      </c>
      <c r="B1997">
        <v>1</v>
      </c>
      <c r="C1997">
        <v>0.91513236873696802</v>
      </c>
      <c r="D1997">
        <v>1.02788905035698</v>
      </c>
      <c r="E1997">
        <v>1.0183989385227801</v>
      </c>
      <c r="F1997">
        <v>0.91561256081379905</v>
      </c>
      <c r="G1997">
        <v>0.89962721930877598</v>
      </c>
      <c r="H1997">
        <v>0.73211600429645596</v>
      </c>
      <c r="I1997">
        <v>0.97741833575535497</v>
      </c>
      <c r="J1997">
        <v>0.71870853604599705</v>
      </c>
      <c r="K1997">
        <v>0.89610159853415094</v>
      </c>
      <c r="L1997">
        <v>1764.48850463544</v>
      </c>
      <c r="M1997">
        <v>32.794641831781099</v>
      </c>
      <c r="O1997">
        <v>53.605291680321201</v>
      </c>
      <c r="P1997">
        <v>-2.4867133045850899E-2</v>
      </c>
      <c r="Q1997">
        <v>0.83741199747948902</v>
      </c>
      <c r="R1997">
        <v>0.44036630275128402</v>
      </c>
      <c r="S1997" t="s">
        <v>3999</v>
      </c>
      <c r="T1997" t="s">
        <v>4002</v>
      </c>
      <c r="U1997" t="s">
        <v>4002</v>
      </c>
      <c r="V1997" t="s">
        <v>4002</v>
      </c>
      <c r="W1997" t="s">
        <v>5975</v>
      </c>
      <c r="X1997">
        <v>2</v>
      </c>
      <c r="Y1997" t="s">
        <v>7897</v>
      </c>
      <c r="Z1997" t="s">
        <v>9895</v>
      </c>
      <c r="AA1997">
        <v>0.91312061731899385</v>
      </c>
      <c r="AB1997" t="str">
        <f>HYPERLINK("Melting_Curves/meltCurve_R4GMX5_BSG.pdf", "Melting_Curves/meltCurve_R4GMX5_BSG.pdf")</f>
        <v>Melting_Curves/meltCurve_R4GMX5_BSG.pdf</v>
      </c>
    </row>
    <row r="1998" spans="1:28" x14ac:dyDescent="0.25">
      <c r="A1998" t="s">
        <v>2002</v>
      </c>
      <c r="B1998">
        <v>1</v>
      </c>
      <c r="C1998">
        <v>0.84419181179789804</v>
      </c>
      <c r="D1998">
        <v>0.93512919186366095</v>
      </c>
      <c r="E1998">
        <v>0.96027259431369105</v>
      </c>
      <c r="F1998">
        <v>0.86480234837719205</v>
      </c>
      <c r="G1998">
        <v>0.89733110666237903</v>
      </c>
      <c r="H1998">
        <v>0.90837802234277598</v>
      </c>
      <c r="I1998">
        <v>0.93198626655740802</v>
      </c>
      <c r="J1998">
        <v>0.79670563340836198</v>
      </c>
      <c r="K1998">
        <v>0.74981069839326997</v>
      </c>
      <c r="L1998">
        <v>164.92671371332901</v>
      </c>
      <c r="M1998">
        <v>0.87700684610655399</v>
      </c>
      <c r="O1998">
        <v>60.2522784886811</v>
      </c>
      <c r="P1998">
        <v>-5.2942369775192503E-3</v>
      </c>
      <c r="Q1998">
        <v>0</v>
      </c>
      <c r="R1998">
        <v>0.40261675742278702</v>
      </c>
      <c r="S1998" t="s">
        <v>4000</v>
      </c>
      <c r="T1998" t="s">
        <v>4002</v>
      </c>
      <c r="U1998" t="s">
        <v>4002</v>
      </c>
      <c r="V1998" t="s">
        <v>4002</v>
      </c>
      <c r="W1998" t="s">
        <v>5976</v>
      </c>
      <c r="X1998">
        <v>6</v>
      </c>
      <c r="Y1998" t="s">
        <v>7898</v>
      </c>
      <c r="Z1998" t="s">
        <v>9896</v>
      </c>
      <c r="AA1998">
        <v>0.89157837055365641</v>
      </c>
      <c r="AB1998" t="str">
        <f>HYPERLINK("Melting_Curves/meltCurve_R4GN98_S100A6.pdf", "Melting_Curves/meltCurve_R4GN98_S100A6.pdf")</f>
        <v>Melting_Curves/meltCurve_R4GN98_S100A6.pdf</v>
      </c>
    </row>
    <row r="1999" spans="1:28" x14ac:dyDescent="0.25">
      <c r="A1999" t="s">
        <v>2003</v>
      </c>
      <c r="B1999">
        <v>1</v>
      </c>
      <c r="C1999">
        <v>0.87651987876626802</v>
      </c>
      <c r="D1999">
        <v>0.89720092708147603</v>
      </c>
      <c r="E1999">
        <v>0.78320556248885698</v>
      </c>
      <c r="F1999">
        <v>1.1507398823319701</v>
      </c>
      <c r="G1999">
        <v>1.5395792476377299</v>
      </c>
      <c r="H1999">
        <v>1.68653949010519</v>
      </c>
      <c r="I1999">
        <v>2.1699055090033901</v>
      </c>
      <c r="J1999">
        <v>2.7256195400249599</v>
      </c>
      <c r="K1999">
        <v>1.7828133357104701</v>
      </c>
      <c r="L1999">
        <v>13294.5339105612</v>
      </c>
      <c r="M1999">
        <v>250</v>
      </c>
      <c r="O1999">
        <v>53.1747211050996</v>
      </c>
      <c r="P1999">
        <v>0.58768513707859305</v>
      </c>
      <c r="Q1999">
        <v>1.5</v>
      </c>
      <c r="R1999">
        <v>0.42004707109949302</v>
      </c>
      <c r="S1999" t="s">
        <v>4001</v>
      </c>
      <c r="T1999" t="s">
        <v>4002</v>
      </c>
      <c r="U1999" t="s">
        <v>4002</v>
      </c>
      <c r="V1999" t="s">
        <v>4002</v>
      </c>
      <c r="W1999" t="s">
        <v>5977</v>
      </c>
      <c r="X1999">
        <v>1</v>
      </c>
      <c r="Y1999" t="s">
        <v>7899</v>
      </c>
      <c r="Z1999" t="s">
        <v>9897</v>
      </c>
      <c r="AA1999">
        <v>1.280317742562378</v>
      </c>
      <c r="AB1999" t="str">
        <f>HYPERLINK("Melting_Curves/meltCurve_R4GN99_PPIF.pdf", "Melting_Curves/meltCurve_R4GN99_PPIF.pdf")</f>
        <v>Melting_Curves/meltCurve_R4GN99_PPIF.pdf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Jarzab</cp:lastModifiedBy>
  <dcterms:created xsi:type="dcterms:W3CDTF">2017-09-14T13:08:40Z</dcterms:created>
  <dcterms:modified xsi:type="dcterms:W3CDTF">2018-08-08T08:07:01Z</dcterms:modified>
</cp:coreProperties>
</file>