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20.xml" ContentType="application/vnd.openxmlformats-officedocument.drawing+xml"/>
  <Override PartName="/xl/charts/chart4.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5.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4.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nalghufrani\Desktop\قسم سجل المنشآت والتصانيف الاحصائية\رخص_البناء\بيانات_الرخص_والشهادات_السنوية\رخص_وشهادات_2021\"/>
    </mc:Choice>
  </mc:AlternateContent>
  <xr:revisionPtr revIDLastSave="0" documentId="13_ncr:1_{3A87FD0E-1C66-4A5C-874A-2FE0C29CEF85}" xr6:coauthVersionLast="41" xr6:coauthVersionMax="41" xr10:uidLastSave="{00000000-0000-0000-0000-000000000000}"/>
  <bookViews>
    <workbookView xWindow="-120" yWindow="-120" windowWidth="29040" windowHeight="15840" xr2:uid="{00000000-000D-0000-FFFF-FFFF00000000}"/>
  </bookViews>
  <sheets>
    <sheet name="Cover" sheetId="18" r:id="rId1"/>
    <sheet name="First" sheetId="12" r:id="rId2"/>
    <sheet name="Preface" sheetId="13" r:id="rId3"/>
    <sheet name="Indx" sheetId="14" r:id="rId4"/>
    <sheet name="Introduction" sheetId="15" r:id="rId5"/>
    <sheet name="Concepts" sheetId="17" r:id="rId6"/>
    <sheet name="الفصل الأول" sheetId="19" r:id="rId7"/>
    <sheet name="1" sheetId="20" r:id="rId8"/>
    <sheet name="GR_1" sheetId="40" r:id="rId9"/>
    <sheet name="2" sheetId="21" r:id="rId10"/>
    <sheet name="3" sheetId="22" r:id="rId11"/>
    <sheet name="4" sheetId="23" r:id="rId12"/>
    <sheet name="5" sheetId="24" r:id="rId13"/>
    <sheet name="6" sheetId="25" r:id="rId14"/>
    <sheet name="7" sheetId="26" r:id="rId15"/>
    <sheet name="8" sheetId="27" r:id="rId16"/>
    <sheet name="9" sheetId="28" r:id="rId17"/>
    <sheet name="10" sheetId="29" r:id="rId18"/>
    <sheet name="Gr_2" sheetId="42" r:id="rId19"/>
    <sheet name="Gr_3" sheetId="43" r:id="rId20"/>
    <sheet name="الفصل الثاني" sheetId="44" r:id="rId21"/>
    <sheet name="11" sheetId="30" r:id="rId22"/>
    <sheet name="GR_4" sheetId="45" r:id="rId23"/>
    <sheet name="12" sheetId="31" r:id="rId24"/>
    <sheet name="13" sheetId="32" r:id="rId25"/>
    <sheet name="14" sheetId="33" r:id="rId26"/>
    <sheet name="15" sheetId="34" r:id="rId27"/>
    <sheet name="16" sheetId="35" r:id="rId28"/>
    <sheet name="17" sheetId="36" r:id="rId29"/>
    <sheet name="18" sheetId="37" r:id="rId30"/>
    <sheet name="19" sheetId="38" r:id="rId31"/>
    <sheet name="20" sheetId="39" r:id="rId32"/>
    <sheet name="Gr_5" sheetId="46" r:id="rId33"/>
    <sheet name="Gr_6" sheetId="47" r:id="rId34"/>
  </sheets>
  <definedNames>
    <definedName name="_xlnm.Print_Area" localSheetId="7">'1'!$A$1:$F$21</definedName>
    <definedName name="_xlnm.Print_Area" localSheetId="17">'10'!$A$1:$K$24</definedName>
    <definedName name="_xlnm.Print_Area" localSheetId="21">'11'!$A$1:$E$20</definedName>
    <definedName name="_xlnm.Print_Area" localSheetId="23">'12'!$A$1:$E$20</definedName>
    <definedName name="_xlnm.Print_Area" localSheetId="24">'13'!$A$1:$E$20</definedName>
    <definedName name="_xlnm.Print_Area" localSheetId="25">'14'!$A$1:$E$20</definedName>
    <definedName name="_xlnm.Print_Area" localSheetId="26">'15'!$A$1:$E$20</definedName>
    <definedName name="_xlnm.Print_Area" localSheetId="27">'16'!$A$1:$E$20</definedName>
    <definedName name="_xlnm.Print_Area" localSheetId="28">'17'!$A$1:$E$20</definedName>
    <definedName name="_xlnm.Print_Area" localSheetId="29">'18'!$A$1:$E$20</definedName>
    <definedName name="_xlnm.Print_Area" localSheetId="30">'19'!$A$1:$E$20</definedName>
    <definedName name="_xlnm.Print_Area" localSheetId="9">'2'!$A$1:$F$21</definedName>
    <definedName name="_xlnm.Print_Area" localSheetId="10">'3'!$A$1:$F$21</definedName>
    <definedName name="_xlnm.Print_Area" localSheetId="11">'4'!$A$1:$F$21</definedName>
    <definedName name="_xlnm.Print_Area" localSheetId="12">'5'!$A$1:$F$21</definedName>
    <definedName name="_xlnm.Print_Area" localSheetId="13">'6'!$A$1:$F$21</definedName>
    <definedName name="_xlnm.Print_Area" localSheetId="14">'7'!$A$1:$F$21</definedName>
    <definedName name="_xlnm.Print_Area" localSheetId="15">'8'!$A$1:$F$21</definedName>
    <definedName name="_xlnm.Print_Area" localSheetId="16">'9'!$A$1:$F$21</definedName>
    <definedName name="_xlnm.Print_Area" localSheetId="5">Concepts!$A$1:$E$44</definedName>
    <definedName name="_xlnm.Print_Area" localSheetId="0">Cover!$A$1:$N$61</definedName>
    <definedName name="_xlnm.Print_Area" localSheetId="1">First!$A$1:$D$30</definedName>
    <definedName name="_xlnm.Print_Area" localSheetId="8">GR_1!$A$1:$M$34</definedName>
    <definedName name="_xlnm.Print_Area" localSheetId="18">Gr_2!$A$1:$N$31</definedName>
    <definedName name="_xlnm.Print_Area" localSheetId="19">Gr_3!$A$1:$L$46</definedName>
    <definedName name="_xlnm.Print_Area" localSheetId="22">GR_4!$A$1:$M$34</definedName>
    <definedName name="_xlnm.Print_Area" localSheetId="32">Gr_5!$A$1:$N$31</definedName>
    <definedName name="_xlnm.Print_Area" localSheetId="33">Gr_6!$A$1:$L$33</definedName>
    <definedName name="_xlnm.Print_Area" localSheetId="3">Indx!$A$1:$C$36</definedName>
    <definedName name="_xlnm.Print_Area" localSheetId="4">Introduction!$A$1:$E$9</definedName>
    <definedName name="_xlnm.Print_Area" localSheetId="2">Preface!$A$1:$E$17</definedName>
    <definedName name="_xlnm.Print_Area" localSheetId="6">'الفصل الأول'!$A$1:$B$17</definedName>
    <definedName name="_xlnm.Print_Area" localSheetId="20">'الفصل الثاني'!$A$1:$B$17</definedName>
    <definedName name="_xlnm.Print_Titles" localSheetId="3">Indx!$1:$5</definedName>
    <definedName name="_xlnm.Print_Titles" localSheetId="4">Introduction!$1:$1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38" l="1"/>
  <c r="B19" i="37"/>
  <c r="B19" i="36"/>
  <c r="B19" i="35"/>
  <c r="B19" i="34"/>
  <c r="B19" i="33"/>
  <c r="B19" i="32"/>
  <c r="B19" i="31"/>
  <c r="B19" i="28"/>
  <c r="B19" i="27"/>
  <c r="B19" i="26"/>
  <c r="B19" i="25"/>
  <c r="B19" i="24"/>
  <c r="B19" i="23"/>
  <c r="B19" i="22"/>
  <c r="B18" i="38"/>
  <c r="B18" i="37"/>
  <c r="B18" i="36"/>
  <c r="B18" i="35"/>
  <c r="B18" i="34"/>
  <c r="B18" i="33"/>
  <c r="B18" i="32"/>
  <c r="B18" i="31"/>
  <c r="B18" i="28"/>
  <c r="B18" i="27"/>
  <c r="B18" i="26"/>
  <c r="B18" i="25"/>
  <c r="B18" i="24"/>
  <c r="B18" i="23"/>
  <c r="B18" i="22"/>
  <c r="B17" i="38"/>
  <c r="B17" i="37"/>
  <c r="B17" i="36"/>
  <c r="B17" i="35"/>
  <c r="B17" i="34"/>
  <c r="B17" i="33"/>
  <c r="B17" i="32"/>
  <c r="B17" i="31"/>
  <c r="B17" i="28"/>
  <c r="B17" i="27"/>
  <c r="B17" i="26"/>
  <c r="B17" i="25"/>
  <c r="B17" i="24"/>
  <c r="B17" i="23"/>
  <c r="B17" i="22"/>
  <c r="B16" i="38"/>
  <c r="B16" i="37"/>
  <c r="B16" i="36"/>
  <c r="B16" i="35"/>
  <c r="B16" i="34"/>
  <c r="B16" i="33"/>
  <c r="B16" i="32"/>
  <c r="B16" i="31"/>
  <c r="B16" i="28"/>
  <c r="B16" i="27"/>
  <c r="B16" i="26"/>
  <c r="B16" i="25"/>
  <c r="B16" i="24"/>
  <c r="B16" i="23"/>
  <c r="B16" i="22"/>
  <c r="B15" i="38"/>
  <c r="B15" i="37"/>
  <c r="B15" i="36"/>
  <c r="B15" i="35"/>
  <c r="B15" i="34"/>
  <c r="B15" i="33"/>
  <c r="B15" i="32"/>
  <c r="B15" i="31"/>
  <c r="B15" i="28"/>
  <c r="B15" i="27"/>
  <c r="B15" i="26"/>
  <c r="B15" i="25"/>
  <c r="B15" i="24"/>
  <c r="B15" i="23"/>
  <c r="B15" i="22"/>
  <c r="B14" i="38"/>
  <c r="B14" i="37"/>
  <c r="B14" i="36"/>
  <c r="B14" i="35"/>
  <c r="B14" i="34"/>
  <c r="B14" i="33"/>
  <c r="B14" i="32"/>
  <c r="B14" i="31"/>
  <c r="B14" i="28"/>
  <c r="B14" i="27"/>
  <c r="B14" i="26"/>
  <c r="B14" i="25"/>
  <c r="B14" i="24"/>
  <c r="B14" i="23"/>
  <c r="B14" i="22"/>
  <c r="B13" i="38"/>
  <c r="B13" i="37"/>
  <c r="B13" i="36"/>
  <c r="B13" i="35"/>
  <c r="B13" i="34"/>
  <c r="B13" i="33"/>
  <c r="B13" i="32"/>
  <c r="B13" i="31"/>
  <c r="B13" i="28"/>
  <c r="B13" i="27"/>
  <c r="B13" i="26"/>
  <c r="B13" i="25"/>
  <c r="B13" i="24"/>
  <c r="B13" i="23"/>
  <c r="B13" i="22"/>
  <c r="B12" i="38"/>
  <c r="B12" i="37"/>
  <c r="B12" i="36"/>
  <c r="B12" i="35"/>
  <c r="B12" i="34"/>
  <c r="B12" i="33"/>
  <c r="B12" i="32"/>
  <c r="B12" i="31"/>
  <c r="B12" i="28"/>
  <c r="B12" i="27"/>
  <c r="B12" i="26"/>
  <c r="B12" i="25"/>
  <c r="B12" i="24"/>
  <c r="B12" i="23"/>
  <c r="B12" i="22"/>
  <c r="B11" i="38"/>
  <c r="B11" i="37"/>
  <c r="B11" i="36"/>
  <c r="B11" i="35"/>
  <c r="B11" i="34"/>
  <c r="B11" i="33"/>
  <c r="B11" i="32"/>
  <c r="B11" i="31"/>
  <c r="B11" i="28"/>
  <c r="B11" i="27"/>
  <c r="B11" i="26"/>
  <c r="B11" i="25"/>
  <c r="B11" i="24"/>
  <c r="B11" i="23"/>
  <c r="B11" i="22"/>
  <c r="B10" i="38"/>
  <c r="B10" i="37"/>
  <c r="B10" i="36"/>
  <c r="B10" i="35"/>
  <c r="B10" i="34"/>
  <c r="B10" i="33"/>
  <c r="B10" i="32"/>
  <c r="B10" i="31"/>
  <c r="B10" i="28"/>
  <c r="B10" i="27"/>
  <c r="B10" i="26"/>
  <c r="B10" i="25"/>
  <c r="B10" i="24"/>
  <c r="B10" i="23"/>
  <c r="B10" i="22"/>
  <c r="B9" i="38"/>
  <c r="B9" i="37"/>
  <c r="B9" i="36"/>
  <c r="B9" i="35"/>
  <c r="B9" i="34"/>
  <c r="B9" i="33"/>
  <c r="B9" i="32"/>
  <c r="B9" i="31"/>
  <c r="B9" i="28"/>
  <c r="B9" i="27"/>
  <c r="B9" i="26"/>
  <c r="B9" i="25"/>
  <c r="B9" i="24"/>
  <c r="B9" i="23"/>
  <c r="B9" i="22"/>
  <c r="B8" i="38"/>
  <c r="B8" i="37"/>
  <c r="B8" i="36"/>
  <c r="B8" i="35"/>
  <c r="B8" i="34"/>
  <c r="B8" i="33"/>
  <c r="B8" i="32"/>
  <c r="B8" i="31"/>
  <c r="B8" i="28"/>
  <c r="B8" i="27"/>
  <c r="B8" i="26"/>
  <c r="B8" i="25"/>
  <c r="B8" i="24"/>
  <c r="B8" i="23"/>
  <c r="B8" i="22"/>
  <c r="B19" i="21"/>
  <c r="B18" i="21"/>
  <c r="B17" i="21"/>
  <c r="B16" i="21"/>
  <c r="B15" i="21"/>
  <c r="B14" i="21"/>
  <c r="B13" i="21"/>
  <c r="B12" i="21"/>
  <c r="B11" i="21"/>
  <c r="B10" i="21"/>
  <c r="B9" i="21"/>
  <c r="B8" i="21"/>
  <c r="J8" i="39" l="1"/>
  <c r="J9" i="39"/>
  <c r="J10" i="39"/>
  <c r="J11" i="39"/>
  <c r="B12" i="39"/>
  <c r="C12" i="39"/>
  <c r="D12" i="39"/>
  <c r="E12" i="39"/>
  <c r="F12" i="39"/>
  <c r="G12" i="39"/>
  <c r="H12" i="39"/>
  <c r="I12" i="39"/>
  <c r="J14" i="39"/>
  <c r="J15" i="39"/>
  <c r="J16" i="39"/>
  <c r="J17" i="39"/>
  <c r="J18" i="39"/>
  <c r="B19" i="39"/>
  <c r="C19" i="39"/>
  <c r="D19" i="39"/>
  <c r="E19" i="39"/>
  <c r="F19" i="39"/>
  <c r="G19" i="39"/>
  <c r="H19" i="39"/>
  <c r="I19" i="39"/>
  <c r="D8" i="38"/>
  <c r="D9" i="38"/>
  <c r="D10" i="38"/>
  <c r="D11" i="38"/>
  <c r="D12" i="38"/>
  <c r="D13" i="38"/>
  <c r="D14" i="38"/>
  <c r="D15" i="38"/>
  <c r="D16" i="38"/>
  <c r="D17" i="38"/>
  <c r="D18" i="38"/>
  <c r="D19" i="38"/>
  <c r="C20" i="38"/>
  <c r="I21" i="39" s="1"/>
  <c r="D8" i="37"/>
  <c r="D9" i="37"/>
  <c r="D10" i="37"/>
  <c r="D11" i="37"/>
  <c r="D12" i="37"/>
  <c r="D13" i="37"/>
  <c r="D14" i="37"/>
  <c r="D15" i="37"/>
  <c r="D16" i="37"/>
  <c r="D17" i="37"/>
  <c r="D18" i="37"/>
  <c r="D19" i="37"/>
  <c r="C20" i="37"/>
  <c r="F21" i="39" s="1"/>
  <c r="D8" i="36"/>
  <c r="B20" i="36"/>
  <c r="D10" i="36"/>
  <c r="D11" i="36"/>
  <c r="D12" i="36"/>
  <c r="D13" i="36"/>
  <c r="D14" i="36"/>
  <c r="D15" i="36"/>
  <c r="D16" i="36"/>
  <c r="D17" i="36"/>
  <c r="D18" i="36"/>
  <c r="D19" i="36"/>
  <c r="C20" i="36"/>
  <c r="H21" i="39" s="1"/>
  <c r="D8" i="35"/>
  <c r="D9" i="35"/>
  <c r="D10" i="35"/>
  <c r="D11" i="35"/>
  <c r="D12" i="35"/>
  <c r="D13" i="35"/>
  <c r="D14" i="35"/>
  <c r="D15" i="35"/>
  <c r="D16" i="35"/>
  <c r="D17" i="35"/>
  <c r="D18" i="35"/>
  <c r="D19" i="35"/>
  <c r="C20" i="35"/>
  <c r="G21" i="39" s="1"/>
  <c r="D8" i="34"/>
  <c r="D9" i="34"/>
  <c r="D10" i="34"/>
  <c r="D11" i="34"/>
  <c r="D12" i="34"/>
  <c r="D13" i="34"/>
  <c r="D14" i="34"/>
  <c r="D15" i="34"/>
  <c r="D16" i="34"/>
  <c r="D17" i="34"/>
  <c r="D18" i="34"/>
  <c r="D19" i="34"/>
  <c r="C20" i="34"/>
  <c r="E21" i="39" s="1"/>
  <c r="D8" i="33"/>
  <c r="D9" i="33"/>
  <c r="D10" i="33"/>
  <c r="D11" i="33"/>
  <c r="D12" i="33"/>
  <c r="D13" i="33"/>
  <c r="D14" i="33"/>
  <c r="D15" i="33"/>
  <c r="D16" i="33"/>
  <c r="D17" i="33"/>
  <c r="D18" i="33"/>
  <c r="D19" i="33"/>
  <c r="C20" i="33"/>
  <c r="D21" i="39" s="1"/>
  <c r="B8" i="30"/>
  <c r="D9" i="32"/>
  <c r="D10" i="32"/>
  <c r="D11" i="32"/>
  <c r="B12" i="30"/>
  <c r="D13" i="32"/>
  <c r="D14" i="32"/>
  <c r="D15" i="32"/>
  <c r="D16" i="32"/>
  <c r="D17" i="32"/>
  <c r="D18" i="32"/>
  <c r="D19" i="32"/>
  <c r="C20" i="32"/>
  <c r="C21" i="39" s="1"/>
  <c r="D8" i="31"/>
  <c r="D9" i="31"/>
  <c r="D10" i="31"/>
  <c r="D11" i="31"/>
  <c r="D12" i="31"/>
  <c r="D13" i="31"/>
  <c r="D14" i="31"/>
  <c r="D15" i="31"/>
  <c r="D16" i="31"/>
  <c r="D17" i="31"/>
  <c r="D18" i="31"/>
  <c r="D19" i="31"/>
  <c r="C20" i="31"/>
  <c r="B21" i="39" s="1"/>
  <c r="C8" i="30"/>
  <c r="C9" i="30"/>
  <c r="C10" i="30"/>
  <c r="C11" i="30"/>
  <c r="C12" i="30"/>
  <c r="C13" i="30"/>
  <c r="C14" i="30"/>
  <c r="C15" i="30"/>
  <c r="C16" i="30"/>
  <c r="B17" i="30"/>
  <c r="C17" i="30"/>
  <c r="C18" i="30"/>
  <c r="C19" i="30"/>
  <c r="E22" i="39" l="1"/>
  <c r="F22" i="39"/>
  <c r="C20" i="30"/>
  <c r="D22" i="39"/>
  <c r="D14" i="30"/>
  <c r="D20" i="33"/>
  <c r="B20" i="37"/>
  <c r="D20" i="38"/>
  <c r="H22" i="39"/>
  <c r="D17" i="30"/>
  <c r="B13" i="30"/>
  <c r="D19" i="30"/>
  <c r="B20" i="38"/>
  <c r="G22" i="39"/>
  <c r="J19" i="39"/>
  <c r="D12" i="32"/>
  <c r="D12" i="30" s="1"/>
  <c r="D8" i="32"/>
  <c r="D9" i="36"/>
  <c r="D20" i="36" s="1"/>
  <c r="I22" i="39"/>
  <c r="B16" i="30"/>
  <c r="D11" i="30"/>
  <c r="B9" i="30"/>
  <c r="B20" i="33"/>
  <c r="D20" i="34"/>
  <c r="B20" i="32"/>
  <c r="D15" i="30"/>
  <c r="B20" i="34"/>
  <c r="J12" i="39"/>
  <c r="C22" i="39"/>
  <c r="D18" i="30"/>
  <c r="D13" i="30"/>
  <c r="D10" i="30"/>
  <c r="D20" i="35"/>
  <c r="D20" i="37"/>
  <c r="B22" i="39"/>
  <c r="J21" i="39"/>
  <c r="D20" i="31"/>
  <c r="D16" i="30"/>
  <c r="B14" i="30"/>
  <c r="B10" i="30"/>
  <c r="B19" i="30"/>
  <c r="B15" i="30"/>
  <c r="B11" i="30"/>
  <c r="B20" i="31"/>
  <c r="B20" i="35"/>
  <c r="B18" i="30"/>
  <c r="I19" i="29"/>
  <c r="H19" i="29"/>
  <c r="G19" i="29"/>
  <c r="F19" i="29"/>
  <c r="E19" i="29"/>
  <c r="D19" i="29"/>
  <c r="C19" i="29"/>
  <c r="B19" i="29"/>
  <c r="J18" i="29"/>
  <c r="J17" i="29"/>
  <c r="J16" i="29"/>
  <c r="J15" i="29"/>
  <c r="J14" i="29"/>
  <c r="I12" i="29"/>
  <c r="H12" i="29"/>
  <c r="G12" i="29"/>
  <c r="F12" i="29"/>
  <c r="E12" i="29"/>
  <c r="D12" i="29"/>
  <c r="C12" i="29"/>
  <c r="B12" i="29"/>
  <c r="J11" i="29"/>
  <c r="J10" i="29"/>
  <c r="J9" i="29"/>
  <c r="J8" i="29"/>
  <c r="D20" i="28"/>
  <c r="I22" i="29" s="1"/>
  <c r="C20" i="28"/>
  <c r="I21" i="29" s="1"/>
  <c r="E19" i="28"/>
  <c r="E18" i="28"/>
  <c r="E17" i="28"/>
  <c r="E16" i="28"/>
  <c r="E15" i="28"/>
  <c r="E14" i="28"/>
  <c r="E13" i="28"/>
  <c r="E12" i="28"/>
  <c r="E11" i="28"/>
  <c r="E10" i="28"/>
  <c r="E9" i="28"/>
  <c r="E8" i="28"/>
  <c r="D20" i="27"/>
  <c r="F22" i="29" s="1"/>
  <c r="C20" i="27"/>
  <c r="F21" i="29" s="1"/>
  <c r="E19" i="27"/>
  <c r="E18" i="27"/>
  <c r="E17" i="27"/>
  <c r="E16" i="27"/>
  <c r="E15" i="27"/>
  <c r="E14" i="27"/>
  <c r="E13" i="27"/>
  <c r="E12" i="27"/>
  <c r="E11" i="27"/>
  <c r="E10" i="27"/>
  <c r="E9" i="27"/>
  <c r="B20" i="27"/>
  <c r="D20" i="26"/>
  <c r="H22" i="29" s="1"/>
  <c r="C20" i="26"/>
  <c r="H21" i="29" s="1"/>
  <c r="E19" i="26"/>
  <c r="E18" i="26"/>
  <c r="E17" i="26"/>
  <c r="E16" i="26"/>
  <c r="E15" i="26"/>
  <c r="E14" i="26"/>
  <c r="E13" i="26"/>
  <c r="E12" i="26"/>
  <c r="E11" i="26"/>
  <c r="E10" i="26"/>
  <c r="E9" i="26"/>
  <c r="E8" i="26"/>
  <c r="B20" i="26"/>
  <c r="D20" i="25"/>
  <c r="G22" i="29" s="1"/>
  <c r="C20" i="25"/>
  <c r="G21" i="29" s="1"/>
  <c r="E19" i="25"/>
  <c r="E18" i="25"/>
  <c r="E17" i="25"/>
  <c r="E16" i="25"/>
  <c r="E15" i="25"/>
  <c r="E14" i="25"/>
  <c r="E13" i="25"/>
  <c r="E12" i="25"/>
  <c r="E11" i="25"/>
  <c r="E10" i="25"/>
  <c r="E9" i="25"/>
  <c r="E8" i="25"/>
  <c r="D20" i="24"/>
  <c r="E22" i="29" s="1"/>
  <c r="C20" i="24"/>
  <c r="E21" i="29" s="1"/>
  <c r="E19" i="24"/>
  <c r="E18" i="24"/>
  <c r="E17" i="24"/>
  <c r="E16" i="24"/>
  <c r="E15" i="24"/>
  <c r="E14" i="24"/>
  <c r="E13" i="24"/>
  <c r="E12" i="24"/>
  <c r="E11" i="24"/>
  <c r="E10" i="24"/>
  <c r="E9" i="24"/>
  <c r="E8" i="24"/>
  <c r="D20" i="23"/>
  <c r="D22" i="29" s="1"/>
  <c r="C20" i="23"/>
  <c r="D21" i="29" s="1"/>
  <c r="E19" i="23"/>
  <c r="E18" i="23"/>
  <c r="E17" i="23"/>
  <c r="E16" i="23"/>
  <c r="E15" i="23"/>
  <c r="E14" i="23"/>
  <c r="E13" i="23"/>
  <c r="E12" i="23"/>
  <c r="E11" i="23"/>
  <c r="E10" i="23"/>
  <c r="E9" i="23"/>
  <c r="E8" i="23"/>
  <c r="B20" i="23"/>
  <c r="D20" i="22"/>
  <c r="C22" i="29" s="1"/>
  <c r="C20" i="22"/>
  <c r="C21" i="29" s="1"/>
  <c r="E19" i="22"/>
  <c r="E18" i="22"/>
  <c r="E17" i="22"/>
  <c r="E16" i="22"/>
  <c r="E15" i="22"/>
  <c r="E14" i="22"/>
  <c r="E13" i="22"/>
  <c r="E12" i="22"/>
  <c r="E11" i="22"/>
  <c r="E10" i="22"/>
  <c r="E9" i="22"/>
  <c r="E8" i="22"/>
  <c r="B20" i="22"/>
  <c r="D20" i="21"/>
  <c r="B22" i="29" s="1"/>
  <c r="C20" i="21"/>
  <c r="B21" i="29" s="1"/>
  <c r="E19" i="21"/>
  <c r="E18" i="21"/>
  <c r="E17" i="21"/>
  <c r="E16" i="21"/>
  <c r="E15" i="21"/>
  <c r="E14" i="21"/>
  <c r="E13" i="21"/>
  <c r="E12" i="21"/>
  <c r="E11" i="21"/>
  <c r="E10" i="21"/>
  <c r="E9" i="21"/>
  <c r="E8" i="21"/>
  <c r="D19" i="20"/>
  <c r="C19" i="20"/>
  <c r="B19" i="20"/>
  <c r="D18" i="20"/>
  <c r="C18" i="20"/>
  <c r="B18" i="20"/>
  <c r="D17" i="20"/>
  <c r="C17" i="20"/>
  <c r="B17" i="20"/>
  <c r="D16" i="20"/>
  <c r="C16" i="20"/>
  <c r="B16" i="20"/>
  <c r="D15" i="20"/>
  <c r="C15" i="20"/>
  <c r="B15" i="20"/>
  <c r="D14" i="20"/>
  <c r="C14" i="20"/>
  <c r="B14" i="20"/>
  <c r="D13" i="20"/>
  <c r="C13" i="20"/>
  <c r="B13" i="20"/>
  <c r="D12" i="20"/>
  <c r="C12" i="20"/>
  <c r="B12" i="20"/>
  <c r="D11" i="20"/>
  <c r="C11" i="20"/>
  <c r="B11" i="20"/>
  <c r="D10" i="20"/>
  <c r="C10" i="20"/>
  <c r="B10" i="20"/>
  <c r="D9" i="20"/>
  <c r="C9" i="20"/>
  <c r="B9" i="20"/>
  <c r="D8" i="20"/>
  <c r="C8" i="20"/>
  <c r="B8" i="20"/>
  <c r="D20" i="32" l="1"/>
  <c r="J22" i="39"/>
  <c r="J19" i="29"/>
  <c r="F23" i="29"/>
  <c r="E11" i="20"/>
  <c r="E20" i="21"/>
  <c r="B20" i="20"/>
  <c r="E13" i="20"/>
  <c r="E9" i="20"/>
  <c r="E16" i="20"/>
  <c r="D20" i="20"/>
  <c r="E20" i="24"/>
  <c r="E17" i="20"/>
  <c r="D8" i="30"/>
  <c r="B20" i="21"/>
  <c r="B20" i="25"/>
  <c r="E19" i="20"/>
  <c r="E20" i="25"/>
  <c r="C20" i="20"/>
  <c r="E20" i="22"/>
  <c r="E20" i="26"/>
  <c r="D23" i="29"/>
  <c r="E12" i="20"/>
  <c r="E15" i="20"/>
  <c r="D9" i="30"/>
  <c r="E10" i="20"/>
  <c r="E14" i="20"/>
  <c r="E18" i="20"/>
  <c r="E20" i="23"/>
  <c r="E8" i="27"/>
  <c r="E20" i="27" s="1"/>
  <c r="J12" i="29"/>
  <c r="B20" i="24"/>
  <c r="B20" i="28"/>
  <c r="G23" i="29"/>
  <c r="B20" i="30"/>
  <c r="B23" i="29"/>
  <c r="J21" i="29"/>
  <c r="E23" i="29"/>
  <c r="I23" i="29"/>
  <c r="C23" i="29"/>
  <c r="E20" i="28"/>
  <c r="H23" i="29"/>
  <c r="J22" i="29"/>
  <c r="D20" i="30" l="1"/>
  <c r="E8" i="20"/>
  <c r="E20" i="20" s="1"/>
  <c r="J23" i="29"/>
</calcChain>
</file>

<file path=xl/sharedStrings.xml><?xml version="1.0" encoding="utf-8"?>
<sst xmlns="http://schemas.openxmlformats.org/spreadsheetml/2006/main" count="997" uniqueCount="347">
  <si>
    <t>And Allah grants success</t>
  </si>
  <si>
    <t>والله ولي التوفيق،،،</t>
  </si>
  <si>
    <t>We welcome any remarks and suggestions that could improve contents of this bulletin.</t>
  </si>
  <si>
    <t>ونرحب بأية ملاحظات وإقتراحات من شأنها تحسين مضمون هذه النشرة.</t>
  </si>
  <si>
    <t>Preface</t>
  </si>
  <si>
    <t xml:space="preserve">Concepts and definitions </t>
  </si>
  <si>
    <t xml:space="preserve">المفاهيم والتعاريف </t>
  </si>
  <si>
    <t xml:space="preserve">Introduction </t>
  </si>
  <si>
    <t xml:space="preserve">مقدمـــــــــــة </t>
  </si>
  <si>
    <t xml:space="preserve">Preface </t>
  </si>
  <si>
    <t xml:space="preserve">تقديــــــــم </t>
  </si>
  <si>
    <t>Particulars</t>
  </si>
  <si>
    <t>البيــــــــــان</t>
  </si>
  <si>
    <t>Contents</t>
  </si>
  <si>
    <t>المحتويات</t>
  </si>
  <si>
    <t>جمعت بيانات هذه النشرة عن سنة ميلادية تبدأ اعتباراً من أول يناير وتنتهي آخر ديسمبر.</t>
  </si>
  <si>
    <t>1- Scope:</t>
  </si>
  <si>
    <t>1 - النطـــاق:</t>
  </si>
  <si>
    <t>Introduction</t>
  </si>
  <si>
    <t>مقدمــة</t>
  </si>
  <si>
    <t>Included any other non-residential building not classified elsewhere e.g. clubs, theaters, cinemas etc…</t>
  </si>
  <si>
    <t>وتشمل كافة انواع المباني غير السكنية الاخرى والتي لم تصنف اعلاه مثل الاندية والمسارح والسينمات ... الخ .</t>
  </si>
  <si>
    <t xml:space="preserve">Others : </t>
  </si>
  <si>
    <t xml:space="preserve">أخــــرى : </t>
  </si>
  <si>
    <t>Included here, building of industrial areas.</t>
  </si>
  <si>
    <t>وتشمل عادة مباني المناطق الصناعية .</t>
  </si>
  <si>
    <t xml:space="preserve">Workshops / Factories: </t>
  </si>
  <si>
    <t xml:space="preserve">ورش ومصانع : </t>
  </si>
  <si>
    <t>Included here, buildings of commercial centers, markets, shops, offices and stores.</t>
  </si>
  <si>
    <t>وتشمل مباني الاسواق والمعارض والدكاكين والمكاتب والمخازن المستقلة .</t>
  </si>
  <si>
    <t xml:space="preserve">Commercial Buildings: </t>
  </si>
  <si>
    <t xml:space="preserve">مباني تجارية : </t>
  </si>
  <si>
    <t>وتشمل مباني الوزارات والادارات الحكومية والمدارس والمستشفيات والمراكز الصحية وماشابه .</t>
  </si>
  <si>
    <t xml:space="preserve">Public Buildings: </t>
  </si>
  <si>
    <t xml:space="preserve">الدوائر الحكومية : </t>
  </si>
  <si>
    <t>B - Non-Residential Buildings:</t>
  </si>
  <si>
    <t>ب - المباني غير الســكنية :</t>
  </si>
  <si>
    <t>Including any other residential building with an architectural design different from  those mentioned above.</t>
  </si>
  <si>
    <t>وهى تلك الانواع من المباني السكنية والتي لها شكل معماري مختلف عن انواع المباني التي ذكرت أعلاه .</t>
  </si>
  <si>
    <t xml:space="preserve">Others: </t>
  </si>
  <si>
    <t xml:space="preserve">أخــرى : </t>
  </si>
  <si>
    <t>A building which comprises two or more floors including the ground floor which mainly comprises shops and stores. Each floor is comprised of one flat or more using the same staircase and the main entrance leading to the main road.</t>
  </si>
  <si>
    <t>وهى مبنى يتكون من طابقين أو أكثر بما فيها الطابق الارضي الذي يتكون في الغالب من مخازن أو دكاكين ... الخ يحتوى كل طابق على شقه أو أكثر ولا يجمع بين الشقه والأخرى الا الدرج والممر المؤدي الى الطريق العام .</t>
  </si>
  <si>
    <t xml:space="preserve">Multi-Storeyed Buildings:  </t>
  </si>
  <si>
    <t xml:space="preserve">العمــــارة : </t>
  </si>
  <si>
    <t>These are dwelling similar to villas in shape and design. The construction of these dwellings is being financed by the State for eligible citizens.</t>
  </si>
  <si>
    <t>هي مساكن تشابه الفيلا في شكلها وتصميمها ويمول بناؤها من قبل الدولة للمواطنين المستحقين لها .</t>
  </si>
  <si>
    <t>Dwellings of Housings Loans:</t>
  </si>
  <si>
    <t>مساكن قروض الإسكان :</t>
  </si>
  <si>
    <t>A building comprised of one or two floors - or more in some cases - linked with an internal staircase. The building is surrounded with external boundary walls. The area separating the building and these external walls is mainly used as a garden.</t>
  </si>
  <si>
    <t>وهو المبنى المكون من طابق أو طابقين - أو أكثر في بعض الحالات - يصل بينهما سلم داخلي . يحيط بالمبنى سور ويفصل ما بين السور والمبنى مساحة غالباً ما تكون بها حديقة .</t>
  </si>
  <si>
    <t xml:space="preserve">Villas: </t>
  </si>
  <si>
    <t>فيلا :</t>
  </si>
  <si>
    <t>A - Residential Buildings:</t>
  </si>
  <si>
    <t>أ ـ المباني الســكنية :</t>
  </si>
  <si>
    <t>The architectural design of a building irrespective of its usage after completion</t>
  </si>
  <si>
    <t>هـو الشــكل الهندسي أو المعماري لتصميم المبنى بصرف النظر عن كيفية استخدامه .</t>
  </si>
  <si>
    <t>An independent structure whether permanent or temporary which comprises foundations, walls, roofs, etc…</t>
  </si>
  <si>
    <t>An authorization for the erection of a boundary wall along the boundaries of any piece of land whether permanent or temporary.</t>
  </si>
  <si>
    <t>الترخيص لعمل بناء ينشأ على حدود أي قطعة أرض (دائم أو مؤقت ) .</t>
  </si>
  <si>
    <t>c - Fencing Permit:</t>
  </si>
  <si>
    <t>ج ـ رخصة تحويط :</t>
  </si>
  <si>
    <t>An authorization for an enlargement of an existing building e.g. additional floor, a bathroom, servant room etc…</t>
  </si>
  <si>
    <t>الترخيص لعمل اضافة لمبنى قائم مثال ذلك بناء طابق اضافي ، حمام ، غرفة خادم ... الخ .</t>
  </si>
  <si>
    <t>b- Additions Permit:</t>
  </si>
  <si>
    <t>ب ـ رخصة أضافة :</t>
  </si>
  <si>
    <t>An authorization for the erection of an entirely new structure.</t>
  </si>
  <si>
    <t>الترخيص لقيام بناء لهيكل معماري جديد قائم بذاته .</t>
  </si>
  <si>
    <t>a- New Building Permit:</t>
  </si>
  <si>
    <t>أ ـ رخصة مبنى جديد :</t>
  </si>
  <si>
    <t>2- TYPES OF BUILDING PERMITS:</t>
  </si>
  <si>
    <t>2- انواع رخص البناء :</t>
  </si>
  <si>
    <t>An official authorization for the erection of a building issued by the municipalities after checking and approving documents and detailed maps.</t>
  </si>
  <si>
    <t>تصريح رسمي للشروع في عملية البناء يصدر من قبل البلدية بعد مراجعة واعتماد المستندات والخرائط التفصيلية .</t>
  </si>
  <si>
    <t>1- BUILDING PERMIT:</t>
  </si>
  <si>
    <t>1- رخصة بنــاء :</t>
  </si>
  <si>
    <t>Concepts and definitions</t>
  </si>
  <si>
    <t>أهم المفاهيم والتعاريف</t>
  </si>
  <si>
    <t>تقديم</t>
  </si>
  <si>
    <t>3ـ المــــبنى :</t>
  </si>
  <si>
    <t>3. THE BUILDING:</t>
  </si>
  <si>
    <r>
      <rPr>
        <b/>
        <sz val="12"/>
        <color indexed="8"/>
        <rFont val="Arial"/>
        <family val="2"/>
      </rPr>
      <t>رقم الصفحة</t>
    </r>
    <r>
      <rPr>
        <b/>
        <sz val="10"/>
        <color indexed="8"/>
        <rFont val="Arial"/>
        <family val="2"/>
      </rPr>
      <t xml:space="preserve">
Page No.</t>
    </r>
  </si>
  <si>
    <t>هو أي بناء سواء كان مؤقتاً أو بصفة دائمة ويشتمل على اساسات وطوابق وحوائط وسقوف ... الخ .</t>
  </si>
  <si>
    <t>Included here, buildings of ministries, government departments, schools, hospitals, health centers and the like.</t>
  </si>
  <si>
    <r>
      <t>Data presented in this bulletin relate to a calendar year commencing 1</t>
    </r>
    <r>
      <rPr>
        <vertAlign val="superscript"/>
        <sz val="11"/>
        <color indexed="8"/>
        <rFont val="Arial"/>
        <family val="2"/>
      </rPr>
      <t xml:space="preserve">st </t>
    </r>
    <r>
      <rPr>
        <sz val="11"/>
        <color indexed="8"/>
        <rFont val="Arial"/>
        <family val="2"/>
      </rPr>
      <t>January and ending 31</t>
    </r>
    <r>
      <rPr>
        <vertAlign val="superscript"/>
        <sz val="11"/>
        <color indexed="8"/>
        <rFont val="Arial"/>
        <family val="2"/>
      </rPr>
      <t>st</t>
    </r>
    <r>
      <rPr>
        <sz val="11"/>
        <color indexed="8"/>
        <rFont val="Arial"/>
        <family val="2"/>
      </rPr>
      <t xml:space="preserve"> December of the reference period.</t>
    </r>
  </si>
  <si>
    <r>
      <rPr>
        <b/>
        <sz val="20"/>
        <color indexed="8"/>
        <rFont val="Sultan bold"/>
        <charset val="178"/>
      </rPr>
      <t>د. صالح بن محمد النابت</t>
    </r>
    <r>
      <rPr>
        <b/>
        <sz val="20"/>
        <color indexed="8"/>
        <rFont val="Arial"/>
        <family val="2"/>
      </rPr>
      <t xml:space="preserve">
</t>
    </r>
    <r>
      <rPr>
        <b/>
        <sz val="16"/>
        <color indexed="8"/>
        <rFont val="Arial"/>
        <family val="2"/>
      </rPr>
      <t>رئيس جهاز التخطيط والإحصاء</t>
    </r>
  </si>
  <si>
    <r>
      <rPr>
        <b/>
        <sz val="18"/>
        <color indexed="8"/>
        <rFont val="Arial Black"/>
        <family val="2"/>
      </rPr>
      <t>Dr. Saleh bin Mohammed Al Nabit</t>
    </r>
    <r>
      <rPr>
        <b/>
        <sz val="14"/>
        <color indexed="8"/>
        <rFont val="Arial Black"/>
        <family val="2"/>
      </rPr>
      <t xml:space="preserve">
</t>
    </r>
    <r>
      <rPr>
        <b/>
        <sz val="12"/>
        <color indexed="8"/>
        <rFont val="Arial Black"/>
        <family val="2"/>
      </rPr>
      <t>President</t>
    </r>
    <r>
      <rPr>
        <sz val="12"/>
        <color indexed="8"/>
        <rFont val="Arial Black"/>
        <family val="2"/>
      </rPr>
      <t xml:space="preserve"> </t>
    </r>
    <r>
      <rPr>
        <b/>
        <sz val="12"/>
        <color indexed="8"/>
        <rFont val="Arial Black"/>
        <family val="2"/>
      </rPr>
      <t>of Planning and Statistics Authority</t>
    </r>
  </si>
  <si>
    <t>دولة قطر
جهاز التخطيط والإحصاء
إدارة الإحصاءات</t>
  </si>
  <si>
    <r>
      <t xml:space="preserve">State of Qatar
</t>
    </r>
    <r>
      <rPr>
        <b/>
        <sz val="13"/>
        <color indexed="8"/>
        <rFont val="Arial"/>
        <family val="2"/>
      </rPr>
      <t xml:space="preserve"> Planning and Statistics Authority</t>
    </r>
    <r>
      <rPr>
        <b/>
        <sz val="14"/>
        <color indexed="8"/>
        <rFont val="Arial"/>
        <family val="2"/>
      </rPr>
      <t xml:space="preserve">
</t>
    </r>
    <r>
      <rPr>
        <b/>
        <sz val="13"/>
        <color indexed="8"/>
        <rFont val="Arial"/>
        <family val="2"/>
      </rPr>
      <t xml:space="preserve">Statistics Department  </t>
    </r>
  </si>
  <si>
    <r>
      <t xml:space="preserve">رخص البناء الصادرة </t>
    </r>
    <r>
      <rPr>
        <b/>
        <vertAlign val="superscript"/>
        <sz val="16"/>
        <color indexed="8"/>
        <rFont val="Arial"/>
        <family val="2"/>
      </rPr>
      <t>(1)</t>
    </r>
    <r>
      <rPr>
        <b/>
        <sz val="16"/>
        <color indexed="8"/>
        <rFont val="Arial"/>
        <family val="2"/>
      </rPr>
      <t>حسب نوع الرخصة والشهر</t>
    </r>
  </si>
  <si>
    <r>
      <t>BUILDING PERMITS ISSUED</t>
    </r>
    <r>
      <rPr>
        <b/>
        <vertAlign val="superscript"/>
        <sz val="12"/>
        <color indexed="8"/>
        <rFont val="Arial"/>
        <family val="2"/>
      </rPr>
      <t>(1)</t>
    </r>
    <r>
      <rPr>
        <b/>
        <sz val="12"/>
        <color indexed="8"/>
        <rFont val="Arial"/>
        <family val="2"/>
      </rPr>
      <t xml:space="preserve"> BY TYPE OF PERMIT AND MONTH</t>
    </r>
  </si>
  <si>
    <t>جدول رقم (1)</t>
  </si>
  <si>
    <t>Table No (1)</t>
  </si>
  <si>
    <t>الشهر</t>
  </si>
  <si>
    <r>
      <t xml:space="preserve">نوع الرخصة
</t>
    </r>
    <r>
      <rPr>
        <b/>
        <sz val="8"/>
        <color indexed="8"/>
        <rFont val="Arial"/>
        <family val="2"/>
      </rPr>
      <t>TYPE OF PERMIT</t>
    </r>
  </si>
  <si>
    <t>MONTH</t>
  </si>
  <si>
    <r>
      <t xml:space="preserve">مباني جديدة
</t>
    </r>
    <r>
      <rPr>
        <b/>
        <sz val="8"/>
        <color indexed="8"/>
        <rFont val="Arial"/>
        <family val="2"/>
      </rPr>
      <t>New Building</t>
    </r>
  </si>
  <si>
    <r>
      <t xml:space="preserve">اضافات
</t>
    </r>
    <r>
      <rPr>
        <b/>
        <sz val="8"/>
        <color indexed="8"/>
        <rFont val="Arial"/>
        <family val="2"/>
      </rPr>
      <t>Additions</t>
    </r>
  </si>
  <si>
    <r>
      <t xml:space="preserve">تحويط
</t>
    </r>
    <r>
      <rPr>
        <b/>
        <sz val="8"/>
        <color indexed="8"/>
        <rFont val="Arial"/>
        <family val="2"/>
      </rPr>
      <t>Fencing</t>
    </r>
  </si>
  <si>
    <r>
      <t xml:space="preserve">المجموع
</t>
    </r>
    <r>
      <rPr>
        <b/>
        <sz val="8"/>
        <color indexed="8"/>
        <rFont val="Arial"/>
        <family val="2"/>
      </rPr>
      <t>Total</t>
    </r>
  </si>
  <si>
    <t>يناير</t>
  </si>
  <si>
    <t>JANUARY</t>
  </si>
  <si>
    <t>فبراير</t>
  </si>
  <si>
    <t>FEBRUARY</t>
  </si>
  <si>
    <t>مارس</t>
  </si>
  <si>
    <t>MARCH</t>
  </si>
  <si>
    <t>ابريل</t>
  </si>
  <si>
    <t>APRIL</t>
  </si>
  <si>
    <t>مايـو</t>
  </si>
  <si>
    <t>MAY</t>
  </si>
  <si>
    <t>يونيو</t>
  </si>
  <si>
    <t>JUNE</t>
  </si>
  <si>
    <t>يوليو</t>
  </si>
  <si>
    <t>JULY</t>
  </si>
  <si>
    <t>اغسطس</t>
  </si>
  <si>
    <t>AUGUST</t>
  </si>
  <si>
    <t>سبتمبر</t>
  </si>
  <si>
    <t>SEPTEMBER</t>
  </si>
  <si>
    <t>أكتوبر</t>
  </si>
  <si>
    <t>OCTOBER</t>
  </si>
  <si>
    <t>نوفمبر</t>
  </si>
  <si>
    <t>NOVEMBER</t>
  </si>
  <si>
    <t>ديسمبر</t>
  </si>
  <si>
    <t>DECEMBER</t>
  </si>
  <si>
    <t>المجموع</t>
  </si>
  <si>
    <t>TOTAL</t>
  </si>
  <si>
    <t>(1) لا تشمل رخص الترميم</t>
  </si>
  <si>
    <t>(1) NOT INCLUDING MAINTENANCE PERMITS</t>
  </si>
  <si>
    <r>
      <t xml:space="preserve">رخص البناء الصادرة </t>
    </r>
    <r>
      <rPr>
        <b/>
        <vertAlign val="superscript"/>
        <sz val="16"/>
        <color indexed="8"/>
        <rFont val="Arial"/>
        <family val="2"/>
      </rPr>
      <t>(1)</t>
    </r>
    <r>
      <rPr>
        <b/>
        <sz val="16"/>
        <color indexed="8"/>
        <rFont val="Arial"/>
        <family val="2"/>
      </rPr>
      <t xml:space="preserve"> حسب نوع الرخصة والشهر</t>
    </r>
  </si>
  <si>
    <t>جدول رقم (2)</t>
  </si>
  <si>
    <r>
      <t xml:space="preserve">بلدية الدوحة </t>
    </r>
    <r>
      <rPr>
        <b/>
        <sz val="10"/>
        <color indexed="8"/>
        <rFont val="Arial"/>
        <family val="2"/>
      </rPr>
      <t>DOHA MUNICIPALITY</t>
    </r>
  </si>
  <si>
    <t>Table No (2)</t>
  </si>
  <si>
    <t>جدول رقم (3)</t>
  </si>
  <si>
    <r>
      <t xml:space="preserve">بلدية الريان </t>
    </r>
    <r>
      <rPr>
        <b/>
        <sz val="10"/>
        <color indexed="8"/>
        <rFont val="Arial"/>
        <family val="2"/>
      </rPr>
      <t>RAYYAN MUNICIPALITY</t>
    </r>
  </si>
  <si>
    <t>Table No (3)</t>
  </si>
  <si>
    <t>جدول رقم (4)</t>
  </si>
  <si>
    <r>
      <t xml:space="preserve">بلدية الوكرة </t>
    </r>
    <r>
      <rPr>
        <b/>
        <sz val="10"/>
        <color indexed="8"/>
        <rFont val="Arial"/>
        <family val="2"/>
      </rPr>
      <t>WAKRAH MUNICIPALITY</t>
    </r>
  </si>
  <si>
    <t>Table No (4)</t>
  </si>
  <si>
    <t>جدول رقم (5)</t>
  </si>
  <si>
    <r>
      <t xml:space="preserve">بلدية أم صلال </t>
    </r>
    <r>
      <rPr>
        <b/>
        <sz val="10"/>
        <color indexed="8"/>
        <rFont val="Arial"/>
        <family val="2"/>
      </rPr>
      <t>UMM SLAL MUNICIPALITY</t>
    </r>
  </si>
  <si>
    <t>Table No (5)</t>
  </si>
  <si>
    <t>جدول رقم (6)</t>
  </si>
  <si>
    <r>
      <t xml:space="preserve">بلدية الخور </t>
    </r>
    <r>
      <rPr>
        <b/>
        <sz val="10"/>
        <color indexed="8"/>
        <rFont val="Arial"/>
        <family val="2"/>
      </rPr>
      <t>AL KHOR MUNICIPALITY</t>
    </r>
  </si>
  <si>
    <t>Table No (6)</t>
  </si>
  <si>
    <t>جدول رقم (7)</t>
  </si>
  <si>
    <r>
      <t xml:space="preserve">بلدية الشمال </t>
    </r>
    <r>
      <rPr>
        <b/>
        <sz val="10"/>
        <color indexed="8"/>
        <rFont val="Arial"/>
        <family val="2"/>
      </rPr>
      <t>AL SHAMAL MUNICIPALITY</t>
    </r>
  </si>
  <si>
    <t>Table No (7)</t>
  </si>
  <si>
    <t>جدول رقم (8)</t>
  </si>
  <si>
    <r>
      <t xml:space="preserve">بلدية الظعاين </t>
    </r>
    <r>
      <rPr>
        <b/>
        <sz val="10"/>
        <color indexed="8"/>
        <rFont val="Arial"/>
        <family val="2"/>
      </rPr>
      <t>AL DAAYEN MUNICIPALITY</t>
    </r>
  </si>
  <si>
    <t>Table No (8)</t>
  </si>
  <si>
    <t>جدول رقم (9)</t>
  </si>
  <si>
    <r>
      <t xml:space="preserve">بلدية الشيحانية </t>
    </r>
    <r>
      <rPr>
        <b/>
        <sz val="10"/>
        <color indexed="8"/>
        <rFont val="Arial"/>
        <family val="2"/>
      </rPr>
      <t>AL-SHAHHANIYA MUNICIPALITY</t>
    </r>
  </si>
  <si>
    <t>Table No (9)</t>
  </si>
  <si>
    <r>
      <t xml:space="preserve">إجمالي رخص البناء الصادرة </t>
    </r>
    <r>
      <rPr>
        <b/>
        <vertAlign val="superscript"/>
        <sz val="16"/>
        <color indexed="8"/>
        <rFont val="Arial"/>
        <family val="2"/>
      </rPr>
      <t>(1)</t>
    </r>
    <r>
      <rPr>
        <b/>
        <sz val="16"/>
        <color indexed="8"/>
        <rFont val="Arial"/>
        <family val="2"/>
      </rPr>
      <t xml:space="preserve"> حسب البلديات ونوع المبنى / نوع الرخصة</t>
    </r>
  </si>
  <si>
    <r>
      <t>TOTAL BUILDING PERMITS ISSUED</t>
    </r>
    <r>
      <rPr>
        <b/>
        <vertAlign val="superscript"/>
        <sz val="12"/>
        <color indexed="8"/>
        <rFont val="Arial"/>
        <family val="2"/>
      </rPr>
      <t>(1)</t>
    </r>
    <r>
      <rPr>
        <b/>
        <sz val="12"/>
        <color indexed="8"/>
        <rFont val="Arial"/>
        <family val="2"/>
      </rPr>
      <t xml:space="preserve"> BY MUNICIPALITY AND TYPE OF BUILDING / TYPE OF PERMIT</t>
    </r>
  </si>
  <si>
    <t>جدول رقم (12)</t>
  </si>
  <si>
    <t>Table No (12)</t>
  </si>
  <si>
    <t>نوع المبنى / نوع الرخصة</t>
  </si>
  <si>
    <r>
      <t xml:space="preserve">الدوحة
</t>
    </r>
    <r>
      <rPr>
        <b/>
        <sz val="8"/>
        <color indexed="8"/>
        <rFont val="Arial"/>
        <family val="2"/>
      </rPr>
      <t>Doha</t>
    </r>
  </si>
  <si>
    <r>
      <t xml:space="preserve">الريان
</t>
    </r>
    <r>
      <rPr>
        <b/>
        <sz val="8"/>
        <color indexed="8"/>
        <rFont val="Arial"/>
        <family val="2"/>
      </rPr>
      <t>Rayyan</t>
    </r>
  </si>
  <si>
    <r>
      <t xml:space="preserve">الوكرة
</t>
    </r>
    <r>
      <rPr>
        <b/>
        <sz val="8"/>
        <color indexed="8"/>
        <rFont val="Arial"/>
        <family val="2"/>
      </rPr>
      <t>Wakrah</t>
    </r>
  </si>
  <si>
    <r>
      <t xml:space="preserve">ام صلال
</t>
    </r>
    <r>
      <rPr>
        <b/>
        <sz val="8"/>
        <color indexed="8"/>
        <rFont val="Arial"/>
        <family val="2"/>
      </rPr>
      <t>Umm Slal</t>
    </r>
  </si>
  <si>
    <r>
      <t xml:space="preserve">الظعاين
</t>
    </r>
    <r>
      <rPr>
        <b/>
        <sz val="8"/>
        <color indexed="8"/>
        <rFont val="Arial"/>
        <family val="2"/>
      </rPr>
      <t>Al-Daayen</t>
    </r>
  </si>
  <si>
    <r>
      <t xml:space="preserve">الخور
</t>
    </r>
    <r>
      <rPr>
        <b/>
        <sz val="8"/>
        <color indexed="8"/>
        <rFont val="Arial"/>
        <family val="2"/>
      </rPr>
      <t>Al-Khor</t>
    </r>
  </si>
  <si>
    <r>
      <t xml:space="preserve">الشمال
</t>
    </r>
    <r>
      <rPr>
        <b/>
        <sz val="8"/>
        <color indexed="8"/>
        <rFont val="Arial"/>
        <family val="2"/>
      </rPr>
      <t>Al-Shamal</t>
    </r>
  </si>
  <si>
    <r>
      <t xml:space="preserve">الشيحانية
</t>
    </r>
    <r>
      <rPr>
        <b/>
        <sz val="8"/>
        <color indexed="8"/>
        <rFont val="Arial"/>
        <family val="2"/>
      </rPr>
      <t>Al-Shahhaniya</t>
    </r>
  </si>
  <si>
    <r>
      <t xml:space="preserve">المجموع 
</t>
    </r>
    <r>
      <rPr>
        <b/>
        <sz val="8"/>
        <color indexed="8"/>
        <rFont val="Arial"/>
        <family val="2"/>
      </rPr>
      <t>Total</t>
    </r>
  </si>
  <si>
    <t>TYPE OF BUILDING / TYPE OF PERMIT</t>
  </si>
  <si>
    <t>مبانى سكنية</t>
  </si>
  <si>
    <t>RESIDENTIAL BUILDINGS</t>
  </si>
  <si>
    <t>فيلا</t>
  </si>
  <si>
    <t>VILLA</t>
  </si>
  <si>
    <t>مساكن قروض الاسكان</t>
  </si>
  <si>
    <t>DEWLLINGS OF HOUSING LOANS</t>
  </si>
  <si>
    <t>عمارة</t>
  </si>
  <si>
    <t>MULTI-STOREYED BUILDING</t>
  </si>
  <si>
    <t>أخرى</t>
  </si>
  <si>
    <t>OTHERS (RESIDENTIAL)</t>
  </si>
  <si>
    <t>مبانى غير سكنية</t>
  </si>
  <si>
    <t>NON RESIDENTIAL BUILDINGS</t>
  </si>
  <si>
    <t>ادارة حكومية</t>
  </si>
  <si>
    <t>PUBLIC BUILDING</t>
  </si>
  <si>
    <t>مبنى تجاري</t>
  </si>
  <si>
    <t>COMMERCIAL BLDG.</t>
  </si>
  <si>
    <t>ورشة/مصنع</t>
  </si>
  <si>
    <t>WORKSHOP/FACTORY</t>
  </si>
  <si>
    <t>مسجد</t>
  </si>
  <si>
    <t>Mosque</t>
  </si>
  <si>
    <t>OTHERS(NON-RESIDENTIAL)</t>
  </si>
  <si>
    <t>الاضافات والتحويط</t>
  </si>
  <si>
    <t>ADDITIONS AND FENCING</t>
  </si>
  <si>
    <t>اضافة</t>
  </si>
  <si>
    <t>ADDITIONS</t>
  </si>
  <si>
    <t>تحويط</t>
  </si>
  <si>
    <t>FENCING</t>
  </si>
  <si>
    <t>المجموع العام</t>
  </si>
  <si>
    <t>GRAND TOTAL</t>
  </si>
  <si>
    <r>
      <t xml:space="preserve">نوع الشهادة
</t>
    </r>
    <r>
      <rPr>
        <b/>
        <sz val="8"/>
        <color indexed="8"/>
        <rFont val="Arial"/>
        <family val="2"/>
      </rPr>
      <t>TYPE OF CERTIFICATE</t>
    </r>
  </si>
  <si>
    <r>
      <t>BUILDING COMPLETION CERTIFICATES ISSUED</t>
    </r>
    <r>
      <rPr>
        <b/>
        <vertAlign val="superscript"/>
        <sz val="12"/>
        <color indexed="8"/>
        <rFont val="Arial"/>
        <family val="2"/>
      </rPr>
      <t>(1)</t>
    </r>
    <r>
      <rPr>
        <b/>
        <sz val="12"/>
        <color indexed="8"/>
        <rFont val="Arial"/>
        <family val="2"/>
      </rPr>
      <t xml:space="preserve"> BY TYPE OF CERTIFICATE AND MONTH</t>
    </r>
  </si>
  <si>
    <r>
      <t xml:space="preserve">شهادات إتمام المباني الصادرة </t>
    </r>
    <r>
      <rPr>
        <b/>
        <vertAlign val="superscript"/>
        <sz val="16"/>
        <color indexed="8"/>
        <rFont val="Arial"/>
        <family val="2"/>
      </rPr>
      <t>(1)</t>
    </r>
    <r>
      <rPr>
        <b/>
        <sz val="16"/>
        <color indexed="8"/>
        <rFont val="Arial"/>
        <family val="2"/>
      </rPr>
      <t xml:space="preserve"> حسب نوع الشهادة والشهر</t>
    </r>
  </si>
  <si>
    <r>
      <t xml:space="preserve">شهادة إتمام المباني الصادرة </t>
    </r>
    <r>
      <rPr>
        <b/>
        <vertAlign val="superscript"/>
        <sz val="16"/>
        <color indexed="8"/>
        <rFont val="Arial"/>
        <family val="2"/>
      </rPr>
      <t>(1)</t>
    </r>
    <r>
      <rPr>
        <b/>
        <sz val="16"/>
        <color indexed="8"/>
        <rFont val="Arial"/>
        <family val="2"/>
      </rPr>
      <t xml:space="preserve"> حسب نوع الشهادة والشهر</t>
    </r>
  </si>
  <si>
    <t>TYPE OF BUILDING / TYPE OF CERTIFICATE</t>
  </si>
  <si>
    <t>نوع المبنى / نوع الشهادة</t>
  </si>
  <si>
    <r>
      <t>TOTAL BUILDING COMPLETION CERTIFICATES ISSUED</t>
    </r>
    <r>
      <rPr>
        <b/>
        <vertAlign val="superscript"/>
        <sz val="12"/>
        <color indexed="8"/>
        <rFont val="Arial"/>
        <family val="2"/>
      </rPr>
      <t>(1)</t>
    </r>
    <r>
      <rPr>
        <b/>
        <sz val="12"/>
        <color indexed="8"/>
        <rFont val="Arial"/>
        <family val="2"/>
      </rPr>
      <t xml:space="preserve"> BY MUNICIPALITY AND TYPE OF BUILDING / TYPE OF CERTIFICATE</t>
    </r>
  </si>
  <si>
    <r>
      <t xml:space="preserve">إجمالي شهادات إتمام المباني الصادرة </t>
    </r>
    <r>
      <rPr>
        <b/>
        <vertAlign val="superscript"/>
        <sz val="16"/>
        <color indexed="8"/>
        <rFont val="Arial"/>
        <family val="2"/>
      </rPr>
      <t>(1)</t>
    </r>
    <r>
      <rPr>
        <b/>
        <sz val="16"/>
        <color indexed="8"/>
        <rFont val="Arial"/>
        <family val="2"/>
      </rPr>
      <t xml:space="preserve"> حسب البلديات ونوع المبنى / نوع الشهادة</t>
    </r>
  </si>
  <si>
    <t>تغطي هذه النشرة الاحصائيات المتعلقة ببيانات رخص البناء والمباني المكتملة الصادرة من قبل بلديات كل من :الدوحة ، الريان ، الوكرة ، أم صلال ، الخور ، الشمال ، الظعاين والشيحانية.</t>
  </si>
  <si>
    <t>This bulletin covers statistical data related to building permits and completed buildings issued by the following municipalities: Doha, Rayyan, Wakrah, Umm Slal, Al-Khor, AL Shamal, AL Daayen and Al Sheehaniya.</t>
  </si>
  <si>
    <r>
      <t xml:space="preserve">شهادات إتمام المباني الصادرة </t>
    </r>
    <r>
      <rPr>
        <b/>
        <vertAlign val="superscript"/>
        <sz val="16"/>
        <color indexed="8"/>
        <rFont val="Arial"/>
        <family val="2"/>
      </rPr>
      <t>(1)</t>
    </r>
    <r>
      <rPr>
        <b/>
        <sz val="16"/>
        <color indexed="8"/>
        <rFont val="Arial"/>
        <family val="2"/>
      </rPr>
      <t>حسب نوع الشهادة والشهر</t>
    </r>
  </si>
  <si>
    <t>الاضافات</t>
  </si>
  <si>
    <t>ADDITION</t>
  </si>
  <si>
    <t>جدول رقم (10)</t>
  </si>
  <si>
    <t>Table No (10)</t>
  </si>
  <si>
    <t>جدول رقم (11)</t>
  </si>
  <si>
    <t>Table No (11)</t>
  </si>
  <si>
    <t>جدول رقم (13)</t>
  </si>
  <si>
    <t>Table No (13)</t>
  </si>
  <si>
    <t>جدول رقم (14)</t>
  </si>
  <si>
    <t>Table No (14)</t>
  </si>
  <si>
    <t>جدول رقم (15)</t>
  </si>
  <si>
    <t>Table No (15)</t>
  </si>
  <si>
    <t>جدول رقم (16)</t>
  </si>
  <si>
    <t>Table No (16)</t>
  </si>
  <si>
    <t>جدول رقم (17)</t>
  </si>
  <si>
    <t>Table No (17)</t>
  </si>
  <si>
    <t>جدول رقم (18)</t>
  </si>
  <si>
    <t>Table No (18)</t>
  </si>
  <si>
    <t>Table No (19)</t>
  </si>
  <si>
    <t>جدول رقم (19)</t>
  </si>
  <si>
    <t>جدول رقم (20)</t>
  </si>
  <si>
    <t>Table No (20)</t>
  </si>
  <si>
    <t>الفصل الأول : رخص البناء</t>
  </si>
  <si>
    <t>Chapter One : Building Permits</t>
  </si>
  <si>
    <t>يناير
JANUARY</t>
  </si>
  <si>
    <t>فبراير
FEBRUARY</t>
  </si>
  <si>
    <t>مارس
MARCH</t>
  </si>
  <si>
    <t>ابريل
APRIL</t>
  </si>
  <si>
    <t xml:space="preserve">مايـو
MAY
</t>
  </si>
  <si>
    <t>يونيو
JUNE</t>
  </si>
  <si>
    <t>يوليو
JULY</t>
  </si>
  <si>
    <t>اغسطس
AUGUST</t>
  </si>
  <si>
    <t>سبتمبر
SEPTEMBER</t>
  </si>
  <si>
    <t>أكتوبر
OCTOBER</t>
  </si>
  <si>
    <t>نوفمبر
NOVEMBER</t>
  </si>
  <si>
    <t>ديسمبر
DECEMBER</t>
  </si>
  <si>
    <r>
      <t xml:space="preserve"> </t>
    </r>
    <r>
      <rPr>
        <b/>
        <sz val="8"/>
        <color theme="1"/>
        <rFont val="Arial"/>
        <family val="2"/>
        <scheme val="minor"/>
      </rPr>
      <t>Graph No. (1)</t>
    </r>
    <r>
      <rPr>
        <b/>
        <sz val="11"/>
        <color theme="1"/>
        <rFont val="Arial"/>
        <family val="2"/>
        <scheme val="minor"/>
      </rPr>
      <t xml:space="preserve"> </t>
    </r>
    <r>
      <rPr>
        <b/>
        <sz val="10"/>
        <color theme="1"/>
        <rFont val="Arial"/>
        <family val="2"/>
        <scheme val="minor"/>
      </rPr>
      <t>شكل رقم</t>
    </r>
  </si>
  <si>
    <r>
      <t xml:space="preserve">رخص البناء الصادرة </t>
    </r>
    <r>
      <rPr>
        <b/>
        <sz val="16"/>
        <color indexed="8"/>
        <rFont val="Arial"/>
        <family val="2"/>
      </rPr>
      <t>حسب نوع الرخصة والشهر</t>
    </r>
  </si>
  <si>
    <t>مبانى سكنية
RESIDENTIAL BUILDINGS</t>
  </si>
  <si>
    <t>مساكن قروض الاسكان
DEWLLINGS OF HOUSING LOANS</t>
  </si>
  <si>
    <t>فيلا
VILLA</t>
  </si>
  <si>
    <t>عمارة
MULTI-STOREYED BUILDING</t>
  </si>
  <si>
    <t>أخرى
OTHERS (RESIDENTIAL)</t>
  </si>
  <si>
    <t>مبانى غير سكنية
NON RESIDENTIAL BUILDINGS</t>
  </si>
  <si>
    <t>ادارة حكومية
PUBLIC BUILDING</t>
  </si>
  <si>
    <t>مبنى تجاري
COMMERCIAL BLDG.</t>
  </si>
  <si>
    <t>ورشة / مصنع
WORKSHOP/FACTORY</t>
  </si>
  <si>
    <t>مسجد
Mosque</t>
  </si>
  <si>
    <t>أخرى
OTHERS(NON-RESIDENTIAL)</t>
  </si>
  <si>
    <r>
      <t xml:space="preserve"> </t>
    </r>
    <r>
      <rPr>
        <b/>
        <sz val="8"/>
        <color theme="1"/>
        <rFont val="Arial"/>
        <family val="2"/>
        <scheme val="minor"/>
      </rPr>
      <t>Graph No. (2)</t>
    </r>
    <r>
      <rPr>
        <sz val="11"/>
        <color theme="1"/>
        <rFont val="Arial"/>
        <family val="2"/>
        <charset val="178"/>
        <scheme val="minor"/>
      </rPr>
      <t xml:space="preserve"> </t>
    </r>
    <r>
      <rPr>
        <b/>
        <sz val="10"/>
        <color theme="1"/>
        <rFont val="Arial"/>
        <family val="2"/>
        <scheme val="minor"/>
      </rPr>
      <t>شكل رقم</t>
    </r>
  </si>
  <si>
    <r>
      <t xml:space="preserve">(1) رخص البناء الصادرة </t>
    </r>
    <r>
      <rPr>
        <sz val="11"/>
        <color theme="1"/>
        <rFont val="Arial"/>
        <family val="2"/>
        <charset val="178"/>
        <scheme val="minor"/>
      </rPr>
      <t>حسب نوع الرخصة والشهر</t>
    </r>
  </si>
  <si>
    <r>
      <t xml:space="preserve">(2) رخص البناء الصادرة </t>
    </r>
    <r>
      <rPr>
        <sz val="11"/>
        <color theme="1"/>
        <rFont val="Arial"/>
        <family val="2"/>
        <charset val="178"/>
        <scheme val="minor"/>
      </rPr>
      <t>حسب نوع الرخصة والشهر  -   بلدية الدوحة</t>
    </r>
  </si>
  <si>
    <t xml:space="preserve">     شكل رقم (1) رخص البناء الصادرة حسب نوع الرخصة والشهر</t>
  </si>
  <si>
    <r>
      <t xml:space="preserve">(2) رخص البناء الصادرة </t>
    </r>
    <r>
      <rPr>
        <sz val="11"/>
        <color theme="1"/>
        <rFont val="Arial"/>
        <family val="2"/>
        <charset val="178"/>
        <scheme val="minor"/>
      </rPr>
      <t>حسب نوع الرخصة والشهر  -   بلدية الريان</t>
    </r>
  </si>
  <si>
    <r>
      <t xml:space="preserve">(4) رخص البناء الصادرة </t>
    </r>
    <r>
      <rPr>
        <sz val="11"/>
        <color theme="1"/>
        <rFont val="Arial"/>
        <family val="2"/>
        <charset val="178"/>
        <scheme val="minor"/>
      </rPr>
      <t>حسب نوع الرخصة والشهر  -   بلدية الوكرة</t>
    </r>
  </si>
  <si>
    <r>
      <t xml:space="preserve">(5) رخص البناء الصادرة </t>
    </r>
    <r>
      <rPr>
        <sz val="11"/>
        <color theme="1"/>
        <rFont val="Arial"/>
        <family val="2"/>
        <charset val="178"/>
        <scheme val="minor"/>
      </rPr>
      <t>حسب نوع الرخصة والشهر  -   بلدية ام صلال</t>
    </r>
  </si>
  <si>
    <r>
      <t xml:space="preserve">(6) رخص البناء الصادرة </t>
    </r>
    <r>
      <rPr>
        <sz val="11"/>
        <color theme="1"/>
        <rFont val="Arial"/>
        <family val="2"/>
        <charset val="178"/>
        <scheme val="minor"/>
      </rPr>
      <t>حسب نوع الرخصة والشهر  -   بلدية الخور</t>
    </r>
  </si>
  <si>
    <r>
      <t xml:space="preserve">(7) رخص البناء الصادرة </t>
    </r>
    <r>
      <rPr>
        <sz val="11"/>
        <color theme="1"/>
        <rFont val="Arial"/>
        <family val="2"/>
        <charset val="178"/>
        <scheme val="minor"/>
      </rPr>
      <t>حسب نوع الرخصة والشهر  -   بلدية الشمال</t>
    </r>
  </si>
  <si>
    <r>
      <t>(8) رخص البناء الصادرة</t>
    </r>
    <r>
      <rPr>
        <sz val="11"/>
        <color theme="1"/>
        <rFont val="Arial"/>
        <family val="2"/>
        <charset val="178"/>
        <scheme val="minor"/>
      </rPr>
      <t xml:space="preserve"> حسب نوع الرخصة والشهر  -   بلدية الظعاين</t>
    </r>
  </si>
  <si>
    <r>
      <t>(9) رخص البناء الصادرة</t>
    </r>
    <r>
      <rPr>
        <b/>
        <sz val="11"/>
        <color theme="1"/>
        <rFont val="Arial"/>
        <family val="2"/>
        <scheme val="minor"/>
      </rPr>
      <t xml:space="preserve"> </t>
    </r>
    <r>
      <rPr>
        <sz val="11"/>
        <color theme="1"/>
        <rFont val="Arial"/>
        <family val="2"/>
        <scheme val="minor"/>
      </rPr>
      <t>حسب نوع الرخصة والشهر  -   بلدية الشحانية</t>
    </r>
  </si>
  <si>
    <r>
      <t>(10) رخص البناء الصادرة</t>
    </r>
    <r>
      <rPr>
        <vertAlign val="superscript"/>
        <sz val="11"/>
        <color theme="1"/>
        <rFont val="Arial"/>
        <family val="2"/>
        <charset val="178"/>
        <scheme val="minor"/>
      </rPr>
      <t xml:space="preserve"> </t>
    </r>
    <r>
      <rPr>
        <sz val="11"/>
        <color theme="1"/>
        <rFont val="Arial"/>
        <family val="2"/>
        <charset val="178"/>
        <scheme val="minor"/>
      </rPr>
      <t>حسب البلديات ونوع المبنى</t>
    </r>
  </si>
  <si>
    <r>
      <t xml:space="preserve">إجمالي رخص البناء الصادرة </t>
    </r>
    <r>
      <rPr>
        <b/>
        <sz val="16"/>
        <color indexed="8"/>
        <rFont val="Arial"/>
        <family val="2"/>
      </rPr>
      <t>حسب نوع المبنى</t>
    </r>
  </si>
  <si>
    <t xml:space="preserve">     شكل رقم (2) إجمالي رخص البناء الصادرة حسب نوع المبنى</t>
  </si>
  <si>
    <t>(2) Building Permits Issued by Type of Permit and Month  -  Doha Municipality</t>
  </si>
  <si>
    <t>(3) Building Permits Issued by Type of Permit and Month  -  Rayyan Municipality</t>
  </si>
  <si>
    <t>(4) Building Permits Issued by Type of Permit and Month  -  Wakrah Municipality</t>
  </si>
  <si>
    <t>(5) Building Permits Issued  by Type of Permit and Month  -  Umm Slal Municipality</t>
  </si>
  <si>
    <t>(6) Building Permits Issued by Type of Permit and Month  -  Al Khor Municipality</t>
  </si>
  <si>
    <t>(7) Building Permits Issued by Type of Permit and Month  -  Al Shamal Municipality</t>
  </si>
  <si>
    <t>(8) Building Permits Issued  by Type of Permit and Month  -  Al Daayen Municipality</t>
  </si>
  <si>
    <t>(9) Building Permits Issued  by Type of Permit and Month  -  ALShahhaniya Municipality</t>
  </si>
  <si>
    <t xml:space="preserve">     Graph No. (1) Building Permits Issued by Type of Permit and Month</t>
  </si>
  <si>
    <t>TOTAL BUILDING PERMITS ISSUED BY TYPE OF BUILDING</t>
  </si>
  <si>
    <t xml:space="preserve">       Graph No. (2) Total Building Permits Issued by Type of Building </t>
  </si>
  <si>
    <r>
      <t xml:space="preserve">(14) شهادات إتمام المباني الصادرة </t>
    </r>
    <r>
      <rPr>
        <sz val="11"/>
        <color theme="1"/>
        <rFont val="Arial"/>
        <family val="2"/>
        <charset val="178"/>
        <scheme val="minor"/>
      </rPr>
      <t>حسب نوع الرخصة والشهر  -   بلدية الوكرة</t>
    </r>
  </si>
  <si>
    <r>
      <t xml:space="preserve">(15) شهادات إتمام المباني الصادرة </t>
    </r>
    <r>
      <rPr>
        <sz val="11"/>
        <color theme="1"/>
        <rFont val="Arial"/>
        <family val="2"/>
        <charset val="178"/>
        <scheme val="minor"/>
      </rPr>
      <t>حسب نوع الرخصة والشهر  -   بلدية ام صلال</t>
    </r>
  </si>
  <si>
    <r>
      <t xml:space="preserve">(16) شهادات إتمام المباني الصادرة </t>
    </r>
    <r>
      <rPr>
        <sz val="11"/>
        <color theme="1"/>
        <rFont val="Arial"/>
        <family val="2"/>
        <charset val="178"/>
        <scheme val="minor"/>
      </rPr>
      <t>حسب نوع الرخصة والشهر  -   بلدية الخور</t>
    </r>
  </si>
  <si>
    <r>
      <t xml:space="preserve">(17) شهادات إتمام المباني الصادرة </t>
    </r>
    <r>
      <rPr>
        <sz val="11"/>
        <color theme="1"/>
        <rFont val="Arial"/>
        <family val="2"/>
        <charset val="178"/>
        <scheme val="minor"/>
      </rPr>
      <t>حسب نوع الرخصة والشهر  -   بلدية الشمال</t>
    </r>
  </si>
  <si>
    <r>
      <t>(18) شهادات إتمام المباني الصادرة</t>
    </r>
    <r>
      <rPr>
        <sz val="11"/>
        <color theme="1"/>
        <rFont val="Arial"/>
        <family val="2"/>
        <charset val="178"/>
        <scheme val="minor"/>
      </rPr>
      <t xml:space="preserve"> حسب نوع الرخصة والشهر  -   بلدية الظعاين</t>
    </r>
  </si>
  <si>
    <r>
      <t>(19) شهادات إتمام المباني الصادرة</t>
    </r>
    <r>
      <rPr>
        <b/>
        <sz val="11"/>
        <color theme="1"/>
        <rFont val="Arial"/>
        <family val="2"/>
        <scheme val="minor"/>
      </rPr>
      <t xml:space="preserve"> </t>
    </r>
    <r>
      <rPr>
        <sz val="11"/>
        <color theme="1"/>
        <rFont val="Arial"/>
        <family val="2"/>
        <scheme val="minor"/>
      </rPr>
      <t>حسب نوع الرخصة والشهر  -   بلدية الشحانية</t>
    </r>
  </si>
  <si>
    <r>
      <t>(20) شهادات إتمام المباني الصادرة</t>
    </r>
    <r>
      <rPr>
        <vertAlign val="superscript"/>
        <sz val="11"/>
        <color theme="1"/>
        <rFont val="Arial"/>
        <family val="2"/>
        <charset val="178"/>
        <scheme val="minor"/>
      </rPr>
      <t xml:space="preserve"> </t>
    </r>
    <r>
      <rPr>
        <sz val="11"/>
        <color theme="1"/>
        <rFont val="Arial"/>
        <family val="2"/>
        <charset val="178"/>
        <scheme val="minor"/>
      </rPr>
      <t>حسب البلديات ونوع المبنى</t>
    </r>
  </si>
  <si>
    <r>
      <t xml:space="preserve">إجمالي رخص البناء الصادرة </t>
    </r>
    <r>
      <rPr>
        <b/>
        <sz val="16"/>
        <color indexed="8"/>
        <rFont val="Arial"/>
        <family val="2"/>
      </rPr>
      <t>حسب البلديات</t>
    </r>
  </si>
  <si>
    <r>
      <t>TOTAL BUILDING PERMITS ISSUED</t>
    </r>
    <r>
      <rPr>
        <b/>
        <sz val="12"/>
        <color indexed="8"/>
        <rFont val="Arial"/>
        <family val="2"/>
      </rPr>
      <t xml:space="preserve"> BY MUNICIPALITY</t>
    </r>
  </si>
  <si>
    <r>
      <t xml:space="preserve"> </t>
    </r>
    <r>
      <rPr>
        <b/>
        <sz val="8"/>
        <color theme="1"/>
        <rFont val="Arial"/>
        <family val="2"/>
        <scheme val="minor"/>
      </rPr>
      <t>Graph No. (3)</t>
    </r>
    <r>
      <rPr>
        <b/>
        <sz val="10"/>
        <color theme="1"/>
        <rFont val="Arial"/>
        <family val="2"/>
        <scheme val="minor"/>
      </rPr>
      <t xml:space="preserve"> شكل رقم</t>
    </r>
  </si>
  <si>
    <t xml:space="preserve">     شكل رقم (3) إجمالي رخص البناء الصادرة حسب البلديات</t>
  </si>
  <si>
    <t xml:space="preserve">       Graph No. (3) Total Building Permits Issued by Municpality </t>
  </si>
  <si>
    <r>
      <t>BUILDING PERMITS ISSUED</t>
    </r>
    <r>
      <rPr>
        <b/>
        <sz val="12"/>
        <color indexed="8"/>
        <rFont val="Arial"/>
        <family val="2"/>
      </rPr>
      <t xml:space="preserve"> BY TYPE OF PERMIT AND MONTH</t>
    </r>
  </si>
  <si>
    <t>شهادات إتمام المباني الصادرة حسب نوع الشهادة والشهر</t>
  </si>
  <si>
    <t>BUILDING COMPLETION CERTIFICATES ISSUED BY TYPE OF CERTIFICATE AND MONTH</t>
  </si>
  <si>
    <r>
      <t xml:space="preserve"> </t>
    </r>
    <r>
      <rPr>
        <b/>
        <sz val="8"/>
        <color theme="1"/>
        <rFont val="Arial"/>
        <family val="2"/>
        <scheme val="minor"/>
      </rPr>
      <t>Graph No. (4)</t>
    </r>
    <r>
      <rPr>
        <b/>
        <sz val="11"/>
        <color theme="1"/>
        <rFont val="Arial"/>
        <family val="2"/>
        <scheme val="minor"/>
      </rPr>
      <t xml:space="preserve"> </t>
    </r>
    <r>
      <rPr>
        <b/>
        <sz val="10"/>
        <color theme="1"/>
        <rFont val="Arial"/>
        <family val="2"/>
        <scheme val="minor"/>
      </rPr>
      <t>شكل رقم</t>
    </r>
  </si>
  <si>
    <t>إجمالي شهادات إتمام المباني الصادرة حسب نوع المبنى</t>
  </si>
  <si>
    <t>TOTAL BUILDING COMPLETION CERTIFICATES ISSUED BY TYPE OF BUILDING</t>
  </si>
  <si>
    <t>إجمالي شهادات إتمام المباني الصادرة حسب البلديات</t>
  </si>
  <si>
    <t>TOTAL BUILDING COMPLETION CERTIFICATES ISSUED BY MUNICIPALITY</t>
  </si>
  <si>
    <t xml:space="preserve">       شكل رقم (4) شهادات إتمام المباني الصادرة حسب نوع الشهادة والشهر</t>
  </si>
  <si>
    <t>الفصل الثاني : شهادات إتمام المباني</t>
  </si>
  <si>
    <t>Chapter Two: Building Completion Certificates</t>
  </si>
  <si>
    <r>
      <t xml:space="preserve">(11) شهادات إتمام المباني الصادرة </t>
    </r>
    <r>
      <rPr>
        <sz val="11"/>
        <color theme="1"/>
        <rFont val="Arial"/>
        <family val="2"/>
        <charset val="178"/>
        <scheme val="minor"/>
      </rPr>
      <t>حسب نوع الشهادة والشهر</t>
    </r>
  </si>
  <si>
    <r>
      <t xml:space="preserve">(12) شهادات إتمام المباني الصادرة </t>
    </r>
    <r>
      <rPr>
        <sz val="11"/>
        <color theme="1"/>
        <rFont val="Arial"/>
        <family val="2"/>
        <charset val="178"/>
        <scheme val="minor"/>
      </rPr>
      <t>حسب نوع الشهادة والشهر  -   بلدية الدوحة</t>
    </r>
  </si>
  <si>
    <r>
      <t xml:space="preserve">(13) شهادات إتمام المباني الصادرة </t>
    </r>
    <r>
      <rPr>
        <sz val="11"/>
        <color theme="1"/>
        <rFont val="Arial"/>
        <family val="2"/>
        <charset val="178"/>
        <scheme val="minor"/>
      </rPr>
      <t>حسب نوع الشهادة والشهر  -   بلدية الريان</t>
    </r>
  </si>
  <si>
    <t xml:space="preserve">        Graph No. (4) Building Completion Certificates Issued by Type of Certificate and Month</t>
  </si>
  <si>
    <t>(1) Building Permits Issued by Type of Permit and Month</t>
  </si>
  <si>
    <t>(10) Building Permits Issued by Municipality and Type of Building</t>
  </si>
  <si>
    <r>
      <t>(11) Building Completion Certificates Issued</t>
    </r>
    <r>
      <rPr>
        <vertAlign val="superscript"/>
        <sz val="8"/>
        <color theme="1"/>
        <rFont val="Arial"/>
        <family val="2"/>
        <scheme val="minor"/>
      </rPr>
      <t>(1)</t>
    </r>
    <r>
      <rPr>
        <sz val="8"/>
        <color theme="1"/>
        <rFont val="Arial"/>
        <family val="2"/>
        <scheme val="minor"/>
      </rPr>
      <t xml:space="preserve"> by Type of Certificate and Month</t>
    </r>
  </si>
  <si>
    <r>
      <t>(12) Building Completion Certificates Issued</t>
    </r>
    <r>
      <rPr>
        <vertAlign val="superscript"/>
        <sz val="8"/>
        <color theme="1"/>
        <rFont val="Arial"/>
        <family val="2"/>
        <scheme val="minor"/>
      </rPr>
      <t>(1)</t>
    </r>
    <r>
      <rPr>
        <sz val="8"/>
        <color theme="1"/>
        <rFont val="Arial"/>
        <family val="2"/>
        <scheme val="minor"/>
      </rPr>
      <t xml:space="preserve"> by Type of Certificate and Month  -  Doha Municipality</t>
    </r>
  </si>
  <si>
    <r>
      <t>(13) Building Completion Certificates Issued</t>
    </r>
    <r>
      <rPr>
        <vertAlign val="superscript"/>
        <sz val="8"/>
        <color theme="1"/>
        <rFont val="Arial"/>
        <family val="2"/>
        <scheme val="minor"/>
      </rPr>
      <t>(1)</t>
    </r>
    <r>
      <rPr>
        <sz val="8"/>
        <color theme="1"/>
        <rFont val="Arial"/>
        <family val="2"/>
        <scheme val="minor"/>
      </rPr>
      <t xml:space="preserve"> by Type of Certificate and Month  -  Rayyan Municipality</t>
    </r>
  </si>
  <si>
    <r>
      <t>(14) Building Completion Certificates Issued</t>
    </r>
    <r>
      <rPr>
        <vertAlign val="superscript"/>
        <sz val="8"/>
        <color theme="1"/>
        <rFont val="Arial"/>
        <family val="2"/>
        <scheme val="minor"/>
      </rPr>
      <t>(1)</t>
    </r>
    <r>
      <rPr>
        <sz val="8"/>
        <color theme="1"/>
        <rFont val="Arial"/>
        <family val="2"/>
        <scheme val="minor"/>
      </rPr>
      <t xml:space="preserve"> by Type of Certificate and Month  -  Wakrah Municipality</t>
    </r>
  </si>
  <si>
    <r>
      <t>(15) Building Completion Certificates Issued</t>
    </r>
    <r>
      <rPr>
        <vertAlign val="superscript"/>
        <sz val="8"/>
        <color theme="1"/>
        <rFont val="Arial"/>
        <family val="2"/>
        <scheme val="minor"/>
      </rPr>
      <t>(1)</t>
    </r>
    <r>
      <rPr>
        <sz val="8"/>
        <color theme="1"/>
        <rFont val="Arial"/>
        <family val="2"/>
        <scheme val="minor"/>
      </rPr>
      <t xml:space="preserve"> by Type of Certificate and Month  -  Umm Slal Municipality</t>
    </r>
  </si>
  <si>
    <r>
      <t>(16) Building Completion Certificates Issued</t>
    </r>
    <r>
      <rPr>
        <vertAlign val="superscript"/>
        <sz val="8"/>
        <color theme="1"/>
        <rFont val="Arial"/>
        <family val="2"/>
        <scheme val="minor"/>
      </rPr>
      <t>(1)</t>
    </r>
    <r>
      <rPr>
        <sz val="8"/>
        <color theme="1"/>
        <rFont val="Arial"/>
        <family val="2"/>
        <scheme val="minor"/>
      </rPr>
      <t xml:space="preserve"> by Type of Certificate and Month  -  Al Khor Municipality</t>
    </r>
  </si>
  <si>
    <r>
      <t>(17) Building Completion Certificates Issued</t>
    </r>
    <r>
      <rPr>
        <vertAlign val="superscript"/>
        <sz val="8"/>
        <color theme="1"/>
        <rFont val="Arial"/>
        <family val="2"/>
        <scheme val="minor"/>
      </rPr>
      <t>(1)</t>
    </r>
    <r>
      <rPr>
        <sz val="8"/>
        <color theme="1"/>
        <rFont val="Arial"/>
        <family val="2"/>
        <scheme val="minor"/>
      </rPr>
      <t xml:space="preserve"> by Type of Certificate and Month  -  Al Shamal Municipality</t>
    </r>
  </si>
  <si>
    <r>
      <t>(18) Building Completion Certificates Issued</t>
    </r>
    <r>
      <rPr>
        <vertAlign val="superscript"/>
        <sz val="8"/>
        <color theme="1"/>
        <rFont val="Arial"/>
        <family val="2"/>
        <scheme val="minor"/>
      </rPr>
      <t xml:space="preserve">(1) </t>
    </r>
    <r>
      <rPr>
        <sz val="8"/>
        <color theme="1"/>
        <rFont val="Arial"/>
        <family val="2"/>
        <scheme val="minor"/>
      </rPr>
      <t>by Type of Certificate and Month  -  Al Daayen Municipality</t>
    </r>
  </si>
  <si>
    <r>
      <t>(19) Building Completion Certificates Issued</t>
    </r>
    <r>
      <rPr>
        <vertAlign val="superscript"/>
        <sz val="8"/>
        <color theme="1"/>
        <rFont val="Arial"/>
        <family val="2"/>
        <scheme val="minor"/>
      </rPr>
      <t>(1)</t>
    </r>
    <r>
      <rPr>
        <sz val="8"/>
        <color theme="1"/>
        <rFont val="Arial"/>
        <family val="2"/>
        <scheme val="minor"/>
      </rPr>
      <t xml:space="preserve"> by Type of Certificate and Month  -  ALShahhaniya Municipality</t>
    </r>
  </si>
  <si>
    <r>
      <t>(20) Total Building Completion Certificates Issued</t>
    </r>
    <r>
      <rPr>
        <vertAlign val="superscript"/>
        <sz val="8"/>
        <color theme="1"/>
        <rFont val="Arial"/>
        <family val="2"/>
        <scheme val="minor"/>
      </rPr>
      <t>(1)</t>
    </r>
    <r>
      <rPr>
        <sz val="8"/>
        <color theme="1"/>
        <rFont val="Arial"/>
        <family val="2"/>
        <scheme val="minor"/>
      </rPr>
      <t xml:space="preserve"> by Municipality and Type of Building / Type of Certificate</t>
    </r>
  </si>
  <si>
    <t xml:space="preserve">     شكل رقم (6) إجمالي شهادات إتمام المباني الصادرة حسب البلديات</t>
  </si>
  <si>
    <t xml:space="preserve">     شكل رقم (5) إجمالي شهادات إتمام المباني الصادرة حسب نوع المبنى</t>
  </si>
  <si>
    <t xml:space="preserve">       Graph No. (5) Total Building Completion Certificates Issued by Type of Building</t>
  </si>
  <si>
    <t xml:space="preserve">       Graph No. (6) Total Building Completion Certificates Issued by Municpality </t>
  </si>
  <si>
    <t xml:space="preserve"> تماشياً مع سياسته في توفير وتطوير البيانات الاحصائية فقد رأى جهاز التخطيط والإحصاء  أن تتفق خطط التطوير مع الاتجاهات والتوصيات الدولية من حيث المفاهيم والتعاريف والبيانات الاحصائية الممكن توفيرها مع الأخذ بعين الاعتبار الظروف المحلية .</t>
  </si>
  <si>
    <t xml:space="preserve"> In accordance with its policy to furnish and develop statistical data, the Planning and Statistics Authority decided that its development plans should coincide with the international recommendations regarding concepts, definitions and statistical data to be furnished taking into consideration domestic circumstances.</t>
  </si>
  <si>
    <t>2 - فترة الإسناد الزمني:</t>
  </si>
  <si>
    <t>3 - إعداد البيانات :</t>
  </si>
  <si>
    <t>2- Reference Period:</t>
  </si>
  <si>
    <t>3- Data Preparation:</t>
  </si>
  <si>
    <t>هو المبنى الذي اكتمل بناؤه وأدخلت فيه كل الخدمات الضرورية من كهرباء وماء وأصبح جاهزاً للاستخدام.</t>
  </si>
  <si>
    <t>5ـ نــوع المـــبنى :</t>
  </si>
  <si>
    <t>4- المـــــبنى المكـتـمـل :</t>
  </si>
  <si>
    <t>5. TYPE OF BUILDINGS:</t>
  </si>
  <si>
    <t>4. Completed Building:</t>
  </si>
  <si>
    <t>A building is considered completed when it is physically ready to be occupied and supplied with the necessary services e.g. electricity and water.</t>
  </si>
  <si>
    <r>
      <t xml:space="preserve"> </t>
    </r>
    <r>
      <rPr>
        <b/>
        <sz val="8"/>
        <color theme="1"/>
        <rFont val="Arial"/>
        <family val="2"/>
        <scheme val="minor"/>
      </rPr>
      <t>Graph No. (5)</t>
    </r>
    <r>
      <rPr>
        <sz val="11"/>
        <color theme="1"/>
        <rFont val="Arial"/>
        <family val="2"/>
        <charset val="178"/>
        <scheme val="minor"/>
      </rPr>
      <t xml:space="preserve"> </t>
    </r>
    <r>
      <rPr>
        <b/>
        <sz val="10"/>
        <color theme="1"/>
        <rFont val="Arial"/>
        <family val="2"/>
        <scheme val="minor"/>
      </rPr>
      <t>شكل رقم</t>
    </r>
  </si>
  <si>
    <r>
      <t xml:space="preserve"> </t>
    </r>
    <r>
      <rPr>
        <b/>
        <sz val="8"/>
        <color theme="1"/>
        <rFont val="Arial"/>
        <family val="2"/>
        <scheme val="minor"/>
      </rPr>
      <t>Graph No. (6)</t>
    </r>
    <r>
      <rPr>
        <b/>
        <sz val="10"/>
        <color theme="1"/>
        <rFont val="Arial"/>
        <family val="2"/>
        <scheme val="minor"/>
      </rPr>
      <t xml:space="preserve"> شكل رقم</t>
    </r>
  </si>
  <si>
    <t>النشرة السنوية
لإحصاءات رخص البناء والمباني المكتملة 2021
The Annual Bulletin of Building Permits and Completed Buildings Statistics
2021</t>
  </si>
  <si>
    <r>
      <t xml:space="preserve">العدد السادس
</t>
    </r>
    <r>
      <rPr>
        <b/>
        <sz val="14"/>
        <rFont val="Arial"/>
        <family val="2"/>
      </rPr>
      <t>6</t>
    </r>
    <r>
      <rPr>
        <b/>
        <vertAlign val="superscript"/>
        <sz val="14"/>
        <rFont val="Arial"/>
        <family val="2"/>
      </rPr>
      <t>th</t>
    </r>
    <r>
      <rPr>
        <b/>
        <sz val="14"/>
        <rFont val="Arial"/>
        <family val="2"/>
      </rPr>
      <t xml:space="preserve"> Issue</t>
    </r>
  </si>
  <si>
    <r>
      <t>يسر جهاز التخطيط والإحصاء أن يقدم العدد</t>
    </r>
    <r>
      <rPr>
        <b/>
        <sz val="20"/>
        <rFont val="Sakkal Majalla"/>
      </rPr>
      <t xml:space="preserve"> السادس</t>
    </r>
    <r>
      <rPr>
        <b/>
        <sz val="20"/>
        <color indexed="8"/>
        <rFont val="Sakkal Majalla"/>
      </rPr>
      <t xml:space="preserve"> من النشرة السنوية لإحصاءات رخص البناء والمباني المكتملة للعام </t>
    </r>
    <r>
      <rPr>
        <b/>
        <sz val="16"/>
        <color indexed="8"/>
        <rFont val="Sakkal Majalla"/>
      </rPr>
      <t>2021</t>
    </r>
    <r>
      <rPr>
        <b/>
        <sz val="20"/>
        <color indexed="8"/>
        <rFont val="Sakkal Majalla"/>
      </rPr>
      <t xml:space="preserve">م وذلك في إطار جهوده المتواصلة في توفير وتطوير كافة أنواع الإحصاءات .
</t>
    </r>
  </si>
  <si>
    <r>
      <t>The Planning and Statistics Authority has the pleasure of introducing the 6</t>
    </r>
    <r>
      <rPr>
        <vertAlign val="superscript"/>
        <sz val="16"/>
        <rFont val="Arial"/>
        <family val="2"/>
      </rPr>
      <t>th</t>
    </r>
    <r>
      <rPr>
        <sz val="16"/>
        <rFont val="Arial"/>
        <family val="2"/>
      </rPr>
      <t xml:space="preserve"> issue of the “Annual Bulletin of Building Permits and Completed Buildings Statistics, 2021” as part of its continuous efforts to furnish and develop all kinds of statistics.</t>
    </r>
  </si>
  <si>
    <t>كما يسر الجهاز أن يتقدم بالشكر الجزيل لكافة المسئولين بوزارة البلدية لتعاونهم ومساهمتهم في إصدار هذه النشرة.</t>
  </si>
  <si>
    <t>The Authority takes this opportunity to express gratitudes and thanks to all concerned officials at the Ministry of Municipality for their cooperation and contribution in producing this bulletin.</t>
  </si>
  <si>
    <r>
      <t xml:space="preserve">إصدار هذه البيانات السنوية يأتي في إطار التنسيق </t>
    </r>
    <r>
      <rPr>
        <b/>
        <sz val="14"/>
        <rFont val="Sakkal Majalla"/>
      </rPr>
      <t>بين جهاز التخطيط  والاحصاء و</t>
    </r>
    <r>
      <rPr>
        <b/>
        <sz val="14"/>
        <color indexed="8"/>
        <rFont val="Sakkal Majalla"/>
      </rPr>
      <t>وزارة البلدية للاستفادة من واقع الربط الإلكتروني القائم بين الجهتين ، حيث يتم الدخول الى قاعدة بيانات وزارة البلدية وسحب البيانات المطلوبة وتحويلها الى ملفات داخلية مؤقتة ومعالجتها وفقاً للتصنيفات الاحصائية المعتمدة وبالتالي إصدار التقارير الاحصائية النهاَئية.</t>
    </r>
  </si>
  <si>
    <t>The release of this annual data comes under the joint cooperation between the Planning and Statistics Authority and the Ministry of Municipality to make use of the existing electronic link between the two entities where we access the data base of the Ministry of Municipality, importing the required data into temporary internal files to perform data processing in accordance with  the adopted statistical classifications and in turn producing final statistical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</si>
</sst>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9">
    <font>
      <sz val="11"/>
      <color theme="1"/>
      <name val="Arial"/>
      <family val="2"/>
      <charset val="178"/>
      <scheme val="minor"/>
    </font>
    <font>
      <sz val="11"/>
      <color theme="1"/>
      <name val="Arial"/>
      <family val="2"/>
      <scheme val="minor"/>
    </font>
    <font>
      <sz val="11"/>
      <color theme="1"/>
      <name val="Arial"/>
      <family val="2"/>
      <scheme val="minor"/>
    </font>
    <font>
      <b/>
      <sz val="18"/>
      <color theme="3"/>
      <name val="Times New Roman"/>
      <family val="2"/>
      <charset val="178"/>
      <scheme val="major"/>
    </font>
    <font>
      <sz val="11"/>
      <color theme="1"/>
      <name val="Arial"/>
      <family val="2"/>
      <scheme val="minor"/>
    </font>
    <font>
      <sz val="11"/>
      <color indexed="8"/>
      <name val="Arial"/>
      <family val="2"/>
    </font>
    <font>
      <sz val="8"/>
      <color indexed="8"/>
      <name val="Arial"/>
      <family val="2"/>
    </font>
    <font>
      <b/>
      <sz val="10"/>
      <color indexed="8"/>
      <name val="Arial"/>
      <family val="2"/>
    </font>
    <font>
      <b/>
      <sz val="12"/>
      <color indexed="8"/>
      <name val="Arial"/>
      <family val="2"/>
    </font>
    <font>
      <b/>
      <sz val="16"/>
      <color indexed="8"/>
      <name val="Arial"/>
      <family val="2"/>
    </font>
    <font>
      <b/>
      <sz val="11"/>
      <color indexed="25"/>
      <name val="Arial"/>
      <family val="2"/>
    </font>
    <font>
      <sz val="10"/>
      <color theme="1"/>
      <name val="Arial"/>
      <family val="2"/>
      <charset val="178"/>
    </font>
    <font>
      <sz val="10"/>
      <color theme="0"/>
      <name val="Arial"/>
      <family val="2"/>
      <charset val="178"/>
    </font>
    <font>
      <sz val="10"/>
      <color rgb="FF9C0006"/>
      <name val="Arial"/>
      <family val="2"/>
      <charset val="178"/>
    </font>
    <font>
      <b/>
      <sz val="10"/>
      <color rgb="FFFA7D00"/>
      <name val="Arial"/>
      <family val="2"/>
      <charset val="178"/>
    </font>
    <font>
      <b/>
      <sz val="10"/>
      <color theme="0"/>
      <name val="Arial"/>
      <family val="2"/>
      <charset val="178"/>
    </font>
    <font>
      <i/>
      <sz val="10"/>
      <color rgb="FF7F7F7F"/>
      <name val="Arial"/>
      <family val="2"/>
      <charset val="178"/>
    </font>
    <font>
      <sz val="10"/>
      <color rgb="FF006100"/>
      <name val="Arial"/>
      <family val="2"/>
      <charset val="178"/>
    </font>
    <font>
      <b/>
      <sz val="15"/>
      <color theme="3"/>
      <name val="Arial"/>
      <family val="2"/>
      <charset val="178"/>
    </font>
    <font>
      <b/>
      <sz val="13"/>
      <color theme="3"/>
      <name val="Arial"/>
      <family val="2"/>
      <charset val="178"/>
    </font>
    <font>
      <b/>
      <sz val="11"/>
      <color theme="3"/>
      <name val="Arial"/>
      <family val="2"/>
      <charset val="178"/>
    </font>
    <font>
      <sz val="10"/>
      <color rgb="FF3F3F76"/>
      <name val="Arial"/>
      <family val="2"/>
      <charset val="178"/>
    </font>
    <font>
      <sz val="10"/>
      <color rgb="FFFA7D00"/>
      <name val="Arial"/>
      <family val="2"/>
      <charset val="178"/>
    </font>
    <font>
      <sz val="10"/>
      <color rgb="FF9C6500"/>
      <name val="Arial"/>
      <family val="2"/>
      <charset val="178"/>
    </font>
    <font>
      <sz val="11"/>
      <color theme="1"/>
      <name val="Calibri"/>
      <family val="2"/>
    </font>
    <font>
      <b/>
      <sz val="10"/>
      <color rgb="FF3F3F3F"/>
      <name val="Arial"/>
      <family val="2"/>
      <charset val="178"/>
    </font>
    <font>
      <b/>
      <sz val="10"/>
      <color theme="1"/>
      <name val="Arial"/>
      <family val="2"/>
      <charset val="178"/>
    </font>
    <font>
      <sz val="10"/>
      <color rgb="FFFF0000"/>
      <name val="Arial"/>
      <family val="2"/>
      <charset val="178"/>
    </font>
    <font>
      <b/>
      <sz val="14"/>
      <color indexed="25"/>
      <name val="Arial"/>
      <family val="2"/>
    </font>
    <font>
      <b/>
      <sz val="20"/>
      <color indexed="8"/>
      <name val="Times New Roman"/>
      <family val="1"/>
    </font>
    <font>
      <b/>
      <sz val="20"/>
      <color indexed="8"/>
      <name val="Arial"/>
      <family val="2"/>
    </font>
    <font>
      <b/>
      <sz val="11"/>
      <color indexed="8"/>
      <name val="Arial"/>
      <family val="2"/>
    </font>
    <font>
      <b/>
      <sz val="14"/>
      <color indexed="8"/>
      <name val="Arial"/>
      <family val="2"/>
    </font>
    <font>
      <b/>
      <sz val="13"/>
      <color indexed="8"/>
      <name val="Arial"/>
      <family val="2"/>
    </font>
    <font>
      <sz val="18"/>
      <color indexed="8"/>
      <name val="Arial"/>
      <family val="2"/>
    </font>
    <font>
      <b/>
      <sz val="18"/>
      <color indexed="8"/>
      <name val="Arial"/>
      <family val="2"/>
    </font>
    <font>
      <b/>
      <sz val="14"/>
      <color indexed="8"/>
      <name val="Arial Black"/>
      <family val="2"/>
    </font>
    <font>
      <b/>
      <sz val="18"/>
      <color indexed="8"/>
      <name val="Arial Black"/>
      <family val="2"/>
    </font>
    <font>
      <b/>
      <sz val="12"/>
      <color indexed="8"/>
      <name val="Arial Black"/>
      <family val="2"/>
    </font>
    <font>
      <b/>
      <sz val="20"/>
      <color indexed="8"/>
      <name val="Sultan bold"/>
      <charset val="178"/>
    </font>
    <font>
      <sz val="12"/>
      <color indexed="8"/>
      <name val="Arial Black"/>
      <family val="2"/>
    </font>
    <font>
      <sz val="16"/>
      <color indexed="8"/>
      <name val="Arial"/>
      <family val="2"/>
    </font>
    <font>
      <sz val="16"/>
      <name val="Arial"/>
      <family val="2"/>
    </font>
    <font>
      <vertAlign val="superscript"/>
      <sz val="16"/>
      <name val="Arial"/>
      <family val="2"/>
    </font>
    <font>
      <b/>
      <sz val="18"/>
      <name val="Arial Black"/>
      <family val="2"/>
    </font>
    <font>
      <b/>
      <sz val="12"/>
      <name val="Arial"/>
      <family val="2"/>
    </font>
    <font>
      <b/>
      <sz val="10"/>
      <name val="Arial"/>
      <family val="2"/>
    </font>
    <font>
      <sz val="11"/>
      <name val="Arial"/>
      <family val="2"/>
    </font>
    <font>
      <b/>
      <sz val="8"/>
      <name val="Arial"/>
      <family val="2"/>
    </font>
    <font>
      <vertAlign val="superscript"/>
      <sz val="11"/>
      <color indexed="8"/>
      <name val="Arial"/>
      <family val="2"/>
    </font>
    <font>
      <b/>
      <sz val="14"/>
      <name val="Arial"/>
      <family val="2"/>
    </font>
    <font>
      <b/>
      <sz val="18"/>
      <name val="Arial"/>
      <family val="2"/>
    </font>
    <font>
      <b/>
      <sz val="16"/>
      <name val="Arial"/>
      <family val="2"/>
    </font>
    <font>
      <b/>
      <sz val="11"/>
      <name val="Arial"/>
      <family val="2"/>
    </font>
    <font>
      <sz val="10"/>
      <name val="Arial"/>
      <family val="2"/>
    </font>
    <font>
      <sz val="13"/>
      <name val="Arial"/>
      <family val="2"/>
    </font>
    <font>
      <b/>
      <sz val="13"/>
      <name val="Arial"/>
      <family val="2"/>
    </font>
    <font>
      <b/>
      <vertAlign val="superscript"/>
      <sz val="14"/>
      <name val="Arial"/>
      <family val="2"/>
    </font>
    <font>
      <b/>
      <sz val="20"/>
      <color theme="0"/>
      <name val="Arial"/>
      <family val="2"/>
    </font>
    <font>
      <b/>
      <sz val="8"/>
      <color theme="1"/>
      <name val="Arial"/>
      <family val="2"/>
      <scheme val="minor"/>
    </font>
    <font>
      <b/>
      <sz val="10"/>
      <color theme="1"/>
      <name val="Arial"/>
      <family val="2"/>
      <scheme val="minor"/>
    </font>
    <font>
      <vertAlign val="superscript"/>
      <sz val="11"/>
      <color theme="1"/>
      <name val="Arial"/>
      <family val="2"/>
      <charset val="178"/>
      <scheme val="minor"/>
    </font>
    <font>
      <sz val="8"/>
      <color theme="1"/>
      <name val="Arial"/>
      <family val="2"/>
      <scheme val="minor"/>
    </font>
    <font>
      <vertAlign val="superscript"/>
      <sz val="8"/>
      <color theme="1"/>
      <name val="Arial"/>
      <family val="2"/>
      <scheme val="minor"/>
    </font>
    <font>
      <b/>
      <sz val="11"/>
      <color theme="1"/>
      <name val="Arial"/>
      <family val="2"/>
      <scheme val="minor"/>
    </font>
    <font>
      <b/>
      <vertAlign val="superscript"/>
      <sz val="16"/>
      <color indexed="8"/>
      <name val="Arial"/>
      <family val="2"/>
    </font>
    <font>
      <b/>
      <vertAlign val="superscript"/>
      <sz val="12"/>
      <color indexed="8"/>
      <name val="Arial"/>
      <family val="2"/>
    </font>
    <font>
      <sz val="12"/>
      <color indexed="8"/>
      <name val="Arial"/>
      <family val="2"/>
    </font>
    <font>
      <b/>
      <sz val="8"/>
      <color indexed="8"/>
      <name val="Arial"/>
      <family val="2"/>
    </font>
    <font>
      <sz val="10"/>
      <color indexed="8"/>
      <name val="Arial"/>
      <family val="2"/>
    </font>
    <font>
      <b/>
      <sz val="12"/>
      <color theme="1"/>
      <name val="Sultan bold"/>
      <charset val="178"/>
    </font>
    <font>
      <b/>
      <sz val="10"/>
      <color theme="1"/>
      <name val="Arial Black"/>
      <family val="2"/>
    </font>
    <font>
      <sz val="10"/>
      <color theme="1"/>
      <name val="Arial Black"/>
      <family val="2"/>
    </font>
    <font>
      <b/>
      <sz val="18"/>
      <color indexed="8"/>
      <name val="Sakkal Majalla"/>
    </font>
    <font>
      <b/>
      <sz val="20"/>
      <color indexed="8"/>
      <name val="Sakkal Majalla"/>
    </font>
    <font>
      <b/>
      <sz val="20"/>
      <name val="Sakkal Majalla"/>
    </font>
    <font>
      <b/>
      <sz val="16"/>
      <color indexed="8"/>
      <name val="Sakkal Majalla"/>
    </font>
    <font>
      <b/>
      <sz val="14"/>
      <color indexed="8"/>
      <name val="Sakkal Majalla"/>
    </font>
    <font>
      <b/>
      <sz val="14"/>
      <name val="Sakkal Majalla"/>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n">
        <color indexed="64"/>
      </top>
      <bottom style="thin">
        <color indexed="64"/>
      </bottom>
      <diagonal/>
    </border>
    <border>
      <left/>
      <right/>
      <top/>
      <bottom style="thin">
        <color indexed="64"/>
      </bottom>
      <diagonal/>
    </border>
    <border>
      <left style="thick">
        <color theme="0"/>
      </left>
      <right style="thick">
        <color theme="0"/>
      </right>
      <top style="thin">
        <color indexed="64"/>
      </top>
      <bottom style="medium">
        <color indexed="25"/>
      </bottom>
      <diagonal/>
    </border>
    <border>
      <left style="thick">
        <color theme="0"/>
      </left>
      <right style="thick">
        <color theme="0"/>
      </right>
      <top style="thin">
        <color indexed="64"/>
      </top>
      <bottom/>
      <diagonal/>
    </border>
    <border>
      <left style="thick">
        <color theme="0"/>
      </left>
      <right style="thick">
        <color theme="0"/>
      </right>
      <top style="medium">
        <color indexed="25"/>
      </top>
      <bottom style="thin">
        <color indexed="64"/>
      </bottom>
      <diagonal/>
    </border>
    <border>
      <left style="thick">
        <color theme="0"/>
      </left>
      <right style="thick">
        <color theme="0"/>
      </right>
      <top/>
      <bottom/>
      <diagonal/>
    </border>
    <border>
      <left/>
      <right style="thick">
        <color theme="0"/>
      </right>
      <top style="thin">
        <color indexed="64"/>
      </top>
      <bottom style="thin">
        <color indexed="64"/>
      </bottom>
      <diagonal/>
    </border>
    <border>
      <left/>
      <right/>
      <top style="thin">
        <color indexed="64"/>
      </top>
      <bottom style="thin">
        <color indexed="64"/>
      </bottom>
      <diagonal/>
    </border>
    <border>
      <left style="thick">
        <color theme="0"/>
      </left>
      <right/>
      <top style="thin">
        <color indexed="64"/>
      </top>
      <bottom style="thin">
        <color indexed="64"/>
      </bottom>
      <diagonal/>
    </border>
    <border>
      <left style="thick">
        <color theme="0"/>
      </left>
      <right style="thick">
        <color theme="0"/>
      </right>
      <top/>
      <bottom style="thin">
        <color indexed="64"/>
      </bottom>
      <diagonal/>
    </border>
  </borders>
  <cellStyleXfs count="46">
    <xf numFmtId="0" fontId="0" fillId="0" borderId="0"/>
    <xf numFmtId="0" fontId="4"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2" fillId="12"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3" fillId="3" borderId="0" applyNumberFormat="0" applyBorder="0" applyAlignment="0" applyProtection="0"/>
    <xf numFmtId="0" fontId="14" fillId="6" borderId="4" applyNumberFormat="0" applyAlignment="0" applyProtection="0"/>
    <xf numFmtId="0" fontId="15" fillId="7" borderId="7" applyNumberFormat="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5" borderId="4" applyNumberFormat="0" applyAlignment="0" applyProtection="0"/>
    <xf numFmtId="0" fontId="22" fillId="0" borderId="6" applyNumberFormat="0" applyFill="0" applyAlignment="0" applyProtection="0"/>
    <xf numFmtId="0" fontId="23" fillId="4" borderId="0" applyNumberFormat="0" applyBorder="0" applyAlignment="0" applyProtection="0"/>
    <xf numFmtId="0" fontId="24" fillId="0" borderId="0"/>
    <xf numFmtId="0" fontId="11" fillId="0" borderId="0"/>
    <xf numFmtId="0" fontId="11" fillId="8" borderId="8" applyNumberFormat="0" applyFont="0" applyAlignment="0" applyProtection="0"/>
    <xf numFmtId="0" fontId="25" fillId="6" borderId="5" applyNumberFormat="0" applyAlignment="0" applyProtection="0"/>
    <xf numFmtId="0" fontId="3"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2" fillId="0" borderId="0"/>
  </cellStyleXfs>
  <cellXfs count="172">
    <xf numFmtId="0" fontId="0" fillId="0" borderId="0" xfId="0"/>
    <xf numFmtId="0" fontId="5" fillId="0" borderId="0" xfId="1" applyFont="1" applyAlignment="1">
      <alignment vertical="center"/>
    </xf>
    <xf numFmtId="0" fontId="10" fillId="0" borderId="0" xfId="1" applyFont="1" applyAlignment="1">
      <alignment horizontal="center" vertical="center" wrapText="1" readingOrder="1"/>
    </xf>
    <xf numFmtId="0" fontId="5" fillId="0" borderId="0" xfId="1" applyFont="1" applyAlignment="1">
      <alignment vertical="center" wrapText="1"/>
    </xf>
    <xf numFmtId="0" fontId="4" fillId="0" borderId="0" xfId="1" applyAlignment="1">
      <alignment vertical="center"/>
    </xf>
    <xf numFmtId="0" fontId="29" fillId="0" borderId="0" xfId="1" applyFont="1" applyAlignment="1">
      <alignment horizontal="center" vertical="center" readingOrder="1"/>
    </xf>
    <xf numFmtId="0" fontId="31" fillId="0" borderId="0" xfId="1" applyFont="1" applyAlignment="1">
      <alignment vertical="center" readingOrder="1"/>
    </xf>
    <xf numFmtId="0" fontId="34" fillId="0" borderId="0" xfId="1" applyFont="1" applyAlignment="1">
      <alignment vertical="center" wrapText="1"/>
    </xf>
    <xf numFmtId="0" fontId="9" fillId="0" borderId="0" xfId="1" applyFont="1" applyAlignment="1">
      <alignment horizontal="center" vertical="center" wrapText="1"/>
    </xf>
    <xf numFmtId="0" fontId="31" fillId="0" borderId="0" xfId="1" applyFont="1" applyAlignment="1">
      <alignment vertical="center" wrapText="1" readingOrder="1"/>
    </xf>
    <xf numFmtId="0" fontId="10" fillId="0" borderId="0" xfId="1" applyFont="1" applyAlignment="1">
      <alignment vertical="center" wrapText="1" readingOrder="1"/>
    </xf>
    <xf numFmtId="0" fontId="6" fillId="0" borderId="0" xfId="1" applyFont="1" applyAlignment="1">
      <alignment horizontal="left" vertical="center"/>
    </xf>
    <xf numFmtId="0" fontId="5" fillId="0" borderId="0" xfId="1" applyFont="1" applyAlignment="1">
      <alignment horizontal="center" vertical="center"/>
    </xf>
    <xf numFmtId="0" fontId="5" fillId="0" borderId="0" xfId="1" applyFont="1" applyAlignment="1">
      <alignment horizontal="right" vertical="center"/>
    </xf>
    <xf numFmtId="0" fontId="48" fillId="0" borderId="0" xfId="1" applyFont="1" applyAlignment="1">
      <alignment horizontal="left" vertical="center"/>
    </xf>
    <xf numFmtId="0" fontId="45" fillId="0" borderId="0" xfId="1" applyFont="1" applyAlignment="1">
      <alignment horizontal="center" vertical="center"/>
    </xf>
    <xf numFmtId="0" fontId="9" fillId="0" borderId="0" xfId="1" applyFont="1" applyAlignment="1">
      <alignment horizontal="center" vertical="center"/>
    </xf>
    <xf numFmtId="0" fontId="9" fillId="0" borderId="0" xfId="1" applyFont="1" applyAlignment="1">
      <alignment vertical="center"/>
    </xf>
    <xf numFmtId="0" fontId="5" fillId="0" borderId="0" xfId="1" applyFont="1" applyAlignment="1">
      <alignment horizontal="distributed" vertical="center" wrapText="1"/>
    </xf>
    <xf numFmtId="0" fontId="34" fillId="0" borderId="0" xfId="1" applyFont="1" applyAlignment="1">
      <alignment horizontal="distributed" vertical="center" wrapText="1"/>
    </xf>
    <xf numFmtId="0" fontId="5" fillId="0" borderId="0" xfId="1" applyFont="1" applyAlignment="1">
      <alignment horizontal="distributed" vertical="top" wrapText="1"/>
    </xf>
    <xf numFmtId="0" fontId="31" fillId="0" borderId="0" xfId="1" applyFont="1" applyAlignment="1">
      <alignment horizontal="distributed" vertical="center" wrapText="1" readingOrder="1"/>
    </xf>
    <xf numFmtId="0" fontId="5" fillId="0" borderId="0" xfId="1" applyFont="1" applyAlignment="1">
      <alignment horizontal="distributed" vertical="center"/>
    </xf>
    <xf numFmtId="0" fontId="10" fillId="0" borderId="0" xfId="1" applyFont="1" applyAlignment="1">
      <alignment horizontal="distributed" vertical="center" wrapText="1" readingOrder="1"/>
    </xf>
    <xf numFmtId="0" fontId="47" fillId="0" borderId="0" xfId="1" applyFont="1" applyAlignment="1">
      <alignment horizontal="distributed" vertical="center" wrapText="1"/>
    </xf>
    <xf numFmtId="0" fontId="56" fillId="0" borderId="0" xfId="1" applyFont="1" applyAlignment="1">
      <alignment horizontal="distributed" vertical="top" wrapText="1" indent="2" readingOrder="2"/>
    </xf>
    <xf numFmtId="0" fontId="46" fillId="0" borderId="0" xfId="1" applyFont="1" applyAlignment="1">
      <alignment horizontal="left" vertical="top" wrapText="1" indent="3"/>
    </xf>
    <xf numFmtId="0" fontId="59" fillId="0" borderId="0" xfId="0" applyFont="1" applyAlignment="1">
      <alignment horizontal="left" vertical="center" indent="1"/>
    </xf>
    <xf numFmtId="0" fontId="59" fillId="33" borderId="0" xfId="0" applyFont="1" applyFill="1" applyAlignment="1">
      <alignment horizontal="left" vertical="center" indent="1"/>
    </xf>
    <xf numFmtId="0" fontId="5" fillId="0" borderId="0" xfId="45" applyFont="1" applyAlignment="1">
      <alignment vertical="center"/>
    </xf>
    <xf numFmtId="0" fontId="8" fillId="0" borderId="0" xfId="45" applyFont="1" applyAlignment="1">
      <alignment horizontal="right" vertical="center" readingOrder="2"/>
    </xf>
    <xf numFmtId="0" fontId="8" fillId="0" borderId="0" xfId="45" applyFont="1" applyAlignment="1">
      <alignment horizontal="right" vertical="center"/>
    </xf>
    <xf numFmtId="0" fontId="67" fillId="0" borderId="0" xfId="45" applyFont="1" applyAlignment="1">
      <alignment vertical="center"/>
    </xf>
    <xf numFmtId="0" fontId="7" fillId="0" borderId="0" xfId="45" applyFont="1" applyAlignment="1">
      <alignment vertical="center"/>
    </xf>
    <xf numFmtId="0" fontId="7" fillId="34" borderId="15" xfId="45" applyFont="1" applyFill="1" applyBorder="1" applyAlignment="1">
      <alignment horizontal="right" vertical="center" indent="1"/>
    </xf>
    <xf numFmtId="0" fontId="69" fillId="34" borderId="15" xfId="45" applyFont="1" applyFill="1" applyBorder="1" applyAlignment="1">
      <alignment horizontal="right" vertical="center" indent="1"/>
    </xf>
    <xf numFmtId="0" fontId="68" fillId="34" borderId="15" xfId="45" applyFont="1" applyFill="1" applyBorder="1" applyAlignment="1">
      <alignment horizontal="left" vertical="center" indent="1"/>
    </xf>
    <xf numFmtId="0" fontId="7" fillId="33" borderId="15" xfId="45" applyFont="1" applyFill="1" applyBorder="1" applyAlignment="1">
      <alignment horizontal="right" vertical="center" indent="1"/>
    </xf>
    <xf numFmtId="0" fontId="69" fillId="33" borderId="15" xfId="45" applyFont="1" applyFill="1" applyBorder="1" applyAlignment="1">
      <alignment horizontal="right" vertical="center" indent="1"/>
    </xf>
    <xf numFmtId="0" fontId="68" fillId="33" borderId="15" xfId="45" applyFont="1" applyFill="1" applyBorder="1" applyAlignment="1">
      <alignment horizontal="left" vertical="center" indent="1"/>
    </xf>
    <xf numFmtId="0" fontId="7" fillId="34" borderId="10" xfId="45" applyFont="1" applyFill="1" applyBorder="1" applyAlignment="1">
      <alignment horizontal="center" vertical="center"/>
    </xf>
    <xf numFmtId="0" fontId="7" fillId="34" borderId="10" xfId="45" applyFont="1" applyFill="1" applyBorder="1" applyAlignment="1">
      <alignment horizontal="right" vertical="center" indent="1"/>
    </xf>
    <xf numFmtId="0" fontId="68" fillId="34" borderId="10" xfId="45" applyFont="1" applyFill="1" applyBorder="1" applyAlignment="1">
      <alignment horizontal="center" vertical="center"/>
    </xf>
    <xf numFmtId="0" fontId="6" fillId="0" borderId="0" xfId="45" applyFont="1" applyAlignment="1">
      <alignment vertical="center"/>
    </xf>
    <xf numFmtId="0" fontId="68" fillId="0" borderId="0" xfId="45" applyFont="1" applyAlignment="1">
      <alignment vertical="center"/>
    </xf>
    <xf numFmtId="0" fontId="10" fillId="0" borderId="0" xfId="45" applyFont="1" applyAlignment="1">
      <alignment vertical="center" readingOrder="1"/>
    </xf>
    <xf numFmtId="0" fontId="9" fillId="0" borderId="0" xfId="45" applyFont="1" applyAlignment="1">
      <alignment vertical="center" wrapText="1" readingOrder="2"/>
    </xf>
    <xf numFmtId="0" fontId="8" fillId="0" borderId="0" xfId="45" applyFont="1" applyAlignment="1">
      <alignment vertical="center"/>
    </xf>
    <xf numFmtId="0" fontId="7" fillId="33" borderId="10" xfId="45" applyFont="1" applyFill="1" applyBorder="1" applyAlignment="1">
      <alignment horizontal="center" vertical="center"/>
    </xf>
    <xf numFmtId="0" fontId="68" fillId="33" borderId="10" xfId="45" applyFont="1" applyFill="1" applyBorder="1" applyAlignment="1">
      <alignment horizontal="center" vertical="center"/>
    </xf>
    <xf numFmtId="0" fontId="8" fillId="34" borderId="15" xfId="45" applyFont="1" applyFill="1" applyBorder="1" applyAlignment="1">
      <alignment horizontal="right" vertical="center" indent="1"/>
    </xf>
    <xf numFmtId="0" fontId="69" fillId="34" borderId="15" xfId="45" applyFont="1" applyFill="1" applyBorder="1" applyAlignment="1">
      <alignment horizontal="right" vertical="center"/>
    </xf>
    <xf numFmtId="0" fontId="7" fillId="34" borderId="15" xfId="45" applyFont="1" applyFill="1" applyBorder="1" applyAlignment="1">
      <alignment horizontal="left" vertical="center" indent="1"/>
    </xf>
    <xf numFmtId="0" fontId="7" fillId="33" borderId="15" xfId="45" applyFont="1" applyFill="1" applyBorder="1" applyAlignment="1">
      <alignment horizontal="right" vertical="center" wrapText="1" indent="4"/>
    </xf>
    <xf numFmtId="0" fontId="68" fillId="33" borderId="15" xfId="45" applyFont="1" applyFill="1" applyBorder="1" applyAlignment="1">
      <alignment horizontal="left" vertical="center" indent="4"/>
    </xf>
    <xf numFmtId="0" fontId="5" fillId="0" borderId="0" xfId="45" applyFont="1" applyAlignment="1">
      <alignment vertical="center" wrapText="1"/>
    </xf>
    <xf numFmtId="0" fontId="7" fillId="34" borderId="15" xfId="45" applyFont="1" applyFill="1" applyBorder="1" applyAlignment="1">
      <alignment horizontal="right" vertical="center" wrapText="1" indent="4"/>
    </xf>
    <xf numFmtId="0" fontId="68" fillId="34" borderId="15" xfId="45" applyFont="1" applyFill="1" applyBorder="1" applyAlignment="1">
      <alignment horizontal="left" vertical="center" indent="4"/>
    </xf>
    <xf numFmtId="0" fontId="7" fillId="33" borderId="15" xfId="45" applyFont="1" applyFill="1" applyBorder="1" applyAlignment="1">
      <alignment horizontal="right" vertical="center" indent="4"/>
    </xf>
    <xf numFmtId="0" fontId="7" fillId="34" borderId="15" xfId="45" applyFont="1" applyFill="1" applyBorder="1" applyAlignment="1">
      <alignment horizontal="right" vertical="center" indent="4"/>
    </xf>
    <xf numFmtId="0" fontId="7" fillId="33" borderId="10" xfId="45" applyFont="1" applyFill="1" applyBorder="1" applyAlignment="1">
      <alignment horizontal="right" vertical="center" indent="1"/>
    </xf>
    <xf numFmtId="0" fontId="7" fillId="0" borderId="10" xfId="45" applyFont="1" applyBorder="1" applyAlignment="1">
      <alignment horizontal="right" vertical="center" indent="1"/>
    </xf>
    <xf numFmtId="0" fontId="7" fillId="0" borderId="10" xfId="45" applyFont="1" applyBorder="1" applyAlignment="1">
      <alignment horizontal="center" vertical="center"/>
    </xf>
    <xf numFmtId="0" fontId="68" fillId="0" borderId="10" xfId="45" applyFont="1" applyBorder="1" applyAlignment="1">
      <alignment horizontal="center" vertical="center"/>
    </xf>
    <xf numFmtId="0" fontId="7" fillId="0" borderId="0" xfId="45" applyFont="1" applyAlignment="1">
      <alignment horizontal="right" vertical="center" readingOrder="2"/>
    </xf>
    <xf numFmtId="0" fontId="68" fillId="0" borderId="0" xfId="45" applyFont="1" applyAlignment="1">
      <alignment wrapText="1"/>
    </xf>
    <xf numFmtId="0" fontId="0" fillId="34" borderId="0" xfId="0" applyFill="1"/>
    <xf numFmtId="0" fontId="71" fillId="34" borderId="0" xfId="0" applyFont="1" applyFill="1" applyAlignment="1">
      <alignment horizontal="center" vertical="center"/>
    </xf>
    <xf numFmtId="0" fontId="8" fillId="0" borderId="0" xfId="45" applyFont="1" applyAlignment="1">
      <alignment vertical="top"/>
    </xf>
    <xf numFmtId="0" fontId="7" fillId="35" borderId="10" xfId="45" applyFont="1" applyFill="1" applyBorder="1" applyAlignment="1">
      <alignment horizontal="center" vertical="center" wrapText="1"/>
    </xf>
    <xf numFmtId="0" fontId="7" fillId="35" borderId="10" xfId="45" applyFont="1" applyFill="1" applyBorder="1" applyAlignment="1">
      <alignment horizontal="center" vertical="center"/>
    </xf>
    <xf numFmtId="0" fontId="7" fillId="35" borderId="10" xfId="45" applyFont="1" applyFill="1" applyBorder="1" applyAlignment="1">
      <alignment horizontal="center" vertical="center" wrapText="1" readingOrder="1"/>
    </xf>
    <xf numFmtId="0" fontId="68" fillId="35" borderId="10" xfId="45" applyFont="1" applyFill="1" applyBorder="1" applyAlignment="1">
      <alignment horizontal="center" vertical="center"/>
    </xf>
    <xf numFmtId="0" fontId="59" fillId="33" borderId="0" xfId="0" applyFont="1" applyFill="1" applyAlignment="1">
      <alignment horizontal="left" vertical="center" indent="1" readingOrder="1"/>
    </xf>
    <xf numFmtId="0" fontId="59" fillId="0" borderId="0" xfId="0" applyFont="1" applyAlignment="1">
      <alignment horizontal="left" vertical="center" indent="1" readingOrder="1"/>
    </xf>
    <xf numFmtId="0" fontId="59" fillId="33" borderId="11" xfId="0" applyFont="1" applyFill="1" applyBorder="1" applyAlignment="1">
      <alignment horizontal="left" vertical="center" indent="1" readingOrder="1"/>
    </xf>
    <xf numFmtId="0" fontId="8" fillId="35" borderId="10" xfId="1" applyFont="1" applyFill="1" applyBorder="1" applyAlignment="1">
      <alignment horizontal="center" vertical="center" wrapText="1" readingOrder="2"/>
    </xf>
    <xf numFmtId="0" fontId="7" fillId="35" borderId="10" xfId="1" applyFont="1" applyFill="1" applyBorder="1" applyAlignment="1">
      <alignment horizontal="center" vertical="center" wrapText="1" readingOrder="1"/>
    </xf>
    <xf numFmtId="0" fontId="7" fillId="35" borderId="10" xfId="1" applyFont="1" applyFill="1" applyBorder="1" applyAlignment="1">
      <alignment horizontal="center" vertical="center" wrapText="1" readingOrder="2"/>
    </xf>
    <xf numFmtId="0" fontId="7" fillId="33" borderId="16" xfId="1" applyFont="1" applyFill="1" applyBorder="1" applyAlignment="1">
      <alignment horizontal="center" vertical="center" wrapText="1" readingOrder="2"/>
    </xf>
    <xf numFmtId="0" fontId="60" fillId="0" borderId="15" xfId="0" applyFont="1" applyBorder="1" applyAlignment="1">
      <alignment horizontal="right" vertical="center" indent="1"/>
    </xf>
    <xf numFmtId="0" fontId="60" fillId="33" borderId="15" xfId="0" applyFont="1" applyFill="1" applyBorder="1" applyAlignment="1">
      <alignment horizontal="right" vertical="center" indent="1"/>
    </xf>
    <xf numFmtId="0" fontId="70" fillId="34" borderId="15" xfId="0" applyFont="1" applyFill="1" applyBorder="1" applyAlignment="1">
      <alignment horizontal="center" vertical="center"/>
    </xf>
    <xf numFmtId="0" fontId="60" fillId="33" borderId="15" xfId="0" applyFont="1" applyFill="1" applyBorder="1" applyAlignment="1">
      <alignment horizontal="right" vertical="center" indent="1" readingOrder="2"/>
    </xf>
    <xf numFmtId="0" fontId="60" fillId="0" borderId="15" xfId="0" applyFont="1" applyBorder="1" applyAlignment="1">
      <alignment horizontal="right" vertical="center" indent="1" readingOrder="2"/>
    </xf>
    <xf numFmtId="0" fontId="60" fillId="34" borderId="15" xfId="0" applyFont="1" applyFill="1" applyBorder="1" applyAlignment="1">
      <alignment horizontal="right" vertical="center" indent="1" readingOrder="2"/>
    </xf>
    <xf numFmtId="0" fontId="60" fillId="33" borderId="19" xfId="0" applyFont="1" applyFill="1" applyBorder="1" applyAlignment="1">
      <alignment horizontal="right" vertical="center" indent="1" readingOrder="2"/>
    </xf>
    <xf numFmtId="0" fontId="62" fillId="0" borderId="15" xfId="0" applyFont="1" applyBorder="1" applyAlignment="1">
      <alignment horizontal="left" vertical="center" indent="1"/>
    </xf>
    <xf numFmtId="0" fontId="62" fillId="33" borderId="15" xfId="0" applyFont="1" applyFill="1" applyBorder="1" applyAlignment="1">
      <alignment horizontal="left" vertical="center" indent="1"/>
    </xf>
    <xf numFmtId="0" fontId="72" fillId="34" borderId="15" xfId="0" applyFont="1" applyFill="1" applyBorder="1" applyAlignment="1">
      <alignment horizontal="center" vertical="center"/>
    </xf>
    <xf numFmtId="0" fontId="62" fillId="33" borderId="15" xfId="0" applyFont="1" applyFill="1" applyBorder="1" applyAlignment="1">
      <alignment horizontal="left" vertical="center" indent="1" readingOrder="1"/>
    </xf>
    <xf numFmtId="0" fontId="62" fillId="34" borderId="15" xfId="0" applyFont="1" applyFill="1" applyBorder="1" applyAlignment="1">
      <alignment horizontal="left" vertical="center" indent="1"/>
    </xf>
    <xf numFmtId="0" fontId="62" fillId="33" borderId="19" xfId="0" applyFont="1" applyFill="1" applyBorder="1" applyAlignment="1">
      <alignment horizontal="left" vertical="center" indent="1"/>
    </xf>
    <xf numFmtId="0" fontId="62" fillId="0" borderId="15" xfId="0" applyFont="1" applyBorder="1" applyAlignment="1">
      <alignment horizontal="left" vertical="center" indent="1" readingOrder="1"/>
    </xf>
    <xf numFmtId="0" fontId="60" fillId="34" borderId="15" xfId="0" applyFont="1" applyFill="1" applyBorder="1" applyAlignment="1">
      <alignment horizontal="right" vertical="center" indent="1"/>
    </xf>
    <xf numFmtId="0" fontId="70" fillId="33" borderId="15" xfId="0" applyFont="1" applyFill="1" applyBorder="1" applyAlignment="1">
      <alignment horizontal="center" vertical="center"/>
    </xf>
    <xf numFmtId="0" fontId="72" fillId="33" borderId="15" xfId="0" applyFont="1" applyFill="1" applyBorder="1" applyAlignment="1">
      <alignment horizontal="center" vertical="center"/>
    </xf>
    <xf numFmtId="0" fontId="62" fillId="34" borderId="15" xfId="0" applyFont="1" applyFill="1" applyBorder="1" applyAlignment="1">
      <alignment horizontal="left" vertical="center" indent="1" readingOrder="1"/>
    </xf>
    <xf numFmtId="0" fontId="60" fillId="34" borderId="19" xfId="0" applyFont="1" applyFill="1" applyBorder="1" applyAlignment="1">
      <alignment horizontal="right" vertical="center" indent="1" readingOrder="2"/>
    </xf>
    <xf numFmtId="0" fontId="62" fillId="34" borderId="19" xfId="0" applyFont="1" applyFill="1" applyBorder="1" applyAlignment="1">
      <alignment horizontal="left" vertical="center" indent="1"/>
    </xf>
    <xf numFmtId="0" fontId="0" fillId="0" borderId="15" xfId="0" applyBorder="1" applyAlignment="1">
      <alignment horizontal="center" vertical="center"/>
    </xf>
    <xf numFmtId="0" fontId="0" fillId="33" borderId="15" xfId="0" applyFill="1" applyBorder="1" applyAlignment="1">
      <alignment horizontal="center" vertical="center"/>
    </xf>
    <xf numFmtId="0" fontId="0" fillId="34" borderId="15" xfId="0" applyFill="1" applyBorder="1" applyAlignment="1">
      <alignment horizontal="center" vertical="center"/>
    </xf>
    <xf numFmtId="0" fontId="0" fillId="34" borderId="19" xfId="0" applyFill="1" applyBorder="1" applyAlignment="1">
      <alignment horizontal="center" vertical="center"/>
    </xf>
    <xf numFmtId="0" fontId="0" fillId="33" borderId="19" xfId="0" applyFill="1" applyBorder="1" applyAlignment="1">
      <alignment horizontal="center" vertical="center"/>
    </xf>
    <xf numFmtId="0" fontId="52" fillId="0" borderId="0" xfId="1" applyFont="1" applyAlignment="1">
      <alignment horizontal="center" vertical="center" wrapText="1" readingOrder="1"/>
    </xf>
    <xf numFmtId="0" fontId="32" fillId="0" borderId="0" xfId="1" applyFont="1" applyAlignment="1">
      <alignment horizontal="left" vertical="center" wrapText="1" indent="2"/>
    </xf>
    <xf numFmtId="0" fontId="9" fillId="0" borderId="0" xfId="1" applyFont="1" applyAlignment="1">
      <alignment horizontal="right" vertical="center" wrapText="1" indent="2"/>
    </xf>
    <xf numFmtId="0" fontId="10" fillId="0" borderId="0" xfId="1" applyFont="1" applyAlignment="1">
      <alignment horizontal="center" wrapText="1" readingOrder="1"/>
    </xf>
    <xf numFmtId="0" fontId="30" fillId="0" borderId="0" xfId="1" applyFont="1" applyAlignment="1">
      <alignment horizontal="center" vertical="center" wrapText="1" readingOrder="1"/>
    </xf>
    <xf numFmtId="0" fontId="28" fillId="0" borderId="0" xfId="1" applyFont="1" applyAlignment="1">
      <alignment horizontal="center" vertical="center" wrapText="1" readingOrder="1"/>
    </xf>
    <xf numFmtId="0" fontId="10" fillId="0" borderId="0" xfId="1" applyFont="1" applyAlignment="1">
      <alignment horizontal="center" vertical="center" wrapText="1" readingOrder="1"/>
    </xf>
    <xf numFmtId="0" fontId="44" fillId="0" borderId="0" xfId="1" applyFont="1" applyAlignment="1">
      <alignment horizontal="center" vertical="center" wrapText="1" readingOrder="1"/>
    </xf>
    <xf numFmtId="0" fontId="42" fillId="0" borderId="0" xfId="1" applyFont="1" applyAlignment="1">
      <alignment horizontal="left" vertical="top" wrapText="1" readingOrder="1"/>
    </xf>
    <xf numFmtId="0" fontId="74" fillId="0" borderId="0" xfId="1" applyFont="1" applyAlignment="1">
      <alignment horizontal="right" vertical="top" wrapText="1" readingOrder="2"/>
    </xf>
    <xf numFmtId="0" fontId="40" fillId="0" borderId="0" xfId="1" applyFont="1" applyAlignment="1">
      <alignment horizontal="center" vertical="top" wrapText="1"/>
    </xf>
    <xf numFmtId="0" fontId="73" fillId="0" borderId="0" xfId="1" applyFont="1" applyAlignment="1">
      <alignment horizontal="center" vertical="top" wrapText="1" readingOrder="2"/>
    </xf>
    <xf numFmtId="0" fontId="36" fillId="0" borderId="0" xfId="1" applyFont="1" applyAlignment="1">
      <alignment horizontal="center" vertical="center" wrapText="1" readingOrder="2"/>
    </xf>
    <xf numFmtId="0" fontId="35" fillId="0" borderId="0" xfId="1" applyFont="1" applyAlignment="1">
      <alignment horizontal="center" vertical="center" wrapText="1" readingOrder="2"/>
    </xf>
    <xf numFmtId="0" fontId="30" fillId="0" borderId="0" xfId="1" applyFont="1" applyAlignment="1">
      <alignment horizontal="center" vertical="center" wrapText="1" readingOrder="2"/>
    </xf>
    <xf numFmtId="0" fontId="41" fillId="0" borderId="0" xfId="1" applyFont="1" applyAlignment="1">
      <alignment horizontal="left" vertical="top" wrapText="1" readingOrder="1"/>
    </xf>
    <xf numFmtId="0" fontId="32" fillId="0" borderId="0" xfId="1" applyFont="1" applyAlignment="1">
      <alignment horizontal="left" vertical="center" wrapText="1" readingOrder="1"/>
    </xf>
    <xf numFmtId="0" fontId="47" fillId="0" borderId="0" xfId="1" applyFont="1" applyAlignment="1">
      <alignment horizontal="left" vertical="top" wrapText="1" indent="3"/>
    </xf>
    <xf numFmtId="0" fontId="9" fillId="0" borderId="0" xfId="1" applyFont="1" applyAlignment="1">
      <alignment horizontal="right" vertical="center" readingOrder="2"/>
    </xf>
    <xf numFmtId="0" fontId="77" fillId="0" borderId="0" xfId="1" applyFont="1" applyAlignment="1">
      <alignment horizontal="right" vertical="top" wrapText="1" indent="3" readingOrder="2"/>
    </xf>
    <xf numFmtId="0" fontId="5" fillId="0" borderId="0" xfId="1" applyFont="1" applyAlignment="1">
      <alignment horizontal="left" vertical="top" wrapText="1" indent="3"/>
    </xf>
    <xf numFmtId="0" fontId="77" fillId="0" borderId="0" xfId="1" applyFont="1" applyAlignment="1">
      <alignment horizontal="right" vertical="top" wrapText="1" readingOrder="2"/>
    </xf>
    <xf numFmtId="0" fontId="47" fillId="0" borderId="0" xfId="1" applyFont="1" applyAlignment="1">
      <alignment horizontal="left" vertical="center" wrapText="1" readingOrder="1"/>
    </xf>
    <xf numFmtId="0" fontId="77" fillId="0" borderId="0" xfId="1" applyFont="1" applyFill="1" applyAlignment="1">
      <alignment horizontal="right" vertical="top" wrapText="1" indent="3" readingOrder="2"/>
    </xf>
    <xf numFmtId="0" fontId="50" fillId="0" borderId="0" xfId="1" applyFont="1" applyAlignment="1">
      <alignment horizontal="distributed" vertical="center" wrapText="1" readingOrder="1"/>
    </xf>
    <xf numFmtId="0" fontId="51" fillId="0" borderId="0" xfId="1" applyFont="1" applyAlignment="1">
      <alignment horizontal="center" vertical="center" wrapText="1" readingOrder="1"/>
    </xf>
    <xf numFmtId="0" fontId="55" fillId="0" borderId="0" xfId="1" applyFont="1" applyAlignment="1">
      <alignment horizontal="right" vertical="top" wrapText="1" indent="2" readingOrder="2"/>
    </xf>
    <xf numFmtId="0" fontId="54" fillId="0" borderId="0" xfId="1" applyFont="1" applyAlignment="1">
      <alignment horizontal="left" vertical="top" wrapText="1" indent="3"/>
    </xf>
    <xf numFmtId="0" fontId="50" fillId="0" borderId="0" xfId="1" applyFont="1" applyAlignment="1">
      <alignment horizontal="right" vertical="top" wrapText="1" readingOrder="2"/>
    </xf>
    <xf numFmtId="0" fontId="53" fillId="0" borderId="0" xfId="1" applyFont="1" applyAlignment="1">
      <alignment horizontal="left" vertical="top" wrapText="1"/>
    </xf>
    <xf numFmtId="0" fontId="56" fillId="0" borderId="0" xfId="1" applyFont="1" applyAlignment="1">
      <alignment horizontal="distributed" vertical="top" wrapText="1" indent="2" readingOrder="2"/>
    </xf>
    <xf numFmtId="0" fontId="46" fillId="0" borderId="0" xfId="1" applyFont="1" applyAlignment="1">
      <alignment horizontal="left" vertical="top" wrapText="1" indent="3"/>
    </xf>
    <xf numFmtId="0" fontId="55" fillId="0" borderId="0" xfId="1" applyFont="1" applyAlignment="1">
      <alignment horizontal="right" vertical="top" wrapText="1" indent="4" readingOrder="2"/>
    </xf>
    <xf numFmtId="0" fontId="54" fillId="0" borderId="0" xfId="1" applyFont="1" applyAlignment="1">
      <alignment horizontal="left" vertical="top" wrapText="1" indent="5"/>
    </xf>
    <xf numFmtId="0" fontId="56" fillId="0" borderId="0" xfId="1" applyFont="1" applyAlignment="1">
      <alignment horizontal="distributed" vertical="center" wrapText="1" indent="2" readingOrder="2"/>
    </xf>
    <xf numFmtId="0" fontId="46" fillId="0" borderId="0" xfId="1" applyFont="1" applyAlignment="1">
      <alignment horizontal="left" vertical="center" wrapText="1" indent="3"/>
    </xf>
    <xf numFmtId="0" fontId="46" fillId="0" borderId="0" xfId="1" applyFont="1" applyAlignment="1">
      <alignment horizontal="left" vertical="top" wrapText="1" indent="2"/>
    </xf>
    <xf numFmtId="0" fontId="46" fillId="0" borderId="0" xfId="1" applyFont="1" applyAlignment="1">
      <alignment horizontal="left" wrapText="1" indent="3"/>
    </xf>
    <xf numFmtId="0" fontId="56" fillId="0" borderId="0" xfId="1" applyFont="1" applyAlignment="1">
      <alignment horizontal="distributed" wrapText="1" indent="2" readingOrder="2"/>
    </xf>
    <xf numFmtId="0" fontId="50" fillId="0" borderId="0" xfId="1" applyFont="1" applyAlignment="1">
      <alignment horizontal="center" vertical="top" wrapText="1"/>
    </xf>
    <xf numFmtId="0" fontId="51" fillId="0" borderId="0" xfId="1" applyFont="1" applyFill="1" applyAlignment="1">
      <alignment horizontal="center" vertical="top" wrapText="1" readingOrder="2"/>
    </xf>
    <xf numFmtId="0" fontId="50" fillId="0" borderId="0" xfId="1" applyFont="1" applyAlignment="1">
      <alignment horizontal="right" vertical="center" readingOrder="2"/>
    </xf>
    <xf numFmtId="0" fontId="54" fillId="0" borderId="0" xfId="1" applyFont="1" applyAlignment="1">
      <alignment horizontal="left" vertical="top" wrapText="1" indent="2" readingOrder="1"/>
    </xf>
    <xf numFmtId="0" fontId="54" fillId="0" borderId="0" xfId="1" applyFont="1" applyAlignment="1">
      <alignment horizontal="left" vertical="top" wrapText="1" indent="3" readingOrder="1"/>
    </xf>
    <xf numFmtId="0" fontId="58" fillId="34" borderId="0" xfId="1" applyFont="1" applyFill="1" applyAlignment="1">
      <alignment horizontal="center" vertical="center" wrapText="1" readingOrder="2"/>
    </xf>
    <xf numFmtId="0" fontId="7" fillId="0" borderId="0" xfId="45" applyFont="1" applyAlignment="1">
      <alignment horizontal="right" vertical="center" readingOrder="2"/>
    </xf>
    <xf numFmtId="0" fontId="10" fillId="0" borderId="0" xfId="45" applyFont="1" applyAlignment="1">
      <alignment horizontal="center" vertical="center" wrapText="1" readingOrder="1"/>
    </xf>
    <xf numFmtId="0" fontId="10" fillId="0" borderId="0" xfId="45" applyFont="1" applyAlignment="1">
      <alignment horizontal="center" vertical="center" readingOrder="1"/>
    </xf>
    <xf numFmtId="0" fontId="9" fillId="0" borderId="0" xfId="45" applyFont="1" applyAlignment="1">
      <alignment horizontal="center" vertical="center" wrapText="1" readingOrder="2"/>
    </xf>
    <xf numFmtId="0" fontId="8" fillId="0" borderId="0" xfId="45" applyFont="1" applyAlignment="1">
      <alignment horizontal="center" vertical="top"/>
    </xf>
    <xf numFmtId="0" fontId="8" fillId="0" borderId="0" xfId="45" applyFont="1" applyAlignment="1">
      <alignment horizontal="center" vertical="center"/>
    </xf>
    <xf numFmtId="0" fontId="7" fillId="35" borderId="12" xfId="45" applyFont="1" applyFill="1" applyBorder="1" applyAlignment="1">
      <alignment horizontal="center" vertical="center" wrapText="1"/>
    </xf>
    <xf numFmtId="0" fontId="7" fillId="35" borderId="14" xfId="45" applyFont="1" applyFill="1" applyBorder="1" applyAlignment="1">
      <alignment horizontal="center" vertical="center" wrapText="1"/>
    </xf>
    <xf numFmtId="0" fontId="7" fillId="35" borderId="13" xfId="45" applyFont="1" applyFill="1" applyBorder="1" applyAlignment="1">
      <alignment horizontal="center" vertical="center" wrapText="1"/>
    </xf>
    <xf numFmtId="0" fontId="7" fillId="35" borderId="13" xfId="45" applyFont="1" applyFill="1" applyBorder="1" applyAlignment="1">
      <alignment horizontal="center" vertical="center"/>
    </xf>
    <xf numFmtId="0" fontId="68" fillId="35" borderId="12" xfId="45" applyFont="1" applyFill="1" applyBorder="1" applyAlignment="1">
      <alignment horizontal="center" vertical="center"/>
    </xf>
    <xf numFmtId="0" fontId="6" fillId="35" borderId="14" xfId="45" applyFont="1" applyFill="1" applyBorder="1" applyAlignment="1">
      <alignment horizontal="center" vertical="center"/>
    </xf>
    <xf numFmtId="0" fontId="64" fillId="0" borderId="0" xfId="0" applyFont="1" applyAlignment="1">
      <alignment horizontal="center" vertical="center" readingOrder="1"/>
    </xf>
    <xf numFmtId="0" fontId="8" fillId="0" borderId="11" xfId="45" applyFont="1" applyBorder="1" applyAlignment="1">
      <alignment horizontal="center" vertical="center"/>
    </xf>
    <xf numFmtId="0" fontId="6" fillId="0" borderId="0" xfId="45" applyFont="1" applyAlignment="1">
      <alignment horizontal="left" wrapText="1"/>
    </xf>
    <xf numFmtId="0" fontId="28" fillId="0" borderId="0" xfId="45" applyFont="1" applyAlignment="1">
      <alignment horizontal="center" vertical="center" wrapText="1" readingOrder="1"/>
    </xf>
    <xf numFmtId="0" fontId="8" fillId="0" borderId="0" xfId="45" applyFont="1" applyAlignment="1">
      <alignment horizontal="center" vertical="center" wrapText="1"/>
    </xf>
    <xf numFmtId="0" fontId="0" fillId="0" borderId="0" xfId="0" applyAlignment="1">
      <alignment horizontal="center"/>
    </xf>
    <xf numFmtId="0" fontId="60" fillId="0" borderId="0" xfId="0" applyFont="1" applyAlignment="1">
      <alignment horizontal="center"/>
    </xf>
    <xf numFmtId="0" fontId="7" fillId="35" borderId="18" xfId="45" applyFont="1" applyFill="1" applyBorder="1" applyAlignment="1">
      <alignment horizontal="center" vertical="center" wrapText="1"/>
    </xf>
    <xf numFmtId="0" fontId="7" fillId="35" borderId="17" xfId="45" applyFont="1" applyFill="1" applyBorder="1" applyAlignment="1">
      <alignment horizontal="center" vertical="center" wrapText="1"/>
    </xf>
    <xf numFmtId="0" fontId="7" fillId="35" borderId="16" xfId="45" applyFont="1" applyFill="1" applyBorder="1" applyAlignment="1">
      <alignment horizontal="center" vertical="center" wrapText="1"/>
    </xf>
  </cellXfs>
  <cellStyles count="46">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Explanatory Text 2" xfId="29" xr:uid="{00000000-0005-0000-0000-00001B000000}"/>
    <cellStyle name="Good 2" xfId="30" xr:uid="{00000000-0005-0000-0000-00001C000000}"/>
    <cellStyle name="Heading 1 2" xfId="31" xr:uid="{00000000-0005-0000-0000-00001D000000}"/>
    <cellStyle name="Heading 2 2" xfId="32" xr:uid="{00000000-0005-0000-0000-00001E000000}"/>
    <cellStyle name="Heading 3 2" xfId="33" xr:uid="{00000000-0005-0000-0000-00001F000000}"/>
    <cellStyle name="Heading 4 2" xfId="34" xr:uid="{00000000-0005-0000-0000-000020000000}"/>
    <cellStyle name="Input 2" xfId="35" xr:uid="{00000000-0005-0000-0000-000021000000}"/>
    <cellStyle name="Linked Cell 2" xfId="36" xr:uid="{00000000-0005-0000-0000-000022000000}"/>
    <cellStyle name="Neutral 2" xfId="37" xr:uid="{00000000-0005-0000-0000-000023000000}"/>
    <cellStyle name="Normal" xfId="0" builtinId="0"/>
    <cellStyle name="Normal 2" xfId="1" xr:uid="{00000000-0005-0000-0000-000025000000}"/>
    <cellStyle name="Normal 2 2" xfId="45" xr:uid="{00000000-0005-0000-0000-000026000000}"/>
    <cellStyle name="Normal 3" xfId="38" xr:uid="{00000000-0005-0000-0000-000027000000}"/>
    <cellStyle name="Normal 4" xfId="39" xr:uid="{00000000-0005-0000-0000-000028000000}"/>
    <cellStyle name="Note 2" xfId="40" xr:uid="{00000000-0005-0000-0000-000029000000}"/>
    <cellStyle name="Output 2" xfId="41" xr:uid="{00000000-0005-0000-0000-00002A000000}"/>
    <cellStyle name="Title 2" xfId="42" xr:uid="{00000000-0005-0000-0000-00002B000000}"/>
    <cellStyle name="Total 2" xfId="43" xr:uid="{00000000-0005-0000-0000-00002C000000}"/>
    <cellStyle name="Warning Text 2" xfId="44" xr:uid="{00000000-0005-0000-0000-00002D000000}"/>
  </cellStyles>
  <dxfs count="0"/>
  <tableStyles count="0" defaultTableStyle="TableStyleMedium2" defaultPivotStyle="PivotStyleLight16"/>
  <colors>
    <mruColors>
      <color rgb="FF0000CC"/>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4.3482133025366951E-2"/>
          <c:y val="2.3514460967482224E-2"/>
          <c:w val="0.95145095285925207"/>
          <c:h val="0.76831710513489804"/>
        </c:manualLayout>
      </c:layout>
      <c:barChart>
        <c:barDir val="col"/>
        <c:grouping val="clustered"/>
        <c:varyColors val="0"/>
        <c:ser>
          <c:idx val="0"/>
          <c:order val="0"/>
          <c:tx>
            <c:strRef>
              <c:f>'1'!$B$7</c:f>
              <c:strCache>
                <c:ptCount val="1"/>
                <c:pt idx="0">
                  <c:v>مباني جديدة
New Building</c:v>
                </c:pt>
              </c:strCache>
            </c:strRef>
          </c:tx>
          <c:invertIfNegative val="0"/>
          <c:dLbls>
            <c:spPr>
              <a:noFill/>
              <a:ln>
                <a:noFill/>
              </a:ln>
              <a:effectLst/>
            </c:spPr>
            <c:txPr>
              <a:bodyPr rot="-5400000" vert="horz"/>
              <a:lstStyle/>
              <a:p>
                <a:pPr>
                  <a:defRPr b="1">
                    <a:solidFill>
                      <a:srgbClr val="000066"/>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'1'!$B$8:$B$19</c:f>
              <c:numCache>
                <c:formatCode>General</c:formatCode>
                <c:ptCount val="12"/>
                <c:pt idx="0">
                  <c:v>696</c:v>
                </c:pt>
                <c:pt idx="1">
                  <c:v>662</c:v>
                </c:pt>
                <c:pt idx="2">
                  <c:v>573</c:v>
                </c:pt>
                <c:pt idx="3">
                  <c:v>227</c:v>
                </c:pt>
                <c:pt idx="4">
                  <c:v>155</c:v>
                </c:pt>
                <c:pt idx="5">
                  <c:v>310</c:v>
                </c:pt>
                <c:pt idx="6">
                  <c:v>238</c:v>
                </c:pt>
                <c:pt idx="7">
                  <c:v>290</c:v>
                </c:pt>
                <c:pt idx="8">
                  <c:v>348</c:v>
                </c:pt>
                <c:pt idx="9">
                  <c:v>347</c:v>
                </c:pt>
                <c:pt idx="10">
                  <c:v>428</c:v>
                </c:pt>
                <c:pt idx="11">
                  <c:v>367</c:v>
                </c:pt>
              </c:numCache>
            </c:numRef>
          </c:val>
          <c:extLst>
            <c:ext xmlns:c16="http://schemas.microsoft.com/office/drawing/2014/chart" uri="{C3380CC4-5D6E-409C-BE32-E72D297353CC}">
              <c16:uniqueId val="{00000000-179E-435D-A126-5A56C4433E2C}"/>
            </c:ext>
          </c:extLst>
        </c:ser>
        <c:ser>
          <c:idx val="1"/>
          <c:order val="1"/>
          <c:tx>
            <c:strRef>
              <c:f>'1'!$C$7</c:f>
              <c:strCache>
                <c:ptCount val="1"/>
                <c:pt idx="0">
                  <c:v>اضافات
Additions</c:v>
                </c:pt>
              </c:strCache>
            </c:strRef>
          </c:tx>
          <c:invertIfNegative val="0"/>
          <c:dLbls>
            <c:spPr>
              <a:noFill/>
              <a:ln>
                <a:noFill/>
              </a:ln>
              <a:effectLst/>
            </c:spPr>
            <c:txPr>
              <a:bodyPr rot="-5400000" vert="horz"/>
              <a:lstStyle/>
              <a:p>
                <a:pPr>
                  <a:defRPr b="1">
                    <a:solidFill>
                      <a:srgbClr val="FF0000"/>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'1'!$C$8:$C$19</c:f>
              <c:numCache>
                <c:formatCode>General</c:formatCode>
                <c:ptCount val="12"/>
                <c:pt idx="0">
                  <c:v>641</c:v>
                </c:pt>
                <c:pt idx="1">
                  <c:v>599</c:v>
                </c:pt>
                <c:pt idx="2">
                  <c:v>567</c:v>
                </c:pt>
                <c:pt idx="3">
                  <c:v>254</c:v>
                </c:pt>
                <c:pt idx="4">
                  <c:v>183</c:v>
                </c:pt>
                <c:pt idx="5">
                  <c:v>400</c:v>
                </c:pt>
                <c:pt idx="6">
                  <c:v>274</c:v>
                </c:pt>
                <c:pt idx="7">
                  <c:v>316</c:v>
                </c:pt>
                <c:pt idx="8">
                  <c:v>360</c:v>
                </c:pt>
                <c:pt idx="9">
                  <c:v>315</c:v>
                </c:pt>
                <c:pt idx="10">
                  <c:v>356</c:v>
                </c:pt>
                <c:pt idx="11">
                  <c:v>279</c:v>
                </c:pt>
              </c:numCache>
            </c:numRef>
          </c:val>
          <c:extLst>
            <c:ext xmlns:c16="http://schemas.microsoft.com/office/drawing/2014/chart" uri="{C3380CC4-5D6E-409C-BE32-E72D297353CC}">
              <c16:uniqueId val="{00000001-179E-435D-A126-5A56C4433E2C}"/>
            </c:ext>
          </c:extLst>
        </c:ser>
        <c:ser>
          <c:idx val="2"/>
          <c:order val="2"/>
          <c:tx>
            <c:strRef>
              <c:f>'1'!$D$7</c:f>
              <c:strCache>
                <c:ptCount val="1"/>
                <c:pt idx="0">
                  <c:v>تحويط
Fencing</c:v>
                </c:pt>
              </c:strCache>
            </c:strRef>
          </c:tx>
          <c:invertIfNegative val="0"/>
          <c:dLbls>
            <c:spPr>
              <a:noFill/>
              <a:ln>
                <a:noFill/>
              </a:ln>
              <a:effectLst/>
            </c:spPr>
            <c:txPr>
              <a:bodyPr rot="-5400000" vert="horz"/>
              <a:lstStyle/>
              <a:p>
                <a:pPr>
                  <a:defRPr b="1">
                    <a:solidFill>
                      <a:schemeClr val="accent3">
                        <a:lumMod val="75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'1'!$D$8:$D$19</c:f>
              <c:numCache>
                <c:formatCode>General</c:formatCode>
                <c:ptCount val="12"/>
                <c:pt idx="0">
                  <c:v>45</c:v>
                </c:pt>
                <c:pt idx="1">
                  <c:v>33</c:v>
                </c:pt>
                <c:pt idx="2">
                  <c:v>54</c:v>
                </c:pt>
                <c:pt idx="3">
                  <c:v>19</c:v>
                </c:pt>
                <c:pt idx="4">
                  <c:v>10</c:v>
                </c:pt>
                <c:pt idx="5">
                  <c:v>24</c:v>
                </c:pt>
                <c:pt idx="6">
                  <c:v>20</c:v>
                </c:pt>
                <c:pt idx="7">
                  <c:v>20</c:v>
                </c:pt>
                <c:pt idx="8">
                  <c:v>28</c:v>
                </c:pt>
                <c:pt idx="9">
                  <c:v>23</c:v>
                </c:pt>
                <c:pt idx="10">
                  <c:v>18</c:v>
                </c:pt>
                <c:pt idx="11">
                  <c:v>26</c:v>
                </c:pt>
              </c:numCache>
            </c:numRef>
          </c:val>
          <c:extLst>
            <c:ext xmlns:c16="http://schemas.microsoft.com/office/drawing/2014/chart" uri="{C3380CC4-5D6E-409C-BE32-E72D297353CC}">
              <c16:uniqueId val="{00000002-179E-435D-A126-5A56C4433E2C}"/>
            </c:ext>
          </c:extLst>
        </c:ser>
        <c:dLbls>
          <c:showLegendKey val="0"/>
          <c:showVal val="0"/>
          <c:showCatName val="0"/>
          <c:showSerName val="0"/>
          <c:showPercent val="0"/>
          <c:showBubbleSize val="0"/>
        </c:dLbls>
        <c:gapWidth val="50"/>
        <c:axId val="42144512"/>
        <c:axId val="42146048"/>
      </c:barChart>
      <c:catAx>
        <c:axId val="42144512"/>
        <c:scaling>
          <c:orientation val="minMax"/>
        </c:scaling>
        <c:delete val="0"/>
        <c:axPos val="b"/>
        <c:numFmt formatCode="General"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42146048"/>
        <c:crosses val="autoZero"/>
        <c:auto val="1"/>
        <c:lblAlgn val="ctr"/>
        <c:lblOffset val="100"/>
        <c:noMultiLvlLbl val="0"/>
      </c:catAx>
      <c:valAx>
        <c:axId val="42146048"/>
        <c:scaling>
          <c:orientation val="minMax"/>
        </c:scaling>
        <c:delete val="0"/>
        <c:axPos val="l"/>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42144512"/>
        <c:crosses val="autoZero"/>
        <c:crossBetween val="between"/>
      </c:valAx>
    </c:plotArea>
    <c:legend>
      <c:legendPos val="l"/>
      <c:layout>
        <c:manualLayout>
          <c:xMode val="edge"/>
          <c:yMode val="edge"/>
          <c:x val="0.15524589415445775"/>
          <c:y val="0.8861345478307644"/>
          <c:w val="0.68711961002860333"/>
          <c:h val="9.7426594027878552E-2"/>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tx>
            <c:strRef>
              <c:f>'10'!$M$7</c:f>
              <c:strCache>
                <c:ptCount val="1"/>
                <c:pt idx="0">
                  <c:v>مبانى سكنية
RESIDENTIAL BUILDINGS</c:v>
                </c:pt>
              </c:strCache>
            </c:strRef>
          </c:tx>
          <c:dLbls>
            <c:dLbl>
              <c:idx val="0"/>
              <c:layout>
                <c:manualLayout>
                  <c:x val="-0.13284033245844273"/>
                  <c:y val="8.1537185236041698E-2"/>
                </c:manualLayout>
              </c:layout>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8AE-4973-BEB1-294BFD7C3EE2}"/>
                </c:ext>
              </c:extLst>
            </c:dLbl>
            <c:dLbl>
              <c:idx val="1"/>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6="http://schemas.microsoft.com/office/drawing/2014/chart" uri="{C3380CC4-5D6E-409C-BE32-E72D297353CC}">
                  <c16:uniqueId val="{00000000-AF59-4C1C-8368-E86A0F8FA243}"/>
                </c:ext>
              </c:extLst>
            </c:dLbl>
            <c:dLbl>
              <c:idx val="2"/>
              <c:layout>
                <c:manualLayout>
                  <c:x val="-3.4686242344706922E-2"/>
                  <c:y val="8.42674638422241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8AE-4973-BEB1-294BFD7C3EE2}"/>
                </c:ext>
              </c:extLst>
            </c:dLbl>
            <c:dLbl>
              <c:idx val="3"/>
              <c:layout>
                <c:manualLayout>
                  <c:x val="-6.5893482064741929E-3"/>
                  <c:y val="-3.34487140061170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AE-4973-BEB1-294BFD7C3EE2}"/>
                </c:ext>
              </c:extLst>
            </c:dLbl>
            <c:spPr>
              <a:noFill/>
              <a:ln>
                <a:noFill/>
              </a:ln>
              <a:effectLst/>
            </c:spPr>
            <c:txPr>
              <a:bodyPr/>
              <a:lstStyle/>
              <a:p>
                <a:pPr rtl="0">
                  <a:defRPr sz="80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c:ext xmlns:c15="http://schemas.microsoft.com/office/drawing/2012/chart" uri="{CE6537A1-D6FC-4f65-9D91-7224C49458BB}"/>
            </c:extLst>
          </c:dLbls>
          <c:cat>
            <c:strRef>
              <c:f>'10'!$M$8:$M$11</c:f>
              <c:strCache>
                <c:ptCount val="4"/>
                <c:pt idx="0">
                  <c:v>فيلا
VILLA</c:v>
                </c:pt>
                <c:pt idx="1">
                  <c:v>مساكن قروض الاسكان
DEWLLINGS OF HOUSING LOANS</c:v>
                </c:pt>
                <c:pt idx="2">
                  <c:v>عمارة
MULTI-STOREYED BUILDING</c:v>
                </c:pt>
                <c:pt idx="3">
                  <c:v>أخرى
OTHERS (RESIDENTIAL)</c:v>
                </c:pt>
              </c:strCache>
            </c:strRef>
          </c:cat>
          <c:val>
            <c:numRef>
              <c:f>'10'!$J$8:$J$11</c:f>
              <c:numCache>
                <c:formatCode>General</c:formatCode>
                <c:ptCount val="4"/>
                <c:pt idx="0">
                  <c:v>2680</c:v>
                </c:pt>
                <c:pt idx="1">
                  <c:v>677</c:v>
                </c:pt>
                <c:pt idx="2">
                  <c:v>298</c:v>
                </c:pt>
                <c:pt idx="3">
                  <c:v>82</c:v>
                </c:pt>
              </c:numCache>
            </c:numRef>
          </c:val>
          <c:extLst>
            <c:ext xmlns:c16="http://schemas.microsoft.com/office/drawing/2014/chart" uri="{C3380CC4-5D6E-409C-BE32-E72D297353CC}">
              <c16:uniqueId val="{00000004-38AE-4973-BEB1-294BFD7C3EE2}"/>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a:t>
            </a:r>
            <a:r>
              <a:rPr lang="en-US" sz="1200">
                <a:latin typeface="Arial" panose="020B0604020202020204" pitchFamily="34" charset="0"/>
                <a:cs typeface="Arial" panose="020B0604020202020204" pitchFamily="34" charset="0"/>
              </a:rPr>
              <a:t> </a:t>
            </a:r>
            <a:r>
              <a:rPr lang="ar-QA" sz="1200">
                <a:latin typeface="Arial" panose="020B0604020202020204" pitchFamily="34" charset="0"/>
                <a:cs typeface="Arial" panose="020B0604020202020204" pitchFamily="34" charset="0"/>
              </a:rPr>
              <a:t>غير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tx>
            <c:strRef>
              <c:f>'10'!$M$13</c:f>
              <c:strCache>
                <c:ptCount val="1"/>
                <c:pt idx="0">
                  <c:v>مبانى غير سكنية
NON RESIDENTIAL BUILDINGS</c:v>
                </c:pt>
              </c:strCache>
            </c:strRef>
          </c:tx>
          <c:dLbls>
            <c:dLbl>
              <c:idx val="0"/>
              <c:layout>
                <c:manualLayout>
                  <c:x val="0.12167716535433071"/>
                  <c:y val="0.18408819469773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C12-4175-9E6C-A6858243BD2C}"/>
                </c:ext>
              </c:extLst>
            </c:dLbl>
            <c:dLbl>
              <c:idx val="1"/>
              <c:layout>
                <c:manualLayout>
                  <c:x val="-0.10368044619422571"/>
                  <c:y val="2.94769012184103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12-4175-9E6C-A6858243BD2C}"/>
                </c:ext>
              </c:extLst>
            </c:dLbl>
            <c:dLbl>
              <c:idx val="2"/>
              <c:layout>
                <c:manualLayout>
                  <c:x val="0.17858541119860019"/>
                  <c:y val="-0.174144716924008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C12-4175-9E6C-A6858243BD2C}"/>
                </c:ext>
              </c:extLst>
            </c:dLbl>
            <c:dLbl>
              <c:idx val="3"/>
              <c:layout>
                <c:manualLayout>
                  <c:x val="0.1430334645669292"/>
                  <c:y val="3.23981300702534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12-4175-9E6C-A6858243BD2C}"/>
                </c:ext>
              </c:extLst>
            </c:dLbl>
            <c:dLbl>
              <c:idx val="4"/>
              <c:layout>
                <c:manualLayout>
                  <c:x val="-2.2792650918635173E-2"/>
                  <c:y val="-4.6432138761946316E-2"/>
                </c:manualLayout>
              </c:layout>
              <c:spPr/>
              <c:txPr>
                <a:bodyPr/>
                <a:lstStyle/>
                <a:p>
                  <a:pPr rtl="0">
                    <a:defRPr sz="800" b="1">
                      <a:solidFill>
                        <a:sysClr val="windowText" lastClr="000000"/>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C12-4175-9E6C-A6858243BD2C}"/>
                </c:ext>
              </c:extLst>
            </c:dLbl>
            <c:spPr>
              <a:noFill/>
              <a:ln>
                <a:noFill/>
              </a:ln>
              <a:effectLst/>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c:ext xmlns:c15="http://schemas.microsoft.com/office/drawing/2012/chart" uri="{CE6537A1-D6FC-4f65-9D91-7224C49458BB}"/>
            </c:extLst>
          </c:dLbls>
          <c:cat>
            <c:strRef>
              <c:f>'10'!$M$14:$M$18</c:f>
              <c:strCache>
                <c:ptCount val="5"/>
                <c:pt idx="0">
                  <c:v>ادارة حكومية
PUBLIC BUILDING</c:v>
                </c:pt>
                <c:pt idx="1">
                  <c:v>مبنى تجاري
COMMERCIAL BLDG.</c:v>
                </c:pt>
                <c:pt idx="2">
                  <c:v>ورشة / مصنع
WORKSHOP/FACTORY</c:v>
                </c:pt>
                <c:pt idx="3">
                  <c:v>مسجد
Mosque</c:v>
                </c:pt>
                <c:pt idx="4">
                  <c:v>أخرى
OTHERS(NON-RESIDENTIAL)</c:v>
                </c:pt>
              </c:strCache>
            </c:strRef>
          </c:cat>
          <c:val>
            <c:numRef>
              <c:f>'10'!$J$14:$J$18</c:f>
              <c:numCache>
                <c:formatCode>General</c:formatCode>
                <c:ptCount val="5"/>
                <c:pt idx="0">
                  <c:v>106</c:v>
                </c:pt>
                <c:pt idx="1">
                  <c:v>520</c:v>
                </c:pt>
                <c:pt idx="2">
                  <c:v>191</c:v>
                </c:pt>
                <c:pt idx="3">
                  <c:v>45</c:v>
                </c:pt>
                <c:pt idx="4">
                  <c:v>42</c:v>
                </c:pt>
              </c:numCache>
            </c:numRef>
          </c:val>
          <c:extLst>
            <c:ext xmlns:c16="http://schemas.microsoft.com/office/drawing/2014/chart" uri="{C3380CC4-5D6E-409C-BE32-E72D297353CC}">
              <c16:uniqueId val="{00000005-4C12-4175-9E6C-A6858243BD2C}"/>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spPr>
              <a:noFill/>
              <a:ln>
                <a:noFill/>
              </a:ln>
              <a:effectLst/>
            </c:spPr>
            <c:txPr>
              <a:bodyPr/>
              <a:lstStyle/>
              <a:p>
                <a:pPr>
                  <a:defRPr sz="1000" b="1">
                    <a:solidFill>
                      <a:schemeClr val="tx2">
                        <a:lumMod val="60000"/>
                        <a:lumOff val="40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'10'!$B$6:$I$6</c:f>
              <c:strCache>
                <c:ptCount val="8"/>
                <c:pt idx="0">
                  <c:v>الدوحة
Doha</c:v>
                </c:pt>
                <c:pt idx="1">
                  <c:v>الريان
Rayyan</c:v>
                </c:pt>
                <c:pt idx="2">
                  <c:v>الوكرة
Wakrah</c:v>
                </c:pt>
                <c:pt idx="3">
                  <c:v>ام صلال
Umm Slal</c:v>
                </c:pt>
                <c:pt idx="4">
                  <c:v>الظعاين
Al-Daayen</c:v>
                </c:pt>
                <c:pt idx="5">
                  <c:v>الخور
Al-Khor</c:v>
                </c:pt>
                <c:pt idx="6">
                  <c:v>الشمال
Al-Shamal</c:v>
                </c:pt>
                <c:pt idx="7">
                  <c:v>الشيحانية
Al-Shahhaniya</c:v>
                </c:pt>
              </c:strCache>
            </c:strRef>
          </c:cat>
          <c:val>
            <c:numRef>
              <c:f>'10'!$B$23:$I$23</c:f>
              <c:numCache>
                <c:formatCode>General</c:formatCode>
                <c:ptCount val="8"/>
                <c:pt idx="0">
                  <c:v>1740</c:v>
                </c:pt>
                <c:pt idx="1">
                  <c:v>2681</c:v>
                </c:pt>
                <c:pt idx="2">
                  <c:v>1731</c:v>
                </c:pt>
                <c:pt idx="3">
                  <c:v>755</c:v>
                </c:pt>
                <c:pt idx="4">
                  <c:v>1701</c:v>
                </c:pt>
                <c:pt idx="5">
                  <c:v>413</c:v>
                </c:pt>
                <c:pt idx="6">
                  <c:v>197</c:v>
                </c:pt>
                <c:pt idx="7">
                  <c:v>287</c:v>
                </c:pt>
              </c:numCache>
            </c:numRef>
          </c:val>
          <c:extLst>
            <c:ext xmlns:c16="http://schemas.microsoft.com/office/drawing/2014/chart" uri="{C3380CC4-5D6E-409C-BE32-E72D297353CC}">
              <c16:uniqueId val="{00000000-ECB9-4058-806F-4ED739D8D461}"/>
            </c:ext>
          </c:extLst>
        </c:ser>
        <c:dLbls>
          <c:showLegendKey val="0"/>
          <c:showVal val="0"/>
          <c:showCatName val="0"/>
          <c:showSerName val="0"/>
          <c:showPercent val="0"/>
          <c:showBubbleSize val="0"/>
        </c:dLbls>
        <c:gapWidth val="75"/>
        <c:overlap val="-25"/>
        <c:axId val="115774976"/>
        <c:axId val="115776512"/>
      </c:barChart>
      <c:catAx>
        <c:axId val="115774976"/>
        <c:scaling>
          <c:orientation val="minMax"/>
        </c:scaling>
        <c:delete val="0"/>
        <c:axPos val="b"/>
        <c:numFmt formatCode="General" sourceLinked="0"/>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15776512"/>
        <c:crosses val="autoZero"/>
        <c:auto val="1"/>
        <c:lblAlgn val="ctr"/>
        <c:lblOffset val="100"/>
        <c:noMultiLvlLbl val="0"/>
      </c:catAx>
      <c:valAx>
        <c:axId val="115776512"/>
        <c:scaling>
          <c:orientation val="minMax"/>
        </c:scaling>
        <c:delete val="0"/>
        <c:axPos val="l"/>
        <c:numFmt formatCode="General" sourceLinked="1"/>
        <c:majorTickMark val="none"/>
        <c:minorTickMark val="none"/>
        <c:tickLblPos val="nextTo"/>
        <c:spPr>
          <a:ln w="9525">
            <a:noFill/>
          </a:ln>
        </c:spPr>
        <c:txPr>
          <a:bodyPr/>
          <a:lstStyle/>
          <a:p>
            <a:pPr>
              <a:defRPr sz="900" b="0">
                <a:latin typeface="Arial" panose="020B0604020202020204" pitchFamily="34" charset="0"/>
                <a:cs typeface="Arial" panose="020B0604020202020204" pitchFamily="34" charset="0"/>
              </a:defRPr>
            </a:pPr>
            <a:endParaRPr lang="ar-QA"/>
          </a:p>
        </c:txPr>
        <c:crossAx val="115774976"/>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4.3482133025366951E-2"/>
          <c:y val="2.3514460967482224E-2"/>
          <c:w val="0.95145095285925207"/>
          <c:h val="0.76831710513489804"/>
        </c:manualLayout>
      </c:layout>
      <c:barChart>
        <c:barDir val="col"/>
        <c:grouping val="clustered"/>
        <c:varyColors val="0"/>
        <c:ser>
          <c:idx val="0"/>
          <c:order val="0"/>
          <c:tx>
            <c:strRef>
              <c:f>'11'!$B$7</c:f>
              <c:strCache>
                <c:ptCount val="1"/>
                <c:pt idx="0">
                  <c:v>مباني جديدة
New Building</c:v>
                </c:pt>
              </c:strCache>
            </c:strRef>
          </c:tx>
          <c:invertIfNegative val="0"/>
          <c:dLbls>
            <c:spPr>
              <a:noFill/>
              <a:ln>
                <a:noFill/>
              </a:ln>
              <a:effectLst/>
            </c:spPr>
            <c:txPr>
              <a:bodyPr/>
              <a:lstStyle/>
              <a:p>
                <a:pPr>
                  <a:defRPr b="1">
                    <a:solidFill>
                      <a:schemeClr val="tx2">
                        <a:lumMod val="60000"/>
                        <a:lumOff val="40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'11'!$B$8:$B$19</c:f>
              <c:numCache>
                <c:formatCode>General</c:formatCode>
                <c:ptCount val="12"/>
                <c:pt idx="0">
                  <c:v>248</c:v>
                </c:pt>
                <c:pt idx="1">
                  <c:v>231</c:v>
                </c:pt>
                <c:pt idx="2">
                  <c:v>285</c:v>
                </c:pt>
                <c:pt idx="3">
                  <c:v>232</c:v>
                </c:pt>
                <c:pt idx="4">
                  <c:v>154</c:v>
                </c:pt>
                <c:pt idx="5">
                  <c:v>225</c:v>
                </c:pt>
                <c:pt idx="6">
                  <c:v>183</c:v>
                </c:pt>
                <c:pt idx="7">
                  <c:v>254</c:v>
                </c:pt>
                <c:pt idx="8">
                  <c:v>241</c:v>
                </c:pt>
                <c:pt idx="9">
                  <c:v>205</c:v>
                </c:pt>
                <c:pt idx="10">
                  <c:v>220</c:v>
                </c:pt>
                <c:pt idx="11">
                  <c:v>188</c:v>
                </c:pt>
              </c:numCache>
            </c:numRef>
          </c:val>
          <c:extLst>
            <c:ext xmlns:c16="http://schemas.microsoft.com/office/drawing/2014/chart" uri="{C3380CC4-5D6E-409C-BE32-E72D297353CC}">
              <c16:uniqueId val="{00000000-4B70-4173-A650-A754DA9891C7}"/>
            </c:ext>
          </c:extLst>
        </c:ser>
        <c:ser>
          <c:idx val="1"/>
          <c:order val="1"/>
          <c:tx>
            <c:strRef>
              <c:f>'11'!$C$7</c:f>
              <c:strCache>
                <c:ptCount val="1"/>
                <c:pt idx="0">
                  <c:v>اضافات
Additions</c:v>
                </c:pt>
              </c:strCache>
            </c:strRef>
          </c:tx>
          <c:invertIfNegative val="0"/>
          <c:dLbls>
            <c:spPr>
              <a:noFill/>
              <a:ln>
                <a:noFill/>
              </a:ln>
              <a:effectLst/>
            </c:spPr>
            <c:txPr>
              <a:bodyPr/>
              <a:lstStyle/>
              <a:p>
                <a:pPr>
                  <a:defRPr b="1">
                    <a:solidFill>
                      <a:srgbClr val="FF0000"/>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'11'!$C$8:$C$19</c:f>
              <c:numCache>
                <c:formatCode>General</c:formatCode>
                <c:ptCount val="12"/>
                <c:pt idx="0">
                  <c:v>104</c:v>
                </c:pt>
                <c:pt idx="1">
                  <c:v>107</c:v>
                </c:pt>
                <c:pt idx="2">
                  <c:v>109</c:v>
                </c:pt>
                <c:pt idx="3">
                  <c:v>102</c:v>
                </c:pt>
                <c:pt idx="4">
                  <c:v>62</c:v>
                </c:pt>
                <c:pt idx="5">
                  <c:v>122</c:v>
                </c:pt>
                <c:pt idx="6">
                  <c:v>99</c:v>
                </c:pt>
                <c:pt idx="7">
                  <c:v>119</c:v>
                </c:pt>
                <c:pt idx="8">
                  <c:v>109</c:v>
                </c:pt>
                <c:pt idx="9">
                  <c:v>138</c:v>
                </c:pt>
                <c:pt idx="10">
                  <c:v>122</c:v>
                </c:pt>
                <c:pt idx="11">
                  <c:v>110</c:v>
                </c:pt>
              </c:numCache>
            </c:numRef>
          </c:val>
          <c:extLst>
            <c:ext xmlns:c16="http://schemas.microsoft.com/office/drawing/2014/chart" uri="{C3380CC4-5D6E-409C-BE32-E72D297353CC}">
              <c16:uniqueId val="{00000001-4B70-4173-A650-A754DA9891C7}"/>
            </c:ext>
          </c:extLst>
        </c:ser>
        <c:dLbls>
          <c:showLegendKey val="0"/>
          <c:showVal val="0"/>
          <c:showCatName val="0"/>
          <c:showSerName val="0"/>
          <c:showPercent val="0"/>
          <c:showBubbleSize val="0"/>
        </c:dLbls>
        <c:gapWidth val="50"/>
        <c:axId val="111729664"/>
        <c:axId val="111735552"/>
      </c:barChart>
      <c:catAx>
        <c:axId val="111729664"/>
        <c:scaling>
          <c:orientation val="minMax"/>
        </c:scaling>
        <c:delete val="0"/>
        <c:axPos val="b"/>
        <c:numFmt formatCode="General"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111735552"/>
        <c:crosses val="autoZero"/>
        <c:auto val="1"/>
        <c:lblAlgn val="ctr"/>
        <c:lblOffset val="100"/>
        <c:noMultiLvlLbl val="0"/>
      </c:catAx>
      <c:valAx>
        <c:axId val="111735552"/>
        <c:scaling>
          <c:orientation val="minMax"/>
          <c:max val="300"/>
        </c:scaling>
        <c:delete val="0"/>
        <c:axPos val="l"/>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111729664"/>
        <c:crosses val="autoZero"/>
        <c:crossBetween val="between"/>
      </c:valAx>
    </c:plotArea>
    <c:legend>
      <c:legendPos val="l"/>
      <c:layout>
        <c:manualLayout>
          <c:xMode val="edge"/>
          <c:yMode val="edge"/>
          <c:x val="1.1384419882275064E-3"/>
          <c:y val="0.8861345478307644"/>
          <c:w val="0.99274175337401116"/>
          <c:h val="0.11386536348654094"/>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dLbls>
            <c:dLbl>
              <c:idx val="0"/>
              <c:layout>
                <c:manualLayout>
                  <c:x val="-0.13284033245844273"/>
                  <c:y val="8.1537185236041698E-2"/>
                </c:manualLayout>
              </c:layout>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5DC-4D53-A1A4-0323CD1E17BF}"/>
                </c:ext>
              </c:extLst>
            </c:dLbl>
            <c:dLbl>
              <c:idx val="1"/>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6="http://schemas.microsoft.com/office/drawing/2014/chart" uri="{C3380CC4-5D6E-409C-BE32-E72D297353CC}">
                  <c16:uniqueId val="{00000000-19E9-4036-8DBC-07F1DC299DC2}"/>
                </c:ext>
              </c:extLst>
            </c:dLbl>
            <c:dLbl>
              <c:idx val="2"/>
              <c:layout>
                <c:manualLayout>
                  <c:x val="-3.4686242344706922E-2"/>
                  <c:y val="8.42674638422241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5DC-4D53-A1A4-0323CD1E17BF}"/>
                </c:ext>
              </c:extLst>
            </c:dLbl>
            <c:dLbl>
              <c:idx val="3"/>
              <c:layout>
                <c:manualLayout>
                  <c:x val="-6.5893482064741929E-3"/>
                  <c:y val="-3.34487140061170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5DC-4D53-A1A4-0323CD1E17BF}"/>
                </c:ext>
              </c:extLst>
            </c:dLbl>
            <c:spPr>
              <a:noFill/>
              <a:ln>
                <a:noFill/>
              </a:ln>
              <a:effectLst/>
            </c:spPr>
            <c:txPr>
              <a:bodyPr/>
              <a:lstStyle/>
              <a:p>
                <a:pPr rtl="0">
                  <a:defRPr sz="80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c:ext xmlns:c15="http://schemas.microsoft.com/office/drawing/2012/chart" uri="{CE6537A1-D6FC-4f65-9D91-7224C49458BB}"/>
            </c:extLst>
          </c:dLbls>
          <c:cat>
            <c:strRef>
              <c:f>'10'!$M$8:$M$11</c:f>
              <c:strCache>
                <c:ptCount val="4"/>
                <c:pt idx="0">
                  <c:v>فيلا
VILLA</c:v>
                </c:pt>
                <c:pt idx="1">
                  <c:v>مساكن قروض الاسكان
DEWLLINGS OF HOUSING LOANS</c:v>
                </c:pt>
                <c:pt idx="2">
                  <c:v>عمارة
MULTI-STOREYED BUILDING</c:v>
                </c:pt>
                <c:pt idx="3">
                  <c:v>أخرى
OTHERS (RESIDENTIAL)</c:v>
                </c:pt>
              </c:strCache>
            </c:strRef>
          </c:cat>
          <c:val>
            <c:numRef>
              <c:f>'20'!$J$8:$J$11</c:f>
              <c:numCache>
                <c:formatCode>General</c:formatCode>
                <c:ptCount val="4"/>
                <c:pt idx="0">
                  <c:v>1474</c:v>
                </c:pt>
                <c:pt idx="1">
                  <c:v>581</c:v>
                </c:pt>
                <c:pt idx="2">
                  <c:v>132</c:v>
                </c:pt>
                <c:pt idx="3">
                  <c:v>46</c:v>
                </c:pt>
              </c:numCache>
            </c:numRef>
          </c:val>
          <c:extLst>
            <c:ext xmlns:c16="http://schemas.microsoft.com/office/drawing/2014/chart" uri="{C3380CC4-5D6E-409C-BE32-E72D297353CC}">
              <c16:uniqueId val="{00000004-B5DC-4D53-A1A4-0323CD1E17BF}"/>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a:t>
            </a:r>
            <a:r>
              <a:rPr lang="en-US" sz="1200">
                <a:latin typeface="Arial" panose="020B0604020202020204" pitchFamily="34" charset="0"/>
                <a:cs typeface="Arial" panose="020B0604020202020204" pitchFamily="34" charset="0"/>
              </a:rPr>
              <a:t> </a:t>
            </a:r>
            <a:r>
              <a:rPr lang="ar-QA" sz="1200">
                <a:latin typeface="Arial" panose="020B0604020202020204" pitchFamily="34" charset="0"/>
                <a:cs typeface="Arial" panose="020B0604020202020204" pitchFamily="34" charset="0"/>
              </a:rPr>
              <a:t>غير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dLbls>
            <c:dLbl>
              <c:idx val="0"/>
              <c:layout>
                <c:manualLayout>
                  <c:x val="0.12167716535433071"/>
                  <c:y val="0.18408819469773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DA7-4EE0-B392-1AB9B210E3B0}"/>
                </c:ext>
              </c:extLst>
            </c:dLbl>
            <c:dLbl>
              <c:idx val="1"/>
              <c:layout>
                <c:manualLayout>
                  <c:x val="-0.10368044619422571"/>
                  <c:y val="2.94769012184103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A7-4EE0-B392-1AB9B210E3B0}"/>
                </c:ext>
              </c:extLst>
            </c:dLbl>
            <c:dLbl>
              <c:idx val="2"/>
              <c:layout>
                <c:manualLayout>
                  <c:x val="0.17858541119860019"/>
                  <c:y val="-0.174144716924008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DA7-4EE0-B392-1AB9B210E3B0}"/>
                </c:ext>
              </c:extLst>
            </c:dLbl>
            <c:dLbl>
              <c:idx val="3"/>
              <c:layout>
                <c:manualLayout>
                  <c:x val="0.1430334645669292"/>
                  <c:y val="3.23981300702534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A7-4EE0-B392-1AB9B210E3B0}"/>
                </c:ext>
              </c:extLst>
            </c:dLbl>
            <c:dLbl>
              <c:idx val="4"/>
              <c:layout>
                <c:manualLayout>
                  <c:x val="-2.2792650918635173E-2"/>
                  <c:y val="-4.6432138761946316E-2"/>
                </c:manualLayout>
              </c:layout>
              <c:spPr/>
              <c:txPr>
                <a:bodyPr/>
                <a:lstStyle/>
                <a:p>
                  <a:pPr rtl="0">
                    <a:defRPr sz="800" b="1">
                      <a:solidFill>
                        <a:sysClr val="windowText" lastClr="000000"/>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DA7-4EE0-B392-1AB9B210E3B0}"/>
                </c:ext>
              </c:extLst>
            </c:dLbl>
            <c:spPr>
              <a:noFill/>
              <a:ln>
                <a:noFill/>
              </a:ln>
              <a:effectLst/>
            </c:spPr>
            <c:txPr>
              <a:bodyPr/>
              <a:lstStyle/>
              <a:p>
                <a:pPr rtl="0">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c:ext xmlns:c15="http://schemas.microsoft.com/office/drawing/2012/chart" uri="{CE6537A1-D6FC-4f65-9D91-7224C49458BB}"/>
            </c:extLst>
          </c:dLbls>
          <c:cat>
            <c:strRef>
              <c:f>'10'!$L$14:$M$18</c:f>
              <c:strCache>
                <c:ptCount val="5"/>
                <c:pt idx="0">
                  <c:v>ادارة حكومية
PUBLIC BUILDING</c:v>
                </c:pt>
                <c:pt idx="1">
                  <c:v>مبنى تجاري
COMMERCIAL BLDG.</c:v>
                </c:pt>
                <c:pt idx="2">
                  <c:v>ورشة / مصنع
WORKSHOP/FACTORY</c:v>
                </c:pt>
                <c:pt idx="3">
                  <c:v>مسجد
Mosque</c:v>
                </c:pt>
                <c:pt idx="4">
                  <c:v>أخرى
OTHERS(NON-RESIDENTIAL)</c:v>
                </c:pt>
              </c:strCache>
            </c:strRef>
          </c:cat>
          <c:val>
            <c:numRef>
              <c:f>'20'!$J$14:$J$18</c:f>
              <c:numCache>
                <c:formatCode>General</c:formatCode>
                <c:ptCount val="5"/>
                <c:pt idx="0">
                  <c:v>47</c:v>
                </c:pt>
                <c:pt idx="1">
                  <c:v>234</c:v>
                </c:pt>
                <c:pt idx="2">
                  <c:v>109</c:v>
                </c:pt>
                <c:pt idx="3">
                  <c:v>27</c:v>
                </c:pt>
                <c:pt idx="4">
                  <c:v>16</c:v>
                </c:pt>
              </c:numCache>
            </c:numRef>
          </c:val>
          <c:extLst>
            <c:ext xmlns:c16="http://schemas.microsoft.com/office/drawing/2014/chart" uri="{C3380CC4-5D6E-409C-BE32-E72D297353CC}">
              <c16:uniqueId val="{00000005-DDA7-4EE0-B392-1AB9B210E3B0}"/>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spPr>
              <a:noFill/>
              <a:ln>
                <a:noFill/>
              </a:ln>
              <a:effectLst/>
            </c:spPr>
            <c:txPr>
              <a:bodyPr/>
              <a:lstStyle/>
              <a:p>
                <a:pPr>
                  <a:defRPr b="1">
                    <a:solidFill>
                      <a:srgbClr val="0000CC"/>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'20'!$B$6:$I$6</c:f>
              <c:strCache>
                <c:ptCount val="8"/>
                <c:pt idx="0">
                  <c:v>الدوحة
Doha</c:v>
                </c:pt>
                <c:pt idx="1">
                  <c:v>الريان
Rayyan</c:v>
                </c:pt>
                <c:pt idx="2">
                  <c:v>الوكرة
Wakrah</c:v>
                </c:pt>
                <c:pt idx="3">
                  <c:v>ام صلال
Umm Slal</c:v>
                </c:pt>
                <c:pt idx="4">
                  <c:v>الظعاين
Al-Daayen</c:v>
                </c:pt>
                <c:pt idx="5">
                  <c:v>الخور
Al-Khor</c:v>
                </c:pt>
                <c:pt idx="6">
                  <c:v>الشمال
Al-Shamal</c:v>
                </c:pt>
                <c:pt idx="7">
                  <c:v>الشيحانية
Al-Shahhaniya</c:v>
                </c:pt>
              </c:strCache>
            </c:strRef>
          </c:cat>
          <c:val>
            <c:numRef>
              <c:f>'20'!$B$22:$I$22</c:f>
              <c:numCache>
                <c:formatCode>General</c:formatCode>
                <c:ptCount val="8"/>
                <c:pt idx="0">
                  <c:v>685</c:v>
                </c:pt>
                <c:pt idx="1">
                  <c:v>1089</c:v>
                </c:pt>
                <c:pt idx="2">
                  <c:v>899</c:v>
                </c:pt>
                <c:pt idx="3">
                  <c:v>313</c:v>
                </c:pt>
                <c:pt idx="4">
                  <c:v>656</c:v>
                </c:pt>
                <c:pt idx="5">
                  <c:v>137</c:v>
                </c:pt>
                <c:pt idx="6">
                  <c:v>75</c:v>
                </c:pt>
                <c:pt idx="7">
                  <c:v>115</c:v>
                </c:pt>
              </c:numCache>
            </c:numRef>
          </c:val>
          <c:extLst>
            <c:ext xmlns:c16="http://schemas.microsoft.com/office/drawing/2014/chart" uri="{C3380CC4-5D6E-409C-BE32-E72D297353CC}">
              <c16:uniqueId val="{00000000-7448-4632-9840-83F136360E8B}"/>
            </c:ext>
          </c:extLst>
        </c:ser>
        <c:dLbls>
          <c:showLegendKey val="0"/>
          <c:showVal val="0"/>
          <c:showCatName val="0"/>
          <c:showSerName val="0"/>
          <c:showPercent val="0"/>
          <c:showBubbleSize val="0"/>
        </c:dLbls>
        <c:gapWidth val="75"/>
        <c:overlap val="-25"/>
        <c:axId val="125671296"/>
        <c:axId val="125672832"/>
      </c:barChart>
      <c:catAx>
        <c:axId val="125671296"/>
        <c:scaling>
          <c:orientation val="minMax"/>
        </c:scaling>
        <c:delete val="0"/>
        <c:axPos val="b"/>
        <c:numFmt formatCode="General" sourceLinked="0"/>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25672832"/>
        <c:crosses val="autoZero"/>
        <c:auto val="1"/>
        <c:lblAlgn val="ctr"/>
        <c:lblOffset val="100"/>
        <c:noMultiLvlLbl val="0"/>
      </c:catAx>
      <c:valAx>
        <c:axId val="125672832"/>
        <c:scaling>
          <c:orientation val="minMax"/>
        </c:scaling>
        <c:delete val="0"/>
        <c:axPos val="l"/>
        <c:numFmt formatCode="General" sourceLinked="1"/>
        <c:majorTickMark val="none"/>
        <c:minorTickMark val="none"/>
        <c:tickLblPos val="nextTo"/>
        <c:spPr>
          <a:ln w="9525">
            <a:noFill/>
          </a:ln>
        </c:spPr>
        <c:txPr>
          <a:bodyPr/>
          <a:lstStyle/>
          <a:p>
            <a:pPr>
              <a:defRPr sz="800" b="1">
                <a:latin typeface="Arial" panose="020B0604020202020204" pitchFamily="34" charset="0"/>
                <a:cs typeface="Arial" panose="020B0604020202020204" pitchFamily="34" charset="0"/>
              </a:defRPr>
            </a:pPr>
            <a:endParaRPr lang="ar-QA"/>
          </a:p>
        </c:txPr>
        <c:crossAx val="125671296"/>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8.png"/><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wmf"/></Relationships>
</file>

<file path=xl/drawings/_rels/drawing2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8.png"/></Relationships>
</file>

<file path=xl/drawings/_rels/drawing25.xml.rels><?xml version="1.0" encoding="UTF-8" standalone="yes"?>
<Relationships xmlns="http://schemas.openxmlformats.org/package/2006/relationships"><Relationship Id="rId1" Type="http://schemas.openxmlformats.org/officeDocument/2006/relationships/image" Target="../media/image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8.png"/></Relationships>
</file>

<file path=xl/drawings/_rels/drawing27.xml.rels><?xml version="1.0" encoding="UTF-8" standalone="yes"?>
<Relationships xmlns="http://schemas.openxmlformats.org/package/2006/relationships"><Relationship Id="rId1" Type="http://schemas.openxmlformats.org/officeDocument/2006/relationships/image" Target="../media/image8.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1" Type="http://schemas.openxmlformats.org/officeDocument/2006/relationships/image" Target="../media/image8.png"/></Relationships>
</file>

<file path=xl/drawings/_rels/drawing31.xml.rels><?xml version="1.0" encoding="UTF-8" standalone="yes"?>
<Relationships xmlns="http://schemas.openxmlformats.org/package/2006/relationships"><Relationship Id="rId1" Type="http://schemas.openxmlformats.org/officeDocument/2006/relationships/image" Target="../media/image8.png"/></Relationships>
</file>

<file path=xl/drawings/_rels/drawing3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8.png"/><Relationship Id="rId1" Type="http://schemas.openxmlformats.org/officeDocument/2006/relationships/chart" Target="../charts/chart6.xml"/></Relationships>
</file>

<file path=xl/drawings/_rels/drawing3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jpe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16145</xdr:colOff>
      <xdr:row>1</xdr:row>
      <xdr:rowOff>0</xdr:rowOff>
    </xdr:from>
    <xdr:to>
      <xdr:col>13</xdr:col>
      <xdr:colOff>648310</xdr:colOff>
      <xdr:row>30</xdr:row>
      <xdr:rowOff>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39"/>
        <a:stretch/>
      </xdr:blipFill>
      <xdr:spPr>
        <a:xfrm>
          <a:off x="11231869381" y="177585"/>
          <a:ext cx="9551762" cy="514995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1</xdr:row>
      <xdr:rowOff>240360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691320"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15240</xdr:colOff>
      <xdr:row>4</xdr:row>
      <xdr:rowOff>19050</xdr:rowOff>
    </xdr:from>
    <xdr:to>
      <xdr:col>6</xdr:col>
      <xdr:colOff>563880</xdr:colOff>
      <xdr:row>28</xdr:row>
      <xdr:rowOff>7620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4822420" y="0"/>
          <a:ext cx="720000" cy="712800"/>
        </a:xfrm>
        <a:prstGeom prst="rect">
          <a:avLst/>
        </a:prstGeom>
      </xdr:spPr>
    </xdr:pic>
    <xdr:clientData/>
  </xdr:twoCellAnchor>
  <xdr:twoCellAnchor>
    <xdr:from>
      <xdr:col>7</xdr:col>
      <xdr:colOff>91440</xdr:colOff>
      <xdr:row>4</xdr:row>
      <xdr:rowOff>45720</xdr:rowOff>
    </xdr:from>
    <xdr:to>
      <xdr:col>13</xdr:col>
      <xdr:colOff>640080</xdr:colOff>
      <xdr:row>28</xdr:row>
      <xdr:rowOff>34290</xdr:rowOff>
    </xdr:to>
    <xdr:graphicFrame macro="">
      <xdr:nvGraphicFramePr>
        <xdr:cNvPr id="5" name="Chart 4">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2674620</xdr:colOff>
      <xdr:row>2</xdr:row>
      <xdr:rowOff>733425</xdr:rowOff>
    </xdr:from>
    <xdr:to>
      <xdr:col>3</xdr:col>
      <xdr:colOff>60960</xdr:colOff>
      <xdr:row>3</xdr:row>
      <xdr:rowOff>2314575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0878980" y="2813685"/>
          <a:ext cx="5547360" cy="2343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800100</xdr:colOff>
      <xdr:row>1</xdr:row>
      <xdr:rowOff>66675</xdr:rowOff>
    </xdr:from>
    <xdr:ext cx="0" cy="123825"/>
    <xdr:pic>
      <xdr:nvPicPr>
        <xdr:cNvPr id="3" name="Picture 8" descr="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5248000" y="2571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1832918</xdr:colOff>
      <xdr:row>0</xdr:row>
      <xdr:rowOff>30480</xdr:rowOff>
    </xdr:from>
    <xdr:to>
      <xdr:col>2</xdr:col>
      <xdr:colOff>912578</xdr:colOff>
      <xdr:row>1</xdr:row>
      <xdr:rowOff>85917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62747702" y="30480"/>
          <a:ext cx="1800000" cy="125177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30480</xdr:colOff>
      <xdr:row>4</xdr:row>
      <xdr:rowOff>49530</xdr:rowOff>
    </xdr:from>
    <xdr:to>
      <xdr:col>11</xdr:col>
      <xdr:colOff>624840</xdr:colOff>
      <xdr:row>29</xdr:row>
      <xdr:rowOff>160020</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30480</xdr:rowOff>
    </xdr:from>
    <xdr:to>
      <xdr:col>1</xdr:col>
      <xdr:colOff>34200</xdr:colOff>
      <xdr:row>1</xdr:row>
      <xdr:rowOff>202260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50280" y="30480"/>
          <a:ext cx="674280" cy="64422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9895113</xdr:colOff>
      <xdr:row>1</xdr:row>
      <xdr:rowOff>3418114</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11056478487" y="0"/>
          <a:ext cx="9895113" cy="684711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twoCellAnchor>
    <xdr:from>
      <xdr:col>0</xdr:col>
      <xdr:colOff>10886</xdr:colOff>
      <xdr:row>3</xdr:row>
      <xdr:rowOff>15240</xdr:rowOff>
    </xdr:from>
    <xdr:to>
      <xdr:col>12</xdr:col>
      <xdr:colOff>617220</xdr:colOff>
      <xdr:row>32</xdr:row>
      <xdr:rowOff>83820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50529</xdr:colOff>
      <xdr:row>3</xdr:row>
      <xdr:rowOff>57480</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33951" y="0"/>
          <a:ext cx="721089" cy="712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7</xdr:col>
      <xdr:colOff>1457325</xdr:colOff>
      <xdr:row>0</xdr:row>
      <xdr:rowOff>9525</xdr:rowOff>
    </xdr:from>
    <xdr:ext cx="9525" cy="180975"/>
    <xdr:pic>
      <xdr:nvPicPr>
        <xdr:cNvPr id="2" name="Picture 8"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3307080</xdr:colOff>
      <xdr:row>0</xdr:row>
      <xdr:rowOff>0</xdr:rowOff>
    </xdr:from>
    <xdr:to>
      <xdr:col>3</xdr:col>
      <xdr:colOff>550320</xdr:colOff>
      <xdr:row>1</xdr:row>
      <xdr:rowOff>520257</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1982200" y="0"/>
          <a:ext cx="1800000" cy="1251777"/>
        </a:xfrm>
        <a:prstGeom prst="rect">
          <a:avLst/>
        </a:prstGeom>
      </xdr:spPr>
    </xdr:pic>
    <xdr:clientData/>
  </xdr:twoCellAnchor>
  <mc:AlternateContent xmlns:mc="http://schemas.openxmlformats.org/markup-compatibility/2006">
    <mc:Choice xmlns:a14="http://schemas.microsoft.com/office/drawing/2010/main" Requires="a14">
      <xdr:twoCellAnchor>
        <xdr:from>
          <xdr:col>8509</xdr:col>
          <xdr:colOff>95250</xdr:colOff>
          <xdr:row>0</xdr:row>
          <xdr:rowOff>361950</xdr:rowOff>
        </xdr:from>
        <xdr:to>
          <xdr:col>8509</xdr:col>
          <xdr:colOff>95250</xdr:colOff>
          <xdr:row>0</xdr:row>
          <xdr:rowOff>666750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8509</xdr:col>
          <xdr:colOff>476250</xdr:colOff>
          <xdr:row>0</xdr:row>
          <xdr:rowOff>342900</xdr:rowOff>
        </xdr:from>
        <xdr:to>
          <xdr:col>8510</xdr:col>
          <xdr:colOff>180975</xdr:colOff>
          <xdr:row>0</xdr:row>
          <xdr:rowOff>676275</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twoCellAnchor>
    <xdr:from>
      <xdr:col>0</xdr:col>
      <xdr:colOff>15240</xdr:colOff>
      <xdr:row>4</xdr:row>
      <xdr:rowOff>19050</xdr:rowOff>
    </xdr:from>
    <xdr:to>
      <xdr:col>6</xdr:col>
      <xdr:colOff>563880</xdr:colOff>
      <xdr:row>28</xdr:row>
      <xdr:rowOff>7620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80760" y="0"/>
          <a:ext cx="674280" cy="644220"/>
        </a:xfrm>
        <a:prstGeom prst="rect">
          <a:avLst/>
        </a:prstGeom>
      </xdr:spPr>
    </xdr:pic>
    <xdr:clientData/>
  </xdr:twoCellAnchor>
  <xdr:twoCellAnchor>
    <xdr:from>
      <xdr:col>7</xdr:col>
      <xdr:colOff>91440</xdr:colOff>
      <xdr:row>4</xdr:row>
      <xdr:rowOff>45720</xdr:rowOff>
    </xdr:from>
    <xdr:to>
      <xdr:col>13</xdr:col>
      <xdr:colOff>640080</xdr:colOff>
      <xdr:row>28</xdr:row>
      <xdr:rowOff>34290</xdr:rowOff>
    </xdr:to>
    <xdr:graphicFrame macro="">
      <xdr:nvGraphicFramePr>
        <xdr:cNvPr id="4" name="Chart 3">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30480</xdr:colOff>
      <xdr:row>4</xdr:row>
      <xdr:rowOff>49530</xdr:rowOff>
    </xdr:from>
    <xdr:to>
      <xdr:col>11</xdr:col>
      <xdr:colOff>624840</xdr:colOff>
      <xdr:row>29</xdr:row>
      <xdr:rowOff>160020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80760" y="0"/>
          <a:ext cx="674280" cy="6442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4974529</xdr:colOff>
      <xdr:row>0</xdr:row>
      <xdr:rowOff>20320</xdr:rowOff>
    </xdr:from>
    <xdr:to>
      <xdr:col>2</xdr:col>
      <xdr:colOff>15089</xdr:colOff>
      <xdr:row>2</xdr:row>
      <xdr:rowOff>115900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47180911" y="20320"/>
          <a:ext cx="730160" cy="711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7</xdr:col>
      <xdr:colOff>1457325</xdr:colOff>
      <xdr:row>0</xdr:row>
      <xdr:rowOff>9525</xdr:rowOff>
    </xdr:from>
    <xdr:ext cx="9525" cy="180975"/>
    <xdr:pic>
      <xdr:nvPicPr>
        <xdr:cNvPr id="2" name="Picture 8" descr="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3672840</xdr:colOff>
      <xdr:row>0</xdr:row>
      <xdr:rowOff>53340</xdr:rowOff>
    </xdr:from>
    <xdr:to>
      <xdr:col>3</xdr:col>
      <xdr:colOff>224700</xdr:colOff>
      <xdr:row>0</xdr:row>
      <xdr:rowOff>766140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6575020" y="53340"/>
          <a:ext cx="720000" cy="71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7</xdr:col>
      <xdr:colOff>1457325</xdr:colOff>
      <xdr:row>1</xdr:row>
      <xdr:rowOff>0</xdr:rowOff>
    </xdr:from>
    <xdr:ext cx="9525" cy="180975"/>
    <xdr:pic>
      <xdr:nvPicPr>
        <xdr:cNvPr id="2" name="Picture 8" descr="log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1905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1457325</xdr:colOff>
      <xdr:row>0</xdr:row>
      <xdr:rowOff>9525</xdr:rowOff>
    </xdr:from>
    <xdr:ext cx="9525" cy="180975"/>
    <xdr:pic>
      <xdr:nvPicPr>
        <xdr:cNvPr id="3" name="Picture 8" descr="logo">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20</xdr:row>
      <xdr:rowOff>91440</xdr:rowOff>
    </xdr:from>
    <xdr:ext cx="819150" cy="676275"/>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70849750" y="7734300"/>
          <a:ext cx="8191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3322320</xdr:colOff>
      <xdr:row>0</xdr:row>
      <xdr:rowOff>22860</xdr:rowOff>
    </xdr:from>
    <xdr:to>
      <xdr:col>3</xdr:col>
      <xdr:colOff>201840</xdr:colOff>
      <xdr:row>0</xdr:row>
      <xdr:rowOff>735660</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66216880" y="22860"/>
          <a:ext cx="720000" cy="71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9884229</xdr:colOff>
      <xdr:row>1</xdr:row>
      <xdr:rowOff>3396343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056489371" y="0"/>
          <a:ext cx="9884229" cy="68253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63290800" y="0"/>
          <a:ext cx="720000" cy="712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10886</xdr:colOff>
      <xdr:row>3</xdr:row>
      <xdr:rowOff>15240</xdr:rowOff>
    </xdr:from>
    <xdr:to>
      <xdr:col>12</xdr:col>
      <xdr:colOff>617220</xdr:colOff>
      <xdr:row>33</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50529</xdr:colOff>
      <xdr:row>3</xdr:row>
      <xdr:rowOff>57480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33951" y="0"/>
          <a:ext cx="721089"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1"/>
  <sheetViews>
    <sheetView rightToLeft="1" tabSelected="1" view="pageBreakPreview" zoomScale="118" zoomScaleNormal="100" zoomScaleSheetLayoutView="118" workbookViewId="0">
      <selection activeCell="Q21" sqref="Q21"/>
    </sheetView>
  </sheetViews>
  <sheetFormatPr defaultRowHeight="14.25"/>
  <sheetData>
    <row r="41" ht="10.15" customHeight="1"/>
  </sheetData>
  <printOptions horizontalCentered="1" verticalCentered="1"/>
  <pageMargins left="0" right="0" top="0" bottom="0" header="0.31496062992125984" footer="0.31496062992125984"/>
  <pageSetup paperSize="9" scale="98" orientation="landscape" r:id="rId1"/>
  <rowBreaks count="1" manualBreakCount="1">
    <brk id="31" max="1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129</v>
      </c>
      <c r="B5" s="163" t="s">
        <v>130</v>
      </c>
      <c r="C5" s="163"/>
      <c r="D5" s="163"/>
      <c r="E5" s="163"/>
      <c r="F5" s="33" t="s">
        <v>131</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88+18</f>
        <v>106</v>
      </c>
      <c r="C8" s="35">
        <v>167</v>
      </c>
      <c r="D8" s="35">
        <v>4</v>
      </c>
      <c r="E8" s="34">
        <f t="shared" ref="E8:E19" si="0">SUM(B8:D8)</f>
        <v>277</v>
      </c>
      <c r="F8" s="36" t="s">
        <v>101</v>
      </c>
    </row>
    <row r="9" spans="1:6" ht="22.5" customHeight="1">
      <c r="A9" s="37" t="s">
        <v>102</v>
      </c>
      <c r="B9" s="38">
        <f>54+19</f>
        <v>73</v>
      </c>
      <c r="C9" s="38">
        <v>124</v>
      </c>
      <c r="D9" s="38">
        <v>1</v>
      </c>
      <c r="E9" s="37">
        <f t="shared" si="0"/>
        <v>198</v>
      </c>
      <c r="F9" s="39" t="s">
        <v>103</v>
      </c>
    </row>
    <row r="10" spans="1:6" ht="22.5" customHeight="1">
      <c r="A10" s="34" t="s">
        <v>104</v>
      </c>
      <c r="B10" s="35">
        <f>67+21</f>
        <v>88</v>
      </c>
      <c r="C10" s="35">
        <v>126</v>
      </c>
      <c r="D10" s="35">
        <v>1</v>
      </c>
      <c r="E10" s="34">
        <f t="shared" si="0"/>
        <v>215</v>
      </c>
      <c r="F10" s="36" t="s">
        <v>105</v>
      </c>
    </row>
    <row r="11" spans="1:6" ht="22.5" customHeight="1">
      <c r="A11" s="37" t="s">
        <v>106</v>
      </c>
      <c r="B11" s="38">
        <f>21+9</f>
        <v>30</v>
      </c>
      <c r="C11" s="38">
        <v>74</v>
      </c>
      <c r="D11" s="38">
        <v>1</v>
      </c>
      <c r="E11" s="37">
        <f t="shared" si="0"/>
        <v>105</v>
      </c>
      <c r="F11" s="39" t="s">
        <v>107</v>
      </c>
    </row>
    <row r="12" spans="1:6" ht="22.5" customHeight="1">
      <c r="A12" s="34" t="s">
        <v>108</v>
      </c>
      <c r="B12" s="35">
        <f>12+6</f>
        <v>18</v>
      </c>
      <c r="C12" s="35">
        <v>52</v>
      </c>
      <c r="D12" s="35">
        <v>2</v>
      </c>
      <c r="E12" s="34">
        <f t="shared" si="0"/>
        <v>72</v>
      </c>
      <c r="F12" s="36" t="s">
        <v>109</v>
      </c>
    </row>
    <row r="13" spans="1:6" ht="22.5" customHeight="1">
      <c r="A13" s="37" t="s">
        <v>110</v>
      </c>
      <c r="B13" s="38">
        <f>17+3</f>
        <v>20</v>
      </c>
      <c r="C13" s="38">
        <v>104</v>
      </c>
      <c r="D13" s="38">
        <v>3</v>
      </c>
      <c r="E13" s="37">
        <f t="shared" si="0"/>
        <v>127</v>
      </c>
      <c r="F13" s="39" t="s">
        <v>111</v>
      </c>
    </row>
    <row r="14" spans="1:6" ht="22.5" customHeight="1">
      <c r="A14" s="34" t="s">
        <v>112</v>
      </c>
      <c r="B14" s="35">
        <f>53+9</f>
        <v>62</v>
      </c>
      <c r="C14" s="35">
        <v>81</v>
      </c>
      <c r="D14" s="35">
        <v>2</v>
      </c>
      <c r="E14" s="34">
        <f t="shared" si="0"/>
        <v>145</v>
      </c>
      <c r="F14" s="36" t="s">
        <v>113</v>
      </c>
    </row>
    <row r="15" spans="1:6" ht="22.5" customHeight="1">
      <c r="A15" s="37" t="s">
        <v>114</v>
      </c>
      <c r="B15" s="38">
        <f>36+15</f>
        <v>51</v>
      </c>
      <c r="C15" s="38">
        <v>73</v>
      </c>
      <c r="D15" s="38">
        <v>2</v>
      </c>
      <c r="E15" s="37">
        <f t="shared" si="0"/>
        <v>126</v>
      </c>
      <c r="F15" s="39" t="s">
        <v>115</v>
      </c>
    </row>
    <row r="16" spans="1:6" ht="22.5" customHeight="1">
      <c r="A16" s="34" t="s">
        <v>116</v>
      </c>
      <c r="B16" s="35">
        <f>26+8</f>
        <v>34</v>
      </c>
      <c r="C16" s="35">
        <v>95</v>
      </c>
      <c r="D16" s="35">
        <v>1</v>
      </c>
      <c r="E16" s="34">
        <f t="shared" si="0"/>
        <v>130</v>
      </c>
      <c r="F16" s="36" t="s">
        <v>117</v>
      </c>
    </row>
    <row r="17" spans="1:8" ht="22.5" customHeight="1">
      <c r="A17" s="37" t="s">
        <v>118</v>
      </c>
      <c r="B17" s="38">
        <f>30+10</f>
        <v>40</v>
      </c>
      <c r="C17" s="38">
        <v>61</v>
      </c>
      <c r="D17" s="38">
        <v>2</v>
      </c>
      <c r="E17" s="37">
        <f t="shared" si="0"/>
        <v>103</v>
      </c>
      <c r="F17" s="39" t="s">
        <v>119</v>
      </c>
    </row>
    <row r="18" spans="1:8" ht="22.5" customHeight="1">
      <c r="A18" s="34" t="s">
        <v>120</v>
      </c>
      <c r="B18" s="35">
        <f>32+10</f>
        <v>42</v>
      </c>
      <c r="C18" s="35">
        <v>86</v>
      </c>
      <c r="D18" s="35">
        <v>3</v>
      </c>
      <c r="E18" s="34">
        <f t="shared" si="0"/>
        <v>131</v>
      </c>
      <c r="F18" s="36" t="s">
        <v>121</v>
      </c>
    </row>
    <row r="19" spans="1:8" ht="22.5" customHeight="1">
      <c r="A19" s="37" t="s">
        <v>122</v>
      </c>
      <c r="B19" s="38">
        <f>22+12</f>
        <v>34</v>
      </c>
      <c r="C19" s="38">
        <v>74</v>
      </c>
      <c r="D19" s="38">
        <v>3</v>
      </c>
      <c r="E19" s="37">
        <f t="shared" si="0"/>
        <v>111</v>
      </c>
      <c r="F19" s="39" t="s">
        <v>123</v>
      </c>
    </row>
    <row r="20" spans="1:8" ht="36" customHeight="1">
      <c r="A20" s="40" t="s">
        <v>124</v>
      </c>
      <c r="B20" s="41">
        <f>SUM(B8:B19)</f>
        <v>598</v>
      </c>
      <c r="C20" s="41">
        <f>SUM(C8:C19)</f>
        <v>1117</v>
      </c>
      <c r="D20" s="41">
        <f>SUM(D8:D19)</f>
        <v>25</v>
      </c>
      <c r="E20" s="41">
        <f>SUM(E8:E19)</f>
        <v>1740</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132</v>
      </c>
      <c r="B5" s="163" t="s">
        <v>133</v>
      </c>
      <c r="C5" s="163"/>
      <c r="D5" s="163"/>
      <c r="E5" s="163"/>
      <c r="F5" s="33" t="s">
        <v>134</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75+24</f>
        <v>99</v>
      </c>
      <c r="C8" s="35">
        <v>115</v>
      </c>
      <c r="D8" s="35">
        <v>15</v>
      </c>
      <c r="E8" s="34">
        <f t="shared" ref="E8:E19" si="0">SUM(B8:D8)</f>
        <v>229</v>
      </c>
      <c r="F8" s="36" t="s">
        <v>101</v>
      </c>
    </row>
    <row r="9" spans="1:6" ht="22.5" customHeight="1">
      <c r="A9" s="37" t="s">
        <v>102</v>
      </c>
      <c r="B9" s="38">
        <f>207+18</f>
        <v>225</v>
      </c>
      <c r="C9" s="38">
        <v>229</v>
      </c>
      <c r="D9" s="38">
        <v>17</v>
      </c>
      <c r="E9" s="37">
        <f t="shared" si="0"/>
        <v>471</v>
      </c>
      <c r="F9" s="39" t="s">
        <v>103</v>
      </c>
    </row>
    <row r="10" spans="1:6" ht="22.5" customHeight="1">
      <c r="A10" s="34" t="s">
        <v>104</v>
      </c>
      <c r="B10" s="35">
        <f>176+13</f>
        <v>189</v>
      </c>
      <c r="C10" s="35">
        <v>227</v>
      </c>
      <c r="D10" s="35">
        <v>29</v>
      </c>
      <c r="E10" s="34">
        <f t="shared" si="0"/>
        <v>445</v>
      </c>
      <c r="F10" s="36" t="s">
        <v>105</v>
      </c>
    </row>
    <row r="11" spans="1:6" ht="22.5" customHeight="1">
      <c r="A11" s="37" t="s">
        <v>106</v>
      </c>
      <c r="B11" s="38">
        <f>71+9</f>
        <v>80</v>
      </c>
      <c r="C11" s="38">
        <v>75</v>
      </c>
      <c r="D11" s="38">
        <v>7</v>
      </c>
      <c r="E11" s="37">
        <f t="shared" si="0"/>
        <v>162</v>
      </c>
      <c r="F11" s="39" t="s">
        <v>107</v>
      </c>
    </row>
    <row r="12" spans="1:6" ht="22.5" customHeight="1">
      <c r="A12" s="34" t="s">
        <v>108</v>
      </c>
      <c r="B12" s="35">
        <f>44+6</f>
        <v>50</v>
      </c>
      <c r="C12" s="35">
        <v>56</v>
      </c>
      <c r="D12" s="35">
        <v>3</v>
      </c>
      <c r="E12" s="34">
        <f t="shared" si="0"/>
        <v>109</v>
      </c>
      <c r="F12" s="36" t="s">
        <v>109</v>
      </c>
    </row>
    <row r="13" spans="1:6" ht="22.5" customHeight="1">
      <c r="A13" s="37" t="s">
        <v>110</v>
      </c>
      <c r="B13" s="38">
        <f>68+11</f>
        <v>79</v>
      </c>
      <c r="C13" s="38">
        <v>128</v>
      </c>
      <c r="D13" s="38">
        <v>12</v>
      </c>
      <c r="E13" s="37">
        <f t="shared" si="0"/>
        <v>219</v>
      </c>
      <c r="F13" s="39" t="s">
        <v>111</v>
      </c>
    </row>
    <row r="14" spans="1:6" ht="22.5" customHeight="1">
      <c r="A14" s="34" t="s">
        <v>112</v>
      </c>
      <c r="B14" s="35">
        <f>51+4</f>
        <v>55</v>
      </c>
      <c r="C14" s="35">
        <v>77</v>
      </c>
      <c r="D14" s="35">
        <v>6</v>
      </c>
      <c r="E14" s="34">
        <f t="shared" si="0"/>
        <v>138</v>
      </c>
      <c r="F14" s="36" t="s">
        <v>113</v>
      </c>
    </row>
    <row r="15" spans="1:6" ht="22.5" customHeight="1">
      <c r="A15" s="37" t="s">
        <v>114</v>
      </c>
      <c r="B15" s="38">
        <f>71+7</f>
        <v>78</v>
      </c>
      <c r="C15" s="38">
        <v>92</v>
      </c>
      <c r="D15" s="38">
        <v>7</v>
      </c>
      <c r="E15" s="37">
        <f t="shared" si="0"/>
        <v>177</v>
      </c>
      <c r="F15" s="39" t="s">
        <v>115</v>
      </c>
    </row>
    <row r="16" spans="1:6" ht="22.5" customHeight="1">
      <c r="A16" s="34" t="s">
        <v>116</v>
      </c>
      <c r="B16" s="35">
        <f>82+6</f>
        <v>88</v>
      </c>
      <c r="C16" s="35">
        <v>74</v>
      </c>
      <c r="D16" s="35">
        <v>8</v>
      </c>
      <c r="E16" s="34">
        <f t="shared" si="0"/>
        <v>170</v>
      </c>
      <c r="F16" s="36" t="s">
        <v>117</v>
      </c>
    </row>
    <row r="17" spans="1:8" ht="22.5" customHeight="1">
      <c r="A17" s="37" t="s">
        <v>118</v>
      </c>
      <c r="B17" s="38">
        <f>67+9</f>
        <v>76</v>
      </c>
      <c r="C17" s="38">
        <v>84</v>
      </c>
      <c r="D17" s="38">
        <v>9</v>
      </c>
      <c r="E17" s="37">
        <f>SUM(B17:D17)</f>
        <v>169</v>
      </c>
      <c r="F17" s="39" t="s">
        <v>119</v>
      </c>
    </row>
    <row r="18" spans="1:8" ht="22.5" customHeight="1">
      <c r="A18" s="34" t="s">
        <v>120</v>
      </c>
      <c r="B18" s="35">
        <f>97+7</f>
        <v>104</v>
      </c>
      <c r="C18" s="35">
        <v>95</v>
      </c>
      <c r="D18" s="35">
        <v>7</v>
      </c>
      <c r="E18" s="34">
        <f t="shared" si="0"/>
        <v>206</v>
      </c>
      <c r="F18" s="36" t="s">
        <v>121</v>
      </c>
    </row>
    <row r="19" spans="1:8" ht="22.5" customHeight="1">
      <c r="A19" s="37" t="s">
        <v>122</v>
      </c>
      <c r="B19" s="38">
        <f>90+14</f>
        <v>104</v>
      </c>
      <c r="C19" s="38">
        <v>68</v>
      </c>
      <c r="D19" s="38">
        <v>14</v>
      </c>
      <c r="E19" s="37">
        <f t="shared" si="0"/>
        <v>186</v>
      </c>
      <c r="F19" s="39" t="s">
        <v>123</v>
      </c>
    </row>
    <row r="20" spans="1:8" ht="36" customHeight="1">
      <c r="A20" s="40" t="s">
        <v>124</v>
      </c>
      <c r="B20" s="41">
        <f>SUM(B8:B19)</f>
        <v>1227</v>
      </c>
      <c r="C20" s="41">
        <f>SUM(C8:C19)</f>
        <v>1320</v>
      </c>
      <c r="D20" s="41">
        <f>SUM(D8:D19)</f>
        <v>134</v>
      </c>
      <c r="E20" s="41">
        <f>SUM(E8:E19)</f>
        <v>2681</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135</v>
      </c>
      <c r="B5" s="163" t="s">
        <v>136</v>
      </c>
      <c r="C5" s="163"/>
      <c r="D5" s="163"/>
      <c r="E5" s="163"/>
      <c r="F5" s="33" t="s">
        <v>137</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125+66</f>
        <v>191</v>
      </c>
      <c r="C8" s="35">
        <v>112</v>
      </c>
      <c r="D8" s="35">
        <v>1</v>
      </c>
      <c r="E8" s="34">
        <f t="shared" ref="E8:E19" si="0">SUM(B8:D8)</f>
        <v>304</v>
      </c>
      <c r="F8" s="36" t="s">
        <v>101</v>
      </c>
    </row>
    <row r="9" spans="1:6" ht="22.5" customHeight="1">
      <c r="A9" s="37" t="s">
        <v>102</v>
      </c>
      <c r="B9" s="38">
        <f>78+44</f>
        <v>122</v>
      </c>
      <c r="C9" s="38">
        <v>77</v>
      </c>
      <c r="D9" s="38">
        <v>1</v>
      </c>
      <c r="E9" s="37">
        <f t="shared" si="0"/>
        <v>200</v>
      </c>
      <c r="F9" s="39" t="s">
        <v>103</v>
      </c>
    </row>
    <row r="10" spans="1:6" ht="22.5" customHeight="1">
      <c r="A10" s="34" t="s">
        <v>104</v>
      </c>
      <c r="B10" s="35">
        <f>82+26</f>
        <v>108</v>
      </c>
      <c r="C10" s="35">
        <v>59</v>
      </c>
      <c r="D10" s="35">
        <v>4</v>
      </c>
      <c r="E10" s="34">
        <f t="shared" si="0"/>
        <v>171</v>
      </c>
      <c r="F10" s="36" t="s">
        <v>105</v>
      </c>
    </row>
    <row r="11" spans="1:6" ht="22.5" customHeight="1">
      <c r="A11" s="37" t="s">
        <v>106</v>
      </c>
      <c r="B11" s="38">
        <f>27+15</f>
        <v>42</v>
      </c>
      <c r="C11" s="38">
        <v>32</v>
      </c>
      <c r="D11" s="38">
        <v>5</v>
      </c>
      <c r="E11" s="37">
        <f t="shared" si="0"/>
        <v>79</v>
      </c>
      <c r="F11" s="39" t="s">
        <v>107</v>
      </c>
    </row>
    <row r="12" spans="1:6" ht="22.5" customHeight="1">
      <c r="A12" s="34" t="s">
        <v>108</v>
      </c>
      <c r="B12" s="35">
        <f>20+15</f>
        <v>35</v>
      </c>
      <c r="C12" s="35">
        <v>30</v>
      </c>
      <c r="D12" s="35">
        <v>0</v>
      </c>
      <c r="E12" s="34">
        <f t="shared" si="0"/>
        <v>65</v>
      </c>
      <c r="F12" s="36" t="s">
        <v>109</v>
      </c>
    </row>
    <row r="13" spans="1:6" ht="22.5" customHeight="1">
      <c r="A13" s="37" t="s">
        <v>110</v>
      </c>
      <c r="B13" s="38">
        <f>40+31</f>
        <v>71</v>
      </c>
      <c r="C13" s="38">
        <v>60</v>
      </c>
      <c r="D13" s="38">
        <v>0</v>
      </c>
      <c r="E13" s="37">
        <f t="shared" si="0"/>
        <v>131</v>
      </c>
      <c r="F13" s="39" t="s">
        <v>111</v>
      </c>
    </row>
    <row r="14" spans="1:6" ht="22.5" customHeight="1">
      <c r="A14" s="34" t="s">
        <v>112</v>
      </c>
      <c r="B14" s="35">
        <f>29+11</f>
        <v>40</v>
      </c>
      <c r="C14" s="35">
        <v>39</v>
      </c>
      <c r="D14" s="35">
        <v>1</v>
      </c>
      <c r="E14" s="34">
        <f t="shared" si="0"/>
        <v>80</v>
      </c>
      <c r="F14" s="36" t="s">
        <v>113</v>
      </c>
    </row>
    <row r="15" spans="1:6" ht="22.5" customHeight="1">
      <c r="A15" s="37" t="s">
        <v>114</v>
      </c>
      <c r="B15" s="38">
        <f>22+27</f>
        <v>49</v>
      </c>
      <c r="C15" s="38">
        <v>47</v>
      </c>
      <c r="D15" s="38">
        <v>1</v>
      </c>
      <c r="E15" s="37">
        <f t="shared" si="0"/>
        <v>97</v>
      </c>
      <c r="F15" s="39" t="s">
        <v>115</v>
      </c>
    </row>
    <row r="16" spans="1:6" ht="22.5" customHeight="1">
      <c r="A16" s="34" t="s">
        <v>116</v>
      </c>
      <c r="B16" s="35">
        <f>26+47</f>
        <v>73</v>
      </c>
      <c r="C16" s="35">
        <v>50</v>
      </c>
      <c r="D16" s="35">
        <v>0</v>
      </c>
      <c r="E16" s="34">
        <f t="shared" si="0"/>
        <v>123</v>
      </c>
      <c r="F16" s="36" t="s">
        <v>117</v>
      </c>
    </row>
    <row r="17" spans="1:8" ht="22.5" customHeight="1">
      <c r="A17" s="37" t="s">
        <v>118</v>
      </c>
      <c r="B17" s="38">
        <f>49+61</f>
        <v>110</v>
      </c>
      <c r="C17" s="38">
        <v>49</v>
      </c>
      <c r="D17" s="38">
        <v>2</v>
      </c>
      <c r="E17" s="37">
        <f t="shared" si="0"/>
        <v>161</v>
      </c>
      <c r="F17" s="39" t="s">
        <v>119</v>
      </c>
    </row>
    <row r="18" spans="1:8" ht="22.5" customHeight="1">
      <c r="A18" s="34" t="s">
        <v>120</v>
      </c>
      <c r="B18" s="35">
        <f>41+74</f>
        <v>115</v>
      </c>
      <c r="C18" s="35">
        <v>36</v>
      </c>
      <c r="D18" s="35">
        <v>0</v>
      </c>
      <c r="E18" s="34">
        <f t="shared" si="0"/>
        <v>151</v>
      </c>
      <c r="F18" s="36" t="s">
        <v>121</v>
      </c>
    </row>
    <row r="19" spans="1:8" ht="22.5" customHeight="1">
      <c r="A19" s="37" t="s">
        <v>122</v>
      </c>
      <c r="B19" s="38">
        <f>46+89</f>
        <v>135</v>
      </c>
      <c r="C19" s="38">
        <v>33</v>
      </c>
      <c r="D19" s="38">
        <v>1</v>
      </c>
      <c r="E19" s="37">
        <f t="shared" si="0"/>
        <v>169</v>
      </c>
      <c r="F19" s="39" t="s">
        <v>123</v>
      </c>
    </row>
    <row r="20" spans="1:8" ht="36" customHeight="1">
      <c r="A20" s="40" t="s">
        <v>124</v>
      </c>
      <c r="B20" s="41">
        <f>SUM(B8:B19)</f>
        <v>1091</v>
      </c>
      <c r="C20" s="41">
        <f>SUM(C8:C19)</f>
        <v>624</v>
      </c>
      <c r="D20" s="41">
        <f>SUM(D8:D19)</f>
        <v>16</v>
      </c>
      <c r="E20" s="41">
        <f>SUM(E8:E19)</f>
        <v>1731</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138</v>
      </c>
      <c r="B5" s="163" t="s">
        <v>139</v>
      </c>
      <c r="C5" s="163"/>
      <c r="D5" s="163"/>
      <c r="E5" s="163"/>
      <c r="F5" s="33" t="s">
        <v>140</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76+7</f>
        <v>83</v>
      </c>
      <c r="C8" s="35">
        <v>60</v>
      </c>
      <c r="D8" s="35">
        <v>5</v>
      </c>
      <c r="E8" s="34">
        <f t="shared" ref="E8:E19" si="0">SUM(B8:D8)</f>
        <v>148</v>
      </c>
      <c r="F8" s="36" t="s">
        <v>101</v>
      </c>
    </row>
    <row r="9" spans="1:6" ht="22.5" customHeight="1">
      <c r="A9" s="37" t="s">
        <v>102</v>
      </c>
      <c r="B9" s="38">
        <f>61+4</f>
        <v>65</v>
      </c>
      <c r="C9" s="38">
        <v>36</v>
      </c>
      <c r="D9" s="38">
        <v>6</v>
      </c>
      <c r="E9" s="37">
        <f t="shared" si="0"/>
        <v>107</v>
      </c>
      <c r="F9" s="39" t="s">
        <v>103</v>
      </c>
    </row>
    <row r="10" spans="1:6" ht="22.5" customHeight="1">
      <c r="A10" s="34" t="s">
        <v>104</v>
      </c>
      <c r="B10" s="35">
        <f>48+3</f>
        <v>51</v>
      </c>
      <c r="C10" s="35">
        <v>33</v>
      </c>
      <c r="D10" s="35">
        <v>5</v>
      </c>
      <c r="E10" s="34">
        <f t="shared" si="0"/>
        <v>89</v>
      </c>
      <c r="F10" s="36" t="s">
        <v>105</v>
      </c>
    </row>
    <row r="11" spans="1:6" ht="22.5" customHeight="1">
      <c r="A11" s="37" t="s">
        <v>106</v>
      </c>
      <c r="B11" s="38">
        <f>13+3</f>
        <v>16</v>
      </c>
      <c r="C11" s="38">
        <v>14</v>
      </c>
      <c r="D11" s="38">
        <v>0</v>
      </c>
      <c r="E11" s="37">
        <f t="shared" si="0"/>
        <v>30</v>
      </c>
      <c r="F11" s="39" t="s">
        <v>107</v>
      </c>
    </row>
    <row r="12" spans="1:6" ht="22.5" customHeight="1">
      <c r="A12" s="34" t="s">
        <v>108</v>
      </c>
      <c r="B12" s="35">
        <f>7+0</f>
        <v>7</v>
      </c>
      <c r="C12" s="35">
        <v>11</v>
      </c>
      <c r="D12" s="35">
        <v>0</v>
      </c>
      <c r="E12" s="34">
        <f t="shared" si="0"/>
        <v>18</v>
      </c>
      <c r="F12" s="36" t="s">
        <v>109</v>
      </c>
    </row>
    <row r="13" spans="1:6" ht="22.5" customHeight="1">
      <c r="A13" s="37" t="s">
        <v>110</v>
      </c>
      <c r="B13" s="38">
        <f>26+2</f>
        <v>28</v>
      </c>
      <c r="C13" s="38">
        <v>17</v>
      </c>
      <c r="D13" s="38">
        <v>1</v>
      </c>
      <c r="E13" s="37">
        <f t="shared" si="0"/>
        <v>46</v>
      </c>
      <c r="F13" s="39" t="s">
        <v>111</v>
      </c>
    </row>
    <row r="14" spans="1:6" ht="22.5" customHeight="1">
      <c r="A14" s="34" t="s">
        <v>112</v>
      </c>
      <c r="B14" s="35">
        <f>22+2</f>
        <v>24</v>
      </c>
      <c r="C14" s="35">
        <v>10</v>
      </c>
      <c r="D14" s="35">
        <v>1</v>
      </c>
      <c r="E14" s="34">
        <f t="shared" si="0"/>
        <v>35</v>
      </c>
      <c r="F14" s="36" t="s">
        <v>113</v>
      </c>
    </row>
    <row r="15" spans="1:6" ht="22.5" customHeight="1">
      <c r="A15" s="37" t="s">
        <v>114</v>
      </c>
      <c r="B15" s="38">
        <f>27+0</f>
        <v>27</v>
      </c>
      <c r="C15" s="38">
        <v>15</v>
      </c>
      <c r="D15" s="38">
        <v>2</v>
      </c>
      <c r="E15" s="37">
        <f t="shared" si="0"/>
        <v>44</v>
      </c>
      <c r="F15" s="39" t="s">
        <v>115</v>
      </c>
    </row>
    <row r="16" spans="1:6" ht="22.5" customHeight="1">
      <c r="A16" s="34" t="s">
        <v>116</v>
      </c>
      <c r="B16" s="35">
        <f>30+1</f>
        <v>31</v>
      </c>
      <c r="C16" s="35">
        <v>22</v>
      </c>
      <c r="D16" s="35">
        <v>1</v>
      </c>
      <c r="E16" s="34">
        <f t="shared" si="0"/>
        <v>54</v>
      </c>
      <c r="F16" s="36" t="s">
        <v>117</v>
      </c>
    </row>
    <row r="17" spans="1:8" ht="22.5" customHeight="1">
      <c r="A17" s="37" t="s">
        <v>118</v>
      </c>
      <c r="B17" s="38">
        <f>35+4</f>
        <v>39</v>
      </c>
      <c r="C17" s="38">
        <v>21</v>
      </c>
      <c r="D17" s="38">
        <v>0</v>
      </c>
      <c r="E17" s="37">
        <f t="shared" si="0"/>
        <v>60</v>
      </c>
      <c r="F17" s="39" t="s">
        <v>119</v>
      </c>
    </row>
    <row r="18" spans="1:8" ht="22.5" customHeight="1">
      <c r="A18" s="34" t="s">
        <v>120</v>
      </c>
      <c r="B18" s="35">
        <f>49+3</f>
        <v>52</v>
      </c>
      <c r="C18" s="35">
        <v>26</v>
      </c>
      <c r="D18" s="35">
        <v>1</v>
      </c>
      <c r="E18" s="34">
        <f t="shared" si="0"/>
        <v>79</v>
      </c>
      <c r="F18" s="36" t="s">
        <v>121</v>
      </c>
    </row>
    <row r="19" spans="1:8" ht="22.5" customHeight="1">
      <c r="A19" s="37" t="s">
        <v>122</v>
      </c>
      <c r="B19" s="38">
        <f>22+3</f>
        <v>25</v>
      </c>
      <c r="C19" s="38">
        <v>15</v>
      </c>
      <c r="D19" s="38">
        <v>5</v>
      </c>
      <c r="E19" s="37">
        <f t="shared" si="0"/>
        <v>45</v>
      </c>
      <c r="F19" s="39" t="s">
        <v>123</v>
      </c>
    </row>
    <row r="20" spans="1:8" ht="36" customHeight="1">
      <c r="A20" s="40" t="s">
        <v>124</v>
      </c>
      <c r="B20" s="41">
        <f>SUM(B8:B19)</f>
        <v>448</v>
      </c>
      <c r="C20" s="41">
        <f>SUM(C8:C19)</f>
        <v>280</v>
      </c>
      <c r="D20" s="41">
        <f>SUM(D8:D19)</f>
        <v>27</v>
      </c>
      <c r="E20" s="41">
        <f>SUM(E8:E19)</f>
        <v>755</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141</v>
      </c>
      <c r="B5" s="163" t="s">
        <v>142</v>
      </c>
      <c r="C5" s="163"/>
      <c r="D5" s="163"/>
      <c r="E5" s="163"/>
      <c r="F5" s="33" t="s">
        <v>143</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25+4</f>
        <v>29</v>
      </c>
      <c r="C8" s="35">
        <v>22</v>
      </c>
      <c r="D8" s="35">
        <v>15</v>
      </c>
      <c r="E8" s="34">
        <f t="shared" ref="E8:E19" si="0">SUM(B8:D8)</f>
        <v>66</v>
      </c>
      <c r="F8" s="36" t="s">
        <v>101</v>
      </c>
    </row>
    <row r="9" spans="1:6" ht="22.5" customHeight="1">
      <c r="A9" s="37" t="s">
        <v>102</v>
      </c>
      <c r="B9" s="38">
        <f>30+2</f>
        <v>32</v>
      </c>
      <c r="C9" s="38">
        <v>15</v>
      </c>
      <c r="D9" s="38">
        <v>4</v>
      </c>
      <c r="E9" s="37">
        <f t="shared" si="0"/>
        <v>51</v>
      </c>
      <c r="F9" s="39" t="s">
        <v>103</v>
      </c>
    </row>
    <row r="10" spans="1:6" ht="22.5" customHeight="1">
      <c r="A10" s="34" t="s">
        <v>104</v>
      </c>
      <c r="B10" s="35">
        <f>14+0</f>
        <v>14</v>
      </c>
      <c r="C10" s="35">
        <v>23</v>
      </c>
      <c r="D10" s="35">
        <v>4</v>
      </c>
      <c r="E10" s="34">
        <f t="shared" si="0"/>
        <v>41</v>
      </c>
      <c r="F10" s="36" t="s">
        <v>105</v>
      </c>
    </row>
    <row r="11" spans="1:6" ht="22.5" customHeight="1">
      <c r="A11" s="37" t="s">
        <v>106</v>
      </c>
      <c r="B11" s="38">
        <f>11+2</f>
        <v>13</v>
      </c>
      <c r="C11" s="38">
        <v>12</v>
      </c>
      <c r="D11" s="38">
        <v>2</v>
      </c>
      <c r="E11" s="37">
        <f t="shared" si="0"/>
        <v>27</v>
      </c>
      <c r="F11" s="39" t="s">
        <v>107</v>
      </c>
    </row>
    <row r="12" spans="1:6" ht="22.5" customHeight="1">
      <c r="A12" s="34" t="s">
        <v>108</v>
      </c>
      <c r="B12" s="35">
        <f>6+1</f>
        <v>7</v>
      </c>
      <c r="C12" s="35">
        <v>4</v>
      </c>
      <c r="D12" s="35">
        <v>4</v>
      </c>
      <c r="E12" s="34">
        <f t="shared" si="0"/>
        <v>15</v>
      </c>
      <c r="F12" s="36" t="s">
        <v>109</v>
      </c>
    </row>
    <row r="13" spans="1:6" ht="22.5" customHeight="1">
      <c r="A13" s="37" t="s">
        <v>110</v>
      </c>
      <c r="B13" s="38">
        <f>8+2</f>
        <v>10</v>
      </c>
      <c r="C13" s="38">
        <v>16</v>
      </c>
      <c r="D13" s="38">
        <v>5</v>
      </c>
      <c r="E13" s="37">
        <f t="shared" si="0"/>
        <v>31</v>
      </c>
      <c r="F13" s="39" t="s">
        <v>111</v>
      </c>
    </row>
    <row r="14" spans="1:6" ht="22.5" customHeight="1">
      <c r="A14" s="34" t="s">
        <v>112</v>
      </c>
      <c r="B14" s="35">
        <f>11+1</f>
        <v>12</v>
      </c>
      <c r="C14" s="35">
        <v>7</v>
      </c>
      <c r="D14" s="35">
        <v>5</v>
      </c>
      <c r="E14" s="34">
        <f t="shared" si="0"/>
        <v>24</v>
      </c>
      <c r="F14" s="36" t="s">
        <v>113</v>
      </c>
    </row>
    <row r="15" spans="1:6" ht="22.5" customHeight="1">
      <c r="A15" s="37" t="s">
        <v>114</v>
      </c>
      <c r="B15" s="38">
        <f>12+1</f>
        <v>13</v>
      </c>
      <c r="C15" s="38">
        <v>6</v>
      </c>
      <c r="D15" s="38">
        <v>4</v>
      </c>
      <c r="E15" s="37">
        <f t="shared" si="0"/>
        <v>23</v>
      </c>
      <c r="F15" s="39" t="s">
        <v>115</v>
      </c>
    </row>
    <row r="16" spans="1:6" ht="22.5" customHeight="1">
      <c r="A16" s="34" t="s">
        <v>116</v>
      </c>
      <c r="B16" s="35">
        <f>7+1</f>
        <v>8</v>
      </c>
      <c r="C16" s="35">
        <v>19</v>
      </c>
      <c r="D16" s="35">
        <v>7</v>
      </c>
      <c r="E16" s="34">
        <f t="shared" si="0"/>
        <v>34</v>
      </c>
      <c r="F16" s="36" t="s">
        <v>117</v>
      </c>
    </row>
    <row r="17" spans="1:8" ht="22.5" customHeight="1">
      <c r="A17" s="37" t="s">
        <v>118</v>
      </c>
      <c r="B17" s="38">
        <f>14+5</f>
        <v>19</v>
      </c>
      <c r="C17" s="38">
        <v>13</v>
      </c>
      <c r="D17" s="38">
        <v>8</v>
      </c>
      <c r="E17" s="37">
        <f t="shared" si="0"/>
        <v>40</v>
      </c>
      <c r="F17" s="39" t="s">
        <v>119</v>
      </c>
    </row>
    <row r="18" spans="1:8" ht="22.5" customHeight="1">
      <c r="A18" s="34" t="s">
        <v>120</v>
      </c>
      <c r="B18" s="35">
        <f>16+2</f>
        <v>18</v>
      </c>
      <c r="C18" s="35">
        <v>14</v>
      </c>
      <c r="D18" s="35">
        <v>1</v>
      </c>
      <c r="E18" s="34">
        <f t="shared" si="0"/>
        <v>33</v>
      </c>
      <c r="F18" s="36" t="s">
        <v>121</v>
      </c>
    </row>
    <row r="19" spans="1:8" ht="22.5" customHeight="1">
      <c r="A19" s="37" t="s">
        <v>122</v>
      </c>
      <c r="B19" s="38">
        <f>9+1</f>
        <v>10</v>
      </c>
      <c r="C19" s="38">
        <v>16</v>
      </c>
      <c r="D19" s="38">
        <v>2</v>
      </c>
      <c r="E19" s="37">
        <f t="shared" si="0"/>
        <v>28</v>
      </c>
      <c r="F19" s="39" t="s">
        <v>123</v>
      </c>
    </row>
    <row r="20" spans="1:8" ht="36" customHeight="1">
      <c r="A20" s="40" t="s">
        <v>124</v>
      </c>
      <c r="B20" s="41">
        <f>SUM(B8:B19)</f>
        <v>185</v>
      </c>
      <c r="C20" s="41">
        <f>SUM(C8:C19)</f>
        <v>167</v>
      </c>
      <c r="D20" s="41">
        <f>SUM(D8:D19)</f>
        <v>61</v>
      </c>
      <c r="E20" s="41">
        <f>SUM(E8:E19)</f>
        <v>413</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144</v>
      </c>
      <c r="B5" s="163" t="s">
        <v>145</v>
      </c>
      <c r="C5" s="163"/>
      <c r="D5" s="163"/>
      <c r="E5" s="163"/>
      <c r="F5" s="33" t="s">
        <v>146</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28+1</f>
        <v>29</v>
      </c>
      <c r="C8" s="35">
        <v>7</v>
      </c>
      <c r="D8" s="35">
        <v>0</v>
      </c>
      <c r="E8" s="34">
        <f t="shared" ref="E8:E19" si="0">SUM(B8:D8)</f>
        <v>36</v>
      </c>
      <c r="F8" s="36" t="s">
        <v>101</v>
      </c>
    </row>
    <row r="9" spans="1:6" ht="22.5" customHeight="1">
      <c r="A9" s="37" t="s">
        <v>102</v>
      </c>
      <c r="B9" s="38">
        <f>19+0</f>
        <v>19</v>
      </c>
      <c r="C9" s="38">
        <v>9</v>
      </c>
      <c r="D9" s="38">
        <v>2</v>
      </c>
      <c r="E9" s="37">
        <f t="shared" si="0"/>
        <v>30</v>
      </c>
      <c r="F9" s="39" t="s">
        <v>103</v>
      </c>
    </row>
    <row r="10" spans="1:6" ht="22.5" customHeight="1">
      <c r="A10" s="34" t="s">
        <v>104</v>
      </c>
      <c r="B10" s="35">
        <f>12+0</f>
        <v>12</v>
      </c>
      <c r="C10" s="35">
        <v>3</v>
      </c>
      <c r="D10" s="35">
        <v>1</v>
      </c>
      <c r="E10" s="34">
        <f t="shared" si="0"/>
        <v>16</v>
      </c>
      <c r="F10" s="36" t="s">
        <v>105</v>
      </c>
    </row>
    <row r="11" spans="1:6" ht="22.5" customHeight="1">
      <c r="A11" s="37" t="s">
        <v>106</v>
      </c>
      <c r="B11" s="38">
        <f>7+0</f>
        <v>7</v>
      </c>
      <c r="C11" s="38">
        <v>2</v>
      </c>
      <c r="D11" s="38">
        <v>1</v>
      </c>
      <c r="E11" s="37">
        <f t="shared" si="0"/>
        <v>10</v>
      </c>
      <c r="F11" s="39" t="s">
        <v>107</v>
      </c>
    </row>
    <row r="12" spans="1:6" ht="22.5" customHeight="1">
      <c r="A12" s="34" t="s">
        <v>108</v>
      </c>
      <c r="B12" s="35">
        <f>2+0</f>
        <v>2</v>
      </c>
      <c r="C12" s="35">
        <v>1</v>
      </c>
      <c r="D12" s="35">
        <v>0</v>
      </c>
      <c r="E12" s="34">
        <f t="shared" si="0"/>
        <v>3</v>
      </c>
      <c r="F12" s="36" t="s">
        <v>109</v>
      </c>
    </row>
    <row r="13" spans="1:6" ht="22.5" customHeight="1">
      <c r="A13" s="37" t="s">
        <v>110</v>
      </c>
      <c r="B13" s="38">
        <f>11+0</f>
        <v>11</v>
      </c>
      <c r="C13" s="38">
        <v>1</v>
      </c>
      <c r="D13" s="38">
        <v>1</v>
      </c>
      <c r="E13" s="37">
        <f t="shared" si="0"/>
        <v>13</v>
      </c>
      <c r="F13" s="39" t="s">
        <v>111</v>
      </c>
    </row>
    <row r="14" spans="1:6" ht="22.5" customHeight="1">
      <c r="A14" s="34" t="s">
        <v>112</v>
      </c>
      <c r="B14" s="35">
        <f>3+0</f>
        <v>3</v>
      </c>
      <c r="C14" s="35">
        <v>2</v>
      </c>
      <c r="D14" s="35">
        <v>1</v>
      </c>
      <c r="E14" s="34">
        <f t="shared" si="0"/>
        <v>6</v>
      </c>
      <c r="F14" s="36" t="s">
        <v>113</v>
      </c>
    </row>
    <row r="15" spans="1:6" ht="22.5" customHeight="1">
      <c r="A15" s="37" t="s">
        <v>114</v>
      </c>
      <c r="B15" s="38">
        <f>5+3</f>
        <v>8</v>
      </c>
      <c r="C15" s="38">
        <v>9</v>
      </c>
      <c r="D15" s="38">
        <v>1</v>
      </c>
      <c r="E15" s="37">
        <f t="shared" si="0"/>
        <v>18</v>
      </c>
      <c r="F15" s="39" t="s">
        <v>115</v>
      </c>
    </row>
    <row r="16" spans="1:6" ht="22.5" customHeight="1">
      <c r="A16" s="34" t="s">
        <v>116</v>
      </c>
      <c r="B16" s="35">
        <f>13+1</f>
        <v>14</v>
      </c>
      <c r="C16" s="35">
        <v>7</v>
      </c>
      <c r="D16" s="35">
        <v>3</v>
      </c>
      <c r="E16" s="34">
        <f t="shared" si="0"/>
        <v>24</v>
      </c>
      <c r="F16" s="36" t="s">
        <v>117</v>
      </c>
    </row>
    <row r="17" spans="1:8" ht="22.5" customHeight="1">
      <c r="A17" s="37" t="s">
        <v>118</v>
      </c>
      <c r="B17" s="38">
        <f>12+0</f>
        <v>12</v>
      </c>
      <c r="C17" s="38">
        <v>4</v>
      </c>
      <c r="D17" s="38">
        <v>0</v>
      </c>
      <c r="E17" s="37">
        <f t="shared" si="0"/>
        <v>16</v>
      </c>
      <c r="F17" s="39" t="s">
        <v>119</v>
      </c>
    </row>
    <row r="18" spans="1:8" ht="22.5" customHeight="1">
      <c r="A18" s="34" t="s">
        <v>120</v>
      </c>
      <c r="B18" s="35">
        <f>4+1</f>
        <v>5</v>
      </c>
      <c r="C18" s="35">
        <v>7</v>
      </c>
      <c r="D18" s="35">
        <v>3</v>
      </c>
      <c r="E18" s="34">
        <f t="shared" si="0"/>
        <v>15</v>
      </c>
      <c r="F18" s="36" t="s">
        <v>121</v>
      </c>
    </row>
    <row r="19" spans="1:8" ht="22.5" customHeight="1">
      <c r="A19" s="37" t="s">
        <v>122</v>
      </c>
      <c r="B19" s="38">
        <f>6+0</f>
        <v>6</v>
      </c>
      <c r="C19" s="38">
        <v>4</v>
      </c>
      <c r="D19" s="38">
        <v>0</v>
      </c>
      <c r="E19" s="37">
        <f t="shared" si="0"/>
        <v>10</v>
      </c>
      <c r="F19" s="39" t="s">
        <v>123</v>
      </c>
    </row>
    <row r="20" spans="1:8" ht="36" customHeight="1">
      <c r="A20" s="40" t="s">
        <v>124</v>
      </c>
      <c r="B20" s="41">
        <f>SUM(B8:B19)</f>
        <v>128</v>
      </c>
      <c r="C20" s="41">
        <f>SUM(C8:C19)</f>
        <v>56</v>
      </c>
      <c r="D20" s="41">
        <f>SUM(D8:D19)</f>
        <v>13</v>
      </c>
      <c r="E20" s="41">
        <f>SUM(E8:E19)</f>
        <v>197</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147</v>
      </c>
      <c r="B5" s="163" t="s">
        <v>148</v>
      </c>
      <c r="C5" s="163"/>
      <c r="D5" s="163"/>
      <c r="E5" s="163"/>
      <c r="F5" s="33" t="s">
        <v>149</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143+3</f>
        <v>146</v>
      </c>
      <c r="C8" s="35">
        <v>116</v>
      </c>
      <c r="D8" s="35">
        <v>4</v>
      </c>
      <c r="E8" s="34">
        <f t="shared" ref="E8:E19" si="0">SUM(B8:D8)</f>
        <v>266</v>
      </c>
      <c r="F8" s="36" t="s">
        <v>101</v>
      </c>
    </row>
    <row r="9" spans="1:6" ht="22.5" customHeight="1">
      <c r="A9" s="37" t="s">
        <v>102</v>
      </c>
      <c r="B9" s="38">
        <f>107+4</f>
        <v>111</v>
      </c>
      <c r="C9" s="38">
        <v>92</v>
      </c>
      <c r="D9" s="38">
        <v>1</v>
      </c>
      <c r="E9" s="37">
        <f t="shared" si="0"/>
        <v>204</v>
      </c>
      <c r="F9" s="39" t="s">
        <v>103</v>
      </c>
    </row>
    <row r="10" spans="1:6" ht="22.5" customHeight="1">
      <c r="A10" s="34" t="s">
        <v>104</v>
      </c>
      <c r="B10" s="35">
        <f>91+7</f>
        <v>98</v>
      </c>
      <c r="C10" s="35">
        <v>73</v>
      </c>
      <c r="D10" s="35">
        <v>8</v>
      </c>
      <c r="E10" s="34">
        <f t="shared" si="0"/>
        <v>179</v>
      </c>
      <c r="F10" s="36" t="s">
        <v>105</v>
      </c>
    </row>
    <row r="11" spans="1:6" ht="22.5" customHeight="1">
      <c r="A11" s="37" t="s">
        <v>106</v>
      </c>
      <c r="B11" s="38">
        <f>33+2</f>
        <v>35</v>
      </c>
      <c r="C11" s="38">
        <v>37</v>
      </c>
      <c r="D11" s="38">
        <v>1</v>
      </c>
      <c r="E11" s="37">
        <f t="shared" si="0"/>
        <v>73</v>
      </c>
      <c r="F11" s="39" t="s">
        <v>107</v>
      </c>
    </row>
    <row r="12" spans="1:6" ht="22.5" customHeight="1">
      <c r="A12" s="34" t="s">
        <v>108</v>
      </c>
      <c r="B12" s="35">
        <f>30+2</f>
        <v>32</v>
      </c>
      <c r="C12" s="35">
        <v>21</v>
      </c>
      <c r="D12" s="35">
        <v>1</v>
      </c>
      <c r="E12" s="34">
        <f t="shared" si="0"/>
        <v>54</v>
      </c>
      <c r="F12" s="36" t="s">
        <v>109</v>
      </c>
    </row>
    <row r="13" spans="1:6" ht="22.5" customHeight="1">
      <c r="A13" s="37" t="s">
        <v>110</v>
      </c>
      <c r="B13" s="38">
        <f>75+7</f>
        <v>82</v>
      </c>
      <c r="C13" s="38">
        <v>67</v>
      </c>
      <c r="D13" s="38">
        <v>2</v>
      </c>
      <c r="E13" s="37">
        <f t="shared" si="0"/>
        <v>151</v>
      </c>
      <c r="F13" s="39" t="s">
        <v>111</v>
      </c>
    </row>
    <row r="14" spans="1:6" ht="22.5" customHeight="1">
      <c r="A14" s="34" t="s">
        <v>112</v>
      </c>
      <c r="B14" s="35">
        <f>35+1</f>
        <v>36</v>
      </c>
      <c r="C14" s="35">
        <v>48</v>
      </c>
      <c r="D14" s="35">
        <v>4</v>
      </c>
      <c r="E14" s="34">
        <f t="shared" si="0"/>
        <v>88</v>
      </c>
      <c r="F14" s="36" t="s">
        <v>113</v>
      </c>
    </row>
    <row r="15" spans="1:6" ht="22.5" customHeight="1">
      <c r="A15" s="37" t="s">
        <v>114</v>
      </c>
      <c r="B15" s="38">
        <f>55+3</f>
        <v>58</v>
      </c>
      <c r="C15" s="38">
        <v>70</v>
      </c>
      <c r="D15" s="38">
        <v>3</v>
      </c>
      <c r="E15" s="37">
        <f t="shared" si="0"/>
        <v>131</v>
      </c>
      <c r="F15" s="39" t="s">
        <v>115</v>
      </c>
    </row>
    <row r="16" spans="1:6" ht="22.5" customHeight="1">
      <c r="A16" s="34" t="s">
        <v>116</v>
      </c>
      <c r="B16" s="35">
        <f>86+3</f>
        <v>89</v>
      </c>
      <c r="C16" s="35">
        <v>79</v>
      </c>
      <c r="D16" s="35">
        <v>4</v>
      </c>
      <c r="E16" s="34">
        <f t="shared" si="0"/>
        <v>172</v>
      </c>
      <c r="F16" s="36" t="s">
        <v>117</v>
      </c>
    </row>
    <row r="17" spans="1:8" ht="22.5" customHeight="1">
      <c r="A17" s="37" t="s">
        <v>118</v>
      </c>
      <c r="B17" s="38">
        <f>37+4</f>
        <v>41</v>
      </c>
      <c r="C17" s="38">
        <v>71</v>
      </c>
      <c r="D17" s="38">
        <v>0</v>
      </c>
      <c r="E17" s="37">
        <f t="shared" si="0"/>
        <v>112</v>
      </c>
      <c r="F17" s="39" t="s">
        <v>119</v>
      </c>
    </row>
    <row r="18" spans="1:8" ht="22.5" customHeight="1">
      <c r="A18" s="34" t="s">
        <v>120</v>
      </c>
      <c r="B18" s="35">
        <f>79+6</f>
        <v>85</v>
      </c>
      <c r="C18" s="35">
        <v>84</v>
      </c>
      <c r="D18" s="35">
        <v>2</v>
      </c>
      <c r="E18" s="34">
        <f t="shared" si="0"/>
        <v>171</v>
      </c>
      <c r="F18" s="36" t="s">
        <v>121</v>
      </c>
    </row>
    <row r="19" spans="1:8" ht="22.5" customHeight="1">
      <c r="A19" s="37" t="s">
        <v>122</v>
      </c>
      <c r="B19" s="38">
        <f>32+4</f>
        <v>36</v>
      </c>
      <c r="C19" s="38">
        <v>63</v>
      </c>
      <c r="D19" s="38">
        <v>1</v>
      </c>
      <c r="E19" s="37">
        <f t="shared" si="0"/>
        <v>100</v>
      </c>
      <c r="F19" s="39" t="s">
        <v>123</v>
      </c>
    </row>
    <row r="20" spans="1:8" ht="36" customHeight="1">
      <c r="A20" s="40" t="s">
        <v>124</v>
      </c>
      <c r="B20" s="41">
        <f>SUM(B8:B19)</f>
        <v>849</v>
      </c>
      <c r="C20" s="41">
        <f>SUM(C8:C19)</f>
        <v>821</v>
      </c>
      <c r="D20" s="41">
        <f>SUM(D8:D19)</f>
        <v>31</v>
      </c>
      <c r="E20" s="41">
        <f>SUM(E8:E19)</f>
        <v>1701</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6" ht="34.9" customHeight="1">
      <c r="A1" s="151"/>
      <c r="B1" s="152"/>
      <c r="C1" s="152"/>
      <c r="D1" s="152"/>
      <c r="E1" s="152"/>
      <c r="F1" s="152"/>
    </row>
    <row r="2" spans="1:6" ht="20.25">
      <c r="A2" s="153" t="s">
        <v>128</v>
      </c>
      <c r="B2" s="153"/>
      <c r="C2" s="153"/>
      <c r="D2" s="153"/>
      <c r="E2" s="153"/>
      <c r="F2" s="153"/>
    </row>
    <row r="3" spans="1:6" ht="18.75">
      <c r="A3" s="154" t="s">
        <v>90</v>
      </c>
      <c r="B3" s="154"/>
      <c r="C3" s="154"/>
      <c r="D3" s="154"/>
      <c r="E3" s="154"/>
      <c r="F3" s="154"/>
    </row>
    <row r="4" spans="1:6" ht="15" customHeight="1">
      <c r="A4" s="155">
        <v>2021</v>
      </c>
      <c r="B4" s="155"/>
      <c r="C4" s="155"/>
      <c r="D4" s="155"/>
      <c r="E4" s="155"/>
      <c r="F4" s="155"/>
    </row>
    <row r="5" spans="1:6" ht="15.75">
      <c r="A5" s="30" t="s">
        <v>150</v>
      </c>
      <c r="B5" s="163" t="s">
        <v>151</v>
      </c>
      <c r="C5" s="163"/>
      <c r="D5" s="163"/>
      <c r="E5" s="163"/>
      <c r="F5" s="33" t="s">
        <v>152</v>
      </c>
    </row>
    <row r="6" spans="1:6" ht="30" customHeight="1" thickBot="1">
      <c r="A6" s="156" t="s">
        <v>93</v>
      </c>
      <c r="B6" s="158" t="s">
        <v>94</v>
      </c>
      <c r="C6" s="159"/>
      <c r="D6" s="159"/>
      <c r="E6" s="159"/>
      <c r="F6" s="160" t="s">
        <v>95</v>
      </c>
    </row>
    <row r="7" spans="1:6" ht="30" customHeight="1">
      <c r="A7" s="157"/>
      <c r="B7" s="69" t="s">
        <v>96</v>
      </c>
      <c r="C7" s="69" t="s">
        <v>97</v>
      </c>
      <c r="D7" s="69" t="s">
        <v>98</v>
      </c>
      <c r="E7" s="69" t="s">
        <v>99</v>
      </c>
      <c r="F7" s="161"/>
    </row>
    <row r="8" spans="1:6" ht="22.5" customHeight="1">
      <c r="A8" s="34" t="s">
        <v>100</v>
      </c>
      <c r="B8" s="35">
        <f>13+0</f>
        <v>13</v>
      </c>
      <c r="C8" s="35">
        <v>42</v>
      </c>
      <c r="D8" s="35">
        <v>1</v>
      </c>
      <c r="E8" s="34">
        <f t="shared" ref="E8:E19" si="0">SUM(B8:D8)</f>
        <v>56</v>
      </c>
      <c r="F8" s="36" t="s">
        <v>101</v>
      </c>
    </row>
    <row r="9" spans="1:6" ht="22.5" customHeight="1">
      <c r="A9" s="37" t="s">
        <v>102</v>
      </c>
      <c r="B9" s="38">
        <f>14+1</f>
        <v>15</v>
      </c>
      <c r="C9" s="38">
        <v>17</v>
      </c>
      <c r="D9" s="38">
        <v>1</v>
      </c>
      <c r="E9" s="37">
        <f t="shared" si="0"/>
        <v>33</v>
      </c>
      <c r="F9" s="39" t="s">
        <v>103</v>
      </c>
    </row>
    <row r="10" spans="1:6" ht="22.5" customHeight="1">
      <c r="A10" s="34" t="s">
        <v>104</v>
      </c>
      <c r="B10" s="35">
        <f>10+3</f>
        <v>13</v>
      </c>
      <c r="C10" s="35">
        <v>23</v>
      </c>
      <c r="D10" s="35">
        <v>2</v>
      </c>
      <c r="E10" s="34">
        <f t="shared" si="0"/>
        <v>38</v>
      </c>
      <c r="F10" s="36" t="s">
        <v>105</v>
      </c>
    </row>
    <row r="11" spans="1:6" ht="22.5" customHeight="1">
      <c r="A11" s="37" t="s">
        <v>106</v>
      </c>
      <c r="B11" s="38">
        <f>1+3</f>
        <v>4</v>
      </c>
      <c r="C11" s="38">
        <v>8</v>
      </c>
      <c r="D11" s="38">
        <v>2</v>
      </c>
      <c r="E11" s="37">
        <f t="shared" si="0"/>
        <v>14</v>
      </c>
      <c r="F11" s="39" t="s">
        <v>107</v>
      </c>
    </row>
    <row r="12" spans="1:6" ht="22.5" customHeight="1">
      <c r="A12" s="34" t="s">
        <v>108</v>
      </c>
      <c r="B12" s="35">
        <f>2+2</f>
        <v>4</v>
      </c>
      <c r="C12" s="35">
        <v>8</v>
      </c>
      <c r="D12" s="35">
        <v>0</v>
      </c>
      <c r="E12" s="34">
        <f t="shared" si="0"/>
        <v>12</v>
      </c>
      <c r="F12" s="36" t="s">
        <v>109</v>
      </c>
    </row>
    <row r="13" spans="1:6" ht="22.5" customHeight="1">
      <c r="A13" s="37" t="s">
        <v>110</v>
      </c>
      <c r="B13" s="38">
        <f>6+3</f>
        <v>9</v>
      </c>
      <c r="C13" s="38">
        <v>7</v>
      </c>
      <c r="D13" s="38">
        <v>0</v>
      </c>
      <c r="E13" s="37">
        <f t="shared" si="0"/>
        <v>16</v>
      </c>
      <c r="F13" s="39" t="s">
        <v>111</v>
      </c>
    </row>
    <row r="14" spans="1:6" ht="22.5" customHeight="1">
      <c r="A14" s="34" t="s">
        <v>112</v>
      </c>
      <c r="B14" s="35">
        <f>6+0</f>
        <v>6</v>
      </c>
      <c r="C14" s="35">
        <v>10</v>
      </c>
      <c r="D14" s="35">
        <v>0</v>
      </c>
      <c r="E14" s="34">
        <f t="shared" si="0"/>
        <v>16</v>
      </c>
      <c r="F14" s="36" t="s">
        <v>113</v>
      </c>
    </row>
    <row r="15" spans="1:6" ht="22.5" customHeight="1">
      <c r="A15" s="37" t="s">
        <v>114</v>
      </c>
      <c r="B15" s="38">
        <f>5+1</f>
        <v>6</v>
      </c>
      <c r="C15" s="38">
        <v>4</v>
      </c>
      <c r="D15" s="38">
        <v>0</v>
      </c>
      <c r="E15" s="37">
        <f t="shared" si="0"/>
        <v>10</v>
      </c>
      <c r="F15" s="39" t="s">
        <v>115</v>
      </c>
    </row>
    <row r="16" spans="1:6" ht="22.5" customHeight="1">
      <c r="A16" s="34" t="s">
        <v>116</v>
      </c>
      <c r="B16" s="35">
        <f>9+2</f>
        <v>11</v>
      </c>
      <c r="C16" s="35">
        <v>14</v>
      </c>
      <c r="D16" s="35">
        <v>4</v>
      </c>
      <c r="E16" s="34">
        <f t="shared" si="0"/>
        <v>29</v>
      </c>
      <c r="F16" s="36" t="s">
        <v>117</v>
      </c>
    </row>
    <row r="17" spans="1:8" ht="22.5" customHeight="1">
      <c r="A17" s="37" t="s">
        <v>118</v>
      </c>
      <c r="B17" s="38">
        <f>7+3</f>
        <v>10</v>
      </c>
      <c r="C17" s="38">
        <v>12</v>
      </c>
      <c r="D17" s="38">
        <v>2</v>
      </c>
      <c r="E17" s="37">
        <f t="shared" si="0"/>
        <v>24</v>
      </c>
      <c r="F17" s="39" t="s">
        <v>119</v>
      </c>
    </row>
    <row r="18" spans="1:8" ht="22.5" customHeight="1">
      <c r="A18" s="34" t="s">
        <v>120</v>
      </c>
      <c r="B18" s="35">
        <f>5+2</f>
        <v>7</v>
      </c>
      <c r="C18" s="35">
        <v>8</v>
      </c>
      <c r="D18" s="35">
        <v>1</v>
      </c>
      <c r="E18" s="34">
        <f t="shared" si="0"/>
        <v>16</v>
      </c>
      <c r="F18" s="36" t="s">
        <v>121</v>
      </c>
    </row>
    <row r="19" spans="1:8" ht="22.5" customHeight="1">
      <c r="A19" s="37" t="s">
        <v>122</v>
      </c>
      <c r="B19" s="38">
        <f>13+4</f>
        <v>17</v>
      </c>
      <c r="C19" s="38">
        <v>6</v>
      </c>
      <c r="D19" s="38">
        <v>0</v>
      </c>
      <c r="E19" s="37">
        <f t="shared" si="0"/>
        <v>23</v>
      </c>
      <c r="F19" s="39" t="s">
        <v>123</v>
      </c>
    </row>
    <row r="20" spans="1:8" ht="36" customHeight="1">
      <c r="A20" s="40" t="s">
        <v>124</v>
      </c>
      <c r="B20" s="41">
        <f>SUM(B8:B19)</f>
        <v>115</v>
      </c>
      <c r="C20" s="41">
        <f>SUM(C8:C19)</f>
        <v>159</v>
      </c>
      <c r="D20" s="41">
        <f>SUM(D8:D19)</f>
        <v>13</v>
      </c>
      <c r="E20" s="41">
        <f>SUM(E8:E19)</f>
        <v>287</v>
      </c>
      <c r="F20" s="42" t="s">
        <v>125</v>
      </c>
    </row>
    <row r="21" spans="1:8" ht="15">
      <c r="A21" s="150" t="s">
        <v>126</v>
      </c>
      <c r="B21" s="150"/>
      <c r="C21" s="150"/>
      <c r="D21" s="150"/>
      <c r="E21" s="32"/>
      <c r="F21" s="43" t="s">
        <v>127</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O24"/>
  <sheetViews>
    <sheetView rightToLeft="1" view="pageBreakPreview" topLeftCell="A4" zoomScaleNormal="100" zoomScaleSheetLayoutView="100" workbookViewId="0">
      <selection activeCell="Q21" sqref="Q21"/>
    </sheetView>
  </sheetViews>
  <sheetFormatPr defaultColWidth="9.125" defaultRowHeight="14.25"/>
  <cols>
    <col min="1" max="1" width="28.75" style="29" customWidth="1"/>
    <col min="2" max="8" width="8.75" style="29" customWidth="1"/>
    <col min="9" max="9" width="10.25" style="29" customWidth="1"/>
    <col min="10" max="10" width="8.75" style="29" customWidth="1"/>
    <col min="11" max="11" width="28.75" style="29" customWidth="1"/>
    <col min="12" max="12" width="12.875" style="29" customWidth="1"/>
    <col min="13" max="13" width="27.875" style="29" customWidth="1"/>
    <col min="14" max="16384" width="9.125" style="29"/>
  </cols>
  <sheetData>
    <row r="1" spans="1:15" ht="37.15" customHeight="1">
      <c r="A1" s="165"/>
      <c r="B1" s="151"/>
      <c r="C1" s="151"/>
      <c r="D1" s="151"/>
      <c r="E1" s="151"/>
      <c r="F1" s="151"/>
      <c r="G1" s="151"/>
      <c r="H1" s="151"/>
      <c r="I1" s="151"/>
      <c r="J1" s="151"/>
      <c r="K1" s="151"/>
      <c r="L1" s="45"/>
      <c r="M1" s="45"/>
      <c r="N1" s="45"/>
    </row>
    <row r="2" spans="1:15" ht="23.25" customHeight="1">
      <c r="A2" s="153" t="s">
        <v>153</v>
      </c>
      <c r="B2" s="153"/>
      <c r="C2" s="153"/>
      <c r="D2" s="153"/>
      <c r="E2" s="153"/>
      <c r="F2" s="153"/>
      <c r="G2" s="153"/>
      <c r="H2" s="153"/>
      <c r="I2" s="153"/>
      <c r="J2" s="153"/>
      <c r="K2" s="153"/>
      <c r="L2" s="46"/>
      <c r="M2" s="46"/>
      <c r="N2" s="46"/>
    </row>
    <row r="3" spans="1:15" ht="20.25" customHeight="1">
      <c r="A3" s="166" t="s">
        <v>154</v>
      </c>
      <c r="B3" s="166"/>
      <c r="C3" s="166"/>
      <c r="D3" s="166"/>
      <c r="E3" s="166"/>
      <c r="F3" s="166"/>
      <c r="G3" s="166"/>
      <c r="H3" s="166"/>
      <c r="I3" s="166"/>
      <c r="J3" s="166"/>
      <c r="K3" s="166"/>
      <c r="L3" s="47"/>
      <c r="M3" s="47"/>
      <c r="N3" s="47"/>
    </row>
    <row r="4" spans="1:15" ht="15" customHeight="1">
      <c r="A4" s="155">
        <v>2021</v>
      </c>
      <c r="B4" s="155"/>
      <c r="C4" s="155"/>
      <c r="D4" s="155"/>
      <c r="E4" s="155"/>
      <c r="F4" s="155"/>
      <c r="G4" s="155"/>
      <c r="H4" s="155"/>
      <c r="I4" s="155"/>
      <c r="J4" s="155"/>
      <c r="K4" s="155"/>
      <c r="L4" s="47"/>
      <c r="M4" s="47"/>
      <c r="N4" s="47"/>
    </row>
    <row r="5" spans="1:15" ht="15.75">
      <c r="A5" s="30" t="s">
        <v>210</v>
      </c>
      <c r="B5" s="163"/>
      <c r="C5" s="163"/>
      <c r="D5" s="163"/>
      <c r="E5" s="163"/>
      <c r="F5" s="163"/>
      <c r="G5" s="163"/>
      <c r="H5" s="163"/>
      <c r="I5" s="163"/>
      <c r="J5" s="163"/>
      <c r="K5" s="33" t="s">
        <v>211</v>
      </c>
      <c r="L5" s="32"/>
      <c r="M5" s="32"/>
      <c r="N5" s="33"/>
      <c r="O5" s="33"/>
    </row>
    <row r="6" spans="1:15" ht="96" customHeight="1">
      <c r="A6" s="70" t="s">
        <v>157</v>
      </c>
      <c r="B6" s="71" t="s">
        <v>158</v>
      </c>
      <c r="C6" s="71" t="s">
        <v>159</v>
      </c>
      <c r="D6" s="71" t="s">
        <v>160</v>
      </c>
      <c r="E6" s="71" t="s">
        <v>161</v>
      </c>
      <c r="F6" s="71" t="s">
        <v>162</v>
      </c>
      <c r="G6" s="71" t="s">
        <v>163</v>
      </c>
      <c r="H6" s="71" t="s">
        <v>164</v>
      </c>
      <c r="I6" s="71" t="s">
        <v>165</v>
      </c>
      <c r="J6" s="71" t="s">
        <v>166</v>
      </c>
      <c r="K6" s="72" t="s">
        <v>167</v>
      </c>
    </row>
    <row r="7" spans="1:15" ht="30" customHeight="1">
      <c r="A7" s="50" t="s">
        <v>168</v>
      </c>
      <c r="B7" s="51"/>
      <c r="C7" s="51"/>
      <c r="D7" s="51"/>
      <c r="E7" s="51"/>
      <c r="F7" s="51"/>
      <c r="G7" s="51"/>
      <c r="H7" s="51"/>
      <c r="I7" s="51"/>
      <c r="J7" s="51"/>
      <c r="K7" s="52" t="s">
        <v>169</v>
      </c>
      <c r="M7" s="55" t="s">
        <v>246</v>
      </c>
    </row>
    <row r="8" spans="1:15" ht="19.899999999999999" customHeight="1">
      <c r="A8" s="53" t="s">
        <v>170</v>
      </c>
      <c r="B8" s="38">
        <v>317</v>
      </c>
      <c r="C8" s="38">
        <v>629</v>
      </c>
      <c r="D8" s="38">
        <v>512</v>
      </c>
      <c r="E8" s="38">
        <v>308</v>
      </c>
      <c r="F8" s="38">
        <v>641</v>
      </c>
      <c r="G8" s="38">
        <v>98</v>
      </c>
      <c r="H8" s="38">
        <v>112</v>
      </c>
      <c r="I8" s="38">
        <v>63</v>
      </c>
      <c r="J8" s="38">
        <f>SUM(B8:I8)</f>
        <v>2680</v>
      </c>
      <c r="K8" s="54" t="s">
        <v>171</v>
      </c>
      <c r="L8" s="55"/>
      <c r="M8" s="55" t="s">
        <v>248</v>
      </c>
    </row>
    <row r="9" spans="1:15" ht="19.899999999999999" customHeight="1">
      <c r="A9" s="56" t="s">
        <v>172</v>
      </c>
      <c r="B9" s="35">
        <v>12</v>
      </c>
      <c r="C9" s="35">
        <v>406</v>
      </c>
      <c r="D9" s="35">
        <v>31</v>
      </c>
      <c r="E9" s="35">
        <v>78</v>
      </c>
      <c r="F9" s="35">
        <v>94</v>
      </c>
      <c r="G9" s="35">
        <v>45</v>
      </c>
      <c r="H9" s="35">
        <v>5</v>
      </c>
      <c r="I9" s="35">
        <v>6</v>
      </c>
      <c r="J9" s="35">
        <f>SUM(B9:I9)</f>
        <v>677</v>
      </c>
      <c r="K9" s="57" t="s">
        <v>173</v>
      </c>
      <c r="M9" s="55" t="s">
        <v>247</v>
      </c>
    </row>
    <row r="10" spans="1:15" ht="19.899999999999999" customHeight="1">
      <c r="A10" s="58" t="s">
        <v>174</v>
      </c>
      <c r="B10" s="38">
        <v>127</v>
      </c>
      <c r="C10" s="38">
        <v>64</v>
      </c>
      <c r="D10" s="38">
        <v>18</v>
      </c>
      <c r="E10" s="38">
        <v>7</v>
      </c>
      <c r="F10" s="38">
        <v>68</v>
      </c>
      <c r="G10" s="38">
        <v>12</v>
      </c>
      <c r="H10" s="38">
        <v>2</v>
      </c>
      <c r="I10" s="38">
        <v>0</v>
      </c>
      <c r="J10" s="38">
        <f>SUM(I10+H10+G10+F10+E10+D10+C10+B10)</f>
        <v>298</v>
      </c>
      <c r="K10" s="54" t="s">
        <v>175</v>
      </c>
      <c r="M10" s="55" t="s">
        <v>249</v>
      </c>
    </row>
    <row r="11" spans="1:15" ht="19.899999999999999" customHeight="1">
      <c r="A11" s="59" t="s">
        <v>176</v>
      </c>
      <c r="B11" s="35">
        <v>2</v>
      </c>
      <c r="C11" s="35">
        <v>0</v>
      </c>
      <c r="D11" s="35">
        <v>24</v>
      </c>
      <c r="E11" s="35">
        <v>23</v>
      </c>
      <c r="F11" s="35">
        <v>0</v>
      </c>
      <c r="G11" s="35">
        <v>8</v>
      </c>
      <c r="H11" s="35">
        <v>3</v>
      </c>
      <c r="I11" s="35">
        <v>22</v>
      </c>
      <c r="J11" s="35">
        <f>SUM(I11+H11+G11+F11+E11+D11+C11+B11)</f>
        <v>82</v>
      </c>
      <c r="K11" s="57" t="s">
        <v>177</v>
      </c>
      <c r="M11" s="55" t="s">
        <v>250</v>
      </c>
    </row>
    <row r="12" spans="1:15" ht="22.5" customHeight="1">
      <c r="A12" s="48" t="s">
        <v>124</v>
      </c>
      <c r="B12" s="60">
        <f t="shared" ref="B12:H12" si="0">SUM(B8:B11)</f>
        <v>458</v>
      </c>
      <c r="C12" s="60">
        <f t="shared" si="0"/>
        <v>1099</v>
      </c>
      <c r="D12" s="60">
        <f t="shared" si="0"/>
        <v>585</v>
      </c>
      <c r="E12" s="60">
        <f t="shared" si="0"/>
        <v>416</v>
      </c>
      <c r="F12" s="60">
        <f t="shared" si="0"/>
        <v>803</v>
      </c>
      <c r="G12" s="60">
        <f t="shared" si="0"/>
        <v>163</v>
      </c>
      <c r="H12" s="60">
        <f t="shared" si="0"/>
        <v>122</v>
      </c>
      <c r="I12" s="60">
        <f>SUM(I8:I11)</f>
        <v>91</v>
      </c>
      <c r="J12" s="60">
        <f>SUM(J8:J11)</f>
        <v>3737</v>
      </c>
      <c r="K12" s="49" t="s">
        <v>125</v>
      </c>
    </row>
    <row r="13" spans="1:15" ht="30" customHeight="1">
      <c r="A13" s="50" t="s">
        <v>178</v>
      </c>
      <c r="B13" s="34"/>
      <c r="C13" s="34"/>
      <c r="D13" s="34"/>
      <c r="E13" s="34"/>
      <c r="F13" s="34"/>
      <c r="G13" s="34"/>
      <c r="H13" s="34"/>
      <c r="I13" s="34"/>
      <c r="J13" s="34"/>
      <c r="K13" s="52" t="s">
        <v>179</v>
      </c>
      <c r="M13" s="55" t="s">
        <v>251</v>
      </c>
    </row>
    <row r="14" spans="1:15" ht="19.899999999999999" customHeight="1">
      <c r="A14" s="53" t="s">
        <v>180</v>
      </c>
      <c r="B14" s="38">
        <v>30</v>
      </c>
      <c r="C14" s="38">
        <v>27</v>
      </c>
      <c r="D14" s="38">
        <v>14</v>
      </c>
      <c r="E14" s="38">
        <v>9</v>
      </c>
      <c r="F14" s="38">
        <v>11</v>
      </c>
      <c r="G14" s="38">
        <v>5</v>
      </c>
      <c r="H14" s="38">
        <v>3</v>
      </c>
      <c r="I14" s="38">
        <v>7</v>
      </c>
      <c r="J14" s="38">
        <f>SUM(B14:I14)</f>
        <v>106</v>
      </c>
      <c r="K14" s="54" t="s">
        <v>181</v>
      </c>
      <c r="M14" s="55" t="s">
        <v>252</v>
      </c>
    </row>
    <row r="15" spans="1:15" ht="19.899999999999999" customHeight="1">
      <c r="A15" s="56" t="s">
        <v>182</v>
      </c>
      <c r="B15" s="35">
        <v>71</v>
      </c>
      <c r="C15" s="35">
        <v>21</v>
      </c>
      <c r="D15" s="35">
        <v>388</v>
      </c>
      <c r="E15" s="35">
        <v>15</v>
      </c>
      <c r="F15" s="35">
        <v>16</v>
      </c>
      <c r="G15" s="35">
        <v>6</v>
      </c>
      <c r="H15" s="35">
        <v>1</v>
      </c>
      <c r="I15" s="35">
        <v>2</v>
      </c>
      <c r="J15" s="35">
        <f>SUM(B15:I15)</f>
        <v>520</v>
      </c>
      <c r="K15" s="57" t="s">
        <v>183</v>
      </c>
      <c r="M15" s="55" t="s">
        <v>253</v>
      </c>
    </row>
    <row r="16" spans="1:15" ht="19.899999999999999" customHeight="1">
      <c r="A16" s="53" t="s">
        <v>184</v>
      </c>
      <c r="B16" s="38">
        <v>32</v>
      </c>
      <c r="C16" s="38">
        <v>60</v>
      </c>
      <c r="D16" s="38">
        <v>91</v>
      </c>
      <c r="E16" s="38">
        <v>2</v>
      </c>
      <c r="F16" s="38">
        <v>0</v>
      </c>
      <c r="G16" s="38">
        <v>4</v>
      </c>
      <c r="H16" s="38">
        <v>1</v>
      </c>
      <c r="I16" s="38">
        <v>1</v>
      </c>
      <c r="J16" s="38">
        <f>SUM(B16:I16)</f>
        <v>191</v>
      </c>
      <c r="K16" s="54" t="s">
        <v>185</v>
      </c>
      <c r="M16" s="55" t="s">
        <v>254</v>
      </c>
    </row>
    <row r="17" spans="1:14" ht="19.899999999999999" customHeight="1">
      <c r="A17" s="56" t="s">
        <v>186</v>
      </c>
      <c r="B17" s="35">
        <v>3</v>
      </c>
      <c r="C17" s="35">
        <v>15</v>
      </c>
      <c r="D17" s="35">
        <v>7</v>
      </c>
      <c r="E17" s="35">
        <v>4</v>
      </c>
      <c r="F17" s="35">
        <v>11</v>
      </c>
      <c r="G17" s="35">
        <v>1</v>
      </c>
      <c r="H17" s="35">
        <v>0</v>
      </c>
      <c r="I17" s="35">
        <v>4</v>
      </c>
      <c r="J17" s="35">
        <f>SUM(B17:I17)</f>
        <v>45</v>
      </c>
      <c r="K17" s="57" t="s">
        <v>187</v>
      </c>
      <c r="M17" s="55" t="s">
        <v>255</v>
      </c>
    </row>
    <row r="18" spans="1:14" ht="19.899999999999999" customHeight="1">
      <c r="A18" s="53" t="s">
        <v>176</v>
      </c>
      <c r="B18" s="38">
        <v>4</v>
      </c>
      <c r="C18" s="38">
        <v>5</v>
      </c>
      <c r="D18" s="38">
        <v>6</v>
      </c>
      <c r="E18" s="38">
        <v>2</v>
      </c>
      <c r="F18" s="38">
        <v>8</v>
      </c>
      <c r="G18" s="38">
        <v>6</v>
      </c>
      <c r="H18" s="38">
        <v>1</v>
      </c>
      <c r="I18" s="38">
        <v>10</v>
      </c>
      <c r="J18" s="38">
        <f>SUM(B18:I18)</f>
        <v>42</v>
      </c>
      <c r="K18" s="54" t="s">
        <v>188</v>
      </c>
      <c r="M18" s="55" t="s">
        <v>256</v>
      </c>
    </row>
    <row r="19" spans="1:14" ht="19.899999999999999" customHeight="1">
      <c r="A19" s="62" t="s">
        <v>124</v>
      </c>
      <c r="B19" s="61">
        <f t="shared" ref="B19:I19" si="1">SUM(B18+B17+B16+B15+B14)</f>
        <v>140</v>
      </c>
      <c r="C19" s="61">
        <f t="shared" si="1"/>
        <v>128</v>
      </c>
      <c r="D19" s="61">
        <f t="shared" si="1"/>
        <v>506</v>
      </c>
      <c r="E19" s="61">
        <f t="shared" si="1"/>
        <v>32</v>
      </c>
      <c r="F19" s="61">
        <f t="shared" si="1"/>
        <v>46</v>
      </c>
      <c r="G19" s="61">
        <f t="shared" si="1"/>
        <v>22</v>
      </c>
      <c r="H19" s="61">
        <f t="shared" si="1"/>
        <v>6</v>
      </c>
      <c r="I19" s="61">
        <f t="shared" si="1"/>
        <v>24</v>
      </c>
      <c r="J19" s="61">
        <f t="shared" ref="J19" si="2">SUM(J14:J18)</f>
        <v>904</v>
      </c>
      <c r="K19" s="63" t="s">
        <v>125</v>
      </c>
    </row>
    <row r="20" spans="1:14" ht="19.899999999999999" customHeight="1">
      <c r="A20" s="53" t="s">
        <v>189</v>
      </c>
      <c r="B20" s="38"/>
      <c r="C20" s="38"/>
      <c r="D20" s="38"/>
      <c r="E20" s="38"/>
      <c r="F20" s="38"/>
      <c r="G20" s="38"/>
      <c r="H20" s="38"/>
      <c r="I20" s="38"/>
      <c r="J20" s="38"/>
      <c r="K20" s="54" t="s">
        <v>190</v>
      </c>
    </row>
    <row r="21" spans="1:14" ht="19.899999999999999" customHeight="1">
      <c r="A21" s="56" t="s">
        <v>191</v>
      </c>
      <c r="B21" s="35">
        <f>'2'!C20</f>
        <v>1117</v>
      </c>
      <c r="C21" s="35">
        <f>'3'!C20</f>
        <v>1320</v>
      </c>
      <c r="D21" s="35">
        <f>'4'!C20</f>
        <v>624</v>
      </c>
      <c r="E21" s="35">
        <f>'5'!C20</f>
        <v>280</v>
      </c>
      <c r="F21" s="35">
        <f>'8'!C20</f>
        <v>821</v>
      </c>
      <c r="G21" s="35">
        <f>'6'!C20</f>
        <v>167</v>
      </c>
      <c r="H21" s="35">
        <f>'7'!C20</f>
        <v>56</v>
      </c>
      <c r="I21" s="35">
        <f>'9'!C20</f>
        <v>159</v>
      </c>
      <c r="J21" s="35">
        <f>SUM(B21:I21)</f>
        <v>4544</v>
      </c>
      <c r="K21" s="57" t="s">
        <v>209</v>
      </c>
    </row>
    <row r="22" spans="1:14" ht="19.899999999999999" customHeight="1">
      <c r="A22" s="53" t="s">
        <v>193</v>
      </c>
      <c r="B22" s="38">
        <f>'2'!D20</f>
        <v>25</v>
      </c>
      <c r="C22" s="38">
        <f>'3'!D20</f>
        <v>134</v>
      </c>
      <c r="D22" s="38">
        <f>'4'!D20</f>
        <v>16</v>
      </c>
      <c r="E22" s="38">
        <f>'5'!D20</f>
        <v>27</v>
      </c>
      <c r="F22" s="38">
        <f>'8'!D20</f>
        <v>31</v>
      </c>
      <c r="G22" s="38">
        <f>'6'!D20</f>
        <v>61</v>
      </c>
      <c r="H22" s="38">
        <f>'7'!D20</f>
        <v>13</v>
      </c>
      <c r="I22" s="38">
        <f>'9'!D20</f>
        <v>13</v>
      </c>
      <c r="J22" s="38">
        <f>SUM(B22:I22)</f>
        <v>320</v>
      </c>
      <c r="K22" s="54" t="s">
        <v>194</v>
      </c>
    </row>
    <row r="23" spans="1:14" ht="26.25" customHeight="1">
      <c r="A23" s="62" t="s">
        <v>195</v>
      </c>
      <c r="B23" s="61">
        <f t="shared" ref="B23:J23" si="3">SUM(B12+B19+B21+B22)</f>
        <v>1740</v>
      </c>
      <c r="C23" s="61">
        <f t="shared" si="3"/>
        <v>2681</v>
      </c>
      <c r="D23" s="61">
        <f t="shared" si="3"/>
        <v>1731</v>
      </c>
      <c r="E23" s="61">
        <f t="shared" si="3"/>
        <v>755</v>
      </c>
      <c r="F23" s="61">
        <f t="shared" si="3"/>
        <v>1701</v>
      </c>
      <c r="G23" s="61">
        <f t="shared" si="3"/>
        <v>413</v>
      </c>
      <c r="H23" s="61">
        <f t="shared" si="3"/>
        <v>197</v>
      </c>
      <c r="I23" s="61">
        <f t="shared" si="3"/>
        <v>287</v>
      </c>
      <c r="J23" s="61">
        <f t="shared" si="3"/>
        <v>9505</v>
      </c>
      <c r="K23" s="63" t="s">
        <v>196</v>
      </c>
    </row>
    <row r="24" spans="1:14" ht="15" customHeight="1">
      <c r="A24" s="64" t="s">
        <v>126</v>
      </c>
      <c r="B24" s="33"/>
      <c r="C24" s="164" t="s">
        <v>127</v>
      </c>
      <c r="D24" s="164"/>
      <c r="E24" s="164"/>
      <c r="F24" s="164"/>
      <c r="G24" s="164"/>
      <c r="H24" s="164"/>
      <c r="I24" s="164"/>
      <c r="J24" s="164"/>
      <c r="K24" s="164"/>
      <c r="L24" s="65"/>
      <c r="M24" s="65"/>
      <c r="N24" s="65"/>
    </row>
  </sheetData>
  <mergeCells count="6">
    <mergeCell ref="C24:K24"/>
    <mergeCell ref="A1:K1"/>
    <mergeCell ref="A2:K2"/>
    <mergeCell ref="A3:K3"/>
    <mergeCell ref="A4:K4"/>
    <mergeCell ref="B5:J5"/>
  </mergeCells>
  <printOptions horizontalCentered="1" verticalCentered="1"/>
  <pageMargins left="0" right="0" top="0" bottom="0" header="0.31496062992125984" footer="0.31496062992125984"/>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N31"/>
  <sheetViews>
    <sheetView rightToLeft="1" view="pageBreakPreview" zoomScaleNormal="100" zoomScaleSheetLayoutView="100" workbookViewId="0">
      <selection activeCell="Q21" sqref="Q21"/>
    </sheetView>
  </sheetViews>
  <sheetFormatPr defaultRowHeight="14.25"/>
  <sheetData>
    <row r="1" spans="1:14" s="29" customFormat="1" ht="37.15" customHeight="1">
      <c r="A1" s="165"/>
      <c r="B1" s="151"/>
      <c r="C1" s="151"/>
      <c r="D1" s="151"/>
      <c r="E1" s="151"/>
      <c r="F1" s="151"/>
      <c r="G1" s="151"/>
      <c r="H1" s="151"/>
      <c r="I1" s="151"/>
      <c r="J1" s="151"/>
      <c r="K1" s="151"/>
      <c r="L1" s="45"/>
      <c r="M1" s="45"/>
      <c r="N1" s="45"/>
    </row>
    <row r="2" spans="1:14" s="29" customFormat="1" ht="23.25" customHeight="1">
      <c r="A2" s="153" t="s">
        <v>269</v>
      </c>
      <c r="B2" s="153"/>
      <c r="C2" s="153"/>
      <c r="D2" s="153"/>
      <c r="E2" s="153"/>
      <c r="F2" s="153"/>
      <c r="G2" s="153"/>
      <c r="H2" s="153"/>
      <c r="I2" s="153"/>
      <c r="J2" s="153"/>
      <c r="K2" s="153"/>
      <c r="L2" s="153"/>
      <c r="M2" s="153"/>
      <c r="N2" s="153"/>
    </row>
    <row r="3" spans="1:14" s="29" customFormat="1" ht="20.25" customHeight="1">
      <c r="A3" s="166" t="s">
        <v>280</v>
      </c>
      <c r="B3" s="166"/>
      <c r="C3" s="166"/>
      <c r="D3" s="166"/>
      <c r="E3" s="166"/>
      <c r="F3" s="166"/>
      <c r="G3" s="166"/>
      <c r="H3" s="166"/>
      <c r="I3" s="166"/>
      <c r="J3" s="166"/>
      <c r="K3" s="166"/>
      <c r="L3" s="166"/>
      <c r="M3" s="166"/>
      <c r="N3" s="166"/>
    </row>
    <row r="4" spans="1:14" s="29" customFormat="1" ht="15" customHeight="1">
      <c r="A4" s="155">
        <v>2021</v>
      </c>
      <c r="B4" s="155"/>
      <c r="C4" s="155"/>
      <c r="D4" s="155"/>
      <c r="E4" s="155"/>
      <c r="F4" s="155"/>
      <c r="G4" s="155"/>
      <c r="H4" s="155"/>
      <c r="I4" s="155"/>
      <c r="J4" s="155"/>
      <c r="K4" s="155"/>
      <c r="L4" s="155"/>
      <c r="M4" s="155"/>
      <c r="N4" s="155"/>
    </row>
    <row r="31" spans="1:14">
      <c r="A31" s="167" t="s">
        <v>257</v>
      </c>
      <c r="B31" s="167"/>
      <c r="C31" s="167"/>
      <c r="D31" s="167"/>
      <c r="E31" s="167"/>
      <c r="F31" s="167"/>
      <c r="G31" s="167"/>
      <c r="H31" s="167"/>
      <c r="I31" s="167"/>
      <c r="J31" s="167"/>
      <c r="K31" s="167"/>
      <c r="L31" s="167"/>
      <c r="M31" s="167"/>
      <c r="N31" s="167"/>
    </row>
  </sheetData>
  <mergeCells count="5">
    <mergeCell ref="A31:N31"/>
    <mergeCell ref="A4:N4"/>
    <mergeCell ref="A1:K1"/>
    <mergeCell ref="A2:N2"/>
    <mergeCell ref="A3:N3"/>
  </mergeCells>
  <printOptions horizontalCentered="1" verticalCentered="1"/>
  <pageMargins left="0" right="0" top="0" bottom="0" header="0.31496062992125984" footer="0.31496062992125984"/>
  <pageSetup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6"/>
  <sheetViews>
    <sheetView rightToLeft="1" view="pageBreakPreview" zoomScaleNormal="100" zoomScaleSheetLayoutView="100" workbookViewId="0">
      <selection activeCell="Q21" sqref="Q21"/>
    </sheetView>
  </sheetViews>
  <sheetFormatPr defaultColWidth="9.125" defaultRowHeight="14.25"/>
  <cols>
    <col min="1" max="4" width="35.75" style="4" customWidth="1"/>
    <col min="5" max="16384" width="9.125" style="4"/>
  </cols>
  <sheetData>
    <row r="1" spans="1:11" ht="94.5" customHeight="1">
      <c r="A1" s="107" t="s">
        <v>87</v>
      </c>
      <c r="B1" s="107"/>
      <c r="C1" s="106" t="s">
        <v>88</v>
      </c>
      <c r="D1" s="106"/>
    </row>
    <row r="2" spans="1:11" s="1" customFormat="1" ht="69.75" customHeight="1">
      <c r="A2" s="108"/>
      <c r="B2" s="108"/>
      <c r="C2" s="108"/>
      <c r="D2" s="108"/>
      <c r="E2" s="6"/>
      <c r="F2" s="6"/>
      <c r="G2" s="6"/>
      <c r="H2" s="6"/>
      <c r="I2" s="6"/>
      <c r="J2" s="6"/>
      <c r="K2" s="6"/>
    </row>
    <row r="3" spans="1:11" ht="60" customHeight="1"/>
    <row r="4" spans="1:11" ht="189" customHeight="1">
      <c r="B4" s="109" t="s">
        <v>339</v>
      </c>
      <c r="C4" s="109"/>
    </row>
    <row r="5" spans="1:11" ht="60" customHeight="1">
      <c r="A5" s="5"/>
      <c r="B5" s="5"/>
    </row>
    <row r="6" spans="1:11" ht="43.5" customHeight="1">
      <c r="A6" s="105" t="s">
        <v>340</v>
      </c>
      <c r="B6" s="105"/>
      <c r="C6" s="105"/>
      <c r="D6" s="105"/>
    </row>
  </sheetData>
  <mergeCells count="5">
    <mergeCell ref="A6:D6"/>
    <mergeCell ref="C1:D1"/>
    <mergeCell ref="A1:B1"/>
    <mergeCell ref="A2:D2"/>
    <mergeCell ref="B4:C4"/>
  </mergeCells>
  <printOptions horizontalCentered="1" verticalCentered="1"/>
  <pageMargins left="0" right="0" top="0" bottom="0" header="0.31496062992125984" footer="0.31496062992125984"/>
  <pageSetup paperSize="9" scale="90" orientation="landscape" r:id="rId1"/>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N33"/>
  <sheetViews>
    <sheetView rightToLeft="1" view="pageBreakPreview" zoomScaleNormal="100" zoomScaleSheetLayoutView="100" workbookViewId="0">
      <selection activeCell="Q21" sqref="Q21"/>
    </sheetView>
  </sheetViews>
  <sheetFormatPr defaultRowHeight="14.25"/>
  <sheetData>
    <row r="1" spans="1:14" s="29" customFormat="1" ht="37.15" customHeight="1">
      <c r="A1" s="165"/>
      <c r="B1" s="151"/>
      <c r="C1" s="151"/>
      <c r="D1" s="151"/>
      <c r="E1" s="151"/>
      <c r="F1" s="151"/>
      <c r="G1" s="151"/>
      <c r="H1" s="151"/>
      <c r="I1" s="151"/>
      <c r="J1" s="151"/>
      <c r="K1" s="151"/>
      <c r="L1" s="45"/>
      <c r="M1" s="45"/>
      <c r="N1" s="45"/>
    </row>
    <row r="2" spans="1:14" s="29" customFormat="1" ht="23.25" customHeight="1">
      <c r="A2" s="153" t="s">
        <v>289</v>
      </c>
      <c r="B2" s="153"/>
      <c r="C2" s="153"/>
      <c r="D2" s="153"/>
      <c r="E2" s="153"/>
      <c r="F2" s="153"/>
      <c r="G2" s="153"/>
      <c r="H2" s="153"/>
      <c r="I2" s="153"/>
      <c r="J2" s="153"/>
      <c r="K2" s="153"/>
      <c r="L2" s="153"/>
      <c r="M2" s="46"/>
      <c r="N2" s="46"/>
    </row>
    <row r="3" spans="1:14" s="29" customFormat="1" ht="20.25" customHeight="1">
      <c r="A3" s="166" t="s">
        <v>290</v>
      </c>
      <c r="B3" s="166"/>
      <c r="C3" s="166"/>
      <c r="D3" s="166"/>
      <c r="E3" s="166"/>
      <c r="F3" s="166"/>
      <c r="G3" s="166"/>
      <c r="H3" s="166"/>
      <c r="I3" s="166"/>
      <c r="J3" s="166"/>
      <c r="K3" s="166"/>
      <c r="L3" s="166"/>
      <c r="M3" s="47"/>
      <c r="N3" s="47"/>
    </row>
    <row r="4" spans="1:14" s="29" customFormat="1" ht="15" customHeight="1">
      <c r="A4" s="155">
        <v>2021</v>
      </c>
      <c r="B4" s="155"/>
      <c r="C4" s="155"/>
      <c r="D4" s="155"/>
      <c r="E4" s="155"/>
      <c r="F4" s="155"/>
      <c r="G4" s="155"/>
      <c r="H4" s="155"/>
      <c r="I4" s="155"/>
      <c r="J4" s="155"/>
      <c r="K4" s="155"/>
      <c r="L4" s="155"/>
      <c r="M4" s="47"/>
      <c r="N4" s="47"/>
    </row>
    <row r="33" spans="1:12">
      <c r="A33" s="168" t="s">
        <v>291</v>
      </c>
      <c r="B33" s="168"/>
      <c r="C33" s="168"/>
      <c r="D33" s="168"/>
      <c r="E33" s="168"/>
      <c r="F33" s="168"/>
      <c r="G33" s="168"/>
      <c r="H33" s="168"/>
      <c r="I33" s="168"/>
      <c r="J33" s="168"/>
      <c r="K33" s="168"/>
      <c r="L33" s="168"/>
    </row>
  </sheetData>
  <mergeCells count="5">
    <mergeCell ref="A1:K1"/>
    <mergeCell ref="A33:L33"/>
    <mergeCell ref="A2:L2"/>
    <mergeCell ref="A3:L3"/>
    <mergeCell ref="A4:L4"/>
  </mergeCells>
  <printOptions horizontalCentered="1"/>
  <pageMargins left="0.70866141732283472" right="0.70866141732283472" top="0.74803149606299213" bottom="0.74803149606299213" header="0.31496062992125984" footer="0.31496062992125984"/>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B2"/>
  <sheetViews>
    <sheetView rightToLeft="1" view="pageBreakPreview" zoomScale="70" zoomScaleNormal="100" zoomScaleSheetLayoutView="70" workbookViewId="0">
      <selection activeCell="Q21" sqref="Q21"/>
    </sheetView>
  </sheetViews>
  <sheetFormatPr defaultRowHeight="14.25"/>
  <cols>
    <col min="1" max="1" width="130.125" customWidth="1"/>
    <col min="2" max="2" width="0.125" customWidth="1"/>
  </cols>
  <sheetData>
    <row r="1" spans="1:2" ht="270" customHeight="1">
      <c r="A1" s="149"/>
      <c r="B1" s="149"/>
    </row>
    <row r="2" spans="1:2" ht="270" customHeight="1">
      <c r="A2" s="149"/>
      <c r="B2" s="149"/>
    </row>
  </sheetData>
  <mergeCells count="1">
    <mergeCell ref="A1:B2"/>
  </mergeCells>
  <printOptions horizontalCentered="1" verticalCentered="1"/>
  <pageMargins left="0" right="0" top="0" bottom="0" header="0.31496062992125984" footer="0.31496062992125984"/>
  <pageSetup paperSize="9" orientation="landscape" r:id="rId1"/>
  <rowBreaks count="1" manualBreakCount="1">
    <brk id="2" max="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207</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212</v>
      </c>
      <c r="B5" s="31"/>
      <c r="C5" s="32"/>
      <c r="D5" s="32"/>
      <c r="E5" s="33" t="s">
        <v>213</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SUM('12'!B8+'13'!B8+'14'!B8+'15'!B8+'16'!B8+'17'!B8+'18'!B8+'19'!B8)</f>
        <v>248</v>
      </c>
      <c r="C8" s="35">
        <f>SUM('12'!C8+'13'!C8+'14'!C8+'15'!C8+'16'!C8+'17'!C8+'18'!C8+'19'!C8)</f>
        <v>104</v>
      </c>
      <c r="D8" s="34">
        <f>SUM('12'!D8+'13'!D8+'14'!D8+'15'!D8+'16'!D8+'17'!D8+'18'!D8+'19'!D8)</f>
        <v>352</v>
      </c>
      <c r="E8" s="36" t="s">
        <v>101</v>
      </c>
    </row>
    <row r="9" spans="1:5" ht="22.5" customHeight="1">
      <c r="A9" s="37" t="s">
        <v>102</v>
      </c>
      <c r="B9" s="38">
        <f>SUM('12'!B9+'13'!B9+'14'!B9+'15'!B9+'16'!B9+'17'!B9+'18'!B9+'19'!B9)</f>
        <v>231</v>
      </c>
      <c r="C9" s="38">
        <f>SUM('12'!C9+'13'!C9+'14'!C9+'15'!C9+'16'!C9+'17'!C9+'18'!C9+'19'!C9)</f>
        <v>107</v>
      </c>
      <c r="D9" s="37">
        <f>SUM('12'!D9+'13'!D9+'14'!D9+'15'!D9+'16'!D9+'17'!D9+'18'!D9+'19'!D9)</f>
        <v>338</v>
      </c>
      <c r="E9" s="39" t="s">
        <v>103</v>
      </c>
    </row>
    <row r="10" spans="1:5" ht="22.5" customHeight="1">
      <c r="A10" s="34" t="s">
        <v>104</v>
      </c>
      <c r="B10" s="35">
        <f>SUM('12'!B10+'13'!B10+'14'!B10+'15'!B10+'16'!B10+'17'!B10+'18'!B10+'19'!B10)</f>
        <v>285</v>
      </c>
      <c r="C10" s="35">
        <f>SUM('12'!C10+'13'!C10+'14'!C10+'15'!C10+'16'!C10+'17'!C10+'18'!C10+'19'!C10)</f>
        <v>109</v>
      </c>
      <c r="D10" s="34">
        <f>SUM('12'!D10+'13'!D10+'14'!D10+'15'!D10+'16'!D10+'17'!D10+'18'!D10+'19'!D10)</f>
        <v>394</v>
      </c>
      <c r="E10" s="36" t="s">
        <v>105</v>
      </c>
    </row>
    <row r="11" spans="1:5" ht="22.5" customHeight="1">
      <c r="A11" s="37" t="s">
        <v>106</v>
      </c>
      <c r="B11" s="38">
        <f>SUM('12'!B11+'13'!B11+'14'!B11+'15'!B11+'16'!B11+'17'!B11+'18'!B11+'19'!B11)</f>
        <v>232</v>
      </c>
      <c r="C11" s="38">
        <f>SUM('12'!C11+'13'!C11+'14'!C11+'15'!C11+'16'!C11+'17'!C11+'18'!C11+'19'!C11)</f>
        <v>102</v>
      </c>
      <c r="D11" s="37">
        <f>SUM('12'!D11+'13'!D11+'14'!D11+'15'!D11+'16'!D11+'17'!D11+'18'!D11+'19'!D11)</f>
        <v>334</v>
      </c>
      <c r="E11" s="39" t="s">
        <v>107</v>
      </c>
    </row>
    <row r="12" spans="1:5" ht="22.5" customHeight="1">
      <c r="A12" s="34" t="s">
        <v>108</v>
      </c>
      <c r="B12" s="35">
        <f>SUM('12'!B12+'13'!B12+'14'!B12+'15'!B12+'16'!B12+'17'!B12+'18'!B12+'19'!B12)</f>
        <v>154</v>
      </c>
      <c r="C12" s="35">
        <f>SUM('12'!C12+'13'!C12+'14'!C12+'15'!C12+'16'!C12+'17'!C12+'18'!C12+'19'!C12)</f>
        <v>62</v>
      </c>
      <c r="D12" s="34">
        <f>SUM('12'!D12+'13'!D12+'14'!D12+'15'!D12+'16'!D12+'17'!D12+'18'!D12+'19'!D12)</f>
        <v>216</v>
      </c>
      <c r="E12" s="36" t="s">
        <v>109</v>
      </c>
    </row>
    <row r="13" spans="1:5" ht="22.5" customHeight="1">
      <c r="A13" s="37" t="s">
        <v>110</v>
      </c>
      <c r="B13" s="38">
        <f>SUM('12'!B13+'13'!B13+'14'!B13+'15'!B13+'16'!B13+'17'!B13+'18'!B13+'19'!B13)</f>
        <v>225</v>
      </c>
      <c r="C13" s="38">
        <f>SUM('12'!C13+'13'!C13+'14'!C13+'15'!C13+'16'!C13+'17'!C13+'18'!C13+'19'!C13)</f>
        <v>122</v>
      </c>
      <c r="D13" s="37">
        <f>SUM('12'!D13+'13'!D13+'14'!D13+'15'!D13+'16'!D13+'17'!D13+'18'!D13+'19'!D13)</f>
        <v>347</v>
      </c>
      <c r="E13" s="39" t="s">
        <v>111</v>
      </c>
    </row>
    <row r="14" spans="1:5" ht="22.5" customHeight="1">
      <c r="A14" s="34" t="s">
        <v>112</v>
      </c>
      <c r="B14" s="35">
        <f>SUM('12'!B14+'13'!B14+'14'!B14+'15'!B14+'16'!B14+'17'!B14+'18'!B14+'19'!B14)</f>
        <v>183</v>
      </c>
      <c r="C14" s="35">
        <f>SUM('12'!C14+'13'!C14+'14'!C14+'15'!C14+'16'!C14+'17'!C14+'18'!C14+'19'!C14)</f>
        <v>99</v>
      </c>
      <c r="D14" s="34">
        <f>SUM('12'!D14+'13'!D14+'14'!D14+'15'!D14+'16'!D14+'17'!D14+'18'!D14+'19'!D14)</f>
        <v>282</v>
      </c>
      <c r="E14" s="36" t="s">
        <v>113</v>
      </c>
    </row>
    <row r="15" spans="1:5" ht="22.5" customHeight="1">
      <c r="A15" s="37" t="s">
        <v>114</v>
      </c>
      <c r="B15" s="38">
        <f>SUM('12'!B15+'13'!B15+'14'!B15+'15'!B15+'16'!B15+'17'!B15+'18'!B15+'19'!B15)</f>
        <v>254</v>
      </c>
      <c r="C15" s="38">
        <f>SUM('12'!C15+'13'!C15+'14'!C15+'15'!C15+'16'!C15+'17'!C15+'18'!C15+'19'!C15)</f>
        <v>119</v>
      </c>
      <c r="D15" s="37">
        <f>SUM('12'!D15+'13'!D15+'14'!D15+'15'!D15+'16'!D15+'17'!D15+'18'!D15+'19'!D15)</f>
        <v>373</v>
      </c>
      <c r="E15" s="39" t="s">
        <v>115</v>
      </c>
    </row>
    <row r="16" spans="1:5" ht="22.5" customHeight="1">
      <c r="A16" s="34" t="s">
        <v>116</v>
      </c>
      <c r="B16" s="35">
        <f>SUM('12'!B16+'13'!B16+'14'!B16+'15'!B16+'16'!B16+'17'!B16+'18'!B16+'19'!B16)</f>
        <v>241</v>
      </c>
      <c r="C16" s="35">
        <f>SUM('12'!C16+'13'!C16+'14'!C16+'15'!C16+'16'!C16+'17'!C16+'18'!C16+'19'!C16)</f>
        <v>109</v>
      </c>
      <c r="D16" s="34">
        <f>SUM('12'!D16+'13'!D16+'14'!D16+'15'!D16+'16'!D16+'17'!D16+'18'!D16+'19'!D16)</f>
        <v>350</v>
      </c>
      <c r="E16" s="36" t="s">
        <v>117</v>
      </c>
    </row>
    <row r="17" spans="1:5" ht="22.5" customHeight="1">
      <c r="A17" s="37" t="s">
        <v>118</v>
      </c>
      <c r="B17" s="38">
        <f>SUM('12'!B17+'13'!B17+'14'!B17+'15'!B17+'16'!B17+'17'!B17+'18'!B17+'19'!B17)</f>
        <v>205</v>
      </c>
      <c r="C17" s="38">
        <f>SUM('12'!C17+'13'!C17+'14'!C17+'15'!C17+'16'!C17+'17'!C17+'18'!C17+'19'!C17)</f>
        <v>138</v>
      </c>
      <c r="D17" s="37">
        <f>SUM('12'!D17+'13'!D17+'14'!D17+'15'!D17+'16'!D17+'17'!D17+'18'!D17+'19'!D17)</f>
        <v>343</v>
      </c>
      <c r="E17" s="39" t="s">
        <v>119</v>
      </c>
    </row>
    <row r="18" spans="1:5" ht="22.5" customHeight="1">
      <c r="A18" s="34" t="s">
        <v>120</v>
      </c>
      <c r="B18" s="35">
        <f>SUM('12'!B18+'13'!B18+'14'!B18+'15'!B18+'16'!B18+'17'!B18+'18'!B18+'19'!B18)</f>
        <v>220</v>
      </c>
      <c r="C18" s="35">
        <f>SUM('12'!C18+'13'!C18+'14'!C18+'15'!C18+'16'!C18+'17'!C18+'18'!C18+'19'!C18)</f>
        <v>122</v>
      </c>
      <c r="D18" s="34">
        <f>SUM('12'!D18+'13'!D18+'14'!D18+'15'!D18+'16'!D18+'17'!D18+'18'!D18+'19'!D18)</f>
        <v>342</v>
      </c>
      <c r="E18" s="36" t="s">
        <v>121</v>
      </c>
    </row>
    <row r="19" spans="1:5" ht="22.5" customHeight="1">
      <c r="A19" s="37" t="s">
        <v>122</v>
      </c>
      <c r="B19" s="38">
        <f>SUM('12'!B19+'13'!B19+'14'!B19+'15'!B19+'16'!B19+'17'!B19+'18'!B19+'19'!B19)</f>
        <v>188</v>
      </c>
      <c r="C19" s="38">
        <f>SUM('12'!C19+'13'!C19+'14'!C19+'15'!C19+'16'!C19+'17'!C19+'18'!C19+'19'!C19)</f>
        <v>110</v>
      </c>
      <c r="D19" s="37">
        <f>SUM('12'!D19+'13'!D19+'14'!D19+'15'!D19+'16'!D19+'17'!D19+'18'!D19+'19'!D19)</f>
        <v>298</v>
      </c>
      <c r="E19" s="39" t="s">
        <v>123</v>
      </c>
    </row>
    <row r="20" spans="1:5" ht="36" customHeight="1">
      <c r="A20" s="40" t="s">
        <v>124</v>
      </c>
      <c r="B20" s="41">
        <f>SUM(B8:B19)</f>
        <v>2666</v>
      </c>
      <c r="C20" s="41">
        <f>SUM(C8:C19)</f>
        <v>1303</v>
      </c>
      <c r="D20" s="41">
        <f>SUM(D8:D19)</f>
        <v>3969</v>
      </c>
      <c r="E20" s="42" t="s">
        <v>125</v>
      </c>
    </row>
  </sheetData>
  <mergeCells count="7">
    <mergeCell ref="A1:E1"/>
    <mergeCell ref="A2:E2"/>
    <mergeCell ref="A3:E3"/>
    <mergeCell ref="A4:E4"/>
    <mergeCell ref="A6:A7"/>
    <mergeCell ref="E6:E7"/>
    <mergeCell ref="B6:D6"/>
  </mergeCells>
  <printOptions horizontalCentered="1" verticalCentered="1"/>
  <pageMargins left="0" right="0" top="0" bottom="0"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N34"/>
  <sheetViews>
    <sheetView rightToLeft="1" view="pageBreakPreview" zoomScaleNormal="100" zoomScaleSheetLayoutView="100" workbookViewId="0">
      <selection activeCell="Q21" sqref="Q21"/>
    </sheetView>
  </sheetViews>
  <sheetFormatPr defaultRowHeight="14.25"/>
  <sheetData>
    <row r="1" spans="1:14" s="29" customFormat="1" ht="21" customHeight="1">
      <c r="A1" s="153" t="s">
        <v>295</v>
      </c>
      <c r="B1" s="153"/>
      <c r="C1" s="153"/>
      <c r="D1" s="153"/>
      <c r="E1" s="153"/>
      <c r="F1" s="153"/>
      <c r="G1" s="153"/>
      <c r="H1" s="153"/>
      <c r="I1" s="153"/>
      <c r="J1" s="153"/>
      <c r="K1" s="153"/>
      <c r="L1" s="153"/>
      <c r="M1" s="153"/>
      <c r="N1" s="46"/>
    </row>
    <row r="2" spans="1:14" s="29" customFormat="1" ht="15.75">
      <c r="A2" s="154" t="s">
        <v>296</v>
      </c>
      <c r="B2" s="154"/>
      <c r="C2" s="154"/>
      <c r="D2" s="154"/>
      <c r="E2" s="154"/>
      <c r="F2" s="154"/>
      <c r="G2" s="154"/>
      <c r="H2" s="154"/>
      <c r="I2" s="154"/>
      <c r="J2" s="154"/>
      <c r="K2" s="154"/>
      <c r="L2" s="154"/>
      <c r="M2" s="154"/>
      <c r="N2" s="68"/>
    </row>
    <row r="3" spans="1:14" s="29" customFormat="1" ht="15" customHeight="1">
      <c r="A3" s="155">
        <v>2021</v>
      </c>
      <c r="B3" s="155"/>
      <c r="C3" s="155"/>
      <c r="D3" s="155"/>
      <c r="E3" s="155"/>
      <c r="F3" s="155"/>
      <c r="G3" s="155"/>
      <c r="H3" s="155"/>
      <c r="I3" s="155"/>
      <c r="J3" s="155"/>
      <c r="K3" s="155"/>
      <c r="L3" s="155"/>
      <c r="M3" s="155"/>
      <c r="N3" s="47"/>
    </row>
    <row r="34" spans="1:14" ht="15">
      <c r="A34" s="162" t="s">
        <v>297</v>
      </c>
      <c r="B34" s="162"/>
      <c r="C34" s="162"/>
      <c r="D34" s="162"/>
      <c r="E34" s="162"/>
      <c r="F34" s="162"/>
      <c r="G34" s="162"/>
      <c r="H34" s="162"/>
      <c r="I34" s="162"/>
      <c r="J34" s="162"/>
      <c r="K34" s="162"/>
      <c r="L34" s="162"/>
      <c r="M34" s="162"/>
      <c r="N34" s="162"/>
    </row>
  </sheetData>
  <mergeCells count="4">
    <mergeCell ref="A1:M1"/>
    <mergeCell ref="A2:M2"/>
    <mergeCell ref="A3:M3"/>
    <mergeCell ref="A34:N34"/>
  </mergeCells>
  <printOptions horizontalCentered="1" verticalCentered="1"/>
  <pageMargins left="0" right="0" top="0" bottom="0" header="0.31496062992125984" footer="0.31496062992125984"/>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199</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155</v>
      </c>
      <c r="B5" s="163" t="s">
        <v>130</v>
      </c>
      <c r="C5" s="163"/>
      <c r="D5" s="163"/>
      <c r="E5" s="33" t="s">
        <v>156</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24+7</f>
        <v>31</v>
      </c>
      <c r="C8" s="35">
        <v>28</v>
      </c>
      <c r="D8" s="34">
        <f t="shared" ref="D8:D19" si="0">SUM(B8:C8)</f>
        <v>59</v>
      </c>
      <c r="E8" s="36" t="s">
        <v>101</v>
      </c>
    </row>
    <row r="9" spans="1:5" ht="22.5" customHeight="1">
      <c r="A9" s="37" t="s">
        <v>102</v>
      </c>
      <c r="B9" s="38">
        <f>15+8</f>
        <v>23</v>
      </c>
      <c r="C9" s="38">
        <v>20</v>
      </c>
      <c r="D9" s="37">
        <f t="shared" si="0"/>
        <v>43</v>
      </c>
      <c r="E9" s="39" t="s">
        <v>103</v>
      </c>
    </row>
    <row r="10" spans="1:5" ht="22.5" customHeight="1">
      <c r="A10" s="34" t="s">
        <v>104</v>
      </c>
      <c r="B10" s="35">
        <f>23+13</f>
        <v>36</v>
      </c>
      <c r="C10" s="35">
        <v>22</v>
      </c>
      <c r="D10" s="34">
        <f t="shared" si="0"/>
        <v>58</v>
      </c>
      <c r="E10" s="36" t="s">
        <v>105</v>
      </c>
    </row>
    <row r="11" spans="1:5" ht="22.5" customHeight="1">
      <c r="A11" s="37" t="s">
        <v>106</v>
      </c>
      <c r="B11" s="38">
        <f>21+9</f>
        <v>30</v>
      </c>
      <c r="C11" s="38">
        <v>31</v>
      </c>
      <c r="D11" s="37">
        <f t="shared" si="0"/>
        <v>61</v>
      </c>
      <c r="E11" s="39" t="s">
        <v>107</v>
      </c>
    </row>
    <row r="12" spans="1:5" ht="22.5" customHeight="1">
      <c r="A12" s="34" t="s">
        <v>108</v>
      </c>
      <c r="B12" s="35">
        <f>8+9</f>
        <v>17</v>
      </c>
      <c r="C12" s="35">
        <v>13</v>
      </c>
      <c r="D12" s="34">
        <f t="shared" si="0"/>
        <v>30</v>
      </c>
      <c r="E12" s="36" t="s">
        <v>109</v>
      </c>
    </row>
    <row r="13" spans="1:5" ht="22.5" customHeight="1">
      <c r="A13" s="37" t="s">
        <v>110</v>
      </c>
      <c r="B13" s="38">
        <f>17+4</f>
        <v>21</v>
      </c>
      <c r="C13" s="38">
        <v>30</v>
      </c>
      <c r="D13" s="37">
        <f t="shared" si="0"/>
        <v>51</v>
      </c>
      <c r="E13" s="39" t="s">
        <v>111</v>
      </c>
    </row>
    <row r="14" spans="1:5" ht="22.5" customHeight="1">
      <c r="A14" s="34" t="s">
        <v>112</v>
      </c>
      <c r="B14" s="35">
        <f>19+8</f>
        <v>27</v>
      </c>
      <c r="C14" s="35">
        <v>21</v>
      </c>
      <c r="D14" s="34">
        <f t="shared" si="0"/>
        <v>48</v>
      </c>
      <c r="E14" s="36" t="s">
        <v>113</v>
      </c>
    </row>
    <row r="15" spans="1:5" ht="22.5" customHeight="1">
      <c r="A15" s="37" t="s">
        <v>114</v>
      </c>
      <c r="B15" s="38">
        <f>23+13</f>
        <v>36</v>
      </c>
      <c r="C15" s="38">
        <v>26</v>
      </c>
      <c r="D15" s="37">
        <f t="shared" si="0"/>
        <v>62</v>
      </c>
      <c r="E15" s="39" t="s">
        <v>115</v>
      </c>
    </row>
    <row r="16" spans="1:5" ht="22.5" customHeight="1">
      <c r="A16" s="34" t="s">
        <v>116</v>
      </c>
      <c r="B16" s="35">
        <f>30+10</f>
        <v>40</v>
      </c>
      <c r="C16" s="35">
        <v>25</v>
      </c>
      <c r="D16" s="34">
        <f t="shared" si="0"/>
        <v>65</v>
      </c>
      <c r="E16" s="36" t="s">
        <v>117</v>
      </c>
    </row>
    <row r="17" spans="1:5" ht="22.5" customHeight="1">
      <c r="A17" s="37" t="s">
        <v>118</v>
      </c>
      <c r="B17" s="38">
        <f>30+9</f>
        <v>39</v>
      </c>
      <c r="C17" s="38">
        <v>38</v>
      </c>
      <c r="D17" s="37">
        <f t="shared" si="0"/>
        <v>77</v>
      </c>
      <c r="E17" s="39" t="s">
        <v>119</v>
      </c>
    </row>
    <row r="18" spans="1:5" ht="22.5" customHeight="1">
      <c r="A18" s="34" t="s">
        <v>120</v>
      </c>
      <c r="B18" s="35">
        <f>23+10</f>
        <v>33</v>
      </c>
      <c r="C18" s="35">
        <v>29</v>
      </c>
      <c r="D18" s="34">
        <f t="shared" si="0"/>
        <v>62</v>
      </c>
      <c r="E18" s="36" t="s">
        <v>121</v>
      </c>
    </row>
    <row r="19" spans="1:5" ht="22.5" customHeight="1">
      <c r="A19" s="37" t="s">
        <v>122</v>
      </c>
      <c r="B19" s="38">
        <f>27+6</f>
        <v>33</v>
      </c>
      <c r="C19" s="38">
        <v>36</v>
      </c>
      <c r="D19" s="37">
        <f t="shared" si="0"/>
        <v>69</v>
      </c>
      <c r="E19" s="39" t="s">
        <v>123</v>
      </c>
    </row>
    <row r="20" spans="1:5" ht="36" customHeight="1">
      <c r="A20" s="40" t="s">
        <v>124</v>
      </c>
      <c r="B20" s="41">
        <f>SUM(B8:B19)</f>
        <v>366</v>
      </c>
      <c r="C20" s="41">
        <f>SUM(C8:C19)</f>
        <v>319</v>
      </c>
      <c r="D20" s="41">
        <f>SUM(D8:D19)</f>
        <v>685</v>
      </c>
      <c r="E20" s="42" t="s">
        <v>125</v>
      </c>
    </row>
  </sheetData>
  <mergeCells count="8">
    <mergeCell ref="A6:A7"/>
    <mergeCell ref="E6:E7"/>
    <mergeCell ref="B6:D6"/>
    <mergeCell ref="B5:D5"/>
    <mergeCell ref="A1:E1"/>
    <mergeCell ref="A2:E2"/>
    <mergeCell ref="A3:E3"/>
    <mergeCell ref="A4:E4"/>
  </mergeCells>
  <printOptions horizontalCentered="1" verticalCentered="1"/>
  <pageMargins left="0" right="0" top="0" bottom="0" header="0.31496062992125984" footer="0.31496062992125984"/>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199</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214</v>
      </c>
      <c r="B5" s="163" t="s">
        <v>133</v>
      </c>
      <c r="C5" s="163"/>
      <c r="D5" s="163"/>
      <c r="E5" s="33" t="s">
        <v>215</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58+5</f>
        <v>63</v>
      </c>
      <c r="C8" s="35">
        <v>36</v>
      </c>
      <c r="D8" s="34">
        <f t="shared" ref="D8:D19" si="0">SUM(B8:C8)</f>
        <v>99</v>
      </c>
      <c r="E8" s="36" t="s">
        <v>101</v>
      </c>
    </row>
    <row r="9" spans="1:5" ht="22.5" customHeight="1">
      <c r="A9" s="37" t="s">
        <v>102</v>
      </c>
      <c r="B9" s="38">
        <f>63+3</f>
        <v>66</v>
      </c>
      <c r="C9" s="38">
        <v>31</v>
      </c>
      <c r="D9" s="37">
        <f t="shared" si="0"/>
        <v>97</v>
      </c>
      <c r="E9" s="39" t="s">
        <v>103</v>
      </c>
    </row>
    <row r="10" spans="1:5" ht="22.5" customHeight="1">
      <c r="A10" s="34" t="s">
        <v>104</v>
      </c>
      <c r="B10" s="35">
        <f>60+5</f>
        <v>65</v>
      </c>
      <c r="C10" s="35">
        <v>41</v>
      </c>
      <c r="D10" s="34">
        <f t="shared" si="0"/>
        <v>106</v>
      </c>
      <c r="E10" s="36" t="s">
        <v>105</v>
      </c>
    </row>
    <row r="11" spans="1:5" ht="22.5" customHeight="1">
      <c r="A11" s="37" t="s">
        <v>106</v>
      </c>
      <c r="B11" s="38">
        <f>58+9</f>
        <v>67</v>
      </c>
      <c r="C11" s="38">
        <v>26</v>
      </c>
      <c r="D11" s="37">
        <f t="shared" si="0"/>
        <v>93</v>
      </c>
      <c r="E11" s="39" t="s">
        <v>107</v>
      </c>
    </row>
    <row r="12" spans="1:5" ht="22.5" customHeight="1">
      <c r="A12" s="34" t="s">
        <v>108</v>
      </c>
      <c r="B12" s="35">
        <f>47+4</f>
        <v>51</v>
      </c>
      <c r="C12" s="35">
        <v>15</v>
      </c>
      <c r="D12" s="34">
        <f t="shared" si="0"/>
        <v>66</v>
      </c>
      <c r="E12" s="36" t="s">
        <v>109</v>
      </c>
    </row>
    <row r="13" spans="1:5" ht="22.5" customHeight="1">
      <c r="A13" s="37" t="s">
        <v>110</v>
      </c>
      <c r="B13" s="38">
        <f>55+6</f>
        <v>61</v>
      </c>
      <c r="C13" s="38">
        <v>31</v>
      </c>
      <c r="D13" s="37">
        <f t="shared" si="0"/>
        <v>92</v>
      </c>
      <c r="E13" s="39" t="s">
        <v>111</v>
      </c>
    </row>
    <row r="14" spans="1:5" ht="22.5" customHeight="1">
      <c r="A14" s="34" t="s">
        <v>112</v>
      </c>
      <c r="B14" s="35">
        <f>46+2</f>
        <v>48</v>
      </c>
      <c r="C14" s="35">
        <v>30</v>
      </c>
      <c r="D14" s="34">
        <f t="shared" si="0"/>
        <v>78</v>
      </c>
      <c r="E14" s="36" t="s">
        <v>113</v>
      </c>
    </row>
    <row r="15" spans="1:5" ht="22.5" customHeight="1">
      <c r="A15" s="37" t="s">
        <v>114</v>
      </c>
      <c r="B15" s="38">
        <f>71+5</f>
        <v>76</v>
      </c>
      <c r="C15" s="38">
        <v>36</v>
      </c>
      <c r="D15" s="37">
        <f t="shared" si="0"/>
        <v>112</v>
      </c>
      <c r="E15" s="39" t="s">
        <v>115</v>
      </c>
    </row>
    <row r="16" spans="1:5" ht="22.5" customHeight="1">
      <c r="A16" s="34" t="s">
        <v>116</v>
      </c>
      <c r="B16" s="35">
        <f>62+5</f>
        <v>67</v>
      </c>
      <c r="C16" s="35">
        <v>38</v>
      </c>
      <c r="D16" s="34">
        <f t="shared" si="0"/>
        <v>105</v>
      </c>
      <c r="E16" s="36" t="s">
        <v>117</v>
      </c>
    </row>
    <row r="17" spans="1:5" ht="22.5" customHeight="1">
      <c r="A17" s="37" t="s">
        <v>118</v>
      </c>
      <c r="B17" s="38">
        <f>49+1</f>
        <v>50</v>
      </c>
      <c r="C17" s="38">
        <v>40</v>
      </c>
      <c r="D17" s="37">
        <f t="shared" si="0"/>
        <v>90</v>
      </c>
      <c r="E17" s="39" t="s">
        <v>119</v>
      </c>
    </row>
    <row r="18" spans="1:5" ht="22.5" customHeight="1">
      <c r="A18" s="34" t="s">
        <v>120</v>
      </c>
      <c r="B18" s="35">
        <f>46+6</f>
        <v>52</v>
      </c>
      <c r="C18" s="35">
        <v>31</v>
      </c>
      <c r="D18" s="34">
        <f t="shared" si="0"/>
        <v>83</v>
      </c>
      <c r="E18" s="36" t="s">
        <v>121</v>
      </c>
    </row>
    <row r="19" spans="1:5" ht="22.5" customHeight="1">
      <c r="A19" s="37" t="s">
        <v>122</v>
      </c>
      <c r="B19" s="38">
        <f>33+4</f>
        <v>37</v>
      </c>
      <c r="C19" s="38">
        <v>31</v>
      </c>
      <c r="D19" s="37">
        <f t="shared" si="0"/>
        <v>68</v>
      </c>
      <c r="E19" s="39" t="s">
        <v>123</v>
      </c>
    </row>
    <row r="20" spans="1:5" ht="36" customHeight="1">
      <c r="A20" s="40" t="s">
        <v>124</v>
      </c>
      <c r="B20" s="41">
        <f>SUM(B8:B19)</f>
        <v>703</v>
      </c>
      <c r="C20" s="41">
        <f>SUM(C8:C19)</f>
        <v>386</v>
      </c>
      <c r="D20" s="41">
        <f>SUM(D8:D19)</f>
        <v>1089</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199</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216</v>
      </c>
      <c r="B5" s="163" t="s">
        <v>136</v>
      </c>
      <c r="C5" s="163"/>
      <c r="D5" s="163"/>
      <c r="E5" s="33" t="s">
        <v>217</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56+15</f>
        <v>71</v>
      </c>
      <c r="C8" s="35">
        <v>14</v>
      </c>
      <c r="D8" s="34">
        <f t="shared" ref="D8:D19" si="0">SUM(B8:C8)</f>
        <v>85</v>
      </c>
      <c r="E8" s="36" t="s">
        <v>101</v>
      </c>
    </row>
    <row r="9" spans="1:5" ht="22.5" customHeight="1">
      <c r="A9" s="37" t="s">
        <v>102</v>
      </c>
      <c r="B9" s="38">
        <f>46+16</f>
        <v>62</v>
      </c>
      <c r="C9" s="38">
        <v>16</v>
      </c>
      <c r="D9" s="37">
        <f t="shared" si="0"/>
        <v>78</v>
      </c>
      <c r="E9" s="39" t="s">
        <v>103</v>
      </c>
    </row>
    <row r="10" spans="1:5" ht="22.5" customHeight="1">
      <c r="A10" s="34" t="s">
        <v>104</v>
      </c>
      <c r="B10" s="35">
        <f>61+25</f>
        <v>86</v>
      </c>
      <c r="C10" s="35">
        <v>14</v>
      </c>
      <c r="D10" s="34">
        <f t="shared" si="0"/>
        <v>100</v>
      </c>
      <c r="E10" s="36" t="s">
        <v>105</v>
      </c>
    </row>
    <row r="11" spans="1:5" ht="22.5" customHeight="1">
      <c r="A11" s="37" t="s">
        <v>106</v>
      </c>
      <c r="B11" s="38">
        <f>41+19</f>
        <v>60</v>
      </c>
      <c r="C11" s="38">
        <v>12</v>
      </c>
      <c r="D11" s="37">
        <f t="shared" si="0"/>
        <v>72</v>
      </c>
      <c r="E11" s="39" t="s">
        <v>107</v>
      </c>
    </row>
    <row r="12" spans="1:5" ht="22.5" customHeight="1">
      <c r="A12" s="34" t="s">
        <v>108</v>
      </c>
      <c r="B12" s="35">
        <f>32+13</f>
        <v>45</v>
      </c>
      <c r="C12" s="35">
        <v>9</v>
      </c>
      <c r="D12" s="34">
        <f t="shared" si="0"/>
        <v>54</v>
      </c>
      <c r="E12" s="36" t="s">
        <v>109</v>
      </c>
    </row>
    <row r="13" spans="1:5" ht="22.5" customHeight="1">
      <c r="A13" s="37" t="s">
        <v>110</v>
      </c>
      <c r="B13" s="38">
        <f>40+18</f>
        <v>58</v>
      </c>
      <c r="C13" s="38">
        <v>17</v>
      </c>
      <c r="D13" s="37">
        <f t="shared" si="0"/>
        <v>75</v>
      </c>
      <c r="E13" s="39" t="s">
        <v>111</v>
      </c>
    </row>
    <row r="14" spans="1:5" ht="22.5" customHeight="1">
      <c r="A14" s="34" t="s">
        <v>112</v>
      </c>
      <c r="B14" s="35">
        <f>41+22</f>
        <v>63</v>
      </c>
      <c r="C14" s="35">
        <v>15</v>
      </c>
      <c r="D14" s="34">
        <f t="shared" si="0"/>
        <v>78</v>
      </c>
      <c r="E14" s="36" t="s">
        <v>113</v>
      </c>
    </row>
    <row r="15" spans="1:5" ht="22.5" customHeight="1">
      <c r="A15" s="37" t="s">
        <v>114</v>
      </c>
      <c r="B15" s="38">
        <f>39+18</f>
        <v>57</v>
      </c>
      <c r="C15" s="38">
        <v>21</v>
      </c>
      <c r="D15" s="37">
        <f t="shared" si="0"/>
        <v>78</v>
      </c>
      <c r="E15" s="39" t="s">
        <v>115</v>
      </c>
    </row>
    <row r="16" spans="1:5" ht="22.5" customHeight="1">
      <c r="A16" s="34" t="s">
        <v>116</v>
      </c>
      <c r="B16" s="35">
        <f>37+20</f>
        <v>57</v>
      </c>
      <c r="C16" s="35">
        <v>21</v>
      </c>
      <c r="D16" s="34">
        <f t="shared" si="0"/>
        <v>78</v>
      </c>
      <c r="E16" s="36" t="s">
        <v>117</v>
      </c>
    </row>
    <row r="17" spans="1:5" ht="22.5" customHeight="1">
      <c r="A17" s="37" t="s">
        <v>118</v>
      </c>
      <c r="B17" s="38">
        <f>29+19</f>
        <v>48</v>
      </c>
      <c r="C17" s="38">
        <v>23</v>
      </c>
      <c r="D17" s="37">
        <f t="shared" si="0"/>
        <v>71</v>
      </c>
      <c r="E17" s="39" t="s">
        <v>119</v>
      </c>
    </row>
    <row r="18" spans="1:5" ht="22.5" customHeight="1">
      <c r="A18" s="34" t="s">
        <v>120</v>
      </c>
      <c r="B18" s="35">
        <f>36+14</f>
        <v>50</v>
      </c>
      <c r="C18" s="35">
        <v>20</v>
      </c>
      <c r="D18" s="34">
        <f t="shared" si="0"/>
        <v>70</v>
      </c>
      <c r="E18" s="36" t="s">
        <v>121</v>
      </c>
    </row>
    <row r="19" spans="1:5" ht="22.5" customHeight="1">
      <c r="A19" s="37" t="s">
        <v>122</v>
      </c>
      <c r="B19" s="38">
        <f>30+17</f>
        <v>47</v>
      </c>
      <c r="C19" s="38">
        <v>13</v>
      </c>
      <c r="D19" s="37">
        <f t="shared" si="0"/>
        <v>60</v>
      </c>
      <c r="E19" s="39" t="s">
        <v>123</v>
      </c>
    </row>
    <row r="20" spans="1:5" ht="36" customHeight="1">
      <c r="A20" s="40" t="s">
        <v>124</v>
      </c>
      <c r="B20" s="41">
        <f>SUM(B8:B19)</f>
        <v>704</v>
      </c>
      <c r="C20" s="41">
        <f>SUM(C8:C19)</f>
        <v>195</v>
      </c>
      <c r="D20" s="41">
        <f>SUM(D8:D19)</f>
        <v>899</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199</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218</v>
      </c>
      <c r="B5" s="163" t="s">
        <v>139</v>
      </c>
      <c r="C5" s="163"/>
      <c r="D5" s="163"/>
      <c r="E5" s="33" t="s">
        <v>219</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28+1</f>
        <v>29</v>
      </c>
      <c r="C8" s="35">
        <v>5</v>
      </c>
      <c r="D8" s="34">
        <f t="shared" ref="D8:D19" si="0">SUM(B8:C8)</f>
        <v>34</v>
      </c>
      <c r="E8" s="36" t="s">
        <v>101</v>
      </c>
    </row>
    <row r="9" spans="1:5" ht="22.5" customHeight="1">
      <c r="A9" s="37" t="s">
        <v>102</v>
      </c>
      <c r="B9" s="38">
        <f>16+0</f>
        <v>16</v>
      </c>
      <c r="C9" s="38">
        <v>7</v>
      </c>
      <c r="D9" s="37">
        <f t="shared" si="0"/>
        <v>23</v>
      </c>
      <c r="E9" s="39" t="s">
        <v>103</v>
      </c>
    </row>
    <row r="10" spans="1:5" ht="22.5" customHeight="1">
      <c r="A10" s="34" t="s">
        <v>104</v>
      </c>
      <c r="B10" s="35">
        <f>24+3</f>
        <v>27</v>
      </c>
      <c r="C10" s="35">
        <v>9</v>
      </c>
      <c r="D10" s="34">
        <f t="shared" si="0"/>
        <v>36</v>
      </c>
      <c r="E10" s="36" t="s">
        <v>105</v>
      </c>
    </row>
    <row r="11" spans="1:5" ht="22.5" customHeight="1">
      <c r="A11" s="37" t="s">
        <v>106</v>
      </c>
      <c r="B11" s="38">
        <f>16+0</f>
        <v>16</v>
      </c>
      <c r="C11" s="38">
        <v>7</v>
      </c>
      <c r="D11" s="37">
        <f t="shared" si="0"/>
        <v>23</v>
      </c>
      <c r="E11" s="39" t="s">
        <v>107</v>
      </c>
    </row>
    <row r="12" spans="1:5" ht="22.5" customHeight="1">
      <c r="A12" s="34" t="s">
        <v>108</v>
      </c>
      <c r="B12" s="35">
        <f>14+0</f>
        <v>14</v>
      </c>
      <c r="C12" s="35">
        <v>5</v>
      </c>
      <c r="D12" s="34">
        <f t="shared" si="0"/>
        <v>19</v>
      </c>
      <c r="E12" s="36" t="s">
        <v>109</v>
      </c>
    </row>
    <row r="13" spans="1:5" ht="22.5" customHeight="1">
      <c r="A13" s="37" t="s">
        <v>110</v>
      </c>
      <c r="B13" s="38">
        <f>14+0</f>
        <v>14</v>
      </c>
      <c r="C13" s="38">
        <v>12</v>
      </c>
      <c r="D13" s="37">
        <f t="shared" si="0"/>
        <v>26</v>
      </c>
      <c r="E13" s="39" t="s">
        <v>111</v>
      </c>
    </row>
    <row r="14" spans="1:5" ht="22.5" customHeight="1">
      <c r="A14" s="34" t="s">
        <v>112</v>
      </c>
      <c r="B14" s="35">
        <f>7+0</f>
        <v>7</v>
      </c>
      <c r="C14" s="35">
        <v>6</v>
      </c>
      <c r="D14" s="34">
        <f t="shared" si="0"/>
        <v>13</v>
      </c>
      <c r="E14" s="36" t="s">
        <v>113</v>
      </c>
    </row>
    <row r="15" spans="1:5" ht="22.5" customHeight="1">
      <c r="A15" s="37" t="s">
        <v>114</v>
      </c>
      <c r="B15" s="38">
        <f>26+0</f>
        <v>26</v>
      </c>
      <c r="C15" s="38">
        <v>10</v>
      </c>
      <c r="D15" s="37">
        <f t="shared" si="0"/>
        <v>36</v>
      </c>
      <c r="E15" s="39" t="s">
        <v>115</v>
      </c>
    </row>
    <row r="16" spans="1:5" ht="22.5" customHeight="1">
      <c r="A16" s="34" t="s">
        <v>116</v>
      </c>
      <c r="B16" s="35">
        <f>22+3</f>
        <v>25</v>
      </c>
      <c r="C16" s="35">
        <v>8</v>
      </c>
      <c r="D16" s="34">
        <f t="shared" si="0"/>
        <v>33</v>
      </c>
      <c r="E16" s="36" t="s">
        <v>117</v>
      </c>
    </row>
    <row r="17" spans="1:5" ht="22.5" customHeight="1">
      <c r="A17" s="37" t="s">
        <v>118</v>
      </c>
      <c r="B17" s="38">
        <f>13+0</f>
        <v>13</v>
      </c>
      <c r="C17" s="38">
        <v>5</v>
      </c>
      <c r="D17" s="37">
        <f t="shared" si="0"/>
        <v>18</v>
      </c>
      <c r="E17" s="39" t="s">
        <v>119</v>
      </c>
    </row>
    <row r="18" spans="1:5" ht="22.5" customHeight="1">
      <c r="A18" s="34" t="s">
        <v>120</v>
      </c>
      <c r="B18" s="35">
        <f>16+1</f>
        <v>17</v>
      </c>
      <c r="C18" s="35">
        <v>5</v>
      </c>
      <c r="D18" s="34">
        <f t="shared" si="0"/>
        <v>22</v>
      </c>
      <c r="E18" s="36" t="s">
        <v>121</v>
      </c>
    </row>
    <row r="19" spans="1:5" ht="22.5" customHeight="1">
      <c r="A19" s="37" t="s">
        <v>122</v>
      </c>
      <c r="B19" s="38">
        <f>23+0</f>
        <v>23</v>
      </c>
      <c r="C19" s="38">
        <v>7</v>
      </c>
      <c r="D19" s="37">
        <f t="shared" si="0"/>
        <v>30</v>
      </c>
      <c r="E19" s="39" t="s">
        <v>123</v>
      </c>
    </row>
    <row r="20" spans="1:5" ht="36" customHeight="1">
      <c r="A20" s="40" t="s">
        <v>124</v>
      </c>
      <c r="B20" s="41">
        <f>SUM(B8:B19)</f>
        <v>227</v>
      </c>
      <c r="C20" s="41">
        <f>SUM(C8:C19)</f>
        <v>86</v>
      </c>
      <c r="D20" s="41">
        <f>SUM(D8:D19)</f>
        <v>313</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ignoredErrors>
    <ignoredError sqref="B10" 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200</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220</v>
      </c>
      <c r="B5" s="163" t="s">
        <v>142</v>
      </c>
      <c r="C5" s="163"/>
      <c r="D5" s="163"/>
      <c r="E5" s="33" t="s">
        <v>221</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9+2</f>
        <v>11</v>
      </c>
      <c r="C8" s="35">
        <v>3</v>
      </c>
      <c r="D8" s="34">
        <f t="shared" ref="D8:D19" si="0">SUM(B8:C8)</f>
        <v>14</v>
      </c>
      <c r="E8" s="36" t="s">
        <v>101</v>
      </c>
    </row>
    <row r="9" spans="1:5" ht="22.5" customHeight="1">
      <c r="A9" s="37" t="s">
        <v>102</v>
      </c>
      <c r="B9" s="38">
        <f>3+1</f>
        <v>4</v>
      </c>
      <c r="C9" s="38">
        <v>8</v>
      </c>
      <c r="D9" s="37">
        <f t="shared" si="0"/>
        <v>12</v>
      </c>
      <c r="E9" s="39" t="s">
        <v>103</v>
      </c>
    </row>
    <row r="10" spans="1:5" ht="22.5" customHeight="1">
      <c r="A10" s="34" t="s">
        <v>104</v>
      </c>
      <c r="B10" s="35">
        <f>7+4</f>
        <v>11</v>
      </c>
      <c r="C10" s="35">
        <v>3</v>
      </c>
      <c r="D10" s="34">
        <f t="shared" si="0"/>
        <v>14</v>
      </c>
      <c r="E10" s="36" t="s">
        <v>105</v>
      </c>
    </row>
    <row r="11" spans="1:5" ht="22.5" customHeight="1">
      <c r="A11" s="37" t="s">
        <v>106</v>
      </c>
      <c r="B11" s="38">
        <f>6+3</f>
        <v>9</v>
      </c>
      <c r="C11" s="38">
        <v>7</v>
      </c>
      <c r="D11" s="37">
        <f t="shared" si="0"/>
        <v>16</v>
      </c>
      <c r="E11" s="39" t="s">
        <v>107</v>
      </c>
    </row>
    <row r="12" spans="1:5" ht="22.5" customHeight="1">
      <c r="A12" s="34" t="s">
        <v>108</v>
      </c>
      <c r="B12" s="35">
        <f>1+2</f>
        <v>3</v>
      </c>
      <c r="C12" s="35">
        <v>2</v>
      </c>
      <c r="D12" s="34">
        <f t="shared" si="0"/>
        <v>5</v>
      </c>
      <c r="E12" s="36" t="s">
        <v>109</v>
      </c>
    </row>
    <row r="13" spans="1:5" ht="22.5" customHeight="1">
      <c r="A13" s="37" t="s">
        <v>110</v>
      </c>
      <c r="B13" s="38">
        <f>7+0</f>
        <v>7</v>
      </c>
      <c r="C13" s="38">
        <v>2</v>
      </c>
      <c r="D13" s="37">
        <f t="shared" si="0"/>
        <v>9</v>
      </c>
      <c r="E13" s="39" t="s">
        <v>111</v>
      </c>
    </row>
    <row r="14" spans="1:5" ht="22.5" customHeight="1">
      <c r="A14" s="34" t="s">
        <v>112</v>
      </c>
      <c r="B14" s="35">
        <f>12+0</f>
        <v>12</v>
      </c>
      <c r="C14" s="35">
        <v>7</v>
      </c>
      <c r="D14" s="34">
        <f t="shared" si="0"/>
        <v>19</v>
      </c>
      <c r="E14" s="36" t="s">
        <v>113</v>
      </c>
    </row>
    <row r="15" spans="1:5" ht="22.5" customHeight="1">
      <c r="A15" s="37" t="s">
        <v>114</v>
      </c>
      <c r="B15" s="38">
        <f>7+2</f>
        <v>9</v>
      </c>
      <c r="C15" s="38">
        <v>0</v>
      </c>
      <c r="D15" s="37">
        <f t="shared" si="0"/>
        <v>9</v>
      </c>
      <c r="E15" s="39" t="s">
        <v>115</v>
      </c>
    </row>
    <row r="16" spans="1:5" ht="22.5" customHeight="1">
      <c r="A16" s="34" t="s">
        <v>116</v>
      </c>
      <c r="B16" s="35">
        <f>5+1</f>
        <v>6</v>
      </c>
      <c r="C16" s="35">
        <v>2</v>
      </c>
      <c r="D16" s="34">
        <f t="shared" si="0"/>
        <v>8</v>
      </c>
      <c r="E16" s="36" t="s">
        <v>117</v>
      </c>
    </row>
    <row r="17" spans="1:5" ht="22.5" customHeight="1">
      <c r="A17" s="37" t="s">
        <v>118</v>
      </c>
      <c r="B17" s="38">
        <f>6+1</f>
        <v>7</v>
      </c>
      <c r="C17" s="38">
        <v>2</v>
      </c>
      <c r="D17" s="37">
        <f t="shared" si="0"/>
        <v>9</v>
      </c>
      <c r="E17" s="39" t="s">
        <v>119</v>
      </c>
    </row>
    <row r="18" spans="1:5" ht="22.5" customHeight="1">
      <c r="A18" s="34" t="s">
        <v>120</v>
      </c>
      <c r="B18" s="35">
        <f>2+2</f>
        <v>4</v>
      </c>
      <c r="C18" s="35">
        <v>10</v>
      </c>
      <c r="D18" s="34">
        <f t="shared" si="0"/>
        <v>14</v>
      </c>
      <c r="E18" s="36" t="s">
        <v>121</v>
      </c>
    </row>
    <row r="19" spans="1:5" ht="22.5" customHeight="1">
      <c r="A19" s="37" t="s">
        <v>122</v>
      </c>
      <c r="B19" s="38">
        <f>4+0</f>
        <v>4</v>
      </c>
      <c r="C19" s="38">
        <v>4</v>
      </c>
      <c r="D19" s="37">
        <f t="shared" si="0"/>
        <v>8</v>
      </c>
      <c r="E19" s="39" t="s">
        <v>123</v>
      </c>
    </row>
    <row r="20" spans="1:5" ht="36" customHeight="1">
      <c r="A20" s="40" t="s">
        <v>124</v>
      </c>
      <c r="B20" s="41">
        <f>SUM(B8:B19)</f>
        <v>87</v>
      </c>
      <c r="C20" s="41">
        <f>SUM(C8:C19)</f>
        <v>50</v>
      </c>
      <c r="D20" s="41">
        <f>SUM(D8:D19)</f>
        <v>137</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200</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222</v>
      </c>
      <c r="B5" s="163" t="s">
        <v>145</v>
      </c>
      <c r="C5" s="163"/>
      <c r="D5" s="163"/>
      <c r="E5" s="33" t="s">
        <v>223</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2+1</f>
        <v>3</v>
      </c>
      <c r="C8" s="35">
        <v>1</v>
      </c>
      <c r="D8" s="34">
        <f t="shared" ref="D8:D19" si="0">SUM(B8:C8)</f>
        <v>4</v>
      </c>
      <c r="E8" s="36" t="s">
        <v>101</v>
      </c>
    </row>
    <row r="9" spans="1:5" ht="22.5" customHeight="1">
      <c r="A9" s="37" t="s">
        <v>102</v>
      </c>
      <c r="B9" s="38">
        <f>5+1</f>
        <v>6</v>
      </c>
      <c r="C9" s="38">
        <v>0</v>
      </c>
      <c r="D9" s="37">
        <f t="shared" si="0"/>
        <v>6</v>
      </c>
      <c r="E9" s="39" t="s">
        <v>103</v>
      </c>
    </row>
    <row r="10" spans="1:5" ht="22.5" customHeight="1">
      <c r="A10" s="34" t="s">
        <v>104</v>
      </c>
      <c r="B10" s="35">
        <f>10+2</f>
        <v>12</v>
      </c>
      <c r="C10" s="35">
        <v>1</v>
      </c>
      <c r="D10" s="34">
        <f t="shared" si="0"/>
        <v>13</v>
      </c>
      <c r="E10" s="36" t="s">
        <v>105</v>
      </c>
    </row>
    <row r="11" spans="1:5" ht="22.5" customHeight="1">
      <c r="A11" s="37" t="s">
        <v>106</v>
      </c>
      <c r="B11" s="38">
        <f>6+1</f>
        <v>7</v>
      </c>
      <c r="C11" s="38">
        <v>0</v>
      </c>
      <c r="D11" s="37">
        <f t="shared" si="0"/>
        <v>7</v>
      </c>
      <c r="E11" s="39" t="s">
        <v>107</v>
      </c>
    </row>
    <row r="12" spans="1:5" ht="22.5" customHeight="1">
      <c r="A12" s="34" t="s">
        <v>108</v>
      </c>
      <c r="B12" s="35">
        <f>2+1</f>
        <v>3</v>
      </c>
      <c r="C12" s="35">
        <v>1</v>
      </c>
      <c r="D12" s="34">
        <f t="shared" si="0"/>
        <v>4</v>
      </c>
      <c r="E12" s="36" t="s">
        <v>109</v>
      </c>
    </row>
    <row r="13" spans="1:5" ht="22.5" customHeight="1">
      <c r="A13" s="37" t="s">
        <v>110</v>
      </c>
      <c r="B13" s="38">
        <f>9+1</f>
        <v>10</v>
      </c>
      <c r="C13" s="38">
        <v>2</v>
      </c>
      <c r="D13" s="37">
        <f t="shared" si="0"/>
        <v>12</v>
      </c>
      <c r="E13" s="39" t="s">
        <v>111</v>
      </c>
    </row>
    <row r="14" spans="1:5" ht="22.5" customHeight="1">
      <c r="A14" s="34" t="s">
        <v>112</v>
      </c>
      <c r="B14" s="35">
        <f>0+0</f>
        <v>0</v>
      </c>
      <c r="C14" s="35">
        <v>2</v>
      </c>
      <c r="D14" s="34">
        <f t="shared" si="0"/>
        <v>2</v>
      </c>
      <c r="E14" s="36" t="s">
        <v>113</v>
      </c>
    </row>
    <row r="15" spans="1:5" ht="22.5" customHeight="1">
      <c r="A15" s="37" t="s">
        <v>114</v>
      </c>
      <c r="B15" s="38">
        <f>2+1</f>
        <v>3</v>
      </c>
      <c r="C15" s="38">
        <v>1</v>
      </c>
      <c r="D15" s="37">
        <f t="shared" si="0"/>
        <v>4</v>
      </c>
      <c r="E15" s="39" t="s">
        <v>115</v>
      </c>
    </row>
    <row r="16" spans="1:5" ht="22.5" customHeight="1">
      <c r="A16" s="34" t="s">
        <v>116</v>
      </c>
      <c r="B16" s="35">
        <f>3+0</f>
        <v>3</v>
      </c>
      <c r="C16" s="35">
        <v>0</v>
      </c>
      <c r="D16" s="34">
        <f t="shared" si="0"/>
        <v>3</v>
      </c>
      <c r="E16" s="36" t="s">
        <v>117</v>
      </c>
    </row>
    <row r="17" spans="1:5" ht="22.5" customHeight="1">
      <c r="A17" s="37" t="s">
        <v>118</v>
      </c>
      <c r="B17" s="38">
        <f>3+0</f>
        <v>3</v>
      </c>
      <c r="C17" s="38">
        <v>1</v>
      </c>
      <c r="D17" s="37">
        <f t="shared" si="0"/>
        <v>4</v>
      </c>
      <c r="E17" s="39" t="s">
        <v>119</v>
      </c>
    </row>
    <row r="18" spans="1:5" ht="22.5" customHeight="1">
      <c r="A18" s="34" t="s">
        <v>120</v>
      </c>
      <c r="B18" s="35">
        <f>8+0</f>
        <v>8</v>
      </c>
      <c r="C18" s="35">
        <v>1</v>
      </c>
      <c r="D18" s="34">
        <f t="shared" si="0"/>
        <v>9</v>
      </c>
      <c r="E18" s="36" t="s">
        <v>121</v>
      </c>
    </row>
    <row r="19" spans="1:5" ht="22.5" customHeight="1">
      <c r="A19" s="37" t="s">
        <v>122</v>
      </c>
      <c r="B19" s="38">
        <f>3+0</f>
        <v>3</v>
      </c>
      <c r="C19" s="38">
        <v>4</v>
      </c>
      <c r="D19" s="37">
        <f t="shared" si="0"/>
        <v>7</v>
      </c>
      <c r="E19" s="39" t="s">
        <v>123</v>
      </c>
    </row>
    <row r="20" spans="1:5" ht="36" customHeight="1">
      <c r="A20" s="40" t="s">
        <v>124</v>
      </c>
      <c r="B20" s="41">
        <f>SUM(B8:B19)</f>
        <v>61</v>
      </c>
      <c r="C20" s="41">
        <f>SUM(C8:C19)</f>
        <v>14</v>
      </c>
      <c r="D20" s="41">
        <f>SUM(D8:D19)</f>
        <v>75</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H21"/>
  <sheetViews>
    <sheetView rightToLeft="1" view="pageBreakPreview" zoomScale="80" zoomScaleNormal="100" zoomScaleSheetLayoutView="80" workbookViewId="0">
      <selection activeCell="Q21" sqref="Q21"/>
    </sheetView>
  </sheetViews>
  <sheetFormatPr defaultColWidth="9.125" defaultRowHeight="23.25"/>
  <cols>
    <col min="1" max="1" width="13.75" style="7" customWidth="1"/>
    <col min="2" max="2" width="50.75" style="7" customWidth="1"/>
    <col min="3" max="3" width="9.125" style="3" customWidth="1"/>
    <col min="4" max="4" width="50.75" style="3" customWidth="1"/>
    <col min="5" max="5" width="15" style="3" customWidth="1"/>
    <col min="6" max="16384" width="9.125" style="3"/>
  </cols>
  <sheetData>
    <row r="1" spans="1:8" s="1" customFormat="1" ht="57.75" customHeight="1">
      <c r="A1" s="110"/>
      <c r="B1" s="111"/>
      <c r="C1" s="111"/>
      <c r="D1" s="111"/>
      <c r="E1" s="111"/>
      <c r="F1" s="2"/>
      <c r="G1" s="10"/>
      <c r="H1" s="10"/>
    </row>
    <row r="2" spans="1:8" ht="61.5" customHeight="1">
      <c r="A2" s="112" t="s">
        <v>78</v>
      </c>
      <c r="B2" s="112"/>
      <c r="D2" s="112" t="s">
        <v>4</v>
      </c>
      <c r="E2" s="112"/>
      <c r="F2" s="9"/>
      <c r="G2" s="9"/>
      <c r="H2" s="9"/>
    </row>
    <row r="3" spans="1:8" ht="135.6" customHeight="1">
      <c r="A3" s="114" t="s">
        <v>341</v>
      </c>
      <c r="B3" s="114"/>
      <c r="D3" s="113" t="s">
        <v>342</v>
      </c>
      <c r="E3" s="113"/>
    </row>
    <row r="4" spans="1:8" ht="113.45" customHeight="1">
      <c r="A4" s="114" t="s">
        <v>343</v>
      </c>
      <c r="B4" s="114"/>
      <c r="D4" s="120" t="s">
        <v>344</v>
      </c>
      <c r="E4" s="120"/>
    </row>
    <row r="5" spans="1:8" ht="78.599999999999994" customHeight="1">
      <c r="A5" s="114" t="s">
        <v>3</v>
      </c>
      <c r="B5" s="114"/>
      <c r="D5" s="120" t="s">
        <v>2</v>
      </c>
      <c r="E5" s="120"/>
    </row>
    <row r="6" spans="1:8" ht="42.75" customHeight="1">
      <c r="A6" s="116" t="s">
        <v>1</v>
      </c>
      <c r="B6" s="116"/>
      <c r="D6" s="115" t="s">
        <v>0</v>
      </c>
      <c r="E6" s="115"/>
    </row>
    <row r="7" spans="1:8" ht="52.5" customHeight="1">
      <c r="A7" s="119" t="s">
        <v>85</v>
      </c>
      <c r="B7" s="119"/>
      <c r="D7" s="117" t="s">
        <v>86</v>
      </c>
      <c r="E7" s="118"/>
    </row>
    <row r="8" spans="1:8" ht="67.5" customHeight="1">
      <c r="A8" s="3"/>
      <c r="B8" s="3"/>
    </row>
    <row r="9" spans="1:8" ht="67.5" customHeight="1">
      <c r="A9" s="3"/>
      <c r="B9" s="8"/>
    </row>
    <row r="10" spans="1:8" ht="43.5" customHeight="1">
      <c r="A10" s="8"/>
      <c r="B10" s="3"/>
    </row>
    <row r="11" spans="1:8" ht="14.25">
      <c r="A11" s="3"/>
      <c r="B11" s="3"/>
    </row>
    <row r="12" spans="1:8" ht="14.25">
      <c r="A12" s="3"/>
      <c r="B12" s="3"/>
    </row>
    <row r="13" spans="1:8" ht="14.25">
      <c r="A13" s="3"/>
      <c r="B13" s="3"/>
    </row>
    <row r="14" spans="1:8" ht="14.25">
      <c r="A14" s="3"/>
      <c r="B14" s="3"/>
    </row>
    <row r="15" spans="1:8" ht="14.25">
      <c r="A15" s="3"/>
      <c r="B15" s="3"/>
    </row>
    <row r="16" spans="1:8" ht="14.25">
      <c r="A16" s="3"/>
      <c r="B16" s="3"/>
    </row>
    <row r="17" spans="1:2" ht="14.25">
      <c r="A17" s="3"/>
      <c r="B17" s="3"/>
    </row>
    <row r="18" spans="1:2" ht="14.25">
      <c r="A18" s="3"/>
      <c r="B18" s="3"/>
    </row>
    <row r="19" spans="1:2" ht="14.25">
      <c r="A19" s="3"/>
      <c r="B19" s="3"/>
    </row>
    <row r="20" spans="1:2" ht="14.25">
      <c r="A20" s="3"/>
      <c r="B20" s="3"/>
    </row>
    <row r="21" spans="1:2" ht="14.25">
      <c r="A21" s="3"/>
      <c r="B21" s="3"/>
    </row>
  </sheetData>
  <mergeCells count="13">
    <mergeCell ref="D6:E6"/>
    <mergeCell ref="A6:B6"/>
    <mergeCell ref="D7:E7"/>
    <mergeCell ref="A7:B7"/>
    <mergeCell ref="D4:E4"/>
    <mergeCell ref="A4:B4"/>
    <mergeCell ref="D5:E5"/>
    <mergeCell ref="A5:B5"/>
    <mergeCell ref="A1:E1"/>
    <mergeCell ref="D2:E2"/>
    <mergeCell ref="A2:B2"/>
    <mergeCell ref="D3:E3"/>
    <mergeCell ref="A3:B3"/>
  </mergeCells>
  <printOptions horizontalCentered="1" verticalCentered="1"/>
  <pageMargins left="0" right="0" top="0" bottom="0" header="0.31496062992125984" footer="0.31496062992125984"/>
  <pageSetup paperSize="9" scale="90" orientation="landscape" r:id="rId1"/>
  <rowBreaks count="1" manualBreakCount="1">
    <brk id="7" max="4" man="1"/>
  </rowBreaks>
  <drawing r:id="rId2"/>
  <legacyDrawing r:id="rId3"/>
  <oleObjects>
    <mc:AlternateContent xmlns:mc="http://schemas.openxmlformats.org/markup-compatibility/2006">
      <mc:Choice Requires="x14">
        <oleObject progId="MSWordArt.2" shapeId="13313" r:id="rId4">
          <objectPr defaultSize="0" autoPict="0" r:id="rId5">
            <anchor moveWithCells="1" sizeWithCells="1">
              <from>
                <xdr:col>8509</xdr:col>
                <xdr:colOff>95250</xdr:colOff>
                <xdr:row>0</xdr:row>
                <xdr:rowOff>361950</xdr:rowOff>
              </from>
              <to>
                <xdr:col>8509</xdr:col>
                <xdr:colOff>95250</xdr:colOff>
                <xdr:row>0</xdr:row>
                <xdr:rowOff>666750</xdr:rowOff>
              </to>
            </anchor>
          </objectPr>
        </oleObject>
      </mc:Choice>
      <mc:Fallback>
        <oleObject progId="MSWordArt.2" shapeId="13313" r:id="rId4"/>
      </mc:Fallback>
    </mc:AlternateContent>
    <mc:AlternateContent xmlns:mc="http://schemas.openxmlformats.org/markup-compatibility/2006">
      <mc:Choice Requires="x14">
        <oleObject progId="MSWordArt.2" shapeId="13314" r:id="rId6">
          <objectPr defaultSize="0" autoPict="0" r:id="rId5">
            <anchor moveWithCells="1" sizeWithCells="1">
              <from>
                <xdr:col>8509</xdr:col>
                <xdr:colOff>476250</xdr:colOff>
                <xdr:row>0</xdr:row>
                <xdr:rowOff>342900</xdr:rowOff>
              </from>
              <to>
                <xdr:col>8510</xdr:col>
                <xdr:colOff>180975</xdr:colOff>
                <xdr:row>0</xdr:row>
                <xdr:rowOff>676275</xdr:rowOff>
              </to>
            </anchor>
          </objectPr>
        </oleObject>
      </mc:Choice>
      <mc:Fallback>
        <oleObject progId="MSWordArt.2" shapeId="13314" r:id="rId6"/>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200</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224</v>
      </c>
      <c r="B5" s="163" t="s">
        <v>148</v>
      </c>
      <c r="C5" s="163"/>
      <c r="D5" s="163"/>
      <c r="E5" s="33" t="s">
        <v>225</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34+2</f>
        <v>36</v>
      </c>
      <c r="C8" s="35">
        <v>9</v>
      </c>
      <c r="D8" s="34">
        <f t="shared" ref="D8:D19" si="0">SUM(B8:C8)</f>
        <v>45</v>
      </c>
      <c r="E8" s="36" t="s">
        <v>101</v>
      </c>
    </row>
    <row r="9" spans="1:5" ht="22.5" customHeight="1">
      <c r="A9" s="37" t="s">
        <v>102</v>
      </c>
      <c r="B9" s="38">
        <f>48+4</f>
        <v>52</v>
      </c>
      <c r="C9" s="38">
        <v>16</v>
      </c>
      <c r="D9" s="37">
        <f t="shared" si="0"/>
        <v>68</v>
      </c>
      <c r="E9" s="39" t="s">
        <v>103</v>
      </c>
    </row>
    <row r="10" spans="1:5" ht="22.5" customHeight="1">
      <c r="A10" s="34" t="s">
        <v>104</v>
      </c>
      <c r="B10" s="35">
        <f>44+2</f>
        <v>46</v>
      </c>
      <c r="C10" s="35">
        <v>15</v>
      </c>
      <c r="D10" s="34">
        <f t="shared" si="0"/>
        <v>61</v>
      </c>
      <c r="E10" s="36" t="s">
        <v>105</v>
      </c>
    </row>
    <row r="11" spans="1:5" ht="22.5" customHeight="1">
      <c r="A11" s="37" t="s">
        <v>106</v>
      </c>
      <c r="B11" s="38">
        <f>37+0</f>
        <v>37</v>
      </c>
      <c r="C11" s="38">
        <v>17</v>
      </c>
      <c r="D11" s="37">
        <f t="shared" si="0"/>
        <v>54</v>
      </c>
      <c r="E11" s="39" t="s">
        <v>107</v>
      </c>
    </row>
    <row r="12" spans="1:5" ht="22.5" customHeight="1">
      <c r="A12" s="34" t="s">
        <v>108</v>
      </c>
      <c r="B12" s="35">
        <f>17+1</f>
        <v>18</v>
      </c>
      <c r="C12" s="35">
        <v>11</v>
      </c>
      <c r="D12" s="34">
        <f t="shared" si="0"/>
        <v>29</v>
      </c>
      <c r="E12" s="36" t="s">
        <v>109</v>
      </c>
    </row>
    <row r="13" spans="1:5" ht="22.5" customHeight="1">
      <c r="A13" s="37" t="s">
        <v>110</v>
      </c>
      <c r="B13" s="38">
        <f>45+1</f>
        <v>46</v>
      </c>
      <c r="C13" s="38">
        <v>23</v>
      </c>
      <c r="D13" s="37">
        <f t="shared" si="0"/>
        <v>69</v>
      </c>
      <c r="E13" s="39" t="s">
        <v>111</v>
      </c>
    </row>
    <row r="14" spans="1:5" ht="22.5" customHeight="1">
      <c r="A14" s="34" t="s">
        <v>112</v>
      </c>
      <c r="B14" s="35">
        <f>21+1</f>
        <v>22</v>
      </c>
      <c r="C14" s="35">
        <v>6</v>
      </c>
      <c r="D14" s="34">
        <f t="shared" si="0"/>
        <v>28</v>
      </c>
      <c r="E14" s="36" t="s">
        <v>113</v>
      </c>
    </row>
    <row r="15" spans="1:5" ht="22.5" customHeight="1">
      <c r="A15" s="37" t="s">
        <v>114</v>
      </c>
      <c r="B15" s="38">
        <f>39+3</f>
        <v>42</v>
      </c>
      <c r="C15" s="38">
        <v>19</v>
      </c>
      <c r="D15" s="37">
        <f t="shared" si="0"/>
        <v>61</v>
      </c>
      <c r="E15" s="39" t="s">
        <v>115</v>
      </c>
    </row>
    <row r="16" spans="1:5" ht="22.5" customHeight="1">
      <c r="A16" s="34" t="s">
        <v>116</v>
      </c>
      <c r="B16" s="35">
        <f>36+0</f>
        <v>36</v>
      </c>
      <c r="C16" s="35">
        <v>13</v>
      </c>
      <c r="D16" s="34">
        <f t="shared" si="0"/>
        <v>49</v>
      </c>
      <c r="E16" s="36" t="s">
        <v>117</v>
      </c>
    </row>
    <row r="17" spans="1:5" ht="22.5" customHeight="1">
      <c r="A17" s="37" t="s">
        <v>118</v>
      </c>
      <c r="B17" s="38">
        <f>39+0</f>
        <v>39</v>
      </c>
      <c r="C17" s="38">
        <v>24</v>
      </c>
      <c r="D17" s="37">
        <f t="shared" si="0"/>
        <v>63</v>
      </c>
      <c r="E17" s="39" t="s">
        <v>119</v>
      </c>
    </row>
    <row r="18" spans="1:5" ht="22.5" customHeight="1">
      <c r="A18" s="34" t="s">
        <v>120</v>
      </c>
      <c r="B18" s="35">
        <f>50+2</f>
        <v>52</v>
      </c>
      <c r="C18" s="35">
        <v>22</v>
      </c>
      <c r="D18" s="34">
        <f t="shared" si="0"/>
        <v>74</v>
      </c>
      <c r="E18" s="36" t="s">
        <v>121</v>
      </c>
    </row>
    <row r="19" spans="1:5" ht="22.5" customHeight="1">
      <c r="A19" s="37" t="s">
        <v>122</v>
      </c>
      <c r="B19" s="38">
        <f>38+2</f>
        <v>40</v>
      </c>
      <c r="C19" s="38">
        <v>15</v>
      </c>
      <c r="D19" s="37">
        <f t="shared" si="0"/>
        <v>55</v>
      </c>
      <c r="E19" s="39" t="s">
        <v>123</v>
      </c>
    </row>
    <row r="20" spans="1:5" ht="36" customHeight="1">
      <c r="A20" s="40" t="s">
        <v>124</v>
      </c>
      <c r="B20" s="41">
        <f>SUM(B8:B19)</f>
        <v>466</v>
      </c>
      <c r="C20" s="41">
        <f>SUM(C8:C19)</f>
        <v>190</v>
      </c>
      <c r="D20" s="41">
        <f>SUM(D8:D19)</f>
        <v>656</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A1:E20"/>
  <sheetViews>
    <sheetView rightToLeft="1" view="pageBreakPreview" zoomScaleNormal="100" zoomScaleSheetLayoutView="100" workbookViewId="0">
      <selection activeCell="Q21" sqref="Q21"/>
    </sheetView>
  </sheetViews>
  <sheetFormatPr defaultColWidth="9.125" defaultRowHeight="14.25"/>
  <cols>
    <col min="1" max="1" width="26.75" style="29" customWidth="1"/>
    <col min="2" max="4" width="14.75" style="29" customWidth="1"/>
    <col min="5" max="5" width="26.75" style="29" customWidth="1"/>
    <col min="6" max="16384" width="9.125" style="29"/>
  </cols>
  <sheetData>
    <row r="1" spans="1:5" ht="34.9" customHeight="1">
      <c r="A1" s="151"/>
      <c r="B1" s="152"/>
      <c r="C1" s="152"/>
      <c r="D1" s="152"/>
      <c r="E1" s="152"/>
    </row>
    <row r="2" spans="1:5" ht="20.25">
      <c r="A2" s="153" t="s">
        <v>200</v>
      </c>
      <c r="B2" s="153"/>
      <c r="C2" s="153"/>
      <c r="D2" s="153"/>
      <c r="E2" s="153"/>
    </row>
    <row r="3" spans="1:5" ht="18.75">
      <c r="A3" s="154" t="s">
        <v>198</v>
      </c>
      <c r="B3" s="154"/>
      <c r="C3" s="154"/>
      <c r="D3" s="154"/>
      <c r="E3" s="154"/>
    </row>
    <row r="4" spans="1:5" ht="15" customHeight="1">
      <c r="A4" s="155">
        <v>2021</v>
      </c>
      <c r="B4" s="155"/>
      <c r="C4" s="155"/>
      <c r="D4" s="155"/>
      <c r="E4" s="155"/>
    </row>
    <row r="5" spans="1:5" ht="15.75">
      <c r="A5" s="30" t="s">
        <v>227</v>
      </c>
      <c r="B5" s="163" t="s">
        <v>151</v>
      </c>
      <c r="C5" s="163"/>
      <c r="D5" s="163"/>
      <c r="E5" s="33" t="s">
        <v>226</v>
      </c>
    </row>
    <row r="6" spans="1:5" ht="30" customHeight="1" thickBot="1">
      <c r="A6" s="156" t="s">
        <v>93</v>
      </c>
      <c r="B6" s="169" t="s">
        <v>197</v>
      </c>
      <c r="C6" s="170"/>
      <c r="D6" s="171"/>
      <c r="E6" s="160" t="s">
        <v>95</v>
      </c>
    </row>
    <row r="7" spans="1:5" ht="30" customHeight="1">
      <c r="A7" s="157"/>
      <c r="B7" s="69" t="s">
        <v>96</v>
      </c>
      <c r="C7" s="69" t="s">
        <v>97</v>
      </c>
      <c r="D7" s="69" t="s">
        <v>99</v>
      </c>
      <c r="E7" s="161"/>
    </row>
    <row r="8" spans="1:5" ht="22.5" customHeight="1">
      <c r="A8" s="34" t="s">
        <v>100</v>
      </c>
      <c r="B8" s="35">
        <f>2+2</f>
        <v>4</v>
      </c>
      <c r="C8" s="35">
        <v>8</v>
      </c>
      <c r="D8" s="34">
        <f t="shared" ref="D8:D19" si="0">SUM(B8:C8)</f>
        <v>12</v>
      </c>
      <c r="E8" s="36" t="s">
        <v>101</v>
      </c>
    </row>
    <row r="9" spans="1:5" ht="22.5" customHeight="1">
      <c r="A9" s="37" t="s">
        <v>102</v>
      </c>
      <c r="B9" s="38">
        <f>2+0</f>
        <v>2</v>
      </c>
      <c r="C9" s="38">
        <v>9</v>
      </c>
      <c r="D9" s="37">
        <f t="shared" si="0"/>
        <v>11</v>
      </c>
      <c r="E9" s="39" t="s">
        <v>103</v>
      </c>
    </row>
    <row r="10" spans="1:5" ht="22.5" customHeight="1">
      <c r="A10" s="34" t="s">
        <v>104</v>
      </c>
      <c r="B10" s="35">
        <f>2+0</f>
        <v>2</v>
      </c>
      <c r="C10" s="35">
        <v>4</v>
      </c>
      <c r="D10" s="34">
        <f t="shared" si="0"/>
        <v>6</v>
      </c>
      <c r="E10" s="36" t="s">
        <v>105</v>
      </c>
    </row>
    <row r="11" spans="1:5" ht="22.5" customHeight="1">
      <c r="A11" s="37" t="s">
        <v>106</v>
      </c>
      <c r="B11" s="38">
        <f>6+0</f>
        <v>6</v>
      </c>
      <c r="C11" s="38">
        <v>2</v>
      </c>
      <c r="D11" s="37">
        <f t="shared" si="0"/>
        <v>8</v>
      </c>
      <c r="E11" s="39" t="s">
        <v>107</v>
      </c>
    </row>
    <row r="12" spans="1:5" ht="22.5" customHeight="1">
      <c r="A12" s="34" t="s">
        <v>108</v>
      </c>
      <c r="B12" s="35">
        <f>3+0</f>
        <v>3</v>
      </c>
      <c r="C12" s="35">
        <v>6</v>
      </c>
      <c r="D12" s="34">
        <f t="shared" si="0"/>
        <v>9</v>
      </c>
      <c r="E12" s="36" t="s">
        <v>109</v>
      </c>
    </row>
    <row r="13" spans="1:5" ht="22.5" customHeight="1">
      <c r="A13" s="37" t="s">
        <v>110</v>
      </c>
      <c r="B13" s="38">
        <f>8+0</f>
        <v>8</v>
      </c>
      <c r="C13" s="38">
        <v>5</v>
      </c>
      <c r="D13" s="37">
        <f t="shared" si="0"/>
        <v>13</v>
      </c>
      <c r="E13" s="39" t="s">
        <v>111</v>
      </c>
    </row>
    <row r="14" spans="1:5" ht="22.5" customHeight="1">
      <c r="A14" s="34" t="s">
        <v>112</v>
      </c>
      <c r="B14" s="35">
        <f>3+1</f>
        <v>4</v>
      </c>
      <c r="C14" s="35">
        <v>12</v>
      </c>
      <c r="D14" s="34">
        <f t="shared" si="0"/>
        <v>16</v>
      </c>
      <c r="E14" s="36" t="s">
        <v>113</v>
      </c>
    </row>
    <row r="15" spans="1:5" ht="22.5" customHeight="1">
      <c r="A15" s="37" t="s">
        <v>114</v>
      </c>
      <c r="B15" s="38">
        <f>5+0</f>
        <v>5</v>
      </c>
      <c r="C15" s="38">
        <v>6</v>
      </c>
      <c r="D15" s="37">
        <f t="shared" si="0"/>
        <v>11</v>
      </c>
      <c r="E15" s="39" t="s">
        <v>115</v>
      </c>
    </row>
    <row r="16" spans="1:5" ht="22.5" customHeight="1">
      <c r="A16" s="34" t="s">
        <v>116</v>
      </c>
      <c r="B16" s="35">
        <f>7+0</f>
        <v>7</v>
      </c>
      <c r="C16" s="35">
        <v>2</v>
      </c>
      <c r="D16" s="34">
        <f t="shared" si="0"/>
        <v>9</v>
      </c>
      <c r="E16" s="36" t="s">
        <v>117</v>
      </c>
    </row>
    <row r="17" spans="1:5" ht="22.5" customHeight="1">
      <c r="A17" s="37" t="s">
        <v>118</v>
      </c>
      <c r="B17" s="38">
        <f>5+1</f>
        <v>6</v>
      </c>
      <c r="C17" s="38">
        <v>5</v>
      </c>
      <c r="D17" s="37">
        <f t="shared" si="0"/>
        <v>11</v>
      </c>
      <c r="E17" s="39" t="s">
        <v>119</v>
      </c>
    </row>
    <row r="18" spans="1:5" ht="22.5" customHeight="1">
      <c r="A18" s="34" t="s">
        <v>120</v>
      </c>
      <c r="B18" s="35">
        <f>4+0</f>
        <v>4</v>
      </c>
      <c r="C18" s="35">
        <v>4</v>
      </c>
      <c r="D18" s="34">
        <f t="shared" si="0"/>
        <v>8</v>
      </c>
      <c r="E18" s="36" t="s">
        <v>121</v>
      </c>
    </row>
    <row r="19" spans="1:5" ht="22.5" customHeight="1">
      <c r="A19" s="37" t="s">
        <v>122</v>
      </c>
      <c r="B19" s="38">
        <f>1+0</f>
        <v>1</v>
      </c>
      <c r="C19" s="38">
        <v>0</v>
      </c>
      <c r="D19" s="37">
        <f t="shared" si="0"/>
        <v>1</v>
      </c>
      <c r="E19" s="39" t="s">
        <v>123</v>
      </c>
    </row>
    <row r="20" spans="1:5" ht="36" customHeight="1">
      <c r="A20" s="40" t="s">
        <v>124</v>
      </c>
      <c r="B20" s="41">
        <f>SUM(B8:B19)</f>
        <v>52</v>
      </c>
      <c r="C20" s="41">
        <f>SUM(C8:C19)</f>
        <v>63</v>
      </c>
      <c r="D20" s="41">
        <f>SUM(D8:D19)</f>
        <v>115</v>
      </c>
      <c r="E20" s="42" t="s">
        <v>125</v>
      </c>
    </row>
  </sheetData>
  <mergeCells count="8">
    <mergeCell ref="A6:A7"/>
    <mergeCell ref="E6:E7"/>
    <mergeCell ref="B6:D6"/>
    <mergeCell ref="A1:E1"/>
    <mergeCell ref="A2:E2"/>
    <mergeCell ref="A3:E3"/>
    <mergeCell ref="A4:E4"/>
    <mergeCell ref="B5:D5"/>
  </mergeCells>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A1:O22"/>
  <sheetViews>
    <sheetView rightToLeft="1" view="pageBreakPreview" zoomScaleNormal="100" zoomScaleSheetLayoutView="100" workbookViewId="0">
      <selection activeCell="Q21" sqref="Q21"/>
    </sheetView>
  </sheetViews>
  <sheetFormatPr defaultColWidth="9.125" defaultRowHeight="14.25"/>
  <cols>
    <col min="1" max="1" width="28.75" style="29" customWidth="1"/>
    <col min="2" max="8" width="8.75" style="29" customWidth="1"/>
    <col min="9" max="9" width="10.25" style="29" customWidth="1"/>
    <col min="10" max="10" width="8.75" style="29" customWidth="1"/>
    <col min="11" max="11" width="28.75" style="29" customWidth="1"/>
    <col min="12" max="13" width="12.875" style="29" customWidth="1"/>
    <col min="14" max="16384" width="9.125" style="29"/>
  </cols>
  <sheetData>
    <row r="1" spans="1:15" ht="37.15" customHeight="1">
      <c r="A1" s="165"/>
      <c r="B1" s="151"/>
      <c r="C1" s="151"/>
      <c r="D1" s="151"/>
      <c r="E1" s="151"/>
      <c r="F1" s="151"/>
      <c r="G1" s="151"/>
      <c r="H1" s="151"/>
      <c r="I1" s="151"/>
      <c r="J1" s="151"/>
      <c r="K1" s="151"/>
      <c r="L1" s="45"/>
      <c r="M1" s="45"/>
      <c r="N1" s="45"/>
    </row>
    <row r="2" spans="1:15" ht="23.25" customHeight="1">
      <c r="A2" s="153" t="s">
        <v>204</v>
      </c>
      <c r="B2" s="153"/>
      <c r="C2" s="153"/>
      <c r="D2" s="153"/>
      <c r="E2" s="153"/>
      <c r="F2" s="153"/>
      <c r="G2" s="153"/>
      <c r="H2" s="153"/>
      <c r="I2" s="153"/>
      <c r="J2" s="153"/>
      <c r="K2" s="153"/>
      <c r="L2" s="46"/>
      <c r="M2" s="46"/>
      <c r="N2" s="46"/>
    </row>
    <row r="3" spans="1:15" ht="20.25" customHeight="1">
      <c r="A3" s="166" t="s">
        <v>203</v>
      </c>
      <c r="B3" s="166"/>
      <c r="C3" s="166"/>
      <c r="D3" s="166"/>
      <c r="E3" s="166"/>
      <c r="F3" s="166"/>
      <c r="G3" s="166"/>
      <c r="H3" s="166"/>
      <c r="I3" s="166"/>
      <c r="J3" s="166"/>
      <c r="K3" s="166"/>
      <c r="L3" s="47"/>
      <c r="M3" s="47"/>
      <c r="N3" s="47"/>
    </row>
    <row r="4" spans="1:15" ht="15" customHeight="1">
      <c r="A4" s="155">
        <v>2021</v>
      </c>
      <c r="B4" s="155"/>
      <c r="C4" s="155"/>
      <c r="D4" s="155"/>
      <c r="E4" s="155"/>
      <c r="F4" s="155"/>
      <c r="G4" s="155"/>
      <c r="H4" s="155"/>
      <c r="I4" s="155"/>
      <c r="J4" s="155"/>
      <c r="K4" s="155"/>
      <c r="L4" s="47"/>
      <c r="M4" s="47"/>
      <c r="N4" s="47"/>
    </row>
    <row r="5" spans="1:15" ht="15.75">
      <c r="A5" s="30" t="s">
        <v>228</v>
      </c>
      <c r="B5" s="163"/>
      <c r="C5" s="163"/>
      <c r="D5" s="163"/>
      <c r="E5" s="163"/>
      <c r="F5" s="163"/>
      <c r="G5" s="163"/>
      <c r="H5" s="163"/>
      <c r="I5" s="163"/>
      <c r="J5" s="163"/>
      <c r="K5" s="33" t="s">
        <v>229</v>
      </c>
      <c r="L5" s="32"/>
      <c r="M5" s="32"/>
      <c r="N5" s="33"/>
      <c r="O5" s="33"/>
    </row>
    <row r="6" spans="1:15" ht="96" customHeight="1">
      <c r="A6" s="70" t="s">
        <v>202</v>
      </c>
      <c r="B6" s="71" t="s">
        <v>158</v>
      </c>
      <c r="C6" s="71" t="s">
        <v>159</v>
      </c>
      <c r="D6" s="71" t="s">
        <v>160</v>
      </c>
      <c r="E6" s="71" t="s">
        <v>161</v>
      </c>
      <c r="F6" s="71" t="s">
        <v>162</v>
      </c>
      <c r="G6" s="71" t="s">
        <v>163</v>
      </c>
      <c r="H6" s="71" t="s">
        <v>164</v>
      </c>
      <c r="I6" s="71" t="s">
        <v>165</v>
      </c>
      <c r="J6" s="71" t="s">
        <v>166</v>
      </c>
      <c r="K6" s="72" t="s">
        <v>201</v>
      </c>
    </row>
    <row r="7" spans="1:15" ht="30" customHeight="1">
      <c r="A7" s="50" t="s">
        <v>168</v>
      </c>
      <c r="B7" s="51"/>
      <c r="C7" s="51"/>
      <c r="D7" s="51"/>
      <c r="E7" s="51"/>
      <c r="F7" s="51"/>
      <c r="G7" s="51"/>
      <c r="H7" s="51"/>
      <c r="I7" s="51"/>
      <c r="J7" s="51"/>
      <c r="K7" s="52" t="s">
        <v>169</v>
      </c>
    </row>
    <row r="8" spans="1:15" ht="19.899999999999999" customHeight="1">
      <c r="A8" s="53" t="s">
        <v>170</v>
      </c>
      <c r="B8" s="38">
        <v>157</v>
      </c>
      <c r="C8" s="38">
        <v>338</v>
      </c>
      <c r="D8" s="38">
        <v>334</v>
      </c>
      <c r="E8" s="38">
        <v>179</v>
      </c>
      <c r="F8" s="38">
        <v>352</v>
      </c>
      <c r="G8" s="38">
        <v>50</v>
      </c>
      <c r="H8" s="38">
        <v>48</v>
      </c>
      <c r="I8" s="38">
        <v>16</v>
      </c>
      <c r="J8" s="38">
        <f>SUM(B8:I8)</f>
        <v>1474</v>
      </c>
      <c r="K8" s="54" t="s">
        <v>171</v>
      </c>
      <c r="L8" s="55"/>
      <c r="M8" s="55"/>
    </row>
    <row r="9" spans="1:15" ht="19.899999999999999" customHeight="1">
      <c r="A9" s="56" t="s">
        <v>172</v>
      </c>
      <c r="B9" s="35">
        <v>14</v>
      </c>
      <c r="C9" s="35">
        <v>304</v>
      </c>
      <c r="D9" s="35">
        <v>125</v>
      </c>
      <c r="E9" s="35">
        <v>26</v>
      </c>
      <c r="F9" s="35">
        <v>87</v>
      </c>
      <c r="G9" s="35">
        <v>11</v>
      </c>
      <c r="H9" s="35">
        <v>3</v>
      </c>
      <c r="I9" s="35">
        <v>11</v>
      </c>
      <c r="J9" s="35">
        <f>SUM(B9:I9)</f>
        <v>581</v>
      </c>
      <c r="K9" s="57" t="s">
        <v>173</v>
      </c>
      <c r="M9" s="55"/>
    </row>
    <row r="10" spans="1:15" ht="19.899999999999999" customHeight="1">
      <c r="A10" s="58" t="s">
        <v>174</v>
      </c>
      <c r="B10" s="38">
        <v>89</v>
      </c>
      <c r="C10" s="38">
        <v>6</v>
      </c>
      <c r="D10" s="38">
        <v>18</v>
      </c>
      <c r="E10" s="38">
        <v>3</v>
      </c>
      <c r="F10" s="38">
        <v>9</v>
      </c>
      <c r="G10" s="38">
        <v>3</v>
      </c>
      <c r="H10" s="38">
        <v>2</v>
      </c>
      <c r="I10" s="38">
        <v>2</v>
      </c>
      <c r="J10" s="38">
        <f>SUM(I10+H10+G10+F10+E10+D10+C10+B10)</f>
        <v>132</v>
      </c>
      <c r="K10" s="54" t="s">
        <v>175</v>
      </c>
    </row>
    <row r="11" spans="1:15" ht="19.899999999999999" customHeight="1">
      <c r="A11" s="59" t="s">
        <v>176</v>
      </c>
      <c r="B11" s="35">
        <v>0</v>
      </c>
      <c r="C11" s="35">
        <v>0</v>
      </c>
      <c r="D11" s="35">
        <v>11</v>
      </c>
      <c r="E11" s="35">
        <v>11</v>
      </c>
      <c r="F11" s="35">
        <v>0</v>
      </c>
      <c r="G11" s="35">
        <v>5</v>
      </c>
      <c r="H11" s="35">
        <v>0</v>
      </c>
      <c r="I11" s="35">
        <v>19</v>
      </c>
      <c r="J11" s="35">
        <f>SUM(I11+H11+G11+F11+E11+D11+C11+B11)</f>
        <v>46</v>
      </c>
      <c r="K11" s="57" t="s">
        <v>177</v>
      </c>
    </row>
    <row r="12" spans="1:15" ht="22.5" customHeight="1">
      <c r="A12" s="48" t="s">
        <v>124</v>
      </c>
      <c r="B12" s="60">
        <f t="shared" ref="B12:J12" si="0">SUM(B8:B11)</f>
        <v>260</v>
      </c>
      <c r="C12" s="60">
        <f t="shared" si="0"/>
        <v>648</v>
      </c>
      <c r="D12" s="60">
        <f t="shared" si="0"/>
        <v>488</v>
      </c>
      <c r="E12" s="60">
        <f t="shared" si="0"/>
        <v>219</v>
      </c>
      <c r="F12" s="60">
        <f t="shared" si="0"/>
        <v>448</v>
      </c>
      <c r="G12" s="60">
        <f t="shared" si="0"/>
        <v>69</v>
      </c>
      <c r="H12" s="60">
        <f t="shared" si="0"/>
        <v>53</v>
      </c>
      <c r="I12" s="60">
        <f t="shared" si="0"/>
        <v>48</v>
      </c>
      <c r="J12" s="60">
        <f t="shared" si="0"/>
        <v>2233</v>
      </c>
      <c r="K12" s="49" t="s">
        <v>125</v>
      </c>
    </row>
    <row r="13" spans="1:15" ht="30" customHeight="1">
      <c r="A13" s="50" t="s">
        <v>178</v>
      </c>
      <c r="B13" s="34"/>
      <c r="C13" s="34"/>
      <c r="D13" s="34"/>
      <c r="E13" s="34"/>
      <c r="F13" s="34"/>
      <c r="G13" s="34"/>
      <c r="H13" s="34"/>
      <c r="I13" s="34"/>
      <c r="J13" s="34"/>
      <c r="K13" s="52" t="s">
        <v>179</v>
      </c>
    </row>
    <row r="14" spans="1:15" ht="19.899999999999999" customHeight="1">
      <c r="A14" s="53" t="s">
        <v>180</v>
      </c>
      <c r="B14" s="38">
        <v>16</v>
      </c>
      <c r="C14" s="38">
        <v>4</v>
      </c>
      <c r="D14" s="38">
        <v>14</v>
      </c>
      <c r="E14" s="38">
        <v>0</v>
      </c>
      <c r="F14" s="38">
        <v>4</v>
      </c>
      <c r="G14" s="38">
        <v>7</v>
      </c>
      <c r="H14" s="38">
        <v>0</v>
      </c>
      <c r="I14" s="38">
        <v>2</v>
      </c>
      <c r="J14" s="38">
        <f>SUM(B14:I14)</f>
        <v>47</v>
      </c>
      <c r="K14" s="54" t="s">
        <v>181</v>
      </c>
    </row>
    <row r="15" spans="1:15" ht="19.899999999999999" customHeight="1">
      <c r="A15" s="56" t="s">
        <v>182</v>
      </c>
      <c r="B15" s="35">
        <v>58</v>
      </c>
      <c r="C15" s="35">
        <v>24</v>
      </c>
      <c r="D15" s="35">
        <v>135</v>
      </c>
      <c r="E15" s="35">
        <v>5</v>
      </c>
      <c r="F15" s="35">
        <v>4</v>
      </c>
      <c r="G15" s="35">
        <v>4</v>
      </c>
      <c r="H15" s="35">
        <v>3</v>
      </c>
      <c r="I15" s="35">
        <v>1</v>
      </c>
      <c r="J15" s="35">
        <f>SUM(B15:I15)</f>
        <v>234</v>
      </c>
      <c r="K15" s="57" t="s">
        <v>183</v>
      </c>
    </row>
    <row r="16" spans="1:15" ht="19.899999999999999" customHeight="1">
      <c r="A16" s="53" t="s">
        <v>184</v>
      </c>
      <c r="B16" s="38">
        <v>25</v>
      </c>
      <c r="C16" s="38">
        <v>17</v>
      </c>
      <c r="D16" s="38">
        <v>62</v>
      </c>
      <c r="E16" s="38">
        <v>0</v>
      </c>
      <c r="F16" s="38">
        <v>0</v>
      </c>
      <c r="G16" s="38">
        <v>1</v>
      </c>
      <c r="H16" s="38">
        <v>4</v>
      </c>
      <c r="I16" s="38">
        <v>0</v>
      </c>
      <c r="J16" s="38">
        <f>SUM(B16:I16)</f>
        <v>109</v>
      </c>
      <c r="K16" s="54" t="s">
        <v>185</v>
      </c>
    </row>
    <row r="17" spans="1:11" ht="19.899999999999999" customHeight="1">
      <c r="A17" s="56" t="s">
        <v>186</v>
      </c>
      <c r="B17" s="35">
        <v>5</v>
      </c>
      <c r="C17" s="35">
        <v>7</v>
      </c>
      <c r="D17" s="35">
        <v>4</v>
      </c>
      <c r="E17" s="35">
        <v>2</v>
      </c>
      <c r="F17" s="35">
        <v>6</v>
      </c>
      <c r="G17" s="35">
        <v>3</v>
      </c>
      <c r="H17" s="35">
        <v>0</v>
      </c>
      <c r="I17" s="35">
        <v>0</v>
      </c>
      <c r="J17" s="35">
        <f>SUM(B17:I17)</f>
        <v>27</v>
      </c>
      <c r="K17" s="57" t="s">
        <v>187</v>
      </c>
    </row>
    <row r="18" spans="1:11" ht="19.899999999999999" customHeight="1">
      <c r="A18" s="53" t="s">
        <v>176</v>
      </c>
      <c r="B18" s="38">
        <v>2</v>
      </c>
      <c r="C18" s="38">
        <v>3</v>
      </c>
      <c r="D18" s="38">
        <v>1</v>
      </c>
      <c r="E18" s="38">
        <v>1</v>
      </c>
      <c r="F18" s="38">
        <v>4</v>
      </c>
      <c r="G18" s="38">
        <v>3</v>
      </c>
      <c r="H18" s="38">
        <v>1</v>
      </c>
      <c r="I18" s="38">
        <v>1</v>
      </c>
      <c r="J18" s="38">
        <f>SUM(B18:I18)</f>
        <v>16</v>
      </c>
      <c r="K18" s="54" t="s">
        <v>188</v>
      </c>
    </row>
    <row r="19" spans="1:11" ht="19.899999999999999" customHeight="1">
      <c r="A19" s="62" t="s">
        <v>124</v>
      </c>
      <c r="B19" s="61">
        <f t="shared" ref="B19:I19" si="1">SUM(B18+B17+B16+B15+B14)</f>
        <v>106</v>
      </c>
      <c r="C19" s="61">
        <f t="shared" si="1"/>
        <v>55</v>
      </c>
      <c r="D19" s="61">
        <f t="shared" si="1"/>
        <v>216</v>
      </c>
      <c r="E19" s="61">
        <f t="shared" si="1"/>
        <v>8</v>
      </c>
      <c r="F19" s="61">
        <f t="shared" si="1"/>
        <v>18</v>
      </c>
      <c r="G19" s="61">
        <f t="shared" si="1"/>
        <v>18</v>
      </c>
      <c r="H19" s="61">
        <f t="shared" si="1"/>
        <v>8</v>
      </c>
      <c r="I19" s="61">
        <f t="shared" si="1"/>
        <v>4</v>
      </c>
      <c r="J19" s="61">
        <f>SUM(J14:J18)</f>
        <v>433</v>
      </c>
      <c r="K19" s="63" t="s">
        <v>125</v>
      </c>
    </row>
    <row r="20" spans="1:11" ht="19.899999999999999" customHeight="1">
      <c r="A20" s="53" t="s">
        <v>208</v>
      </c>
      <c r="B20" s="38"/>
      <c r="C20" s="38"/>
      <c r="D20" s="38"/>
      <c r="E20" s="38"/>
      <c r="F20" s="38"/>
      <c r="G20" s="38"/>
      <c r="H20" s="38"/>
      <c r="I20" s="38"/>
      <c r="J20" s="38"/>
      <c r="K20" s="54" t="s">
        <v>192</v>
      </c>
    </row>
    <row r="21" spans="1:11" ht="19.899999999999999" customHeight="1">
      <c r="A21" s="56" t="s">
        <v>191</v>
      </c>
      <c r="B21" s="35">
        <f>'12'!C20</f>
        <v>319</v>
      </c>
      <c r="C21" s="35">
        <f>'13'!C20</f>
        <v>386</v>
      </c>
      <c r="D21" s="35">
        <f>'14'!C20</f>
        <v>195</v>
      </c>
      <c r="E21" s="35">
        <f>'15'!C20</f>
        <v>86</v>
      </c>
      <c r="F21" s="35">
        <f>'18'!C20</f>
        <v>190</v>
      </c>
      <c r="G21" s="35">
        <f>'16'!C20</f>
        <v>50</v>
      </c>
      <c r="H21" s="35">
        <f>'17'!C20</f>
        <v>14</v>
      </c>
      <c r="I21" s="35">
        <f>'19'!C20</f>
        <v>63</v>
      </c>
      <c r="J21" s="35">
        <f>SUM(B21:I21)</f>
        <v>1303</v>
      </c>
      <c r="K21" s="57" t="s">
        <v>209</v>
      </c>
    </row>
    <row r="22" spans="1:11" ht="26.25" customHeight="1">
      <c r="A22" s="48" t="s">
        <v>195</v>
      </c>
      <c r="B22" s="60">
        <f t="shared" ref="B22:J22" si="2">SUM(B12+B19+B21)</f>
        <v>685</v>
      </c>
      <c r="C22" s="60">
        <f t="shared" si="2"/>
        <v>1089</v>
      </c>
      <c r="D22" s="60">
        <f t="shared" si="2"/>
        <v>899</v>
      </c>
      <c r="E22" s="60">
        <f t="shared" si="2"/>
        <v>313</v>
      </c>
      <c r="F22" s="60">
        <f t="shared" si="2"/>
        <v>656</v>
      </c>
      <c r="G22" s="60">
        <f t="shared" si="2"/>
        <v>137</v>
      </c>
      <c r="H22" s="60">
        <f t="shared" si="2"/>
        <v>75</v>
      </c>
      <c r="I22" s="60">
        <f t="shared" si="2"/>
        <v>115</v>
      </c>
      <c r="J22" s="60">
        <f t="shared" si="2"/>
        <v>3969</v>
      </c>
      <c r="K22" s="49" t="s">
        <v>196</v>
      </c>
    </row>
  </sheetData>
  <mergeCells count="5">
    <mergeCell ref="A1:K1"/>
    <mergeCell ref="A2:K2"/>
    <mergeCell ref="A3:K3"/>
    <mergeCell ref="A4:K4"/>
    <mergeCell ref="B5:J5"/>
  </mergeCells>
  <printOptions horizontalCentered="1" verticalCentered="1"/>
  <pageMargins left="0" right="0" top="0" bottom="0" header="0.31496062992125984" footer="0.31496062992125984"/>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39997558519241921"/>
  </sheetPr>
  <dimension ref="A1:N31"/>
  <sheetViews>
    <sheetView rightToLeft="1" view="pageBreakPreview" zoomScaleNormal="100" zoomScaleSheetLayoutView="100" workbookViewId="0">
      <selection activeCell="Q21" sqref="Q21"/>
    </sheetView>
  </sheetViews>
  <sheetFormatPr defaultRowHeight="14.25"/>
  <sheetData>
    <row r="1" spans="1:14" s="29" customFormat="1" ht="37.15" customHeight="1">
      <c r="A1" s="165"/>
      <c r="B1" s="151"/>
      <c r="C1" s="151"/>
      <c r="D1" s="151"/>
      <c r="E1" s="151"/>
      <c r="F1" s="151"/>
      <c r="G1" s="151"/>
      <c r="H1" s="151"/>
      <c r="I1" s="151"/>
      <c r="J1" s="151"/>
      <c r="K1" s="151"/>
      <c r="L1" s="45"/>
      <c r="M1" s="45"/>
      <c r="N1" s="45"/>
    </row>
    <row r="2" spans="1:14" s="29" customFormat="1" ht="23.25" customHeight="1">
      <c r="A2" s="153" t="s">
        <v>298</v>
      </c>
      <c r="B2" s="153"/>
      <c r="C2" s="153"/>
      <c r="D2" s="153"/>
      <c r="E2" s="153"/>
      <c r="F2" s="153"/>
      <c r="G2" s="153"/>
      <c r="H2" s="153"/>
      <c r="I2" s="153"/>
      <c r="J2" s="153"/>
      <c r="K2" s="153"/>
      <c r="L2" s="153"/>
      <c r="M2" s="153"/>
      <c r="N2" s="153"/>
    </row>
    <row r="3" spans="1:14" s="29" customFormat="1" ht="20.25" customHeight="1">
      <c r="A3" s="166" t="s">
        <v>299</v>
      </c>
      <c r="B3" s="166"/>
      <c r="C3" s="166"/>
      <c r="D3" s="166"/>
      <c r="E3" s="166"/>
      <c r="F3" s="166"/>
      <c r="G3" s="166"/>
      <c r="H3" s="166"/>
      <c r="I3" s="166"/>
      <c r="J3" s="166"/>
      <c r="K3" s="166"/>
      <c r="L3" s="166"/>
      <c r="M3" s="166"/>
      <c r="N3" s="166"/>
    </row>
    <row r="4" spans="1:14" s="29" customFormat="1" ht="15" customHeight="1">
      <c r="A4" s="155">
        <v>2021</v>
      </c>
      <c r="B4" s="155"/>
      <c r="C4" s="155"/>
      <c r="D4" s="155"/>
      <c r="E4" s="155"/>
      <c r="F4" s="155"/>
      <c r="G4" s="155"/>
      <c r="H4" s="155"/>
      <c r="I4" s="155"/>
      <c r="J4" s="155"/>
      <c r="K4" s="155"/>
      <c r="L4" s="155"/>
      <c r="M4" s="155"/>
      <c r="N4" s="155"/>
    </row>
    <row r="31" spans="1:14">
      <c r="A31" s="167" t="s">
        <v>337</v>
      </c>
      <c r="B31" s="167"/>
      <c r="C31" s="167"/>
      <c r="D31" s="167"/>
      <c r="E31" s="167"/>
      <c r="F31" s="167"/>
      <c r="G31" s="167"/>
      <c r="H31" s="167"/>
      <c r="I31" s="167"/>
      <c r="J31" s="167"/>
      <c r="K31" s="167"/>
      <c r="L31" s="167"/>
      <c r="M31" s="167"/>
      <c r="N31" s="167"/>
    </row>
  </sheetData>
  <mergeCells count="5">
    <mergeCell ref="A1:K1"/>
    <mergeCell ref="A2:N2"/>
    <mergeCell ref="A3:N3"/>
    <mergeCell ref="A4:N4"/>
    <mergeCell ref="A31:N31"/>
  </mergeCells>
  <printOptions horizontalCentered="1" verticalCentered="1"/>
  <pageMargins left="0" right="0" top="0" bottom="0" header="0.31496062992125984" footer="0.31496062992125984"/>
  <pageSetup scale="9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39997558519241921"/>
  </sheetPr>
  <dimension ref="A1:N33"/>
  <sheetViews>
    <sheetView rightToLeft="1" view="pageBreakPreview" zoomScaleNormal="100" zoomScaleSheetLayoutView="100" workbookViewId="0">
      <selection activeCell="Q21" sqref="Q21"/>
    </sheetView>
  </sheetViews>
  <sheetFormatPr defaultRowHeight="14.25"/>
  <sheetData>
    <row r="1" spans="1:14" s="29" customFormat="1" ht="37.15" customHeight="1">
      <c r="A1" s="165"/>
      <c r="B1" s="151"/>
      <c r="C1" s="151"/>
      <c r="D1" s="151"/>
      <c r="E1" s="151"/>
      <c r="F1" s="151"/>
      <c r="G1" s="151"/>
      <c r="H1" s="151"/>
      <c r="I1" s="151"/>
      <c r="J1" s="151"/>
      <c r="K1" s="151"/>
      <c r="L1" s="45"/>
      <c r="M1" s="45"/>
      <c r="N1" s="45"/>
    </row>
    <row r="2" spans="1:14" s="29" customFormat="1" ht="23.25" customHeight="1">
      <c r="A2" s="153" t="s">
        <v>300</v>
      </c>
      <c r="B2" s="153"/>
      <c r="C2" s="153"/>
      <c r="D2" s="153"/>
      <c r="E2" s="153"/>
      <c r="F2" s="153"/>
      <c r="G2" s="153"/>
      <c r="H2" s="153"/>
      <c r="I2" s="153"/>
      <c r="J2" s="153"/>
      <c r="K2" s="153"/>
      <c r="L2" s="153"/>
      <c r="M2" s="46"/>
      <c r="N2" s="46"/>
    </row>
    <row r="3" spans="1:14" s="29" customFormat="1" ht="20.25" customHeight="1">
      <c r="A3" s="166" t="s">
        <v>301</v>
      </c>
      <c r="B3" s="166"/>
      <c r="C3" s="166"/>
      <c r="D3" s="166"/>
      <c r="E3" s="166"/>
      <c r="F3" s="166"/>
      <c r="G3" s="166"/>
      <c r="H3" s="166"/>
      <c r="I3" s="166"/>
      <c r="J3" s="166"/>
      <c r="K3" s="166"/>
      <c r="L3" s="166"/>
      <c r="M3" s="47"/>
      <c r="N3" s="47"/>
    </row>
    <row r="4" spans="1:14" s="29" customFormat="1" ht="15" customHeight="1">
      <c r="A4" s="155">
        <v>2021</v>
      </c>
      <c r="B4" s="155"/>
      <c r="C4" s="155"/>
      <c r="D4" s="155"/>
      <c r="E4" s="155"/>
      <c r="F4" s="155"/>
      <c r="G4" s="155"/>
      <c r="H4" s="155"/>
      <c r="I4" s="155"/>
      <c r="J4" s="155"/>
      <c r="K4" s="155"/>
      <c r="L4" s="155"/>
      <c r="M4" s="47"/>
      <c r="N4" s="47"/>
    </row>
    <row r="33" spans="1:12">
      <c r="A33" s="168" t="s">
        <v>338</v>
      </c>
      <c r="B33" s="168"/>
      <c r="C33" s="168"/>
      <c r="D33" s="168"/>
      <c r="E33" s="168"/>
      <c r="F33" s="168"/>
      <c r="G33" s="168"/>
      <c r="H33" s="168"/>
      <c r="I33" s="168"/>
      <c r="J33" s="168"/>
      <c r="K33" s="168"/>
      <c r="L33" s="168"/>
    </row>
  </sheetData>
  <mergeCells count="5">
    <mergeCell ref="A1:K1"/>
    <mergeCell ref="A2:L2"/>
    <mergeCell ref="A3:L3"/>
    <mergeCell ref="A4:L4"/>
    <mergeCell ref="A33:L33"/>
  </mergeCells>
  <printOptions horizontalCentered="1" verticalCentered="1"/>
  <pageMargins left="0.70866141732283472" right="0.70866141732283472" top="0.74803149606299213" bottom="0.74803149606299213" header="0.31496062992125984" footer="0.31496062992125984"/>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J36"/>
  <sheetViews>
    <sheetView rightToLeft="1" view="pageBreakPreview" zoomScale="120" zoomScaleNormal="100" zoomScaleSheetLayoutView="120" workbookViewId="0">
      <selection activeCell="Q21" sqref="Q21"/>
    </sheetView>
  </sheetViews>
  <sheetFormatPr defaultColWidth="9.125" defaultRowHeight="14.25"/>
  <cols>
    <col min="1" max="1" width="65.75" style="13" customWidth="1"/>
    <col min="2" max="2" width="9" style="12" customWidth="1"/>
    <col min="3" max="3" width="65.75" style="11" customWidth="1"/>
    <col min="4" max="4" width="62.75" style="11" customWidth="1"/>
    <col min="5" max="16384" width="9.125" style="1"/>
  </cols>
  <sheetData>
    <row r="1" spans="1:10" ht="27.6" customHeight="1">
      <c r="A1" s="111"/>
      <c r="B1" s="111"/>
      <c r="C1" s="111"/>
      <c r="D1" s="6"/>
      <c r="E1" s="6"/>
      <c r="F1" s="6"/>
      <c r="G1" s="6"/>
      <c r="H1" s="6"/>
      <c r="I1" s="6"/>
      <c r="J1" s="6"/>
    </row>
    <row r="2" spans="1:10" ht="20.25">
      <c r="B2" s="16"/>
      <c r="C2" s="17"/>
      <c r="D2" s="17"/>
    </row>
    <row r="3" spans="1:10" ht="15" customHeight="1">
      <c r="A3" s="16" t="s">
        <v>14</v>
      </c>
      <c r="B3" s="15"/>
      <c r="C3" s="15" t="s">
        <v>13</v>
      </c>
      <c r="D3" s="15"/>
    </row>
    <row r="4" spans="1:10">
      <c r="C4" s="14"/>
      <c r="D4" s="14"/>
    </row>
    <row r="5" spans="1:10" ht="40.15" customHeight="1">
      <c r="A5" s="76" t="s">
        <v>12</v>
      </c>
      <c r="B5" s="77" t="s">
        <v>81</v>
      </c>
      <c r="C5" s="78" t="s">
        <v>11</v>
      </c>
      <c r="D5" s="79"/>
    </row>
    <row r="6" spans="1:10" customFormat="1" ht="25.15" customHeight="1">
      <c r="A6" s="80" t="s">
        <v>10</v>
      </c>
      <c r="B6" s="100">
        <v>3</v>
      </c>
      <c r="C6" s="87" t="s">
        <v>9</v>
      </c>
      <c r="D6" s="27"/>
    </row>
    <row r="7" spans="1:10" customFormat="1" ht="25.15" customHeight="1">
      <c r="A7" s="81" t="s">
        <v>8</v>
      </c>
      <c r="B7" s="101">
        <v>7</v>
      </c>
      <c r="C7" s="88" t="s">
        <v>7</v>
      </c>
      <c r="D7" s="28"/>
    </row>
    <row r="8" spans="1:10" customFormat="1" ht="25.15" customHeight="1">
      <c r="A8" s="94" t="s">
        <v>6</v>
      </c>
      <c r="B8" s="102">
        <v>8</v>
      </c>
      <c r="C8" s="91" t="s">
        <v>5</v>
      </c>
      <c r="D8" s="28"/>
    </row>
    <row r="9" spans="1:10" s="66" customFormat="1" ht="34.9" customHeight="1">
      <c r="A9" s="95" t="s">
        <v>230</v>
      </c>
      <c r="B9" s="101">
        <v>11</v>
      </c>
      <c r="C9" s="96" t="s">
        <v>231</v>
      </c>
      <c r="D9" s="67"/>
    </row>
    <row r="10" spans="1:10" customFormat="1" ht="25.15" customHeight="1">
      <c r="A10" s="85" t="s">
        <v>258</v>
      </c>
      <c r="B10" s="102">
        <v>13</v>
      </c>
      <c r="C10" s="97" t="s">
        <v>309</v>
      </c>
      <c r="D10" s="73"/>
    </row>
    <row r="11" spans="1:10" customFormat="1" ht="25.15" customHeight="1">
      <c r="A11" s="83" t="s">
        <v>260</v>
      </c>
      <c r="B11" s="101">
        <v>14</v>
      </c>
      <c r="C11" s="88" t="s">
        <v>279</v>
      </c>
      <c r="D11" s="74"/>
    </row>
    <row r="12" spans="1:10" customFormat="1" ht="25.15" customHeight="1">
      <c r="A12" s="84" t="s">
        <v>259</v>
      </c>
      <c r="B12" s="100">
        <v>15</v>
      </c>
      <c r="C12" s="91" t="s">
        <v>271</v>
      </c>
    </row>
    <row r="13" spans="1:10" customFormat="1" ht="25.15" customHeight="1">
      <c r="A13" s="83" t="s">
        <v>261</v>
      </c>
      <c r="B13" s="101">
        <v>16</v>
      </c>
      <c r="C13" s="88" t="s">
        <v>272</v>
      </c>
    </row>
    <row r="14" spans="1:10" customFormat="1" ht="25.15" customHeight="1">
      <c r="A14" s="84" t="s">
        <v>262</v>
      </c>
      <c r="B14" s="100">
        <v>17</v>
      </c>
      <c r="C14" s="91" t="s">
        <v>273</v>
      </c>
    </row>
    <row r="15" spans="1:10" customFormat="1" ht="25.15" customHeight="1">
      <c r="A15" s="83" t="s">
        <v>263</v>
      </c>
      <c r="B15" s="101">
        <v>18</v>
      </c>
      <c r="C15" s="88" t="s">
        <v>274</v>
      </c>
    </row>
    <row r="16" spans="1:10" customFormat="1" ht="25.15" customHeight="1">
      <c r="A16" s="84" t="s">
        <v>264</v>
      </c>
      <c r="B16" s="100">
        <v>19</v>
      </c>
      <c r="C16" s="91" t="s">
        <v>275</v>
      </c>
    </row>
    <row r="17" spans="1:4" customFormat="1" ht="25.15" customHeight="1">
      <c r="A17" s="83" t="s">
        <v>265</v>
      </c>
      <c r="B17" s="101">
        <v>20</v>
      </c>
      <c r="C17" s="88" t="s">
        <v>276</v>
      </c>
    </row>
    <row r="18" spans="1:4" customFormat="1" ht="25.15" customHeight="1">
      <c r="A18" s="84" t="s">
        <v>266</v>
      </c>
      <c r="B18" s="100">
        <v>21</v>
      </c>
      <c r="C18" s="91" t="s">
        <v>277</v>
      </c>
    </row>
    <row r="19" spans="1:4" customFormat="1" ht="25.15" customHeight="1">
      <c r="A19" s="83" t="s">
        <v>267</v>
      </c>
      <c r="B19" s="101">
        <v>22</v>
      </c>
      <c r="C19" s="88" t="s">
        <v>278</v>
      </c>
    </row>
    <row r="20" spans="1:4" customFormat="1" ht="25.15" customHeight="1">
      <c r="A20" s="84" t="s">
        <v>268</v>
      </c>
      <c r="B20" s="100">
        <v>23</v>
      </c>
      <c r="C20" s="91" t="s">
        <v>310</v>
      </c>
    </row>
    <row r="21" spans="1:4" s="66" customFormat="1" ht="25.15" customHeight="1">
      <c r="A21" s="83" t="s">
        <v>270</v>
      </c>
      <c r="B21" s="101">
        <v>24</v>
      </c>
      <c r="C21" s="88" t="s">
        <v>281</v>
      </c>
      <c r="D21" s="73"/>
    </row>
    <row r="22" spans="1:4" s="66" customFormat="1" ht="25.15" customHeight="1">
      <c r="A22" s="98" t="s">
        <v>292</v>
      </c>
      <c r="B22" s="103">
        <v>25</v>
      </c>
      <c r="C22" s="99" t="s">
        <v>293</v>
      </c>
      <c r="D22" s="73"/>
    </row>
    <row r="23" spans="1:4" s="66" customFormat="1" ht="30" customHeight="1">
      <c r="A23" s="82" t="s">
        <v>303</v>
      </c>
      <c r="B23" s="102">
        <v>27</v>
      </c>
      <c r="C23" s="89" t="s">
        <v>304</v>
      </c>
      <c r="D23" s="73"/>
    </row>
    <row r="24" spans="1:4" customFormat="1" ht="25.15" customHeight="1">
      <c r="A24" s="83" t="s">
        <v>305</v>
      </c>
      <c r="B24" s="101">
        <v>29</v>
      </c>
      <c r="C24" s="90" t="s">
        <v>311</v>
      </c>
      <c r="D24" s="74"/>
    </row>
    <row r="25" spans="1:4" customFormat="1" ht="25.15" customHeight="1">
      <c r="A25" s="84" t="s">
        <v>302</v>
      </c>
      <c r="B25" s="100">
        <v>30</v>
      </c>
      <c r="C25" s="93" t="s">
        <v>308</v>
      </c>
      <c r="D25" s="74"/>
    </row>
    <row r="26" spans="1:4" customFormat="1" ht="25.15" customHeight="1">
      <c r="A26" s="83" t="s">
        <v>306</v>
      </c>
      <c r="B26" s="101">
        <v>31</v>
      </c>
      <c r="C26" s="90" t="s">
        <v>312</v>
      </c>
    </row>
    <row r="27" spans="1:4" customFormat="1" ht="25.15" customHeight="1">
      <c r="A27" s="84" t="s">
        <v>307</v>
      </c>
      <c r="B27" s="100">
        <v>32</v>
      </c>
      <c r="C27" s="93" t="s">
        <v>313</v>
      </c>
    </row>
    <row r="28" spans="1:4" customFormat="1" ht="25.15" customHeight="1">
      <c r="A28" s="83" t="s">
        <v>282</v>
      </c>
      <c r="B28" s="101">
        <v>33</v>
      </c>
      <c r="C28" s="90" t="s">
        <v>314</v>
      </c>
    </row>
    <row r="29" spans="1:4" customFormat="1" ht="25.15" customHeight="1">
      <c r="A29" s="84" t="s">
        <v>283</v>
      </c>
      <c r="B29" s="100">
        <v>34</v>
      </c>
      <c r="C29" s="93" t="s">
        <v>315</v>
      </c>
    </row>
    <row r="30" spans="1:4" customFormat="1" ht="25.15" customHeight="1">
      <c r="A30" s="83" t="s">
        <v>284</v>
      </c>
      <c r="B30" s="101">
        <v>35</v>
      </c>
      <c r="C30" s="90" t="s">
        <v>316</v>
      </c>
    </row>
    <row r="31" spans="1:4" customFormat="1" ht="25.15" customHeight="1">
      <c r="A31" s="84" t="s">
        <v>285</v>
      </c>
      <c r="B31" s="100">
        <v>36</v>
      </c>
      <c r="C31" s="93" t="s">
        <v>317</v>
      </c>
    </row>
    <row r="32" spans="1:4" customFormat="1" ht="25.15" customHeight="1">
      <c r="A32" s="83" t="s">
        <v>286</v>
      </c>
      <c r="B32" s="101">
        <v>37</v>
      </c>
      <c r="C32" s="90" t="s">
        <v>318</v>
      </c>
    </row>
    <row r="33" spans="1:4" customFormat="1" ht="25.15" customHeight="1">
      <c r="A33" s="84" t="s">
        <v>287</v>
      </c>
      <c r="B33" s="100">
        <v>38</v>
      </c>
      <c r="C33" s="93" t="s">
        <v>319</v>
      </c>
      <c r="D33" s="74"/>
    </row>
    <row r="34" spans="1:4" customFormat="1" ht="25.15" customHeight="1">
      <c r="A34" s="83" t="s">
        <v>288</v>
      </c>
      <c r="B34" s="101">
        <v>39</v>
      </c>
      <c r="C34" s="90" t="s">
        <v>320</v>
      </c>
      <c r="D34" s="75"/>
    </row>
    <row r="35" spans="1:4" s="66" customFormat="1" ht="25.15" customHeight="1">
      <c r="A35" s="85" t="s">
        <v>322</v>
      </c>
      <c r="B35" s="102">
        <v>40</v>
      </c>
      <c r="C35" s="91" t="s">
        <v>323</v>
      </c>
      <c r="D35" s="73"/>
    </row>
    <row r="36" spans="1:4" s="66" customFormat="1" ht="25.15" customHeight="1">
      <c r="A36" s="86" t="s">
        <v>321</v>
      </c>
      <c r="B36" s="104">
        <v>41</v>
      </c>
      <c r="C36" s="92" t="s">
        <v>324</v>
      </c>
      <c r="D36" s="73"/>
    </row>
  </sheetData>
  <mergeCells count="1">
    <mergeCell ref="A1:C1"/>
  </mergeCells>
  <hyperlinks>
    <hyperlink ref="C7" location="Introduction!A1" display="Introduction!A1" xr:uid="{00000000-0004-0000-0300-000000000000}"/>
    <hyperlink ref="C8" location="Concepts!A1" display="Concepts!A1" xr:uid="{00000000-0004-0000-0300-000001000000}"/>
  </hyperlinks>
  <printOptions horizontalCentered="1"/>
  <pageMargins left="0" right="0" top="0.31496062992125984" bottom="0" header="0.31496062992125984" footer="0.31496062992125984"/>
  <pageSetup paperSize="9" scale="90" orientation="landscape" r:id="rId1"/>
  <rowBreaks count="1" manualBreakCount="1">
    <brk id="22" max="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K13"/>
  <sheetViews>
    <sheetView rightToLeft="1" view="pageBreakPreview" zoomScale="120" zoomScaleNormal="100" zoomScaleSheetLayoutView="120" workbookViewId="0">
      <selection activeCell="A2" sqref="A2:B2"/>
    </sheetView>
  </sheetViews>
  <sheetFormatPr defaultColWidth="9.125" defaultRowHeight="23.25"/>
  <cols>
    <col min="1" max="1" width="18.75" style="19" customWidth="1"/>
    <col min="2" max="2" width="50.75" style="19" customWidth="1"/>
    <col min="3" max="3" width="4" style="18" customWidth="1"/>
    <col min="4" max="4" width="50.75" style="18" customWidth="1"/>
    <col min="5" max="5" width="17.75" style="18" customWidth="1"/>
    <col min="6" max="7" width="9.125" style="18"/>
    <col min="8" max="8" width="62.25" style="18" customWidth="1"/>
    <col min="9" max="16384" width="9.125" style="18"/>
  </cols>
  <sheetData>
    <row r="1" spans="1:11" s="22" customFormat="1" ht="63.75" customHeight="1">
      <c r="A1" s="110"/>
      <c r="B1" s="111"/>
      <c r="C1" s="111"/>
      <c r="D1" s="111"/>
      <c r="E1" s="111"/>
      <c r="F1" s="23"/>
      <c r="G1" s="23"/>
      <c r="H1" s="23"/>
    </row>
    <row r="2" spans="1:11" ht="45" customHeight="1">
      <c r="A2" s="130" t="s">
        <v>19</v>
      </c>
      <c r="B2" s="130"/>
      <c r="C2" s="21"/>
      <c r="D2" s="129" t="s">
        <v>18</v>
      </c>
      <c r="E2" s="129"/>
      <c r="I2" s="21"/>
      <c r="J2" s="21"/>
      <c r="K2" s="21"/>
    </row>
    <row r="3" spans="1:11" ht="82.5" customHeight="1">
      <c r="A3" s="126" t="s">
        <v>325</v>
      </c>
      <c r="B3" s="126"/>
      <c r="C3" s="21"/>
      <c r="D3" s="127" t="s">
        <v>326</v>
      </c>
      <c r="E3" s="127"/>
      <c r="I3" s="21"/>
      <c r="J3" s="21"/>
      <c r="K3" s="21"/>
    </row>
    <row r="4" spans="1:11" ht="20.25">
      <c r="A4" s="123" t="s">
        <v>17</v>
      </c>
      <c r="B4" s="123"/>
      <c r="D4" s="121" t="s">
        <v>16</v>
      </c>
      <c r="E4" s="121"/>
    </row>
    <row r="5" spans="1:11" ht="57.75" customHeight="1">
      <c r="A5" s="128" t="s">
        <v>205</v>
      </c>
      <c r="B5" s="128"/>
      <c r="D5" s="127" t="s">
        <v>206</v>
      </c>
      <c r="E5" s="127"/>
    </row>
    <row r="6" spans="1:11" ht="23.25" customHeight="1">
      <c r="A6" s="123" t="s">
        <v>327</v>
      </c>
      <c r="B6" s="123"/>
      <c r="D6" s="121" t="s">
        <v>329</v>
      </c>
      <c r="E6" s="121"/>
    </row>
    <row r="7" spans="1:11" ht="44.25" customHeight="1">
      <c r="A7" s="124" t="s">
        <v>15</v>
      </c>
      <c r="B7" s="124"/>
      <c r="D7" s="125" t="s">
        <v>84</v>
      </c>
      <c r="E7" s="125"/>
    </row>
    <row r="8" spans="1:11" ht="44.25" customHeight="1">
      <c r="A8" s="123" t="s">
        <v>328</v>
      </c>
      <c r="B8" s="123"/>
      <c r="D8" s="121" t="s">
        <v>330</v>
      </c>
      <c r="E8" s="121"/>
    </row>
    <row r="9" spans="1:11" ht="105.75" customHeight="1">
      <c r="A9" s="124" t="s">
        <v>345</v>
      </c>
      <c r="B9" s="124"/>
      <c r="D9" s="122" t="s">
        <v>346</v>
      </c>
      <c r="E9" s="122"/>
    </row>
    <row r="10" spans="1:11">
      <c r="A10" s="20"/>
      <c r="B10" s="20"/>
      <c r="C10" s="19"/>
      <c r="D10" s="19"/>
    </row>
    <row r="11" spans="1:11">
      <c r="D11" s="20"/>
      <c r="E11" s="20"/>
    </row>
    <row r="12" spans="1:11">
      <c r="D12" s="20"/>
      <c r="E12" s="20"/>
    </row>
    <row r="13" spans="1:11">
      <c r="D13" s="20"/>
      <c r="E13" s="20"/>
    </row>
  </sheetData>
  <mergeCells count="17">
    <mergeCell ref="A3:B3"/>
    <mergeCell ref="D3:E3"/>
    <mergeCell ref="A5:B5"/>
    <mergeCell ref="D5:E5"/>
    <mergeCell ref="A1:E1"/>
    <mergeCell ref="D2:E2"/>
    <mergeCell ref="A2:B2"/>
    <mergeCell ref="A4:B4"/>
    <mergeCell ref="D4:E4"/>
    <mergeCell ref="D8:E8"/>
    <mergeCell ref="D9:E9"/>
    <mergeCell ref="A8:B8"/>
    <mergeCell ref="A9:B9"/>
    <mergeCell ref="A6:B6"/>
    <mergeCell ref="A7:B7"/>
    <mergeCell ref="D6:E6"/>
    <mergeCell ref="D7:E7"/>
  </mergeCells>
  <printOptions horizontalCentered="1"/>
  <pageMargins left="0" right="0" top="0.78740157480314965" bottom="0" header="0.31496062992125984" footer="0.31496062992125984"/>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H35"/>
  <sheetViews>
    <sheetView rightToLeft="1" view="pageBreakPreview" zoomScaleNormal="100" zoomScaleSheetLayoutView="100" workbookViewId="0">
      <selection activeCell="Q21" sqref="Q21"/>
    </sheetView>
  </sheetViews>
  <sheetFormatPr defaultColWidth="9.125" defaultRowHeight="23.25"/>
  <cols>
    <col min="1" max="1" width="18.75" style="19" customWidth="1"/>
    <col min="2" max="2" width="45.75" style="19" customWidth="1"/>
    <col min="3" max="3" width="4.75" style="18" customWidth="1"/>
    <col min="4" max="4" width="45.75" style="18" customWidth="1"/>
    <col min="5" max="5" width="17.75" style="18" customWidth="1"/>
    <col min="6" max="7" width="9.125" style="18"/>
    <col min="8" max="8" width="62.25" style="18" customWidth="1"/>
    <col min="9" max="16384" width="9.125" style="18"/>
  </cols>
  <sheetData>
    <row r="1" spans="1:8" s="22" customFormat="1" ht="63" customHeight="1">
      <c r="A1" s="110"/>
      <c r="B1" s="111"/>
      <c r="C1" s="111"/>
      <c r="D1" s="111"/>
      <c r="E1" s="111"/>
      <c r="F1" s="23"/>
      <c r="G1" s="23"/>
      <c r="H1" s="23"/>
    </row>
    <row r="2" spans="1:8">
      <c r="A2" s="145" t="s">
        <v>77</v>
      </c>
      <c r="B2" s="145"/>
      <c r="C2" s="24"/>
      <c r="D2" s="144" t="s">
        <v>76</v>
      </c>
      <c r="E2" s="144"/>
    </row>
    <row r="3" spans="1:8" ht="18">
      <c r="A3" s="146" t="s">
        <v>75</v>
      </c>
      <c r="B3" s="146"/>
      <c r="C3" s="24"/>
      <c r="D3" s="134" t="s">
        <v>74</v>
      </c>
      <c r="E3" s="134"/>
    </row>
    <row r="4" spans="1:8" ht="37.15" customHeight="1">
      <c r="A4" s="131" t="s">
        <v>73</v>
      </c>
      <c r="B4" s="131"/>
      <c r="C4" s="24"/>
      <c r="D4" s="147" t="s">
        <v>72</v>
      </c>
      <c r="E4" s="147"/>
    </row>
    <row r="5" spans="1:8" ht="23.25" customHeight="1">
      <c r="A5" s="133" t="s">
        <v>71</v>
      </c>
      <c r="B5" s="133"/>
      <c r="C5" s="24"/>
      <c r="D5" s="134" t="s">
        <v>70</v>
      </c>
      <c r="E5" s="134"/>
    </row>
    <row r="6" spans="1:8" ht="23.25" customHeight="1">
      <c r="A6" s="135" t="s">
        <v>69</v>
      </c>
      <c r="B6" s="135"/>
      <c r="C6" s="24"/>
      <c r="D6" s="141" t="s">
        <v>68</v>
      </c>
      <c r="E6" s="141"/>
    </row>
    <row r="7" spans="1:8" ht="16.5">
      <c r="A7" s="137" t="s">
        <v>67</v>
      </c>
      <c r="B7" s="137"/>
      <c r="C7" s="24"/>
      <c r="D7" s="148" t="s">
        <v>66</v>
      </c>
      <c r="E7" s="148"/>
    </row>
    <row r="8" spans="1:8" ht="23.25" customHeight="1">
      <c r="A8" s="135" t="s">
        <v>65</v>
      </c>
      <c r="B8" s="135"/>
      <c r="C8" s="24"/>
      <c r="D8" s="141" t="s">
        <v>64</v>
      </c>
      <c r="E8" s="141"/>
    </row>
    <row r="9" spans="1:8" ht="39.6" customHeight="1">
      <c r="A9" s="137" t="s">
        <v>63</v>
      </c>
      <c r="B9" s="137"/>
      <c r="C9" s="24"/>
      <c r="D9" s="148" t="s">
        <v>62</v>
      </c>
      <c r="E9" s="148"/>
    </row>
    <row r="10" spans="1:8" ht="23.25" customHeight="1">
      <c r="A10" s="135" t="s">
        <v>61</v>
      </c>
      <c r="B10" s="135"/>
      <c r="C10" s="24"/>
      <c r="D10" s="141" t="s">
        <v>60</v>
      </c>
      <c r="E10" s="141"/>
    </row>
    <row r="11" spans="1:8" ht="30" customHeight="1">
      <c r="A11" s="137" t="s">
        <v>59</v>
      </c>
      <c r="B11" s="137"/>
      <c r="C11" s="24"/>
      <c r="D11" s="148" t="s">
        <v>58</v>
      </c>
      <c r="E11" s="148"/>
    </row>
    <row r="12" spans="1:8" ht="23.25" customHeight="1">
      <c r="A12" s="133" t="s">
        <v>79</v>
      </c>
      <c r="B12" s="133"/>
      <c r="C12" s="24"/>
      <c r="D12" s="134" t="s">
        <v>80</v>
      </c>
      <c r="E12" s="134"/>
    </row>
    <row r="13" spans="1:8" ht="39" customHeight="1">
      <c r="A13" s="131" t="s">
        <v>82</v>
      </c>
      <c r="B13" s="131"/>
      <c r="C13" s="24"/>
      <c r="D13" s="132" t="s">
        <v>57</v>
      </c>
      <c r="E13" s="132"/>
    </row>
    <row r="14" spans="1:8" ht="23.25" customHeight="1">
      <c r="A14" s="133" t="s">
        <v>333</v>
      </c>
      <c r="B14" s="133"/>
      <c r="C14" s="24"/>
      <c r="D14" s="134" t="s">
        <v>335</v>
      </c>
      <c r="E14" s="134"/>
    </row>
    <row r="15" spans="1:8" ht="38.450000000000003" customHeight="1">
      <c r="A15" s="131" t="s">
        <v>331</v>
      </c>
      <c r="B15" s="131"/>
      <c r="C15" s="24"/>
      <c r="D15" s="132" t="s">
        <v>336</v>
      </c>
      <c r="E15" s="132"/>
    </row>
    <row r="16" spans="1:8" ht="23.25" customHeight="1">
      <c r="A16" s="133" t="s">
        <v>332</v>
      </c>
      <c r="B16" s="133"/>
      <c r="C16" s="24"/>
      <c r="D16" s="134" t="s">
        <v>334</v>
      </c>
      <c r="E16" s="134"/>
    </row>
    <row r="17" spans="1:5" ht="24" customHeight="1">
      <c r="A17" s="131" t="s">
        <v>56</v>
      </c>
      <c r="B17" s="131"/>
      <c r="C17" s="24"/>
      <c r="D17" s="132" t="s">
        <v>55</v>
      </c>
      <c r="E17" s="132"/>
    </row>
    <row r="18" spans="1:5" ht="23.25" customHeight="1">
      <c r="A18" s="135" t="s">
        <v>54</v>
      </c>
      <c r="B18" s="135"/>
      <c r="C18" s="24"/>
      <c r="D18" s="136" t="s">
        <v>53</v>
      </c>
      <c r="E18" s="136"/>
    </row>
    <row r="19" spans="1:5" ht="17.45" customHeight="1">
      <c r="A19" s="25" t="s">
        <v>52</v>
      </c>
      <c r="B19" s="25"/>
      <c r="C19" s="24"/>
      <c r="D19" s="26"/>
      <c r="E19" s="26" t="s">
        <v>51</v>
      </c>
    </row>
    <row r="20" spans="1:5" ht="60" customHeight="1">
      <c r="A20" s="137" t="s">
        <v>50</v>
      </c>
      <c r="B20" s="137"/>
      <c r="C20" s="24"/>
      <c r="D20" s="138" t="s">
        <v>49</v>
      </c>
      <c r="E20" s="138"/>
    </row>
    <row r="21" spans="1:5" ht="89.45" customHeight="1">
      <c r="A21" s="143" t="s">
        <v>48</v>
      </c>
      <c r="B21" s="143"/>
      <c r="C21" s="24"/>
      <c r="D21" s="142" t="s">
        <v>47</v>
      </c>
      <c r="E21" s="142"/>
    </row>
    <row r="22" spans="1:5" ht="39.6" customHeight="1">
      <c r="A22" s="137" t="s">
        <v>46</v>
      </c>
      <c r="B22" s="137"/>
      <c r="C22" s="24"/>
      <c r="D22" s="138" t="s">
        <v>45</v>
      </c>
      <c r="E22" s="138"/>
    </row>
    <row r="23" spans="1:5" ht="16.899999999999999" customHeight="1">
      <c r="A23" s="135" t="s">
        <v>44</v>
      </c>
      <c r="B23" s="135"/>
      <c r="C23" s="24"/>
      <c r="D23" s="136" t="s">
        <v>43</v>
      </c>
      <c r="E23" s="136"/>
    </row>
    <row r="24" spans="1:5" ht="66" customHeight="1">
      <c r="A24" s="137" t="s">
        <v>42</v>
      </c>
      <c r="B24" s="137"/>
      <c r="C24" s="24"/>
      <c r="D24" s="138" t="s">
        <v>41</v>
      </c>
      <c r="E24" s="138"/>
    </row>
    <row r="25" spans="1:5" ht="23.25" customHeight="1">
      <c r="A25" s="139" t="s">
        <v>40</v>
      </c>
      <c r="B25" s="139"/>
      <c r="C25" s="24"/>
      <c r="D25" s="140" t="s">
        <v>39</v>
      </c>
      <c r="E25" s="140"/>
    </row>
    <row r="26" spans="1:5" ht="49.5" customHeight="1">
      <c r="A26" s="137" t="s">
        <v>38</v>
      </c>
      <c r="B26" s="137"/>
      <c r="C26" s="24"/>
      <c r="D26" s="138" t="s">
        <v>37</v>
      </c>
      <c r="E26" s="138"/>
    </row>
    <row r="27" spans="1:5" ht="23.25" customHeight="1">
      <c r="A27" s="135" t="s">
        <v>36</v>
      </c>
      <c r="B27" s="135"/>
      <c r="C27" s="24"/>
      <c r="D27" s="136" t="s">
        <v>35</v>
      </c>
      <c r="E27" s="136"/>
    </row>
    <row r="28" spans="1:5" ht="23.25" customHeight="1">
      <c r="A28" s="135" t="s">
        <v>34</v>
      </c>
      <c r="B28" s="135"/>
      <c r="C28" s="24"/>
      <c r="D28" s="136" t="s">
        <v>33</v>
      </c>
      <c r="E28" s="136"/>
    </row>
    <row r="29" spans="1:5" ht="43.5" customHeight="1">
      <c r="A29" s="137" t="s">
        <v>32</v>
      </c>
      <c r="B29" s="137"/>
      <c r="C29" s="24"/>
      <c r="D29" s="138" t="s">
        <v>83</v>
      </c>
      <c r="E29" s="138"/>
    </row>
    <row r="30" spans="1:5" ht="23.25" customHeight="1">
      <c r="A30" s="135" t="s">
        <v>31</v>
      </c>
      <c r="B30" s="135"/>
      <c r="C30" s="24"/>
      <c r="D30" s="136" t="s">
        <v>30</v>
      </c>
      <c r="E30" s="136"/>
    </row>
    <row r="31" spans="1:5" ht="29.25" customHeight="1">
      <c r="A31" s="137" t="s">
        <v>29</v>
      </c>
      <c r="B31" s="137"/>
      <c r="C31" s="24"/>
      <c r="D31" s="138" t="s">
        <v>28</v>
      </c>
      <c r="E31" s="138"/>
    </row>
    <row r="32" spans="1:5" ht="23.25" customHeight="1">
      <c r="A32" s="135" t="s">
        <v>27</v>
      </c>
      <c r="B32" s="135"/>
      <c r="C32" s="24"/>
      <c r="D32" s="136" t="s">
        <v>26</v>
      </c>
      <c r="E32" s="136"/>
    </row>
    <row r="33" spans="1:5" ht="25.5" customHeight="1">
      <c r="A33" s="137" t="s">
        <v>25</v>
      </c>
      <c r="B33" s="137"/>
      <c r="C33" s="24"/>
      <c r="D33" s="138" t="s">
        <v>24</v>
      </c>
      <c r="E33" s="138"/>
    </row>
    <row r="34" spans="1:5" ht="23.25" customHeight="1">
      <c r="A34" s="135" t="s">
        <v>23</v>
      </c>
      <c r="B34" s="135"/>
      <c r="C34" s="24"/>
      <c r="D34" s="136" t="s">
        <v>22</v>
      </c>
      <c r="E34" s="136"/>
    </row>
    <row r="35" spans="1:5" ht="45.75" customHeight="1">
      <c r="A35" s="137" t="s">
        <v>21</v>
      </c>
      <c r="B35" s="137"/>
      <c r="C35" s="24"/>
      <c r="D35" s="138" t="s">
        <v>20</v>
      </c>
      <c r="E35" s="138"/>
    </row>
  </sheetData>
  <mergeCells count="67">
    <mergeCell ref="A1:E1"/>
    <mergeCell ref="A23:B23"/>
    <mergeCell ref="D23:E23"/>
    <mergeCell ref="D6:E6"/>
    <mergeCell ref="A6:B6"/>
    <mergeCell ref="D7:E7"/>
    <mergeCell ref="A7:B7"/>
    <mergeCell ref="D8:E8"/>
    <mergeCell ref="D11:E11"/>
    <mergeCell ref="A11:B11"/>
    <mergeCell ref="D22:E22"/>
    <mergeCell ref="D13:E13"/>
    <mergeCell ref="D5:E5"/>
    <mergeCell ref="A5:B5"/>
    <mergeCell ref="A8:B8"/>
    <mergeCell ref="D9:E9"/>
    <mergeCell ref="A9:B9"/>
    <mergeCell ref="D2:E2"/>
    <mergeCell ref="A2:B2"/>
    <mergeCell ref="D3:E3"/>
    <mergeCell ref="A3:B3"/>
    <mergeCell ref="D4:E4"/>
    <mergeCell ref="A4:B4"/>
    <mergeCell ref="A24:B24"/>
    <mergeCell ref="D24:E24"/>
    <mergeCell ref="A25:B25"/>
    <mergeCell ref="D25:E25"/>
    <mergeCell ref="D10:E10"/>
    <mergeCell ref="A10:B10"/>
    <mergeCell ref="A12:B12"/>
    <mergeCell ref="A13:B13"/>
    <mergeCell ref="D12:E12"/>
    <mergeCell ref="D20:E20"/>
    <mergeCell ref="A20:B20"/>
    <mergeCell ref="D21:E21"/>
    <mergeCell ref="A21:B21"/>
    <mergeCell ref="A22:B22"/>
    <mergeCell ref="D16:E16"/>
    <mergeCell ref="A16:B16"/>
    <mergeCell ref="D35:E35"/>
    <mergeCell ref="D27:E27"/>
    <mergeCell ref="A35:B35"/>
    <mergeCell ref="A28:B28"/>
    <mergeCell ref="A34:B34"/>
    <mergeCell ref="D34:E34"/>
    <mergeCell ref="D28:E28"/>
    <mergeCell ref="A31:B31"/>
    <mergeCell ref="A33:B33"/>
    <mergeCell ref="D33:E33"/>
    <mergeCell ref="D30:E30"/>
    <mergeCell ref="D31:E31"/>
    <mergeCell ref="A15:B15"/>
    <mergeCell ref="D15:E15"/>
    <mergeCell ref="A14:B14"/>
    <mergeCell ref="D14:E14"/>
    <mergeCell ref="A32:B32"/>
    <mergeCell ref="D32:E32"/>
    <mergeCell ref="A27:B27"/>
    <mergeCell ref="A26:B26"/>
    <mergeCell ref="D26:E26"/>
    <mergeCell ref="A29:B29"/>
    <mergeCell ref="D29:E29"/>
    <mergeCell ref="A30:B30"/>
    <mergeCell ref="D18:E18"/>
    <mergeCell ref="A18:B18"/>
    <mergeCell ref="A17:B17"/>
    <mergeCell ref="D17:E17"/>
  </mergeCells>
  <printOptions horizontalCentered="1"/>
  <pageMargins left="0" right="0" top="0.39370078740157483" bottom="0" header="0.31496062992125984" footer="0.31496062992125984"/>
  <pageSetup paperSize="9" scale="90" orientation="landscape" r:id="rId1"/>
  <rowBreaks count="2" manualBreakCount="2">
    <brk id="20" max="4" man="1"/>
    <brk id="35" max="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B2"/>
  <sheetViews>
    <sheetView rightToLeft="1" view="pageBreakPreview" zoomScale="70" zoomScaleNormal="100" zoomScaleSheetLayoutView="70" workbookViewId="0">
      <selection activeCell="Q21" sqref="Q21"/>
    </sheetView>
  </sheetViews>
  <sheetFormatPr defaultRowHeight="14.25"/>
  <cols>
    <col min="1" max="1" width="130.125" customWidth="1"/>
    <col min="2" max="2" width="0.125" customWidth="1"/>
  </cols>
  <sheetData>
    <row r="1" spans="1:2" ht="270" customHeight="1">
      <c r="A1" s="149"/>
      <c r="B1" s="149"/>
    </row>
    <row r="2" spans="1:2" ht="270" customHeight="1">
      <c r="A2" s="149"/>
      <c r="B2" s="149"/>
    </row>
  </sheetData>
  <mergeCells count="1">
    <mergeCell ref="A1:B2"/>
  </mergeCells>
  <printOptions horizontalCentered="1" verticalCentered="1"/>
  <pageMargins left="0" right="0" top="0" bottom="0" header="0.31496062992125984" footer="0.31496062992125984"/>
  <pageSetup paperSize="9" orientation="landscape" r:id="rId1"/>
  <rowBreaks count="1" manualBreakCount="1">
    <brk id="2" max="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H21"/>
  <sheetViews>
    <sheetView rightToLeft="1" view="pageBreakPreview" zoomScaleNormal="100" zoomScaleSheetLayoutView="100" workbookViewId="0">
      <selection activeCell="Q21" sqref="Q21"/>
    </sheetView>
  </sheetViews>
  <sheetFormatPr defaultColWidth="9.125" defaultRowHeight="14.25"/>
  <cols>
    <col min="1" max="1" width="25.75" style="29" customWidth="1"/>
    <col min="2" max="5" width="10.75" style="29" customWidth="1"/>
    <col min="6" max="6" width="25.75" style="29" customWidth="1"/>
    <col min="7" max="16384" width="9.125" style="29"/>
  </cols>
  <sheetData>
    <row r="1" spans="1:8" ht="34.9" customHeight="1">
      <c r="A1" s="151"/>
      <c r="B1" s="152"/>
      <c r="C1" s="152"/>
      <c r="D1" s="152"/>
      <c r="E1" s="152"/>
      <c r="F1" s="152"/>
    </row>
    <row r="2" spans="1:8" ht="20.25">
      <c r="A2" s="153" t="s">
        <v>89</v>
      </c>
      <c r="B2" s="153"/>
      <c r="C2" s="153"/>
      <c r="D2" s="153"/>
      <c r="E2" s="153"/>
      <c r="F2" s="153"/>
    </row>
    <row r="3" spans="1:8" ht="18.75">
      <c r="A3" s="154" t="s">
        <v>90</v>
      </c>
      <c r="B3" s="154"/>
      <c r="C3" s="154"/>
      <c r="D3" s="154"/>
      <c r="E3" s="154"/>
      <c r="F3" s="154"/>
    </row>
    <row r="4" spans="1:8" ht="15" customHeight="1">
      <c r="A4" s="155">
        <v>2021</v>
      </c>
      <c r="B4" s="155"/>
      <c r="C4" s="155"/>
      <c r="D4" s="155"/>
      <c r="E4" s="155"/>
      <c r="F4" s="155"/>
    </row>
    <row r="5" spans="1:8" ht="15.75">
      <c r="A5" s="30" t="s">
        <v>91</v>
      </c>
      <c r="B5" s="31"/>
      <c r="C5" s="32"/>
      <c r="D5" s="32"/>
      <c r="E5" s="32"/>
      <c r="F5" s="33" t="s">
        <v>92</v>
      </c>
    </row>
    <row r="6" spans="1:8" ht="30" customHeight="1" thickBot="1">
      <c r="A6" s="156" t="s">
        <v>93</v>
      </c>
      <c r="B6" s="158" t="s">
        <v>94</v>
      </c>
      <c r="C6" s="159"/>
      <c r="D6" s="159"/>
      <c r="E6" s="159"/>
      <c r="F6" s="160" t="s">
        <v>95</v>
      </c>
    </row>
    <row r="7" spans="1:8" ht="30" customHeight="1">
      <c r="A7" s="157"/>
      <c r="B7" s="69" t="s">
        <v>96</v>
      </c>
      <c r="C7" s="69" t="s">
        <v>97</v>
      </c>
      <c r="D7" s="69" t="s">
        <v>98</v>
      </c>
      <c r="E7" s="69" t="s">
        <v>99</v>
      </c>
      <c r="F7" s="161"/>
    </row>
    <row r="8" spans="1:8" ht="22.5" customHeight="1">
      <c r="A8" s="34" t="s">
        <v>100</v>
      </c>
      <c r="B8" s="35">
        <f>SUM('2'!B8+'3'!B8+'4'!B8+'5'!B8+'6'!B8+'7'!B8+'8'!B8+'9'!B8)</f>
        <v>696</v>
      </c>
      <c r="C8" s="35">
        <f>SUM('2'!C8+'3'!C8+'4'!C8+'5'!C8+'6'!C8+'7'!C8+'8'!C8+'9'!C8)</f>
        <v>641</v>
      </c>
      <c r="D8" s="35">
        <f>SUM('2'!D8+'3'!D8+'4'!D8+'5'!D8+'6'!D8+'7'!D8+'8'!D8+'9'!D8)</f>
        <v>45</v>
      </c>
      <c r="E8" s="34">
        <f>SUM('2'!E8+'3'!E8+'4'!E8+'5'!E8+'6'!E8+'7'!E8+'8'!E8+'9'!E8)</f>
        <v>1382</v>
      </c>
      <c r="F8" s="36" t="s">
        <v>101</v>
      </c>
      <c r="H8" s="55" t="s">
        <v>232</v>
      </c>
    </row>
    <row r="9" spans="1:8" ht="22.5" customHeight="1">
      <c r="A9" s="37" t="s">
        <v>102</v>
      </c>
      <c r="B9" s="38">
        <f>SUM('2'!B9+'3'!B9+'4'!B9+'5'!B9+'6'!B9+'7'!B9+'8'!B9+'9'!B9)</f>
        <v>662</v>
      </c>
      <c r="C9" s="38">
        <f>SUM('2'!C9+'3'!C9+'4'!C9+'5'!C9+'6'!C9+'7'!C9+'8'!C9+'9'!C9)</f>
        <v>599</v>
      </c>
      <c r="D9" s="38">
        <f>SUM('2'!D9+'3'!D9+'4'!D9+'5'!D9+'6'!D9+'7'!D9+'8'!D9+'9'!D9)</f>
        <v>33</v>
      </c>
      <c r="E9" s="37">
        <f>SUM('2'!E9+'3'!E9+'4'!E9+'5'!E9+'6'!E9+'7'!E9+'8'!E9+'9'!E9)</f>
        <v>1294</v>
      </c>
      <c r="F9" s="39" t="s">
        <v>103</v>
      </c>
      <c r="H9" s="55" t="s">
        <v>233</v>
      </c>
    </row>
    <row r="10" spans="1:8" ht="22.5" customHeight="1">
      <c r="A10" s="34" t="s">
        <v>104</v>
      </c>
      <c r="B10" s="35">
        <f>SUM('2'!B10+'3'!B10+'4'!B10+'5'!B10+'6'!B10+'7'!B10+'8'!B10+'9'!B10)</f>
        <v>573</v>
      </c>
      <c r="C10" s="35">
        <f>SUM('2'!C10+'3'!C10+'4'!C10+'5'!C10+'6'!C10+'7'!C10+'8'!C10+'9'!C10)</f>
        <v>567</v>
      </c>
      <c r="D10" s="35">
        <f>SUM('2'!D10+'3'!D10+'4'!D10+'5'!D10+'6'!D10+'7'!D10+'8'!D10+'9'!D10)</f>
        <v>54</v>
      </c>
      <c r="E10" s="34">
        <f>SUM('2'!E10+'3'!E10+'4'!E10+'5'!E10+'6'!E10+'7'!E10+'8'!E10+'9'!E10)</f>
        <v>1194</v>
      </c>
      <c r="F10" s="36" t="s">
        <v>105</v>
      </c>
      <c r="H10" s="55" t="s">
        <v>234</v>
      </c>
    </row>
    <row r="11" spans="1:8" ht="22.5" customHeight="1">
      <c r="A11" s="37" t="s">
        <v>106</v>
      </c>
      <c r="B11" s="38">
        <f>SUM('2'!B11+'3'!B11+'4'!B11+'5'!B11+'6'!B11+'7'!B11+'8'!B11+'9'!B11)</f>
        <v>227</v>
      </c>
      <c r="C11" s="38">
        <f>SUM('2'!C11+'3'!C11+'4'!C11+'5'!C11+'6'!C11+'7'!C11+'8'!C11+'9'!C11)</f>
        <v>254</v>
      </c>
      <c r="D11" s="38">
        <f>SUM('2'!D11+'3'!D11+'4'!D11+'5'!D11+'6'!D11+'7'!D11+'8'!D11+'9'!D11)</f>
        <v>19</v>
      </c>
      <c r="E11" s="37">
        <f>SUM('2'!E11+'3'!E11+'4'!E11+'5'!E11+'6'!E11+'7'!E11+'8'!E11+'9'!E11)</f>
        <v>500</v>
      </c>
      <c r="F11" s="39" t="s">
        <v>107</v>
      </c>
      <c r="H11" s="55" t="s">
        <v>235</v>
      </c>
    </row>
    <row r="12" spans="1:8" ht="22.5" customHeight="1">
      <c r="A12" s="34" t="s">
        <v>108</v>
      </c>
      <c r="B12" s="35">
        <f>SUM('2'!B12+'3'!B12+'4'!B12+'5'!B12+'6'!B12+'7'!B12+'8'!B12+'9'!B12)</f>
        <v>155</v>
      </c>
      <c r="C12" s="35">
        <f>SUM('2'!C12+'3'!C12+'4'!C12+'5'!C12+'6'!C12+'7'!C12+'8'!C12+'9'!C12)</f>
        <v>183</v>
      </c>
      <c r="D12" s="35">
        <f>SUM('2'!D12+'3'!D12+'4'!D12+'5'!D12+'6'!D12+'7'!D12+'8'!D12+'9'!D12)</f>
        <v>10</v>
      </c>
      <c r="E12" s="34">
        <f>SUM('2'!E12+'3'!E12+'4'!E12+'5'!E12+'6'!E12+'7'!E12+'8'!E12+'9'!E12)</f>
        <v>348</v>
      </c>
      <c r="F12" s="36" t="s">
        <v>109</v>
      </c>
      <c r="H12" s="55" t="s">
        <v>236</v>
      </c>
    </row>
    <row r="13" spans="1:8" ht="22.5" customHeight="1">
      <c r="A13" s="37" t="s">
        <v>110</v>
      </c>
      <c r="B13" s="38">
        <f>SUM('2'!B13+'3'!B13+'4'!B13+'5'!B13+'6'!B13+'7'!B13+'8'!B13+'9'!B13)</f>
        <v>310</v>
      </c>
      <c r="C13" s="38">
        <f>SUM('2'!C13+'3'!C13+'4'!C13+'5'!C13+'6'!C13+'7'!C13+'8'!C13+'9'!C13)</f>
        <v>400</v>
      </c>
      <c r="D13" s="38">
        <f>SUM('2'!D13+'3'!D13+'4'!D13+'5'!D13+'6'!D13+'7'!D13+'8'!D13+'9'!D13)</f>
        <v>24</v>
      </c>
      <c r="E13" s="37">
        <f>SUM('2'!E13+'3'!E13+'4'!E13+'5'!E13+'6'!E13+'7'!E13+'8'!E13+'9'!E13)</f>
        <v>734</v>
      </c>
      <c r="F13" s="39" t="s">
        <v>111</v>
      </c>
      <c r="H13" s="55" t="s">
        <v>237</v>
      </c>
    </row>
    <row r="14" spans="1:8" ht="22.5" customHeight="1">
      <c r="A14" s="34" t="s">
        <v>112</v>
      </c>
      <c r="B14" s="35">
        <f>SUM('2'!B14+'3'!B14+'4'!B14+'5'!B14+'6'!B14+'7'!B14+'8'!B14+'9'!B14)</f>
        <v>238</v>
      </c>
      <c r="C14" s="35">
        <f>SUM('2'!C14+'3'!C14+'4'!C14+'5'!C14+'6'!C14+'7'!C14+'8'!C14+'9'!C14)</f>
        <v>274</v>
      </c>
      <c r="D14" s="35">
        <f>SUM('2'!D14+'3'!D14+'4'!D14+'5'!D14+'6'!D14+'7'!D14+'8'!D14+'9'!D14)</f>
        <v>20</v>
      </c>
      <c r="E14" s="34">
        <f>SUM('2'!E14+'3'!E14+'4'!E14+'5'!E14+'6'!E14+'7'!E14+'8'!E14+'9'!E14)</f>
        <v>532</v>
      </c>
      <c r="F14" s="36" t="s">
        <v>113</v>
      </c>
      <c r="H14" s="55" t="s">
        <v>238</v>
      </c>
    </row>
    <row r="15" spans="1:8" ht="22.5" customHeight="1">
      <c r="A15" s="37" t="s">
        <v>114</v>
      </c>
      <c r="B15" s="38">
        <f>SUM('2'!B15+'3'!B15+'4'!B15+'5'!B15+'6'!B15+'7'!B15+'8'!B15+'9'!B15)</f>
        <v>290</v>
      </c>
      <c r="C15" s="38">
        <f>SUM('2'!C15+'3'!C15+'4'!C15+'5'!C15+'6'!C15+'7'!C15+'8'!C15+'9'!C15)</f>
        <v>316</v>
      </c>
      <c r="D15" s="38">
        <f>SUM('2'!D15+'3'!D15+'4'!D15+'5'!D15+'6'!D15+'7'!D15+'8'!D15+'9'!D15)</f>
        <v>20</v>
      </c>
      <c r="E15" s="37">
        <f>SUM('2'!E15+'3'!E15+'4'!E15+'5'!E15+'6'!E15+'7'!E15+'8'!E15+'9'!E15)</f>
        <v>626</v>
      </c>
      <c r="F15" s="39" t="s">
        <v>115</v>
      </c>
      <c r="H15" s="55" t="s">
        <v>239</v>
      </c>
    </row>
    <row r="16" spans="1:8" ht="22.5" customHeight="1">
      <c r="A16" s="34" t="s">
        <v>116</v>
      </c>
      <c r="B16" s="35">
        <f>SUM('2'!B16+'3'!B16+'4'!B16+'5'!B16+'6'!B16+'7'!B16+'8'!B16+'9'!B16)</f>
        <v>348</v>
      </c>
      <c r="C16" s="35">
        <f>SUM('2'!C16+'3'!C16+'4'!C16+'5'!C16+'6'!C16+'7'!C16+'8'!C16+'9'!C16)</f>
        <v>360</v>
      </c>
      <c r="D16" s="35">
        <f>SUM('2'!D16+'3'!D16+'4'!D16+'5'!D16+'6'!D16+'7'!D16+'8'!D16+'9'!D16)</f>
        <v>28</v>
      </c>
      <c r="E16" s="34">
        <f>SUM('2'!E16+'3'!E16+'4'!E16+'5'!E16+'6'!E16+'7'!E16+'8'!E16+'9'!E16)</f>
        <v>736</v>
      </c>
      <c r="F16" s="36" t="s">
        <v>117</v>
      </c>
      <c r="H16" s="55" t="s">
        <v>240</v>
      </c>
    </row>
    <row r="17" spans="1:8" ht="22.5" customHeight="1">
      <c r="A17" s="37" t="s">
        <v>118</v>
      </c>
      <c r="B17" s="38">
        <f>SUM('2'!B17+'3'!B17+'4'!B17+'5'!B17+'6'!B17+'7'!B17+'8'!B17+'9'!B17)</f>
        <v>347</v>
      </c>
      <c r="C17" s="38">
        <f>SUM('2'!C17+'3'!C17+'4'!C17+'5'!C17+'6'!C17+'7'!C17+'8'!C17+'9'!C17)</f>
        <v>315</v>
      </c>
      <c r="D17" s="38">
        <f>SUM('2'!D17+'3'!D17+'4'!D17+'5'!D17+'6'!D17+'7'!D17+'8'!D17+'9'!D17)</f>
        <v>23</v>
      </c>
      <c r="E17" s="37">
        <f>SUM('2'!E17+'3'!E17+'4'!E17+'5'!E17+'6'!E17+'7'!E17+'8'!E17+'9'!E17)</f>
        <v>685</v>
      </c>
      <c r="F17" s="39" t="s">
        <v>119</v>
      </c>
      <c r="H17" s="55" t="s">
        <v>241</v>
      </c>
    </row>
    <row r="18" spans="1:8" ht="22.5" customHeight="1">
      <c r="A18" s="34" t="s">
        <v>120</v>
      </c>
      <c r="B18" s="35">
        <f>SUM('2'!B18+'3'!B18+'4'!B18+'5'!B18+'6'!B18+'7'!B18+'8'!B18+'9'!B18)</f>
        <v>428</v>
      </c>
      <c r="C18" s="35">
        <f>SUM('2'!C18+'3'!C18+'4'!C18+'5'!C18+'6'!C18+'7'!C18+'8'!C18+'9'!C18)</f>
        <v>356</v>
      </c>
      <c r="D18" s="35">
        <f>SUM('2'!D18+'3'!D18+'4'!D18+'5'!D18+'6'!D18+'7'!D18+'8'!D18+'9'!D18)</f>
        <v>18</v>
      </c>
      <c r="E18" s="34">
        <f>SUM('2'!E18+'3'!E18+'4'!E18+'5'!E18+'6'!E18+'7'!E18+'8'!E18+'9'!E18)</f>
        <v>802</v>
      </c>
      <c r="F18" s="36" t="s">
        <v>121</v>
      </c>
      <c r="H18" s="55" t="s">
        <v>242</v>
      </c>
    </row>
    <row r="19" spans="1:8" ht="22.5" customHeight="1">
      <c r="A19" s="37" t="s">
        <v>122</v>
      </c>
      <c r="B19" s="38">
        <f>SUM('2'!B19+'3'!B19+'4'!B19+'5'!B19+'6'!B19+'7'!B19+'8'!B19+'9'!B19)</f>
        <v>367</v>
      </c>
      <c r="C19" s="38">
        <f>SUM('2'!C19+'3'!C19+'4'!C19+'5'!C19+'6'!C19+'7'!C19+'8'!C19+'9'!C19)</f>
        <v>279</v>
      </c>
      <c r="D19" s="38">
        <f>SUM('2'!D19+'3'!D19+'4'!D19+'5'!D19+'6'!D19+'7'!D19+'8'!D19+'9'!D19)</f>
        <v>26</v>
      </c>
      <c r="E19" s="37">
        <f>SUM('2'!E19+'3'!E19+'4'!E19+'5'!E19+'6'!E19+'7'!E19+'8'!E19+'9'!E19)</f>
        <v>672</v>
      </c>
      <c r="F19" s="39" t="s">
        <v>123</v>
      </c>
      <c r="H19" s="55" t="s">
        <v>243</v>
      </c>
    </row>
    <row r="20" spans="1:8" ht="36" customHeight="1">
      <c r="A20" s="40" t="s">
        <v>124</v>
      </c>
      <c r="B20" s="41">
        <f>SUM(B8:B19)</f>
        <v>4641</v>
      </c>
      <c r="C20" s="41">
        <f t="shared" ref="C20:E20" si="0">SUM(C8:C19)</f>
        <v>4544</v>
      </c>
      <c r="D20" s="41">
        <f t="shared" si="0"/>
        <v>320</v>
      </c>
      <c r="E20" s="41">
        <f t="shared" si="0"/>
        <v>9505</v>
      </c>
      <c r="F20" s="42" t="s">
        <v>125</v>
      </c>
    </row>
    <row r="21" spans="1:8" ht="15">
      <c r="A21" s="150" t="s">
        <v>126</v>
      </c>
      <c r="B21" s="150"/>
      <c r="C21" s="150"/>
      <c r="D21" s="150"/>
      <c r="E21" s="32"/>
      <c r="F21" s="43" t="s">
        <v>127</v>
      </c>
      <c r="G21" s="44"/>
      <c r="H21" s="44"/>
    </row>
  </sheetData>
  <mergeCells count="8">
    <mergeCell ref="A21:D21"/>
    <mergeCell ref="A1:F1"/>
    <mergeCell ref="A2:F2"/>
    <mergeCell ref="A3:F3"/>
    <mergeCell ref="A4:F4"/>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N34"/>
  <sheetViews>
    <sheetView rightToLeft="1" view="pageBreakPreview" zoomScaleNormal="100" zoomScaleSheetLayoutView="100" workbookViewId="0">
      <selection activeCell="Q21" sqref="Q21"/>
    </sheetView>
  </sheetViews>
  <sheetFormatPr defaultRowHeight="14.25"/>
  <sheetData>
    <row r="1" spans="1:14" s="29" customFormat="1" ht="21" customHeight="1">
      <c r="A1" s="153" t="s">
        <v>245</v>
      </c>
      <c r="B1" s="153"/>
      <c r="C1" s="153"/>
      <c r="D1" s="153"/>
      <c r="E1" s="153"/>
      <c r="F1" s="153"/>
      <c r="G1" s="153"/>
      <c r="H1" s="153"/>
      <c r="I1" s="153"/>
      <c r="J1" s="153"/>
      <c r="K1" s="153"/>
      <c r="L1" s="153"/>
      <c r="M1" s="153"/>
      <c r="N1" s="46"/>
    </row>
    <row r="2" spans="1:14" s="29" customFormat="1" ht="15.75">
      <c r="A2" s="154" t="s">
        <v>294</v>
      </c>
      <c r="B2" s="154"/>
      <c r="C2" s="154"/>
      <c r="D2" s="154"/>
      <c r="E2" s="154"/>
      <c r="F2" s="154"/>
      <c r="G2" s="154"/>
      <c r="H2" s="154"/>
      <c r="I2" s="154"/>
      <c r="J2" s="154"/>
      <c r="K2" s="154"/>
      <c r="L2" s="154"/>
      <c r="M2" s="154"/>
      <c r="N2" s="68"/>
    </row>
    <row r="3" spans="1:14" s="29" customFormat="1" ht="15" customHeight="1">
      <c r="A3" s="155">
        <v>2021</v>
      </c>
      <c r="B3" s="155"/>
      <c r="C3" s="155"/>
      <c r="D3" s="155"/>
      <c r="E3" s="155"/>
      <c r="F3" s="155"/>
      <c r="G3" s="155"/>
      <c r="H3" s="155"/>
      <c r="I3" s="155"/>
      <c r="J3" s="155"/>
      <c r="K3" s="155"/>
      <c r="L3" s="155"/>
      <c r="M3" s="155"/>
      <c r="N3" s="47"/>
    </row>
    <row r="34" spans="1:14" ht="15">
      <c r="A34" s="162" t="s">
        <v>244</v>
      </c>
      <c r="B34" s="162"/>
      <c r="C34" s="162"/>
      <c r="D34" s="162"/>
      <c r="E34" s="162"/>
      <c r="F34" s="162"/>
      <c r="G34" s="162"/>
      <c r="H34" s="162"/>
      <c r="I34" s="162"/>
      <c r="J34" s="162"/>
      <c r="K34" s="162"/>
      <c r="L34" s="162"/>
      <c r="M34" s="162"/>
      <c r="N34" s="162"/>
    </row>
  </sheetData>
  <mergeCells count="4">
    <mergeCell ref="A34:N34"/>
    <mergeCell ref="A1:M1"/>
    <mergeCell ref="A2:M2"/>
    <mergeCell ref="A3:M3"/>
  </mergeCells>
  <printOptions horizontalCentered="1" verticalCentered="1"/>
  <pageMargins left="0" right="0" top="0" bottom="0" header="0.31496062992125984" footer="0.31496062992125984"/>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رخص البناء 2021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رخص البناء 2021</Description_Ar>
    <Enabled xmlns="1b323878-974e-4c19-bf08-965c80d4ad54">true</Enabled>
    <PublishingDate xmlns="1b323878-974e-4c19-bf08-965c80d4ad54">2022-04-04T10:45:03+00:00</PublishingDate>
    <CategoryDescription xmlns="http://schemas.microsoft.com/sharepoint.v3">Bulletin of Building Permits and Completed Buildings Statistics - 2021</CategoryDescription>
  </documentManagement>
</p:properties>
</file>

<file path=customXml/itemProps1.xml><?xml version="1.0" encoding="utf-8"?>
<ds:datastoreItem xmlns:ds="http://schemas.openxmlformats.org/officeDocument/2006/customXml" ds:itemID="{A121E6AB-54BA-44FE-AEF9-6084B247B3C8}">
  <ds:schemaRefs>
    <ds:schemaRef ds:uri="http://schemas.microsoft.com/sharepoint/v3/contenttype/forms"/>
  </ds:schemaRefs>
</ds:datastoreItem>
</file>

<file path=customXml/itemProps2.xml><?xml version="1.0" encoding="utf-8"?>
<ds:datastoreItem xmlns:ds="http://schemas.openxmlformats.org/officeDocument/2006/customXml" ds:itemID="{04A0ADEB-F820-46FB-8A6D-3622CD79EE05}"/>
</file>

<file path=customXml/itemProps3.xml><?xml version="1.0" encoding="utf-8"?>
<ds:datastoreItem xmlns:ds="http://schemas.openxmlformats.org/officeDocument/2006/customXml" ds:itemID="{4FF60957-51A5-4D2D-BAC1-F90A1414379A}">
  <ds:schemaRefs>
    <ds:schemaRef ds:uri="http://schemas.microsoft.com/office/2006/documentManagement/types"/>
    <ds:schemaRef ds:uri="http://schemas.microsoft.com/sharepoint/v3"/>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http://purl.org/dc/elements/1.1/"/>
    <ds:schemaRef ds:uri="423524d6-f9d7-4b47-aadf-7b8f6888b7b0"/>
    <ds:schemaRef ds:uri="b1657202-86a7-46c3-ba71-02bb0da5a392"/>
    <ds:schemaRef ds:uri="http://schemas.microsoft.com/office/2006/metadata/propertie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35</vt:i4>
      </vt:variant>
    </vt:vector>
  </HeadingPairs>
  <TitlesOfParts>
    <vt:vector size="69" baseType="lpstr">
      <vt:lpstr>Cover</vt:lpstr>
      <vt:lpstr>First</vt:lpstr>
      <vt:lpstr>Preface</vt:lpstr>
      <vt:lpstr>Indx</vt:lpstr>
      <vt:lpstr>Introduction</vt:lpstr>
      <vt:lpstr>Concepts</vt:lpstr>
      <vt:lpstr>الفصل الأول</vt:lpstr>
      <vt:lpstr>1</vt:lpstr>
      <vt:lpstr>GR_1</vt:lpstr>
      <vt:lpstr>2</vt:lpstr>
      <vt:lpstr>3</vt:lpstr>
      <vt:lpstr>4</vt:lpstr>
      <vt:lpstr>5</vt:lpstr>
      <vt:lpstr>6</vt:lpstr>
      <vt:lpstr>7</vt:lpstr>
      <vt:lpstr>8</vt:lpstr>
      <vt:lpstr>9</vt:lpstr>
      <vt:lpstr>10</vt:lpstr>
      <vt:lpstr>Gr_2</vt:lpstr>
      <vt:lpstr>Gr_3</vt:lpstr>
      <vt:lpstr>الفصل الثاني</vt:lpstr>
      <vt:lpstr>11</vt:lpstr>
      <vt:lpstr>GR_4</vt:lpstr>
      <vt:lpstr>12</vt:lpstr>
      <vt:lpstr>13</vt:lpstr>
      <vt:lpstr>14</vt:lpstr>
      <vt:lpstr>15</vt:lpstr>
      <vt:lpstr>16</vt:lpstr>
      <vt:lpstr>17</vt:lpstr>
      <vt:lpstr>18</vt:lpstr>
      <vt:lpstr>19</vt:lpstr>
      <vt:lpstr>20</vt:lpstr>
      <vt:lpstr>Gr_5</vt:lpstr>
      <vt:lpstr>Gr_6</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'3'!Print_Area</vt:lpstr>
      <vt:lpstr>'4'!Print_Area</vt:lpstr>
      <vt:lpstr>'5'!Print_Area</vt:lpstr>
      <vt:lpstr>'6'!Print_Area</vt:lpstr>
      <vt:lpstr>'7'!Print_Area</vt:lpstr>
      <vt:lpstr>'8'!Print_Area</vt:lpstr>
      <vt:lpstr>'9'!Print_Area</vt:lpstr>
      <vt:lpstr>Concepts!Print_Area</vt:lpstr>
      <vt:lpstr>Cover!Print_Area</vt:lpstr>
      <vt:lpstr>First!Print_Area</vt:lpstr>
      <vt:lpstr>GR_1!Print_Area</vt:lpstr>
      <vt:lpstr>Gr_2!Print_Area</vt:lpstr>
      <vt:lpstr>Gr_3!Print_Area</vt:lpstr>
      <vt:lpstr>GR_4!Print_Area</vt:lpstr>
      <vt:lpstr>Gr_5!Print_Area</vt:lpstr>
      <vt:lpstr>Gr_6!Print_Area</vt:lpstr>
      <vt:lpstr>Indx!Print_Area</vt:lpstr>
      <vt:lpstr>Introduction!Print_Area</vt:lpstr>
      <vt:lpstr>Preface!Print_Area</vt:lpstr>
      <vt:lpstr>'الفصل الأول'!Print_Area</vt:lpstr>
      <vt:lpstr>'الفصل الثاني'!Print_Area</vt:lpstr>
      <vt:lpstr>Indx!Print_Titles</vt:lpstr>
      <vt:lpstr>Introduction!Print_Titles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Bulletin of Building Permits and Completed Buildings Statistics - 2021</dc:title>
  <dc:creator>Norah Jaber Al Ghufrani</dc:creator>
  <cp:keywords>Qatar; BuildingPermits; Statistics; Economic; Planning and Statistics Authority; PSA</cp:keywords>
  <cp:lastModifiedBy>Norah Jaber Alghufrani</cp:lastModifiedBy>
  <cp:lastPrinted>2022-03-29T06:13:19Z</cp:lastPrinted>
  <dcterms:created xsi:type="dcterms:W3CDTF">2017-08-17T09:02:17Z</dcterms:created>
  <dcterms:modified xsi:type="dcterms:W3CDTF">2022-03-29T06:16:05Z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Authority|e65649f4-24d1-441c-884c-448bd6b7a8f9;#179;#Qatar|f05dbc2b-1feb-4985-afc3-58e9ce18885a;#640;#Statistics|43e67556-4a22-4c31-b67a-99a39b12edc5;#645;#Economic|d7e8a056-d6ab-482e-bf61-3a160944221a;#654;#BuildingPermits|8b66a85a-03c3-4077-944f-d0fb710d0607</vt:lpwstr>
  </property>
  <property fmtid="{D5CDD505-2E9C-101B-9397-08002B2CF9AE}" pid="4" name="CategoryDescription">
    <vt:lpwstr>Bulletin of Building Permits and Completed Buildings Statistics - 2021</vt:lpwstr>
  </property>
  <property fmtid="{D5CDD505-2E9C-101B-9397-08002B2CF9AE}" pid="5" name="Hashtags">
    <vt:lpwstr>58;#StatisticalAbstract|c2f418c2-a295-4bd1-af99-d5d586494613</vt:lpwstr>
  </property>
</Properties>
</file>