
<file path=[Content_Types].xml><?xml version="1.0" encoding="utf-8"?>
<Types xmlns="http://schemas.openxmlformats.org/package/2006/content-types">
  <Default Extension="bin" ContentType="application/vnd.openxmlformats-officedocument.spreadsheetml.printerSettings"/>
  <Default Extension="png" ContentType="image/png"/>
  <Default Extension="wmf" ContentType="image/x-wmf"/>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harts/chart1.xml" ContentType="application/vnd.openxmlformats-officedocument.drawingml.chart+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drawings/drawing20.xml" ContentType="application/vnd.openxmlformats-officedocument.drawing+xml"/>
  <Override PartName="/xl/charts/chart4.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charts/chart5.xml" ContentType="application/vnd.openxmlformats-officedocument.drawingml.chart+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charts/chart6.xml" ContentType="application/vnd.openxmlformats-officedocument.drawingml.chart+xml"/>
  <Override PartName="/xl/charts/chart7.xml" ContentType="application/vnd.openxmlformats-officedocument.drawingml.chart+xml"/>
  <Override PartName="/xl/drawings/drawing34.xml" ContentType="application/vnd.openxmlformats-officedocument.drawing+xml"/>
  <Override PartName="/xl/charts/chart8.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docMetadata/LabelInfo.xml" ContentType="application/vnd.ms-office.classificationlabels+xml"/>
</Types>
</file>

<file path=_rels/.rels><?xml version="1.0" encoding="UTF-8" standalone="yes"?><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 Id="rId4" Type="http://schemas.openxmlformats.org/officeDocument/2006/relationships/custom-properties" Target="docProps/custom.xml" /><Relationship Id="rId5" Type="http://schemas.microsoft.com/office/2020/02/relationships/classificationlabels" Target="docMetadata/LabelInfo.xml" /></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20" windowWidth="23256" windowHeight="13176" firstSheet="9" activeTab="33"/>
  </bookViews>
  <sheets>
    <sheet name="Cover" sheetId="18" r:id="rId1"/>
    <sheet name="First" sheetId="12" r:id="rId2"/>
    <sheet name="Preface" sheetId="13" r:id="rId3"/>
    <sheet name="Indx" sheetId="14" r:id="rId4"/>
    <sheet name="Introduction" sheetId="15" r:id="rId5"/>
    <sheet name="Concepts" sheetId="17" r:id="rId6"/>
    <sheet name="الفصل الأول" sheetId="19" r:id="rId7"/>
    <sheet name="1" sheetId="20" r:id="rId8"/>
    <sheet name="GR_1" sheetId="40" r:id="rId9"/>
    <sheet name="2" sheetId="21" r:id="rId10"/>
    <sheet name="3" sheetId="22" r:id="rId11"/>
    <sheet name="4" sheetId="23" r:id="rId12"/>
    <sheet name="5" sheetId="24" r:id="rId13"/>
    <sheet name="6" sheetId="25" r:id="rId14"/>
    <sheet name="7" sheetId="26" r:id="rId15"/>
    <sheet name="8" sheetId="27" r:id="rId16"/>
    <sheet name="9" sheetId="28" r:id="rId17"/>
    <sheet name="10" sheetId="29" r:id="rId18"/>
    <sheet name="Gr_2" sheetId="42" r:id="rId19"/>
    <sheet name="Gr_3" sheetId="43" r:id="rId20"/>
    <sheet name="الفصل الثاني" sheetId="44" r:id="rId21"/>
    <sheet name="11" sheetId="30" r:id="rId22"/>
    <sheet name="GR_4" sheetId="45" r:id="rId23"/>
    <sheet name="12" sheetId="31" r:id="rId24"/>
    <sheet name="13" sheetId="32" r:id="rId25"/>
    <sheet name="14" sheetId="33" r:id="rId26"/>
    <sheet name="15" sheetId="34" r:id="rId27"/>
    <sheet name="16" sheetId="35" r:id="rId28"/>
    <sheet name="17" sheetId="36" r:id="rId29"/>
    <sheet name="18" sheetId="37" r:id="rId30"/>
    <sheet name="19" sheetId="38" r:id="rId31"/>
    <sheet name="20" sheetId="39" r:id="rId32"/>
    <sheet name="Gr_5" sheetId="46" r:id="rId33"/>
    <sheet name="Gr_6" sheetId="47" r:id="rId34"/>
  </sheets>
  <definedNames>
    <definedName name="_xlnm.Print_Area" localSheetId="7">'1'!$A$1:$F$21</definedName>
    <definedName name="_xlnm.Print_Area" localSheetId="17">'10'!$A$1:$K$24</definedName>
    <definedName name="_xlnm.Print_Area" localSheetId="21">'11'!$A$1:$E$20</definedName>
    <definedName name="_xlnm.Print_Area" localSheetId="23">'12'!$A$1:$E$20</definedName>
    <definedName name="_xlnm.Print_Area" localSheetId="24">'13'!$A$1:$E$20</definedName>
    <definedName name="_xlnm.Print_Area" localSheetId="25">'14'!$A$1:$E$20</definedName>
    <definedName name="_xlnm.Print_Area" localSheetId="26">'15'!$A$1:$E$20</definedName>
    <definedName name="_xlnm.Print_Area" localSheetId="27">'16'!$A$1:$E$20</definedName>
    <definedName name="_xlnm.Print_Area" localSheetId="28">'17'!$A$1:$E$20</definedName>
    <definedName name="_xlnm.Print_Area" localSheetId="29">'18'!$A$1:$E$20</definedName>
    <definedName name="_xlnm.Print_Area" localSheetId="30">'19'!$A$1:$E$20</definedName>
    <definedName name="_xlnm.Print_Area" localSheetId="9">'2'!$A$1:$F$21</definedName>
    <definedName name="_xlnm.Print_Area" localSheetId="10">'3'!$A$1:$F$21</definedName>
    <definedName name="_xlnm.Print_Area" localSheetId="11">'4'!$A$1:$F$21</definedName>
    <definedName name="_xlnm.Print_Area" localSheetId="12">'5'!$A$1:$F$21</definedName>
    <definedName name="_xlnm.Print_Area" localSheetId="13">'6'!$A$1:$F$21</definedName>
    <definedName name="_xlnm.Print_Area" localSheetId="14">'7'!$A$1:$F$21</definedName>
    <definedName name="_xlnm.Print_Area" localSheetId="15">'8'!$A$1:$F$21</definedName>
    <definedName name="_xlnm.Print_Area" localSheetId="16">'9'!$A$1:$F$21</definedName>
    <definedName name="_xlnm.Print_Area" localSheetId="5">Concepts!$A$1:$E$44</definedName>
    <definedName name="_xlnm.Print_Area" localSheetId="0">Cover!$A$1:$O$55</definedName>
    <definedName name="_xlnm.Print_Area" localSheetId="1">First!$A$1:$D$30</definedName>
    <definedName name="_xlnm.Print_Area" localSheetId="8">GR_1!$A$1:$M$34</definedName>
    <definedName name="_xlnm.Print_Area" localSheetId="18">Gr_2!$A$1:$N$31</definedName>
    <definedName name="_xlnm.Print_Area" localSheetId="19">Gr_3!$A$1:$L$46</definedName>
    <definedName name="_xlnm.Print_Area" localSheetId="22">GR_4!$A$1:$M$34</definedName>
    <definedName name="_xlnm.Print_Area" localSheetId="32">Gr_5!$A$1:$N$31</definedName>
    <definedName name="_xlnm.Print_Area" localSheetId="33">Gr_6!$A$1:$L$33</definedName>
    <definedName name="_xlnm.Print_Area" localSheetId="3">Indx!$A$1:$C$36</definedName>
    <definedName name="_xlnm.Print_Area" localSheetId="4">Introduction!$A$1:$E$9</definedName>
    <definedName name="_xlnm.Print_Area" localSheetId="2">Preface!$A$1:$E$17</definedName>
    <definedName name="_xlnm.Print_Area" localSheetId="6">'الفصل الأول'!$A$1:$B$17</definedName>
    <definedName name="_xlnm.Print_Area" localSheetId="20">'الفصل الثاني'!$A$1:$B$17</definedName>
    <definedName name="_xlnm.Print_Titles" localSheetId="3">Indx!$1:$5</definedName>
    <definedName name="_xlnm.Print_Titles" localSheetId="4">Introduction!$1:$1</definedName>
  </definedNames>
  <calcPr calcId="145621"/>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19" i="38" l="1"/>
  <c r="B19" i="37"/>
  <c r="B19" i="36"/>
  <c r="B19" i="35"/>
  <c r="B19" i="34"/>
  <c r="B19" i="33"/>
  <c r="B19" i="32"/>
  <c r="B19" i="31"/>
  <c r="B18" i="38"/>
  <c r="B18" i="37"/>
  <c r="B18" i="36"/>
  <c r="B18" i="35"/>
  <c r="B18" i="34"/>
  <c r="B18" i="33"/>
  <c r="B18" i="32"/>
  <c r="B18" i="31"/>
  <c r="B17" i="38"/>
  <c r="B17" i="37"/>
  <c r="B17" i="36"/>
  <c r="B17" i="35"/>
  <c r="B17" i="34"/>
  <c r="B17" i="33"/>
  <c r="B17" i="32"/>
  <c r="B17" i="31"/>
  <c r="B16" i="38"/>
  <c r="B16" i="37"/>
  <c r="B16" i="36"/>
  <c r="B16" i="35"/>
  <c r="B16" i="34"/>
  <c r="B16" i="33"/>
  <c r="B16" i="32"/>
  <c r="B16" i="31"/>
  <c r="B15" i="38"/>
  <c r="B15" i="37"/>
  <c r="B15" i="36"/>
  <c r="B15" i="35"/>
  <c r="B15" i="34"/>
  <c r="B15" i="33"/>
  <c r="B15" i="32"/>
  <c r="B15" i="31"/>
  <c r="B14" i="38"/>
  <c r="B14" i="37"/>
  <c r="B14" i="36"/>
  <c r="B14" i="35"/>
  <c r="B14" i="34"/>
  <c r="B14" i="33"/>
  <c r="B14" i="32"/>
  <c r="B14" i="31"/>
  <c r="B13" i="38"/>
  <c r="B13" i="37"/>
  <c r="B13" i="36"/>
  <c r="B13" i="35"/>
  <c r="B13" i="34"/>
  <c r="B13" i="33"/>
  <c r="B13" i="32"/>
  <c r="B13" i="31"/>
  <c r="B12" i="38"/>
  <c r="B12" i="37"/>
  <c r="B12" i="36"/>
  <c r="B12" i="35"/>
  <c r="B12" i="34"/>
  <c r="B12" i="33"/>
  <c r="B12" i="32"/>
  <c r="B12" i="31"/>
  <c r="B11" i="38"/>
  <c r="B11" i="37"/>
  <c r="B11" i="36"/>
  <c r="B11" i="35"/>
  <c r="B11" i="34"/>
  <c r="B11" i="33"/>
  <c r="B11" i="32"/>
  <c r="B11" i="31"/>
  <c r="B10" i="38"/>
  <c r="B10" i="37"/>
  <c r="B10" i="36"/>
  <c r="B10" i="35"/>
  <c r="B10" i="34"/>
  <c r="B10" i="33"/>
  <c r="B10" i="32"/>
  <c r="B10" i="31"/>
  <c r="B9" i="38"/>
  <c r="B9" i="37"/>
  <c r="B9" i="36"/>
  <c r="B9" i="35"/>
  <c r="B9" i="34"/>
  <c r="B9" i="33"/>
  <c r="B9" i="32"/>
  <c r="B9" i="31"/>
  <c r="B8" i="38"/>
  <c r="B8" i="37"/>
  <c r="B8" i="36"/>
  <c r="B8" i="35"/>
  <c r="B8" i="34"/>
  <c r="B8" i="33"/>
  <c r="B8" i="32"/>
  <c r="B8" i="31"/>
  <c r="B19" i="28" l="1"/>
  <c r="B18" i="28"/>
  <c r="B17" i="28"/>
  <c r="B16" i="28"/>
  <c r="B15" i="28"/>
  <c r="B14" i="28"/>
  <c r="B13" i="28"/>
  <c r="B12" i="28"/>
  <c r="B11" i="28"/>
  <c r="B10" i="28"/>
  <c r="B9" i="28"/>
  <c r="B8" i="28"/>
  <c r="B19" i="26"/>
  <c r="B18" i="26"/>
  <c r="B17" i="26"/>
  <c r="B16" i="26"/>
  <c r="B14" i="26"/>
  <c r="B15" i="26"/>
  <c r="B13" i="26"/>
  <c r="B12" i="26"/>
  <c r="B11" i="26"/>
  <c r="B10" i="26"/>
  <c r="B9" i="26"/>
  <c r="B8" i="26"/>
  <c r="B19" i="25"/>
  <c r="B18" i="25"/>
  <c r="B17" i="25"/>
  <c r="B16" i="25"/>
  <c r="B15" i="25"/>
  <c r="B14" i="25"/>
  <c r="B13" i="25"/>
  <c r="B12" i="25"/>
  <c r="B11" i="25"/>
  <c r="B10" i="25"/>
  <c r="B9" i="25"/>
  <c r="B8" i="25"/>
  <c r="B19" i="27"/>
  <c r="B18" i="27"/>
  <c r="B17" i="27"/>
  <c r="B16" i="27"/>
  <c r="B15" i="27"/>
  <c r="B14" i="27"/>
  <c r="B13" i="27"/>
  <c r="B12" i="27"/>
  <c r="B11" i="27"/>
  <c r="B10" i="27"/>
  <c r="B9" i="27"/>
  <c r="B8" i="27"/>
  <c r="B19" i="24"/>
  <c r="B18" i="24"/>
  <c r="B17" i="24"/>
  <c r="B16" i="24"/>
  <c r="B15" i="24"/>
  <c r="B14" i="24"/>
  <c r="B13" i="24"/>
  <c r="B12" i="24"/>
  <c r="B11" i="24"/>
  <c r="B10" i="24"/>
  <c r="B9" i="24"/>
  <c r="B8" i="24"/>
  <c r="B19" i="23"/>
  <c r="B18" i="23"/>
  <c r="B17" i="23"/>
  <c r="B16" i="23"/>
  <c r="B15" i="23"/>
  <c r="B14" i="23"/>
  <c r="B13" i="23"/>
  <c r="B12" i="23"/>
  <c r="B11" i="23"/>
  <c r="B10" i="23"/>
  <c r="B9" i="23"/>
  <c r="B8" i="23"/>
  <c r="B19" i="22"/>
  <c r="B18" i="22"/>
  <c r="B17" i="22"/>
  <c r="B16" i="22"/>
  <c r="B15" i="22"/>
  <c r="B14" i="22"/>
  <c r="B13" i="22"/>
  <c r="B12" i="22"/>
  <c r="B11" i="22"/>
  <c r="B10" i="22"/>
  <c r="B9" i="22"/>
  <c r="B8" i="22"/>
  <c r="B19" i="21"/>
  <c r="B18" i="21"/>
  <c r="B17" i="21"/>
  <c r="B16" i="21"/>
  <c r="B15" i="21"/>
  <c r="B14" i="21"/>
  <c r="B13" i="21"/>
  <c r="B12" i="21"/>
  <c r="B11" i="21"/>
  <c r="B10" i="21"/>
  <c r="B9" i="21"/>
  <c r="B8" i="21"/>
  <c r="J8" i="39" l="1"/>
  <c r="J9" i="39"/>
  <c r="J10" i="39"/>
  <c r="J11" i="39"/>
  <c r="B12" i="39"/>
  <c r="C12" i="39"/>
  <c r="D12" i="39"/>
  <c r="E12" i="39"/>
  <c r="F12" i="39"/>
  <c r="G12" i="39"/>
  <c r="H12" i="39"/>
  <c r="I12" i="39"/>
  <c r="J14" i="39"/>
  <c r="J15" i="39"/>
  <c r="J16" i="39"/>
  <c r="J17" i="39"/>
  <c r="J18" i="39"/>
  <c r="B19" i="39"/>
  <c r="C19" i="39"/>
  <c r="D19" i="39"/>
  <c r="E19" i="39"/>
  <c r="F19" i="39"/>
  <c r="G19" i="39"/>
  <c r="H19" i="39"/>
  <c r="I19" i="39"/>
  <c r="D8" i="38"/>
  <c r="D9" i="38"/>
  <c r="D10" i="38"/>
  <c r="D11" i="38"/>
  <c r="D12" i="38"/>
  <c r="D13" i="38"/>
  <c r="D14" i="38"/>
  <c r="D15" i="38"/>
  <c r="D16" i="38"/>
  <c r="D17" i="38"/>
  <c r="D18" i="38"/>
  <c r="D19" i="38"/>
  <c r="C20" i="38"/>
  <c r="I21" i="39" s="1"/>
  <c r="D8" i="37"/>
  <c r="D9" i="37"/>
  <c r="D10" i="37"/>
  <c r="D11" i="37"/>
  <c r="D12" i="37"/>
  <c r="D13" i="37"/>
  <c r="D14" i="37"/>
  <c r="D15" i="37"/>
  <c r="D16" i="37"/>
  <c r="D17" i="37"/>
  <c r="D18" i="37"/>
  <c r="D19" i="37"/>
  <c r="C20" i="37"/>
  <c r="F21" i="39" s="1"/>
  <c r="D8" i="36"/>
  <c r="B20" i="36"/>
  <c r="D10" i="36"/>
  <c r="D11" i="36"/>
  <c r="D12" i="36"/>
  <c r="D13" i="36"/>
  <c r="D14" i="36"/>
  <c r="D15" i="36"/>
  <c r="D16" i="36"/>
  <c r="D17" i="36"/>
  <c r="D18" i="36"/>
  <c r="D19" i="36"/>
  <c r="C20" i="36"/>
  <c r="H21" i="39" s="1"/>
  <c r="D8" i="35"/>
  <c r="D9" i="35"/>
  <c r="D10" i="35"/>
  <c r="D11" i="35"/>
  <c r="D12" i="35"/>
  <c r="D13" i="35"/>
  <c r="D14" i="35"/>
  <c r="D15" i="35"/>
  <c r="D16" i="35"/>
  <c r="D17" i="35"/>
  <c r="D18" i="35"/>
  <c r="D19" i="35"/>
  <c r="C20" i="35"/>
  <c r="G21" i="39" s="1"/>
  <c r="D8" i="34"/>
  <c r="D9" i="34"/>
  <c r="D10" i="34"/>
  <c r="D11" i="34"/>
  <c r="D12" i="34"/>
  <c r="D13" i="34"/>
  <c r="D14" i="34"/>
  <c r="D15" i="34"/>
  <c r="D16" i="34"/>
  <c r="D17" i="34"/>
  <c r="D18" i="34"/>
  <c r="D19" i="34"/>
  <c r="C20" i="34"/>
  <c r="E21" i="39" s="1"/>
  <c r="D8" i="33"/>
  <c r="D9" i="33"/>
  <c r="D10" i="33"/>
  <c r="D11" i="33"/>
  <c r="D12" i="33"/>
  <c r="D13" i="33"/>
  <c r="D14" i="33"/>
  <c r="D15" i="33"/>
  <c r="D16" i="33"/>
  <c r="D17" i="33"/>
  <c r="D18" i="33"/>
  <c r="D19" i="33"/>
  <c r="C20" i="33"/>
  <c r="D21" i="39" s="1"/>
  <c r="B8" i="30"/>
  <c r="D9" i="32"/>
  <c r="D10" i="32"/>
  <c r="D11" i="32"/>
  <c r="B12" i="30"/>
  <c r="D13" i="32"/>
  <c r="D14" i="32"/>
  <c r="D15" i="32"/>
  <c r="D16" i="32"/>
  <c r="D17" i="32"/>
  <c r="D18" i="32"/>
  <c r="D19" i="32"/>
  <c r="C20" i="32"/>
  <c r="C21" i="39" s="1"/>
  <c r="D8" i="31"/>
  <c r="D9" i="31"/>
  <c r="D10" i="31"/>
  <c r="D11" i="31"/>
  <c r="D12" i="31"/>
  <c r="D13" i="31"/>
  <c r="D14" i="31"/>
  <c r="D15" i="31"/>
  <c r="D16" i="31"/>
  <c r="D17" i="31"/>
  <c r="D18" i="31"/>
  <c r="D19" i="31"/>
  <c r="C20" i="31"/>
  <c r="B21" i="39" s="1"/>
  <c r="C8" i="30"/>
  <c r="C9" i="30"/>
  <c r="C10" i="30"/>
  <c r="C11" i="30"/>
  <c r="C12" i="30"/>
  <c r="C13" i="30"/>
  <c r="C14" i="30"/>
  <c r="C15" i="30"/>
  <c r="C16" i="30"/>
  <c r="B17" i="30"/>
  <c r="C17" i="30"/>
  <c r="C18" i="30"/>
  <c r="C19" i="30"/>
  <c r="E22" i="39" l="1"/>
  <c r="F22" i="39"/>
  <c r="C20" i="30"/>
  <c r="D22" i="39"/>
  <c r="D14" i="30"/>
  <c r="D20" i="33"/>
  <c r="B20" i="37"/>
  <c r="D20" i="38"/>
  <c r="H22" i="39"/>
  <c r="D17" i="30"/>
  <c r="B13" i="30"/>
  <c r="D19" i="30"/>
  <c r="B20" i="38"/>
  <c r="G22" i="39"/>
  <c r="J19" i="39"/>
  <c r="D12" i="32"/>
  <c r="D12" i="30" s="1"/>
  <c r="D8" i="32"/>
  <c r="D20" i="32" s="1"/>
  <c r="D9" i="36"/>
  <c r="D20" i="36" s="1"/>
  <c r="I22" i="39"/>
  <c r="B16" i="30"/>
  <c r="D11" i="30"/>
  <c r="B9" i="30"/>
  <c r="B20" i="33"/>
  <c r="D20" i="34"/>
  <c r="B20" i="32"/>
  <c r="D15" i="30"/>
  <c r="B20" i="34"/>
  <c r="J12" i="39"/>
  <c r="C22" i="39"/>
  <c r="D18" i="30"/>
  <c r="D13" i="30"/>
  <c r="D10" i="30"/>
  <c r="D20" i="35"/>
  <c r="D20" i="37"/>
  <c r="B22" i="39"/>
  <c r="J21" i="39"/>
  <c r="D20" i="31"/>
  <c r="D16" i="30"/>
  <c r="B14" i="30"/>
  <c r="B10" i="30"/>
  <c r="B19" i="30"/>
  <c r="B15" i="30"/>
  <c r="B11" i="30"/>
  <c r="B20" i="31"/>
  <c r="B20" i="35"/>
  <c r="B18" i="30"/>
  <c r="I19" i="29"/>
  <c r="H19" i="29"/>
  <c r="G19" i="29"/>
  <c r="F19" i="29"/>
  <c r="E19" i="29"/>
  <c r="D19" i="29"/>
  <c r="C19" i="29"/>
  <c r="B19" i="29"/>
  <c r="J18" i="29"/>
  <c r="J17" i="29"/>
  <c r="J16" i="29"/>
  <c r="J15" i="29"/>
  <c r="J14" i="29"/>
  <c r="I12" i="29"/>
  <c r="H12" i="29"/>
  <c r="G12" i="29"/>
  <c r="F12" i="29"/>
  <c r="E12" i="29"/>
  <c r="D12" i="29"/>
  <c r="C12" i="29"/>
  <c r="B12" i="29"/>
  <c r="J11" i="29"/>
  <c r="J10" i="29"/>
  <c r="J9" i="29"/>
  <c r="J8" i="29"/>
  <c r="D20" i="28"/>
  <c r="I22" i="29" s="1"/>
  <c r="C20" i="28"/>
  <c r="I21" i="29" s="1"/>
  <c r="E19" i="28"/>
  <c r="E18" i="28"/>
  <c r="E17" i="28"/>
  <c r="E16" i="28"/>
  <c r="E15" i="28"/>
  <c r="E14" i="28"/>
  <c r="E13" i="28"/>
  <c r="E12" i="28"/>
  <c r="E11" i="28"/>
  <c r="E10" i="28"/>
  <c r="E9" i="28"/>
  <c r="E8" i="28"/>
  <c r="D20" i="27"/>
  <c r="F22" i="29" s="1"/>
  <c r="C20" i="27"/>
  <c r="F21" i="29" s="1"/>
  <c r="E19" i="27"/>
  <c r="E18" i="27"/>
  <c r="E17" i="27"/>
  <c r="E16" i="27"/>
  <c r="E15" i="27"/>
  <c r="E14" i="27"/>
  <c r="E13" i="27"/>
  <c r="E12" i="27"/>
  <c r="E11" i="27"/>
  <c r="E10" i="27"/>
  <c r="E9" i="27"/>
  <c r="B20" i="27"/>
  <c r="D20" i="26"/>
  <c r="H22" i="29" s="1"/>
  <c r="C20" i="26"/>
  <c r="H21" i="29" s="1"/>
  <c r="E19" i="26"/>
  <c r="E18" i="26"/>
  <c r="E17" i="26"/>
  <c r="E16" i="26"/>
  <c r="E15" i="26"/>
  <c r="E14" i="26"/>
  <c r="E13" i="26"/>
  <c r="E12" i="26"/>
  <c r="E11" i="26"/>
  <c r="E10" i="26"/>
  <c r="E9" i="26"/>
  <c r="E8" i="26"/>
  <c r="B20" i="26"/>
  <c r="D20" i="25"/>
  <c r="G22" i="29" s="1"/>
  <c r="C20" i="25"/>
  <c r="G21" i="29" s="1"/>
  <c r="E19" i="25"/>
  <c r="E18" i="25"/>
  <c r="E17" i="25"/>
  <c r="E16" i="25"/>
  <c r="E15" i="25"/>
  <c r="E14" i="25"/>
  <c r="E13" i="25"/>
  <c r="E12" i="25"/>
  <c r="E11" i="25"/>
  <c r="E10" i="25"/>
  <c r="E9" i="25"/>
  <c r="E8" i="25"/>
  <c r="D20" i="24"/>
  <c r="E22" i="29" s="1"/>
  <c r="C20" i="24"/>
  <c r="E21" i="29" s="1"/>
  <c r="E19" i="24"/>
  <c r="E18" i="24"/>
  <c r="E17" i="24"/>
  <c r="E16" i="24"/>
  <c r="E15" i="24"/>
  <c r="E14" i="24"/>
  <c r="E13" i="24"/>
  <c r="E12" i="24"/>
  <c r="E11" i="24"/>
  <c r="E10" i="24"/>
  <c r="E9" i="24"/>
  <c r="E8" i="24"/>
  <c r="D20" i="23"/>
  <c r="D22" i="29" s="1"/>
  <c r="C20" i="23"/>
  <c r="D21" i="29" s="1"/>
  <c r="E19" i="23"/>
  <c r="E18" i="23"/>
  <c r="E17" i="23"/>
  <c r="E16" i="23"/>
  <c r="E15" i="23"/>
  <c r="E14" i="23"/>
  <c r="E13" i="23"/>
  <c r="E12" i="23"/>
  <c r="E11" i="23"/>
  <c r="E10" i="23"/>
  <c r="E9" i="23"/>
  <c r="E8" i="23"/>
  <c r="B20" i="23"/>
  <c r="D20" i="22"/>
  <c r="C22" i="29" s="1"/>
  <c r="C20" i="22"/>
  <c r="C21" i="29" s="1"/>
  <c r="E19" i="22"/>
  <c r="E18" i="22"/>
  <c r="E17" i="22"/>
  <c r="E16" i="22"/>
  <c r="E15" i="22"/>
  <c r="E14" i="22"/>
  <c r="E13" i="22"/>
  <c r="E12" i="22"/>
  <c r="E11" i="22"/>
  <c r="E10" i="22"/>
  <c r="E9" i="22"/>
  <c r="E8" i="22"/>
  <c r="B20" i="22"/>
  <c r="D20" i="21"/>
  <c r="B22" i="29" s="1"/>
  <c r="C20" i="21"/>
  <c r="B21" i="29" s="1"/>
  <c r="E19" i="21"/>
  <c r="E18" i="21"/>
  <c r="E17" i="21"/>
  <c r="E16" i="21"/>
  <c r="E15" i="21"/>
  <c r="E14" i="21"/>
  <c r="E13" i="21"/>
  <c r="E12" i="21"/>
  <c r="E11" i="21"/>
  <c r="E10" i="21"/>
  <c r="E9" i="21"/>
  <c r="E8" i="21"/>
  <c r="D19" i="20"/>
  <c r="C19" i="20"/>
  <c r="B19" i="20"/>
  <c r="D18" i="20"/>
  <c r="C18" i="20"/>
  <c r="B18" i="20"/>
  <c r="D17" i="20"/>
  <c r="C17" i="20"/>
  <c r="B17" i="20"/>
  <c r="D16" i="20"/>
  <c r="C16" i="20"/>
  <c r="B16" i="20"/>
  <c r="D15" i="20"/>
  <c r="C15" i="20"/>
  <c r="B15" i="20"/>
  <c r="D14" i="20"/>
  <c r="C14" i="20"/>
  <c r="B14" i="20"/>
  <c r="D13" i="20"/>
  <c r="C13" i="20"/>
  <c r="B13" i="20"/>
  <c r="D12" i="20"/>
  <c r="C12" i="20"/>
  <c r="B12" i="20"/>
  <c r="D11" i="20"/>
  <c r="C11" i="20"/>
  <c r="B11" i="20"/>
  <c r="D10" i="20"/>
  <c r="C10" i="20"/>
  <c r="B10" i="20"/>
  <c r="D9" i="20"/>
  <c r="C9" i="20"/>
  <c r="B9" i="20"/>
  <c r="D8" i="20"/>
  <c r="C8" i="20"/>
  <c r="B8" i="20"/>
  <c r="J22" i="39" l="1"/>
  <c r="J19" i="29"/>
  <c r="F23" i="29"/>
  <c r="E11" i="20"/>
  <c r="E20" i="21"/>
  <c r="B20" i="20"/>
  <c r="E13" i="20"/>
  <c r="E9" i="20"/>
  <c r="E16" i="20"/>
  <c r="D20" i="20"/>
  <c r="E20" i="24"/>
  <c r="E17" i="20"/>
  <c r="D8" i="30"/>
  <c r="B20" i="21"/>
  <c r="B20" i="25"/>
  <c r="E19" i="20"/>
  <c r="E20" i="25"/>
  <c r="C20" i="20"/>
  <c r="E20" i="22"/>
  <c r="E20" i="26"/>
  <c r="D23" i="29"/>
  <c r="E12" i="20"/>
  <c r="E15" i="20"/>
  <c r="D9" i="30"/>
  <c r="E10" i="20"/>
  <c r="E14" i="20"/>
  <c r="E18" i="20"/>
  <c r="E20" i="23"/>
  <c r="E8" i="27"/>
  <c r="E20" i="27" s="1"/>
  <c r="J12" i="29"/>
  <c r="B20" i="24"/>
  <c r="B20" i="28"/>
  <c r="G23" i="29"/>
  <c r="B20" i="30"/>
  <c r="B23" i="29"/>
  <c r="J21" i="29"/>
  <c r="E23" i="29"/>
  <c r="I23" i="29"/>
  <c r="C23" i="29"/>
  <c r="E20" i="28"/>
  <c r="H23" i="29"/>
  <c r="J22" i="29"/>
  <c r="D20" i="30" l="1"/>
  <c r="E8" i="20"/>
  <c r="E20" i="20" s="1"/>
  <c r="J23" i="29"/>
</calcChain>
</file>

<file path=xl/sharedStrings.xml><?xml version="1.0" encoding="utf-8"?>
<sst xmlns="http://schemas.openxmlformats.org/spreadsheetml/2006/main" count="997" uniqueCount="347">
  <si>
    <t>And Allah grants success</t>
  </si>
  <si>
    <t>والله ولي التوفيق،،،</t>
  </si>
  <si>
    <t>We welcome any remarks and suggestions that could improve contents of this bulletin.</t>
  </si>
  <si>
    <t>ونرحب بأية ملاحظات وإقتراحات من شأنها تحسين مضمون هذه النشرة.</t>
  </si>
  <si>
    <t>Preface</t>
  </si>
  <si>
    <t xml:space="preserve">Concepts and definitions </t>
  </si>
  <si>
    <t xml:space="preserve">المفاهيم والتعاريف </t>
  </si>
  <si>
    <t xml:space="preserve">Introduction </t>
  </si>
  <si>
    <t xml:space="preserve">مقدمـــــــــــة </t>
  </si>
  <si>
    <t xml:space="preserve">Preface </t>
  </si>
  <si>
    <t xml:space="preserve">تقديــــــــم </t>
  </si>
  <si>
    <t>Particulars</t>
  </si>
  <si>
    <t>البيــــــــــان</t>
  </si>
  <si>
    <t>Contents</t>
  </si>
  <si>
    <t>المحتويات</t>
  </si>
  <si>
    <t>جمعت بيانات هذه النشرة عن سنة ميلادية تبدأ اعتباراً من أول يناير وتنتهي آخر ديسمبر.</t>
  </si>
  <si>
    <t>1- Scope:</t>
  </si>
  <si>
    <t>1 - النطـــاق:</t>
  </si>
  <si>
    <t>Introduction</t>
  </si>
  <si>
    <t>مقدمــة</t>
  </si>
  <si>
    <t>Included any other non-residential building not classified elsewhere e.g. clubs, theaters, cinemas etc…</t>
  </si>
  <si>
    <t>وتشمل كافة انواع المباني غير السكنية الاخرى والتي لم تصنف اعلاه مثل الاندية والمسارح والسينمات ... الخ .</t>
  </si>
  <si>
    <t xml:space="preserve">Others : </t>
  </si>
  <si>
    <t xml:space="preserve">أخــــرى : </t>
  </si>
  <si>
    <t>Included here, building of industrial areas.</t>
  </si>
  <si>
    <t>وتشمل عادة مباني المناطق الصناعية .</t>
  </si>
  <si>
    <t xml:space="preserve">Workshops / Factories: </t>
  </si>
  <si>
    <t xml:space="preserve">ورش ومصانع : </t>
  </si>
  <si>
    <t>Included here, buildings of commercial centers, markets, shops, offices and stores.</t>
  </si>
  <si>
    <t>وتشمل مباني الاسواق والمعارض والدكاكين والمكاتب والمخازن المستقلة .</t>
  </si>
  <si>
    <t xml:space="preserve">Commercial Buildings: </t>
  </si>
  <si>
    <t xml:space="preserve">مباني تجارية : </t>
  </si>
  <si>
    <t>وتشمل مباني الوزارات والادارات الحكومية والمدارس والمستشفيات والمراكز الصحية وماشابه .</t>
  </si>
  <si>
    <t xml:space="preserve">Public Buildings: </t>
  </si>
  <si>
    <t xml:space="preserve">الدوائر الحكومية : </t>
  </si>
  <si>
    <t>B - Non-Residential Buildings:</t>
  </si>
  <si>
    <t>ب - المباني غير الســكنية :</t>
  </si>
  <si>
    <t>Including any other residential building with an architectural design different from  those mentioned above.</t>
  </si>
  <si>
    <t>وهى تلك الانواع من المباني السكنية والتي لها شكل معماري مختلف عن انواع المباني التي ذكرت أعلاه .</t>
  </si>
  <si>
    <t xml:space="preserve">Others: </t>
  </si>
  <si>
    <t xml:space="preserve">أخــرى : </t>
  </si>
  <si>
    <t>A building which comprises two or more floors including the ground floor which mainly comprises shops and stores. Each floor is comprised of one flat or more using the same staircase and the main entrance leading to the main road.</t>
  </si>
  <si>
    <t>وهى مبنى يتكون من طابقين أو أكثر بما فيها الطابق الارضي الذي يتكون في الغالب من مخازن أو دكاكين ... الخ يحتوى كل طابق على شقه أو أكثر ولا يجمع بين الشقه والأخرى الا الدرج والممر المؤدي الى الطريق العام .</t>
  </si>
  <si>
    <t xml:space="preserve">Multi-Storeyed Buildings:  </t>
  </si>
  <si>
    <t xml:space="preserve">العمــــارة : </t>
  </si>
  <si>
    <t>These are dwelling similar to villas in shape and design. The construction of these dwellings is being financed by the State for eligible citizens.</t>
  </si>
  <si>
    <t>هي مساكن تشابه الفيلا في شكلها وتصميمها ويمول بناؤها من قبل الدولة للمواطنين المستحقين لها .</t>
  </si>
  <si>
    <t>Dwellings of Housings Loans:</t>
  </si>
  <si>
    <t>مساكن قروض الإسكان :</t>
  </si>
  <si>
    <t>A building comprised of one or two floors - or more in some cases - linked with an internal staircase. The building is surrounded with external boundary walls. The area separating the building and these external walls is mainly used as a garden.</t>
  </si>
  <si>
    <t>وهو المبنى المكون من طابق أو طابقين - أو أكثر في بعض الحالات - يصل بينهما سلم داخلي . يحيط بالمبنى سور ويفصل ما بين السور والمبنى مساحة غالباً ما تكون بها حديقة .</t>
  </si>
  <si>
    <t xml:space="preserve">Villas: </t>
  </si>
  <si>
    <t>فيلا :</t>
  </si>
  <si>
    <t>A - Residential Buildings:</t>
  </si>
  <si>
    <t>أ ـ المباني الســكنية :</t>
  </si>
  <si>
    <t>The architectural design of a building irrespective of its usage after completion</t>
  </si>
  <si>
    <t>هـو الشــكل الهندسي أو المعماري لتصميم المبنى بصرف النظر عن كيفية استخدامه .</t>
  </si>
  <si>
    <t>An independent structure whether permanent or temporary which comprises foundations, walls, roofs, etc…</t>
  </si>
  <si>
    <t>An authorization for the erection of a boundary wall along the boundaries of any piece of land whether permanent or temporary.</t>
  </si>
  <si>
    <t>الترخيص لعمل بناء ينشأ على حدود أي قطعة أرض (دائم أو مؤقت ) .</t>
  </si>
  <si>
    <t>c - Fencing Permit:</t>
  </si>
  <si>
    <t>ج ـ رخصة تحويط :</t>
  </si>
  <si>
    <t>An authorization for an enlargement of an existing building e.g. additional floor, a bathroom, servant room etc…</t>
  </si>
  <si>
    <t>الترخيص لعمل اضافة لمبنى قائم مثال ذلك بناء طابق اضافي ، حمام ، غرفة خادم ... الخ .</t>
  </si>
  <si>
    <t>b- Additions Permit:</t>
  </si>
  <si>
    <t>ب ـ رخصة أضافة :</t>
  </si>
  <si>
    <t>An authorization for the erection of an entirely new structure.</t>
  </si>
  <si>
    <t>الترخيص لقيام بناء لهيكل معماري جديد قائم بذاته .</t>
  </si>
  <si>
    <t>a- New Building Permit:</t>
  </si>
  <si>
    <t>أ ـ رخصة مبنى جديد :</t>
  </si>
  <si>
    <t>2- TYPES OF BUILDING PERMITS:</t>
  </si>
  <si>
    <t>2- انواع رخص البناء :</t>
  </si>
  <si>
    <t>An official authorization for the erection of a building issued by the municipalities after checking and approving documents and detailed maps.</t>
  </si>
  <si>
    <t>تصريح رسمي للشروع في عملية البناء يصدر من قبل البلدية بعد مراجعة واعتماد المستندات والخرائط التفصيلية .</t>
  </si>
  <si>
    <t>1- BUILDING PERMIT:</t>
  </si>
  <si>
    <t>1- رخصة بنــاء :</t>
  </si>
  <si>
    <t>Concepts and definitions</t>
  </si>
  <si>
    <t>أهم المفاهيم والتعاريف</t>
  </si>
  <si>
    <t>تقديم</t>
  </si>
  <si>
    <t>3ـ المــــبنى :</t>
  </si>
  <si>
    <t>3. THE BUILDING:</t>
  </si>
  <si>
    <r>
      <rPr>
        <b/>
        <sz val="12"/>
        <color indexed="8"/>
        <rFont val="Arial"/>
        <family val="2"/>
      </rPr>
      <t>رقم الصفحة</t>
    </r>
    <r>
      <rPr>
        <b/>
        <sz val="10"/>
        <color indexed="8"/>
        <rFont val="Arial"/>
        <family val="2"/>
      </rPr>
      <t xml:space="preserve">
Page No.</t>
    </r>
  </si>
  <si>
    <t>هو أي بناء سواء كان مؤقتاً أو بصفة دائمة ويشتمل على اساسات وطوابق وحوائط وسقوف ... الخ .</t>
  </si>
  <si>
    <t>Included here, buildings of ministries, government departments, schools, hospitals, health centers and the like.</t>
  </si>
  <si>
    <r>
      <t>Data presented in this bulletin relate to a calendar year commencing 1</t>
    </r>
    <r>
      <rPr>
        <vertAlign val="superscript"/>
        <sz val="11"/>
        <color indexed="8"/>
        <rFont val="Arial"/>
        <family val="2"/>
      </rPr>
      <t xml:space="preserve">st </t>
    </r>
    <r>
      <rPr>
        <sz val="11"/>
        <color indexed="8"/>
        <rFont val="Arial"/>
        <family val="2"/>
      </rPr>
      <t>January and ending 31</t>
    </r>
    <r>
      <rPr>
        <vertAlign val="superscript"/>
        <sz val="11"/>
        <color indexed="8"/>
        <rFont val="Arial"/>
        <family val="2"/>
      </rPr>
      <t>st</t>
    </r>
    <r>
      <rPr>
        <sz val="11"/>
        <color indexed="8"/>
        <rFont val="Arial"/>
        <family val="2"/>
      </rPr>
      <t xml:space="preserve"> December of the reference period.</t>
    </r>
  </si>
  <si>
    <t>كما يسر الجهاز أن يتقدم بالشكر الجزيل لكافة المسئولين بوزارة البلدية والبيئة لتعاونهم ومساهمتهم في إصدار هذه النشرة.</t>
  </si>
  <si>
    <r>
      <rPr>
        <b/>
        <sz val="20"/>
        <color indexed="8"/>
        <rFont val="Sultan bold"/>
        <charset val="178"/>
      </rPr>
      <t>د. صالح بن محمد النابت</t>
    </r>
    <r>
      <rPr>
        <b/>
        <sz val="20"/>
        <color indexed="8"/>
        <rFont val="Arial"/>
        <family val="2"/>
      </rPr>
      <t xml:space="preserve">
</t>
    </r>
    <r>
      <rPr>
        <b/>
        <sz val="16"/>
        <color indexed="8"/>
        <rFont val="Arial"/>
        <family val="2"/>
      </rPr>
      <t>رئيس جهاز التخطيط والإحصاء</t>
    </r>
  </si>
  <si>
    <t>The Authority takes this opportunity to express gratitudes and thanks to all concerned officials at the Ministry of Municipality and Environment for their cooperation and contribution in producing this bulletin.</t>
  </si>
  <si>
    <r>
      <rPr>
        <b/>
        <sz val="18"/>
        <color indexed="8"/>
        <rFont val="Arial Black"/>
        <family val="2"/>
      </rPr>
      <t>Dr. Saleh bin Mohammed Al Nabit</t>
    </r>
    <r>
      <rPr>
        <b/>
        <sz val="14"/>
        <color indexed="8"/>
        <rFont val="Arial Black"/>
        <family val="2"/>
      </rPr>
      <t xml:space="preserve">
</t>
    </r>
    <r>
      <rPr>
        <b/>
        <sz val="12"/>
        <color indexed="8"/>
        <rFont val="Arial Black"/>
        <family val="2"/>
      </rPr>
      <t>President</t>
    </r>
    <r>
      <rPr>
        <sz val="12"/>
        <color indexed="8"/>
        <rFont val="Arial Black"/>
        <family val="2"/>
      </rPr>
      <t xml:space="preserve"> </t>
    </r>
    <r>
      <rPr>
        <b/>
        <sz val="12"/>
        <color indexed="8"/>
        <rFont val="Arial Black"/>
        <family val="2"/>
      </rPr>
      <t>of Planning and Statistics Authority</t>
    </r>
  </si>
  <si>
    <t>دولة قطر
جهاز التخطيط والإحصاء
إدارة الإحصاءات</t>
  </si>
  <si>
    <r>
      <t xml:space="preserve">State of Qatar
</t>
    </r>
    <r>
      <rPr>
        <b/>
        <sz val="13"/>
        <color indexed="8"/>
        <rFont val="Arial"/>
        <family val="2"/>
      </rPr>
      <t xml:space="preserve"> Planning and Statistics Authority</t>
    </r>
    <r>
      <rPr>
        <b/>
        <sz val="14"/>
        <color indexed="8"/>
        <rFont val="Arial"/>
        <family val="2"/>
      </rPr>
      <t xml:space="preserve">
</t>
    </r>
    <r>
      <rPr>
        <b/>
        <sz val="13"/>
        <color indexed="8"/>
        <rFont val="Arial"/>
        <family val="2"/>
      </rPr>
      <t xml:space="preserve">Statistics Department  </t>
    </r>
  </si>
  <si>
    <r>
      <t xml:space="preserve">رخص البناء الصادرة </t>
    </r>
    <r>
      <rPr>
        <b/>
        <vertAlign val="superscript"/>
        <sz val="16"/>
        <color indexed="8"/>
        <rFont val="Arial"/>
        <family val="2"/>
      </rPr>
      <t>(1)</t>
    </r>
    <r>
      <rPr>
        <b/>
        <sz val="16"/>
        <color indexed="8"/>
        <rFont val="Arial"/>
        <family val="2"/>
      </rPr>
      <t>حسب نوع الرخصة والشهر</t>
    </r>
  </si>
  <si>
    <r>
      <t>BUILDING PERMITS ISSUED</t>
    </r>
    <r>
      <rPr>
        <b/>
        <vertAlign val="superscript"/>
        <sz val="12"/>
        <color indexed="8"/>
        <rFont val="Arial"/>
        <family val="2"/>
      </rPr>
      <t>(1)</t>
    </r>
    <r>
      <rPr>
        <b/>
        <sz val="12"/>
        <color indexed="8"/>
        <rFont val="Arial"/>
        <family val="2"/>
      </rPr>
      <t xml:space="preserve"> BY TYPE OF PERMIT AND MONTH</t>
    </r>
  </si>
  <si>
    <t>جدول رقم (1)</t>
  </si>
  <si>
    <t>Table No (1)</t>
  </si>
  <si>
    <t>الشهر</t>
  </si>
  <si>
    <r>
      <t xml:space="preserve">نوع الرخصة
</t>
    </r>
    <r>
      <rPr>
        <b/>
        <sz val="8"/>
        <color indexed="8"/>
        <rFont val="Arial"/>
        <family val="2"/>
      </rPr>
      <t>TYPE OF PERMIT</t>
    </r>
  </si>
  <si>
    <t>MONTH</t>
  </si>
  <si>
    <r>
      <t xml:space="preserve">مباني جديدة
</t>
    </r>
    <r>
      <rPr>
        <b/>
        <sz val="8"/>
        <color indexed="8"/>
        <rFont val="Arial"/>
        <family val="2"/>
      </rPr>
      <t>New Building</t>
    </r>
  </si>
  <si>
    <r>
      <t xml:space="preserve">اضافات
</t>
    </r>
    <r>
      <rPr>
        <b/>
        <sz val="8"/>
        <color indexed="8"/>
        <rFont val="Arial"/>
        <family val="2"/>
      </rPr>
      <t>Additions</t>
    </r>
  </si>
  <si>
    <r>
      <t xml:space="preserve">تحويط
</t>
    </r>
    <r>
      <rPr>
        <b/>
        <sz val="8"/>
        <color indexed="8"/>
        <rFont val="Arial"/>
        <family val="2"/>
      </rPr>
      <t>Fencing</t>
    </r>
  </si>
  <si>
    <r>
      <t xml:space="preserve">المجموع
</t>
    </r>
    <r>
      <rPr>
        <b/>
        <sz val="8"/>
        <color indexed="8"/>
        <rFont val="Arial"/>
        <family val="2"/>
      </rPr>
      <t>Total</t>
    </r>
  </si>
  <si>
    <t>يناير</t>
  </si>
  <si>
    <t>JANUARY</t>
  </si>
  <si>
    <t>فبراير</t>
  </si>
  <si>
    <t>FEBRUARY</t>
  </si>
  <si>
    <t>مارس</t>
  </si>
  <si>
    <t>MARCH</t>
  </si>
  <si>
    <t>ابريل</t>
  </si>
  <si>
    <t>APRIL</t>
  </si>
  <si>
    <t>مايـو</t>
  </si>
  <si>
    <t>MAY</t>
  </si>
  <si>
    <t>يونيو</t>
  </si>
  <si>
    <t>JUNE</t>
  </si>
  <si>
    <t>يوليو</t>
  </si>
  <si>
    <t>JULY</t>
  </si>
  <si>
    <t>اغسطس</t>
  </si>
  <si>
    <t>AUGUST</t>
  </si>
  <si>
    <t>سبتمبر</t>
  </si>
  <si>
    <t>SEPTEMBER</t>
  </si>
  <si>
    <t>أكتوبر</t>
  </si>
  <si>
    <t>OCTOBER</t>
  </si>
  <si>
    <t>نوفمبر</t>
  </si>
  <si>
    <t>NOVEMBER</t>
  </si>
  <si>
    <t>ديسمبر</t>
  </si>
  <si>
    <t>DECEMBER</t>
  </si>
  <si>
    <t>المجموع</t>
  </si>
  <si>
    <t>TOTAL</t>
  </si>
  <si>
    <t>(1) لا تشمل رخص الترميم</t>
  </si>
  <si>
    <t>(1) NOT INCLUDING MAINTENANCE PERMITS</t>
  </si>
  <si>
    <r>
      <t xml:space="preserve">رخص البناء الصادرة </t>
    </r>
    <r>
      <rPr>
        <b/>
        <vertAlign val="superscript"/>
        <sz val="16"/>
        <color indexed="8"/>
        <rFont val="Arial"/>
        <family val="2"/>
      </rPr>
      <t>(1)</t>
    </r>
    <r>
      <rPr>
        <b/>
        <sz val="16"/>
        <color indexed="8"/>
        <rFont val="Arial"/>
        <family val="2"/>
      </rPr>
      <t xml:space="preserve"> حسب نوع الرخصة والشهر</t>
    </r>
  </si>
  <si>
    <t>جدول رقم (2)</t>
  </si>
  <si>
    <r>
      <t xml:space="preserve">بلدية الدوحة </t>
    </r>
    <r>
      <rPr>
        <b/>
        <sz val="10"/>
        <color indexed="8"/>
        <rFont val="Arial"/>
        <family val="2"/>
      </rPr>
      <t>DOHA MUNICIPALITY</t>
    </r>
  </si>
  <si>
    <t>Table No (2)</t>
  </si>
  <si>
    <t>جدول رقم (3)</t>
  </si>
  <si>
    <r>
      <t xml:space="preserve">بلدية الريان </t>
    </r>
    <r>
      <rPr>
        <b/>
        <sz val="10"/>
        <color indexed="8"/>
        <rFont val="Arial"/>
        <family val="2"/>
      </rPr>
      <t>RAYYAN MUNICIPALITY</t>
    </r>
  </si>
  <si>
    <t>Table No (3)</t>
  </si>
  <si>
    <t>جدول رقم (4)</t>
  </si>
  <si>
    <r>
      <t xml:space="preserve">بلدية الوكرة </t>
    </r>
    <r>
      <rPr>
        <b/>
        <sz val="10"/>
        <color indexed="8"/>
        <rFont val="Arial"/>
        <family val="2"/>
      </rPr>
      <t>WAKRAH MUNICIPALITY</t>
    </r>
  </si>
  <si>
    <t>Table No (4)</t>
  </si>
  <si>
    <t>جدول رقم (5)</t>
  </si>
  <si>
    <r>
      <t xml:space="preserve">بلدية أم صلال </t>
    </r>
    <r>
      <rPr>
        <b/>
        <sz val="10"/>
        <color indexed="8"/>
        <rFont val="Arial"/>
        <family val="2"/>
      </rPr>
      <t>UMM SLAL MUNICIPALITY</t>
    </r>
  </si>
  <si>
    <t>Table No (5)</t>
  </si>
  <si>
    <t>جدول رقم (6)</t>
  </si>
  <si>
    <r>
      <t xml:space="preserve">بلدية الخور </t>
    </r>
    <r>
      <rPr>
        <b/>
        <sz val="10"/>
        <color indexed="8"/>
        <rFont val="Arial"/>
        <family val="2"/>
      </rPr>
      <t>AL KHOR MUNICIPALITY</t>
    </r>
  </si>
  <si>
    <t>Table No (6)</t>
  </si>
  <si>
    <t>جدول رقم (7)</t>
  </si>
  <si>
    <r>
      <t xml:space="preserve">بلدية الشمال </t>
    </r>
    <r>
      <rPr>
        <b/>
        <sz val="10"/>
        <color indexed="8"/>
        <rFont val="Arial"/>
        <family val="2"/>
      </rPr>
      <t>AL SHAMAL MUNICIPALITY</t>
    </r>
  </si>
  <si>
    <t>Table No (7)</t>
  </si>
  <si>
    <t>جدول رقم (8)</t>
  </si>
  <si>
    <r>
      <t xml:space="preserve">بلدية الظعاين </t>
    </r>
    <r>
      <rPr>
        <b/>
        <sz val="10"/>
        <color indexed="8"/>
        <rFont val="Arial"/>
        <family val="2"/>
      </rPr>
      <t>AL DAAYEN MUNICIPALITY</t>
    </r>
  </si>
  <si>
    <t>Table No (8)</t>
  </si>
  <si>
    <t>جدول رقم (9)</t>
  </si>
  <si>
    <r>
      <t xml:space="preserve">بلدية الشيحانية </t>
    </r>
    <r>
      <rPr>
        <b/>
        <sz val="10"/>
        <color indexed="8"/>
        <rFont val="Arial"/>
        <family val="2"/>
      </rPr>
      <t>AL-SHAHHANIYA MUNICIPALITY</t>
    </r>
  </si>
  <si>
    <t>Table No (9)</t>
  </si>
  <si>
    <r>
      <t xml:space="preserve">إجمالي رخص البناء الصادرة </t>
    </r>
    <r>
      <rPr>
        <b/>
        <vertAlign val="superscript"/>
        <sz val="16"/>
        <color indexed="8"/>
        <rFont val="Arial"/>
        <family val="2"/>
      </rPr>
      <t>(1)</t>
    </r>
    <r>
      <rPr>
        <b/>
        <sz val="16"/>
        <color indexed="8"/>
        <rFont val="Arial"/>
        <family val="2"/>
      </rPr>
      <t xml:space="preserve"> حسب البلديات ونوع المبنى / نوع الرخصة</t>
    </r>
  </si>
  <si>
    <r>
      <t>TOTAL BUILDING PERMITS ISSUED</t>
    </r>
    <r>
      <rPr>
        <b/>
        <vertAlign val="superscript"/>
        <sz val="12"/>
        <color indexed="8"/>
        <rFont val="Arial"/>
        <family val="2"/>
      </rPr>
      <t>(1)</t>
    </r>
    <r>
      <rPr>
        <b/>
        <sz val="12"/>
        <color indexed="8"/>
        <rFont val="Arial"/>
        <family val="2"/>
      </rPr>
      <t xml:space="preserve"> BY MUNICIPALITY AND TYPE OF BUILDING / TYPE OF PERMIT</t>
    </r>
  </si>
  <si>
    <t>جدول رقم (12)</t>
  </si>
  <si>
    <t>Table No (12)</t>
  </si>
  <si>
    <t>نوع المبنى / نوع الرخصة</t>
  </si>
  <si>
    <r>
      <t xml:space="preserve">الدوحة
</t>
    </r>
    <r>
      <rPr>
        <b/>
        <sz val="8"/>
        <color indexed="8"/>
        <rFont val="Arial"/>
        <family val="2"/>
      </rPr>
      <t>Doha</t>
    </r>
  </si>
  <si>
    <r>
      <t xml:space="preserve">الريان
</t>
    </r>
    <r>
      <rPr>
        <b/>
        <sz val="8"/>
        <color indexed="8"/>
        <rFont val="Arial"/>
        <family val="2"/>
      </rPr>
      <t>Rayyan</t>
    </r>
  </si>
  <si>
    <r>
      <t xml:space="preserve">الوكرة
</t>
    </r>
    <r>
      <rPr>
        <b/>
        <sz val="8"/>
        <color indexed="8"/>
        <rFont val="Arial"/>
        <family val="2"/>
      </rPr>
      <t>Wakrah</t>
    </r>
  </si>
  <si>
    <r>
      <t xml:space="preserve">ام صلال
</t>
    </r>
    <r>
      <rPr>
        <b/>
        <sz val="8"/>
        <color indexed="8"/>
        <rFont val="Arial"/>
        <family val="2"/>
      </rPr>
      <t>Umm Slal</t>
    </r>
  </si>
  <si>
    <r>
      <t xml:space="preserve">الظعاين
</t>
    </r>
    <r>
      <rPr>
        <b/>
        <sz val="8"/>
        <color indexed="8"/>
        <rFont val="Arial"/>
        <family val="2"/>
      </rPr>
      <t>Al-Daayen</t>
    </r>
  </si>
  <si>
    <r>
      <t xml:space="preserve">الخور
</t>
    </r>
    <r>
      <rPr>
        <b/>
        <sz val="8"/>
        <color indexed="8"/>
        <rFont val="Arial"/>
        <family val="2"/>
      </rPr>
      <t>Al-Khor</t>
    </r>
  </si>
  <si>
    <r>
      <t xml:space="preserve">الشمال
</t>
    </r>
    <r>
      <rPr>
        <b/>
        <sz val="8"/>
        <color indexed="8"/>
        <rFont val="Arial"/>
        <family val="2"/>
      </rPr>
      <t>Al-Shamal</t>
    </r>
  </si>
  <si>
    <r>
      <t xml:space="preserve">الشيحانية
</t>
    </r>
    <r>
      <rPr>
        <b/>
        <sz val="8"/>
        <color indexed="8"/>
        <rFont val="Arial"/>
        <family val="2"/>
      </rPr>
      <t>Al-Shahhaniya</t>
    </r>
  </si>
  <si>
    <r>
      <t xml:space="preserve">المجموع 
</t>
    </r>
    <r>
      <rPr>
        <b/>
        <sz val="8"/>
        <color indexed="8"/>
        <rFont val="Arial"/>
        <family val="2"/>
      </rPr>
      <t>Total</t>
    </r>
  </si>
  <si>
    <t>TYPE OF BUILDING / TYPE OF PERMIT</t>
  </si>
  <si>
    <t>مبانى سكنية</t>
  </si>
  <si>
    <t>RESIDENTIAL BUILDINGS</t>
  </si>
  <si>
    <t>فيلا</t>
  </si>
  <si>
    <t>VILLA</t>
  </si>
  <si>
    <t>مساكن قروض الاسكان</t>
  </si>
  <si>
    <t>DEWLLINGS OF HOUSING LOANS</t>
  </si>
  <si>
    <t>عمارة</t>
  </si>
  <si>
    <t>MULTI-STOREYED BUILDING</t>
  </si>
  <si>
    <t>أخرى</t>
  </si>
  <si>
    <t>OTHERS (RESIDENTIAL)</t>
  </si>
  <si>
    <t>مبانى غير سكنية</t>
  </si>
  <si>
    <t>NON RESIDENTIAL BUILDINGS</t>
  </si>
  <si>
    <t>ادارة حكومية</t>
  </si>
  <si>
    <t>PUBLIC BUILDING</t>
  </si>
  <si>
    <t>مبنى تجاري</t>
  </si>
  <si>
    <t>COMMERCIAL BLDG.</t>
  </si>
  <si>
    <t>ورشة/مصنع</t>
  </si>
  <si>
    <t>WORKSHOP/FACTORY</t>
  </si>
  <si>
    <t>مسجد</t>
  </si>
  <si>
    <t>Mosque</t>
  </si>
  <si>
    <t>OTHERS(NON-RESIDENTIAL)</t>
  </si>
  <si>
    <t>الاضافات والتحويط</t>
  </si>
  <si>
    <t>ADDITIONS AND FENCING</t>
  </si>
  <si>
    <t>اضافة</t>
  </si>
  <si>
    <t>ADDITIONS</t>
  </si>
  <si>
    <t>تحويط</t>
  </si>
  <si>
    <t>FENCING</t>
  </si>
  <si>
    <t>المجموع العام</t>
  </si>
  <si>
    <t>GRAND TOTAL</t>
  </si>
  <si>
    <r>
      <t xml:space="preserve">نوع الشهادة
</t>
    </r>
    <r>
      <rPr>
        <b/>
        <sz val="8"/>
        <color indexed="8"/>
        <rFont val="Arial"/>
        <family val="2"/>
      </rPr>
      <t>TYPE OF CERTIFICATE</t>
    </r>
  </si>
  <si>
    <r>
      <t>BUILDING COMPLETION CERTIFICATES ISSUED</t>
    </r>
    <r>
      <rPr>
        <b/>
        <vertAlign val="superscript"/>
        <sz val="12"/>
        <color indexed="8"/>
        <rFont val="Arial"/>
        <family val="2"/>
      </rPr>
      <t>(1)</t>
    </r>
    <r>
      <rPr>
        <b/>
        <sz val="12"/>
        <color indexed="8"/>
        <rFont val="Arial"/>
        <family val="2"/>
      </rPr>
      <t xml:space="preserve"> BY TYPE OF CERTIFICATE AND MONTH</t>
    </r>
  </si>
  <si>
    <r>
      <t xml:space="preserve">شهادات إتمام المباني الصادرة </t>
    </r>
    <r>
      <rPr>
        <b/>
        <vertAlign val="superscript"/>
        <sz val="16"/>
        <color indexed="8"/>
        <rFont val="Arial"/>
        <family val="2"/>
      </rPr>
      <t>(1)</t>
    </r>
    <r>
      <rPr>
        <b/>
        <sz val="16"/>
        <color indexed="8"/>
        <rFont val="Arial"/>
        <family val="2"/>
      </rPr>
      <t xml:space="preserve"> حسب نوع الشهادة والشهر</t>
    </r>
  </si>
  <si>
    <r>
      <t xml:space="preserve">شهادة إتمام المباني الصادرة </t>
    </r>
    <r>
      <rPr>
        <b/>
        <vertAlign val="superscript"/>
        <sz val="16"/>
        <color indexed="8"/>
        <rFont val="Arial"/>
        <family val="2"/>
      </rPr>
      <t>(1)</t>
    </r>
    <r>
      <rPr>
        <b/>
        <sz val="16"/>
        <color indexed="8"/>
        <rFont val="Arial"/>
        <family val="2"/>
      </rPr>
      <t xml:space="preserve"> حسب نوع الشهادة والشهر</t>
    </r>
  </si>
  <si>
    <t>TYPE OF BUILDING / TYPE OF CERTIFICATE</t>
  </si>
  <si>
    <t>نوع المبنى / نوع الشهادة</t>
  </si>
  <si>
    <r>
      <t>TOTAL BUILDING COMPLETION CERTIFICATES ISSUED</t>
    </r>
    <r>
      <rPr>
        <b/>
        <vertAlign val="superscript"/>
        <sz val="12"/>
        <color indexed="8"/>
        <rFont val="Arial"/>
        <family val="2"/>
      </rPr>
      <t>(1)</t>
    </r>
    <r>
      <rPr>
        <b/>
        <sz val="12"/>
        <color indexed="8"/>
        <rFont val="Arial"/>
        <family val="2"/>
      </rPr>
      <t xml:space="preserve"> BY MUNICIPALITY AND TYPE OF BUILDING / TYPE OF CERTIFICATE</t>
    </r>
  </si>
  <si>
    <r>
      <t xml:space="preserve">إجمالي شهادات إتمام المباني الصادرة </t>
    </r>
    <r>
      <rPr>
        <b/>
        <vertAlign val="superscript"/>
        <sz val="16"/>
        <color indexed="8"/>
        <rFont val="Arial"/>
        <family val="2"/>
      </rPr>
      <t>(1)</t>
    </r>
    <r>
      <rPr>
        <b/>
        <sz val="16"/>
        <color indexed="8"/>
        <rFont val="Arial"/>
        <family val="2"/>
      </rPr>
      <t xml:space="preserve"> حسب البلديات ونوع المبنى / نوع الشهادة</t>
    </r>
  </si>
  <si>
    <t>تغطي هذه النشرة الاحصائيات المتعلقة ببيانات رخص البناء والمباني المكتملة الصادرة من قبل بلديات كل من :الدوحة ، الريان ، الوكرة ، أم صلال ، الخور ، الشمال ، الظعاين والشيحانية.</t>
  </si>
  <si>
    <t>This bulletin covers statistical data related to building permits and completed buildings issued by the following municipalities: Doha, Rayyan, Wakrah, Umm Slal, Al-Khor, AL Shamal, AL Daayen and Al Sheehaniya.</t>
  </si>
  <si>
    <r>
      <t xml:space="preserve">شهادات إتمام المباني الصادرة </t>
    </r>
    <r>
      <rPr>
        <b/>
        <vertAlign val="superscript"/>
        <sz val="16"/>
        <color indexed="8"/>
        <rFont val="Arial"/>
        <family val="2"/>
      </rPr>
      <t>(1)</t>
    </r>
    <r>
      <rPr>
        <b/>
        <sz val="16"/>
        <color indexed="8"/>
        <rFont val="Arial"/>
        <family val="2"/>
      </rPr>
      <t>حسب نوع الشهادة والشهر</t>
    </r>
  </si>
  <si>
    <t>الاضافات</t>
  </si>
  <si>
    <t>ADDITION</t>
  </si>
  <si>
    <t>جدول رقم (10)</t>
  </si>
  <si>
    <t>Table No (10)</t>
  </si>
  <si>
    <t>جدول رقم (11)</t>
  </si>
  <si>
    <t>Table No (11)</t>
  </si>
  <si>
    <t>جدول رقم (13)</t>
  </si>
  <si>
    <t>Table No (13)</t>
  </si>
  <si>
    <t>جدول رقم (14)</t>
  </si>
  <si>
    <t>Table No (14)</t>
  </si>
  <si>
    <t>جدول رقم (15)</t>
  </si>
  <si>
    <t>Table No (15)</t>
  </si>
  <si>
    <t>جدول رقم (16)</t>
  </si>
  <si>
    <t>Table No (16)</t>
  </si>
  <si>
    <t>جدول رقم (17)</t>
  </si>
  <si>
    <t>Table No (17)</t>
  </si>
  <si>
    <t>جدول رقم (18)</t>
  </si>
  <si>
    <t>Table No (18)</t>
  </si>
  <si>
    <t>Table No (19)</t>
  </si>
  <si>
    <t>جدول رقم (19)</t>
  </si>
  <si>
    <t>جدول رقم (20)</t>
  </si>
  <si>
    <t>Table No (20)</t>
  </si>
  <si>
    <t>الفصل الأول : رخص البناء</t>
  </si>
  <si>
    <t>Chapter One : Building Permits</t>
  </si>
  <si>
    <t>يناير
JANUARY</t>
  </si>
  <si>
    <t>فبراير
FEBRUARY</t>
  </si>
  <si>
    <t>مارس
MARCH</t>
  </si>
  <si>
    <t>ابريل
APRIL</t>
  </si>
  <si>
    <t xml:space="preserve">مايـو
MAY
</t>
  </si>
  <si>
    <t>يونيو
JUNE</t>
  </si>
  <si>
    <t>يوليو
JULY</t>
  </si>
  <si>
    <t>اغسطس
AUGUST</t>
  </si>
  <si>
    <t>سبتمبر
SEPTEMBER</t>
  </si>
  <si>
    <t>أكتوبر
OCTOBER</t>
  </si>
  <si>
    <t>نوفمبر
NOVEMBER</t>
  </si>
  <si>
    <t>ديسمبر
DECEMBER</t>
  </si>
  <si>
    <r>
      <t xml:space="preserve"> </t>
    </r>
    <r>
      <rPr>
        <b/>
        <sz val="8"/>
        <color theme="1"/>
        <rFont val="Arial"/>
        <family val="2"/>
        <scheme val="minor"/>
      </rPr>
      <t>Graph No. (1)</t>
    </r>
    <r>
      <rPr>
        <b/>
        <sz val="11"/>
        <color theme="1"/>
        <rFont val="Arial"/>
        <family val="2"/>
        <scheme val="minor"/>
      </rPr>
      <t xml:space="preserve"> </t>
    </r>
    <r>
      <rPr>
        <b/>
        <sz val="10"/>
        <color theme="1"/>
        <rFont val="Arial"/>
        <family val="2"/>
        <scheme val="minor"/>
      </rPr>
      <t>شكل رقم</t>
    </r>
  </si>
  <si>
    <r>
      <t xml:space="preserve">رخص البناء الصادرة </t>
    </r>
    <r>
      <rPr>
        <b/>
        <sz val="16"/>
        <color indexed="8"/>
        <rFont val="Arial"/>
        <family val="2"/>
      </rPr>
      <t>حسب نوع الرخصة والشهر</t>
    </r>
  </si>
  <si>
    <t>مبانى سكنية
RESIDENTIAL BUILDINGS</t>
  </si>
  <si>
    <t>مساكن قروض الاسكان
DEWLLINGS OF HOUSING LOANS</t>
  </si>
  <si>
    <t>فيلا
VILLA</t>
  </si>
  <si>
    <t>عمارة
MULTI-STOREYED BUILDING</t>
  </si>
  <si>
    <t>أخرى
OTHERS (RESIDENTIAL)</t>
  </si>
  <si>
    <t>مبانى غير سكنية
NON RESIDENTIAL BUILDINGS</t>
  </si>
  <si>
    <t>ادارة حكومية
PUBLIC BUILDING</t>
  </si>
  <si>
    <t>مبنى تجاري
COMMERCIAL BLDG.</t>
  </si>
  <si>
    <t>ورشة / مصنع
WORKSHOP/FACTORY</t>
  </si>
  <si>
    <t>مسجد
Mosque</t>
  </si>
  <si>
    <t>أخرى
OTHERS(NON-RESIDENTIAL)</t>
  </si>
  <si>
    <r>
      <t xml:space="preserve"> </t>
    </r>
    <r>
      <rPr>
        <b/>
        <sz val="8"/>
        <color theme="1"/>
        <rFont val="Arial"/>
        <family val="2"/>
        <scheme val="minor"/>
      </rPr>
      <t>Graph No. (2)</t>
    </r>
    <r>
      <rPr>
        <sz val="11"/>
        <color theme="1"/>
        <rFont val="Arial"/>
        <family val="2"/>
        <charset val="178"/>
        <scheme val="minor"/>
      </rPr>
      <t xml:space="preserve"> </t>
    </r>
    <r>
      <rPr>
        <b/>
        <sz val="10"/>
        <color theme="1"/>
        <rFont val="Arial"/>
        <family val="2"/>
        <scheme val="minor"/>
      </rPr>
      <t>شكل رقم</t>
    </r>
  </si>
  <si>
    <r>
      <t xml:space="preserve">(1) رخص البناء الصادرة </t>
    </r>
    <r>
      <rPr>
        <sz val="11"/>
        <color theme="1"/>
        <rFont val="Arial"/>
        <family val="2"/>
        <charset val="178"/>
        <scheme val="minor"/>
      </rPr>
      <t>حسب نوع الرخصة والشهر</t>
    </r>
  </si>
  <si>
    <r>
      <t xml:space="preserve">(2) رخص البناء الصادرة </t>
    </r>
    <r>
      <rPr>
        <sz val="11"/>
        <color theme="1"/>
        <rFont val="Arial"/>
        <family val="2"/>
        <charset val="178"/>
        <scheme val="minor"/>
      </rPr>
      <t>حسب نوع الرخصة والشهر  -   بلدية الدوحة</t>
    </r>
  </si>
  <si>
    <t xml:space="preserve">     شكل رقم (1) رخص البناء الصادرة حسب نوع الرخصة والشهر</t>
  </si>
  <si>
    <r>
      <t xml:space="preserve">(2) رخص البناء الصادرة </t>
    </r>
    <r>
      <rPr>
        <sz val="11"/>
        <color theme="1"/>
        <rFont val="Arial"/>
        <family val="2"/>
        <charset val="178"/>
        <scheme val="minor"/>
      </rPr>
      <t>حسب نوع الرخصة والشهر  -   بلدية الريان</t>
    </r>
  </si>
  <si>
    <r>
      <t xml:space="preserve">(4) رخص البناء الصادرة </t>
    </r>
    <r>
      <rPr>
        <sz val="11"/>
        <color theme="1"/>
        <rFont val="Arial"/>
        <family val="2"/>
        <charset val="178"/>
        <scheme val="minor"/>
      </rPr>
      <t>حسب نوع الرخصة والشهر  -   بلدية الوكرة</t>
    </r>
  </si>
  <si>
    <r>
      <t xml:space="preserve">(5) رخص البناء الصادرة </t>
    </r>
    <r>
      <rPr>
        <sz val="11"/>
        <color theme="1"/>
        <rFont val="Arial"/>
        <family val="2"/>
        <charset val="178"/>
        <scheme val="minor"/>
      </rPr>
      <t>حسب نوع الرخصة والشهر  -   بلدية ام صلال</t>
    </r>
  </si>
  <si>
    <r>
      <t xml:space="preserve">(6) رخص البناء الصادرة </t>
    </r>
    <r>
      <rPr>
        <sz val="11"/>
        <color theme="1"/>
        <rFont val="Arial"/>
        <family val="2"/>
        <charset val="178"/>
        <scheme val="minor"/>
      </rPr>
      <t>حسب نوع الرخصة والشهر  -   بلدية الخور</t>
    </r>
  </si>
  <si>
    <r>
      <t xml:space="preserve">(7) رخص البناء الصادرة </t>
    </r>
    <r>
      <rPr>
        <sz val="11"/>
        <color theme="1"/>
        <rFont val="Arial"/>
        <family val="2"/>
        <charset val="178"/>
        <scheme val="minor"/>
      </rPr>
      <t>حسب نوع الرخصة والشهر  -   بلدية الشمال</t>
    </r>
  </si>
  <si>
    <r>
      <t>(8) رخص البناء الصادرة</t>
    </r>
    <r>
      <rPr>
        <sz val="11"/>
        <color theme="1"/>
        <rFont val="Arial"/>
        <family val="2"/>
        <charset val="178"/>
        <scheme val="minor"/>
      </rPr>
      <t xml:space="preserve"> حسب نوع الرخصة والشهر  -   بلدية الظعاين</t>
    </r>
  </si>
  <si>
    <r>
      <t>(9) رخص البناء الصادرة</t>
    </r>
    <r>
      <rPr>
        <b/>
        <sz val="11"/>
        <color theme="1"/>
        <rFont val="Arial"/>
        <family val="2"/>
        <scheme val="minor"/>
      </rPr>
      <t xml:space="preserve"> </t>
    </r>
    <r>
      <rPr>
        <sz val="11"/>
        <color theme="1"/>
        <rFont val="Arial"/>
        <family val="2"/>
        <scheme val="minor"/>
      </rPr>
      <t>حسب نوع الرخصة والشهر  -   بلدية الشحانية</t>
    </r>
  </si>
  <si>
    <r>
      <t>(10) رخص البناء الصادرة</t>
    </r>
    <r>
      <rPr>
        <vertAlign val="superscript"/>
        <sz val="11"/>
        <color theme="1"/>
        <rFont val="Arial"/>
        <family val="2"/>
        <charset val="178"/>
        <scheme val="minor"/>
      </rPr>
      <t xml:space="preserve"> </t>
    </r>
    <r>
      <rPr>
        <sz val="11"/>
        <color theme="1"/>
        <rFont val="Arial"/>
        <family val="2"/>
        <charset val="178"/>
        <scheme val="minor"/>
      </rPr>
      <t>حسب البلديات ونوع المبنى</t>
    </r>
  </si>
  <si>
    <r>
      <t xml:space="preserve">إجمالي رخص البناء الصادرة </t>
    </r>
    <r>
      <rPr>
        <b/>
        <sz val="16"/>
        <color indexed="8"/>
        <rFont val="Arial"/>
        <family val="2"/>
      </rPr>
      <t>حسب نوع المبنى</t>
    </r>
  </si>
  <si>
    <t xml:space="preserve">     شكل رقم (2) إجمالي رخص البناء الصادرة حسب نوع المبنى</t>
  </si>
  <si>
    <t>(2) Building Permits Issued by Type of Permit and Month  -  Doha Municipality</t>
  </si>
  <si>
    <t>(3) Building Permits Issued by Type of Permit and Month  -  Rayyan Municipality</t>
  </si>
  <si>
    <t>(4) Building Permits Issued by Type of Permit and Month  -  Wakrah Municipality</t>
  </si>
  <si>
    <t>(5) Building Permits Issued  by Type of Permit and Month  -  Umm Slal Municipality</t>
  </si>
  <si>
    <t>(6) Building Permits Issued by Type of Permit and Month  -  Al Khor Municipality</t>
  </si>
  <si>
    <t>(7) Building Permits Issued by Type of Permit and Month  -  Al Shamal Municipality</t>
  </si>
  <si>
    <t>(8) Building Permits Issued  by Type of Permit and Month  -  Al Daayen Municipality</t>
  </si>
  <si>
    <t>(9) Building Permits Issued  by Type of Permit and Month  -  ALShahhaniya Municipality</t>
  </si>
  <si>
    <t xml:space="preserve">     Graph No. (1) Building Permits Issued by Type of Permit and Month</t>
  </si>
  <si>
    <t>TOTAL BUILDING PERMITS ISSUED BY TYPE OF BUILDING</t>
  </si>
  <si>
    <t xml:space="preserve">       Graph No. (2) Total Building Permits Issued by Type of Building </t>
  </si>
  <si>
    <r>
      <t xml:space="preserve">(14) شهادات إتمام المباني الصادرة </t>
    </r>
    <r>
      <rPr>
        <sz val="11"/>
        <color theme="1"/>
        <rFont val="Arial"/>
        <family val="2"/>
        <charset val="178"/>
        <scheme val="minor"/>
      </rPr>
      <t>حسب نوع الرخصة والشهر  -   بلدية الوكرة</t>
    </r>
  </si>
  <si>
    <r>
      <t xml:space="preserve">(15) شهادات إتمام المباني الصادرة </t>
    </r>
    <r>
      <rPr>
        <sz val="11"/>
        <color theme="1"/>
        <rFont val="Arial"/>
        <family val="2"/>
        <charset val="178"/>
        <scheme val="minor"/>
      </rPr>
      <t>حسب نوع الرخصة والشهر  -   بلدية ام صلال</t>
    </r>
  </si>
  <si>
    <r>
      <t xml:space="preserve">(16) شهادات إتمام المباني الصادرة </t>
    </r>
    <r>
      <rPr>
        <sz val="11"/>
        <color theme="1"/>
        <rFont val="Arial"/>
        <family val="2"/>
        <charset val="178"/>
        <scheme val="minor"/>
      </rPr>
      <t>حسب نوع الرخصة والشهر  -   بلدية الخور</t>
    </r>
  </si>
  <si>
    <r>
      <t xml:space="preserve">(17) شهادات إتمام المباني الصادرة </t>
    </r>
    <r>
      <rPr>
        <sz val="11"/>
        <color theme="1"/>
        <rFont val="Arial"/>
        <family val="2"/>
        <charset val="178"/>
        <scheme val="minor"/>
      </rPr>
      <t>حسب نوع الرخصة والشهر  -   بلدية الشمال</t>
    </r>
  </si>
  <si>
    <r>
      <t>(18) شهادات إتمام المباني الصادرة</t>
    </r>
    <r>
      <rPr>
        <sz val="11"/>
        <color theme="1"/>
        <rFont val="Arial"/>
        <family val="2"/>
        <charset val="178"/>
        <scheme val="minor"/>
      </rPr>
      <t xml:space="preserve"> حسب نوع الرخصة والشهر  -   بلدية الظعاين</t>
    </r>
  </si>
  <si>
    <r>
      <t>(19) شهادات إتمام المباني الصادرة</t>
    </r>
    <r>
      <rPr>
        <b/>
        <sz val="11"/>
        <color theme="1"/>
        <rFont val="Arial"/>
        <family val="2"/>
        <scheme val="minor"/>
      </rPr>
      <t xml:space="preserve"> </t>
    </r>
    <r>
      <rPr>
        <sz val="11"/>
        <color theme="1"/>
        <rFont val="Arial"/>
        <family val="2"/>
        <scheme val="minor"/>
      </rPr>
      <t>حسب نوع الرخصة والشهر  -   بلدية الشحانية</t>
    </r>
  </si>
  <si>
    <r>
      <t>(20) شهادات إتمام المباني الصادرة</t>
    </r>
    <r>
      <rPr>
        <vertAlign val="superscript"/>
        <sz val="11"/>
        <color theme="1"/>
        <rFont val="Arial"/>
        <family val="2"/>
        <charset val="178"/>
        <scheme val="minor"/>
      </rPr>
      <t xml:space="preserve"> </t>
    </r>
    <r>
      <rPr>
        <sz val="11"/>
        <color theme="1"/>
        <rFont val="Arial"/>
        <family val="2"/>
        <charset val="178"/>
        <scheme val="minor"/>
      </rPr>
      <t>حسب البلديات ونوع المبنى</t>
    </r>
  </si>
  <si>
    <r>
      <t xml:space="preserve">إجمالي رخص البناء الصادرة </t>
    </r>
    <r>
      <rPr>
        <b/>
        <sz val="16"/>
        <color indexed="8"/>
        <rFont val="Arial"/>
        <family val="2"/>
      </rPr>
      <t>حسب البلديات</t>
    </r>
  </si>
  <si>
    <r>
      <t>TOTAL BUILDING PERMITS ISSUED</t>
    </r>
    <r>
      <rPr>
        <b/>
        <sz val="12"/>
        <color indexed="8"/>
        <rFont val="Arial"/>
        <family val="2"/>
      </rPr>
      <t xml:space="preserve"> BY MUNICIPALITY</t>
    </r>
  </si>
  <si>
    <r>
      <t xml:space="preserve"> </t>
    </r>
    <r>
      <rPr>
        <b/>
        <sz val="8"/>
        <color theme="1"/>
        <rFont val="Arial"/>
        <family val="2"/>
        <scheme val="minor"/>
      </rPr>
      <t>Graph No. (3)</t>
    </r>
    <r>
      <rPr>
        <b/>
        <sz val="10"/>
        <color theme="1"/>
        <rFont val="Arial"/>
        <family val="2"/>
        <scheme val="minor"/>
      </rPr>
      <t xml:space="preserve"> شكل رقم</t>
    </r>
  </si>
  <si>
    <t xml:space="preserve">     شكل رقم (3) إجمالي رخص البناء الصادرة حسب البلديات</t>
  </si>
  <si>
    <t xml:space="preserve">       Graph No. (3) Total Building Permits Issued by Municpality </t>
  </si>
  <si>
    <r>
      <t>BUILDING PERMITS ISSUED</t>
    </r>
    <r>
      <rPr>
        <b/>
        <sz val="12"/>
        <color indexed="8"/>
        <rFont val="Arial"/>
        <family val="2"/>
      </rPr>
      <t xml:space="preserve"> BY TYPE OF PERMIT AND MONTH</t>
    </r>
  </si>
  <si>
    <t>شهادات إتمام المباني الصادرة حسب نوع الشهادة والشهر</t>
  </si>
  <si>
    <t>BUILDING COMPLETION CERTIFICATES ISSUED BY TYPE OF CERTIFICATE AND MONTH</t>
  </si>
  <si>
    <r>
      <t xml:space="preserve"> </t>
    </r>
    <r>
      <rPr>
        <b/>
        <sz val="8"/>
        <color theme="1"/>
        <rFont val="Arial"/>
        <family val="2"/>
        <scheme val="minor"/>
      </rPr>
      <t>Graph No. (4)</t>
    </r>
    <r>
      <rPr>
        <b/>
        <sz val="11"/>
        <color theme="1"/>
        <rFont val="Arial"/>
        <family val="2"/>
        <scheme val="minor"/>
      </rPr>
      <t xml:space="preserve"> </t>
    </r>
    <r>
      <rPr>
        <b/>
        <sz val="10"/>
        <color theme="1"/>
        <rFont val="Arial"/>
        <family val="2"/>
        <scheme val="minor"/>
      </rPr>
      <t>شكل رقم</t>
    </r>
  </si>
  <si>
    <t>إجمالي شهادات إتمام المباني الصادرة حسب نوع المبنى</t>
  </si>
  <si>
    <t>TOTAL BUILDING COMPLETION CERTIFICATES ISSUED BY TYPE OF BUILDING</t>
  </si>
  <si>
    <t>إجمالي شهادات إتمام المباني الصادرة حسب البلديات</t>
  </si>
  <si>
    <t>TOTAL BUILDING COMPLETION CERTIFICATES ISSUED BY MUNICIPALITY</t>
  </si>
  <si>
    <t xml:space="preserve">       شكل رقم (4) شهادات إتمام المباني الصادرة حسب نوع الشهادة والشهر</t>
  </si>
  <si>
    <t>الفصل الثاني : شهادات إتمام المباني</t>
  </si>
  <si>
    <t>Chapter Two: Building Completion Certificates</t>
  </si>
  <si>
    <r>
      <t xml:space="preserve">(11) شهادات إتمام المباني الصادرة </t>
    </r>
    <r>
      <rPr>
        <sz val="11"/>
        <color theme="1"/>
        <rFont val="Arial"/>
        <family val="2"/>
        <charset val="178"/>
        <scheme val="minor"/>
      </rPr>
      <t>حسب نوع الشهادة والشهر</t>
    </r>
  </si>
  <si>
    <r>
      <t xml:space="preserve">(12) شهادات إتمام المباني الصادرة </t>
    </r>
    <r>
      <rPr>
        <sz val="11"/>
        <color theme="1"/>
        <rFont val="Arial"/>
        <family val="2"/>
        <charset val="178"/>
        <scheme val="minor"/>
      </rPr>
      <t>حسب نوع الشهادة والشهر  -   بلدية الدوحة</t>
    </r>
  </si>
  <si>
    <r>
      <t xml:space="preserve">(13) شهادات إتمام المباني الصادرة </t>
    </r>
    <r>
      <rPr>
        <sz val="11"/>
        <color theme="1"/>
        <rFont val="Arial"/>
        <family val="2"/>
        <charset val="178"/>
        <scheme val="minor"/>
      </rPr>
      <t>حسب نوع الشهادة والشهر  -   بلدية الريان</t>
    </r>
  </si>
  <si>
    <t xml:space="preserve">        Graph No. (4) Building Completion Certificates Issued by Type of Certificate and Month</t>
  </si>
  <si>
    <t>(1) Building Permits Issued by Type of Permit and Month</t>
  </si>
  <si>
    <t>(10) Building Permits Issued by Municipality and Type of Building</t>
  </si>
  <si>
    <r>
      <t>(11) Building Completion Certificates Issued</t>
    </r>
    <r>
      <rPr>
        <vertAlign val="superscript"/>
        <sz val="8"/>
        <color theme="1"/>
        <rFont val="Arial"/>
        <family val="2"/>
        <scheme val="minor"/>
      </rPr>
      <t>(1)</t>
    </r>
    <r>
      <rPr>
        <sz val="8"/>
        <color theme="1"/>
        <rFont val="Arial"/>
        <family val="2"/>
        <scheme val="minor"/>
      </rPr>
      <t xml:space="preserve"> by Type of Certificate and Month</t>
    </r>
  </si>
  <si>
    <r>
      <t>(12) Building Completion Certificates Issued</t>
    </r>
    <r>
      <rPr>
        <vertAlign val="superscript"/>
        <sz val="8"/>
        <color theme="1"/>
        <rFont val="Arial"/>
        <family val="2"/>
        <scheme val="minor"/>
      </rPr>
      <t>(1)</t>
    </r>
    <r>
      <rPr>
        <sz val="8"/>
        <color theme="1"/>
        <rFont val="Arial"/>
        <family val="2"/>
        <scheme val="minor"/>
      </rPr>
      <t xml:space="preserve"> by Type of Certificate and Month  -  Doha Municipality</t>
    </r>
  </si>
  <si>
    <r>
      <t>(13) Building Completion Certificates Issued</t>
    </r>
    <r>
      <rPr>
        <vertAlign val="superscript"/>
        <sz val="8"/>
        <color theme="1"/>
        <rFont val="Arial"/>
        <family val="2"/>
        <scheme val="minor"/>
      </rPr>
      <t>(1)</t>
    </r>
    <r>
      <rPr>
        <sz val="8"/>
        <color theme="1"/>
        <rFont val="Arial"/>
        <family val="2"/>
        <scheme val="minor"/>
      </rPr>
      <t xml:space="preserve"> by Type of Certificate and Month  -  Rayyan Municipality</t>
    </r>
  </si>
  <si>
    <r>
      <t>(14) Building Completion Certificates Issued</t>
    </r>
    <r>
      <rPr>
        <vertAlign val="superscript"/>
        <sz val="8"/>
        <color theme="1"/>
        <rFont val="Arial"/>
        <family val="2"/>
        <scheme val="minor"/>
      </rPr>
      <t>(1)</t>
    </r>
    <r>
      <rPr>
        <sz val="8"/>
        <color theme="1"/>
        <rFont val="Arial"/>
        <family val="2"/>
        <scheme val="minor"/>
      </rPr>
      <t xml:space="preserve"> by Type of Certificate and Month  -  Wakrah Municipality</t>
    </r>
  </si>
  <si>
    <r>
      <t>(15) Building Completion Certificates Issued</t>
    </r>
    <r>
      <rPr>
        <vertAlign val="superscript"/>
        <sz val="8"/>
        <color theme="1"/>
        <rFont val="Arial"/>
        <family val="2"/>
        <scheme val="minor"/>
      </rPr>
      <t>(1)</t>
    </r>
    <r>
      <rPr>
        <sz val="8"/>
        <color theme="1"/>
        <rFont val="Arial"/>
        <family val="2"/>
        <scheme val="minor"/>
      </rPr>
      <t xml:space="preserve"> by Type of Certificate and Month  -  Umm Slal Municipality</t>
    </r>
  </si>
  <si>
    <r>
      <t>(16) Building Completion Certificates Issued</t>
    </r>
    <r>
      <rPr>
        <vertAlign val="superscript"/>
        <sz val="8"/>
        <color theme="1"/>
        <rFont val="Arial"/>
        <family val="2"/>
        <scheme val="minor"/>
      </rPr>
      <t>(1)</t>
    </r>
    <r>
      <rPr>
        <sz val="8"/>
        <color theme="1"/>
        <rFont val="Arial"/>
        <family val="2"/>
        <scheme val="minor"/>
      </rPr>
      <t xml:space="preserve"> by Type of Certificate and Month  -  Al Khor Municipality</t>
    </r>
  </si>
  <si>
    <r>
      <t>(17) Building Completion Certificates Issued</t>
    </r>
    <r>
      <rPr>
        <vertAlign val="superscript"/>
        <sz val="8"/>
        <color theme="1"/>
        <rFont val="Arial"/>
        <family val="2"/>
        <scheme val="minor"/>
      </rPr>
      <t>(1)</t>
    </r>
    <r>
      <rPr>
        <sz val="8"/>
        <color theme="1"/>
        <rFont val="Arial"/>
        <family val="2"/>
        <scheme val="minor"/>
      </rPr>
      <t xml:space="preserve"> by Type of Certificate and Month  -  Al Shamal Municipality</t>
    </r>
  </si>
  <si>
    <r>
      <t>(18) Building Completion Certificates Issued</t>
    </r>
    <r>
      <rPr>
        <vertAlign val="superscript"/>
        <sz val="8"/>
        <color theme="1"/>
        <rFont val="Arial"/>
        <family val="2"/>
        <scheme val="minor"/>
      </rPr>
      <t xml:space="preserve">(1) </t>
    </r>
    <r>
      <rPr>
        <sz val="8"/>
        <color theme="1"/>
        <rFont val="Arial"/>
        <family val="2"/>
        <scheme val="minor"/>
      </rPr>
      <t>by Type of Certificate and Month  -  Al Daayen Municipality</t>
    </r>
  </si>
  <si>
    <r>
      <t>(19) Building Completion Certificates Issued</t>
    </r>
    <r>
      <rPr>
        <vertAlign val="superscript"/>
        <sz val="8"/>
        <color theme="1"/>
        <rFont val="Arial"/>
        <family val="2"/>
        <scheme val="minor"/>
      </rPr>
      <t>(1)</t>
    </r>
    <r>
      <rPr>
        <sz val="8"/>
        <color theme="1"/>
        <rFont val="Arial"/>
        <family val="2"/>
        <scheme val="minor"/>
      </rPr>
      <t xml:space="preserve"> by Type of Certificate and Month  -  ALShahhaniya Municipality</t>
    </r>
  </si>
  <si>
    <r>
      <t>(20) Total Building Completion Certificates Issued</t>
    </r>
    <r>
      <rPr>
        <vertAlign val="superscript"/>
        <sz val="8"/>
        <color theme="1"/>
        <rFont val="Arial"/>
        <family val="2"/>
        <scheme val="minor"/>
      </rPr>
      <t>(1)</t>
    </r>
    <r>
      <rPr>
        <sz val="8"/>
        <color theme="1"/>
        <rFont val="Arial"/>
        <family val="2"/>
        <scheme val="minor"/>
      </rPr>
      <t xml:space="preserve"> by Municipality and Type of Building / Type of Certificate</t>
    </r>
  </si>
  <si>
    <t xml:space="preserve">     شكل رقم (6) إجمالي شهادات إتمام المباني الصادرة حسب البلديات</t>
  </si>
  <si>
    <t xml:space="preserve">     شكل رقم (5) إجمالي شهادات إتمام المباني الصادرة حسب نوع المبنى</t>
  </si>
  <si>
    <t xml:space="preserve">       Graph No. (5) Total Building Completion Certificates Issued by Type of Building</t>
  </si>
  <si>
    <t xml:space="preserve">       Graph No. (6) Total Building Completion Certificates Issued by Municpality </t>
  </si>
  <si>
    <t xml:space="preserve"> تماشياً مع سياسته في توفير وتطوير البيانات الاحصائية فقد رأى جهاز التخطيط والإحصاء  أن تتفق خطط التطوير مع الاتجاهات والتوصيات الدولية من حيث المفاهيم والتعاريف والبيانات الاحصائية الممكن توفيرها مع الأخذ بعين الاعتبار الظروف المحلية .</t>
  </si>
  <si>
    <t xml:space="preserve"> In accordance with its policy to furnish and develop statistical data, the Planning and Statistics Authority decided that its development plans should coincide with the international recommendations regarding concepts, definitions and statistical data to be furnished taking into consideration domestic circumstances.</t>
  </si>
  <si>
    <t>2 - فترة الإسناد الزمني:</t>
  </si>
  <si>
    <t>3 - إعداد البيانات :</t>
  </si>
  <si>
    <t>The release of this annual data comes under the joint cooperation between the Planning and Statistics Authority and the Ministry of Municipality and Environment to make use of the existing electronic link between the two entities where we access the data base of the Ministry of Municipality and Environment, importing the required data into temporary internal files to perform data processing in accordance with  the adopted statistical classifications and in turn producing final statistical reports.</t>
  </si>
  <si>
    <t>2- Reference Period:</t>
  </si>
  <si>
    <t>3- Data Preparation:</t>
  </si>
  <si>
    <t>هو المبنى الذي اكتمل بناؤه وأدخلت فيه كل الخدمات الضرورية من كهرباء وماء وأصبح جاهزاً للاستخدام.</t>
  </si>
  <si>
    <t>5ـ نــوع المـــبنى :</t>
  </si>
  <si>
    <t>4- المـــــبنى المكـتـمـل :</t>
  </si>
  <si>
    <t>5. TYPE OF BUILDINGS:</t>
  </si>
  <si>
    <t>4. Completed Building:</t>
  </si>
  <si>
    <t>A building is considered completed when it is physically ready to be occupied and supplied with the necessary services e.g. electricity and water.</t>
  </si>
  <si>
    <r>
      <t xml:space="preserve">العدد الخامس
</t>
    </r>
    <r>
      <rPr>
        <b/>
        <sz val="14"/>
        <rFont val="Arial"/>
        <family val="2"/>
      </rPr>
      <t>5</t>
    </r>
    <r>
      <rPr>
        <b/>
        <vertAlign val="superscript"/>
        <sz val="14"/>
        <rFont val="Arial"/>
        <family val="2"/>
      </rPr>
      <t>th</t>
    </r>
    <r>
      <rPr>
        <b/>
        <sz val="14"/>
        <rFont val="Arial"/>
        <family val="2"/>
      </rPr>
      <t xml:space="preserve"> Issue</t>
    </r>
  </si>
  <si>
    <t>النشرة السنوية
لإحصاءات رخص البناء والمباني المكتملة 2020
The Annual Bulletin of Building Permits and Completed Buildings Statistics
2020</t>
  </si>
  <si>
    <r>
      <t>يسر جهاز التخطيط والإحصاء أن يقدم العدد</t>
    </r>
    <r>
      <rPr>
        <b/>
        <sz val="20"/>
        <rFont val="Sakkal Majalla"/>
      </rPr>
      <t xml:space="preserve"> الخامس</t>
    </r>
    <r>
      <rPr>
        <b/>
        <sz val="20"/>
        <color indexed="8"/>
        <rFont val="Sakkal Majalla"/>
      </rPr>
      <t xml:space="preserve"> من النشرة السنوية لإحصاءات رخص البناء والمباني المكتملة للعام </t>
    </r>
    <r>
      <rPr>
        <b/>
        <sz val="16"/>
        <color indexed="8"/>
        <rFont val="Sakkal Majalla"/>
      </rPr>
      <t>2020</t>
    </r>
    <r>
      <rPr>
        <b/>
        <sz val="20"/>
        <color indexed="8"/>
        <rFont val="Sakkal Majalla"/>
      </rPr>
      <t xml:space="preserve">م وذلك في إطار جهوده المتواصلة في توفير وتطوير كافة أنواع الإحصاءات .
</t>
    </r>
  </si>
  <si>
    <r>
      <t>The Planning and Statistics Authority has the pleasure of introducing the 5</t>
    </r>
    <r>
      <rPr>
        <vertAlign val="superscript"/>
        <sz val="16"/>
        <rFont val="Arial"/>
        <family val="2"/>
      </rPr>
      <t>th</t>
    </r>
    <r>
      <rPr>
        <sz val="16"/>
        <rFont val="Arial"/>
        <family val="2"/>
      </rPr>
      <t xml:space="preserve"> issue of the “Annual Bulletin of Building Permits and Completed Buildings Statistics, 2020” as part of its continuous efforts to furnish and develop all kinds of statistics.</t>
    </r>
  </si>
  <si>
    <r>
      <t xml:space="preserve">إصدار هذه البيانات السنوية يأتي في إطار التنسيق </t>
    </r>
    <r>
      <rPr>
        <b/>
        <sz val="14"/>
        <rFont val="Sakkal Majalla"/>
      </rPr>
      <t>بين جهاز التخطيط  والاحصاء و</t>
    </r>
    <r>
      <rPr>
        <b/>
        <sz val="14"/>
        <color indexed="8"/>
        <rFont val="Sakkal Majalla"/>
      </rPr>
      <t>وزارة البلدية والبيئة للاستفادة من واقع الربط الإلكتروني القائم بين الجهتين ، حيث يتم الدخول الى قاعدة بيانات وزارة البلدية والبيئة وسحب البيانات المطلوبة وتحويلها الى ملفات داخلية مؤقتة ومعالجتها وفقاً للتصنيفات الاحصائية المعتمدة وبالتالي إصدار التقارير الاحصائية النهاَئية.</t>
    </r>
  </si>
  <si>
    <r>
      <t xml:space="preserve"> </t>
    </r>
    <r>
      <rPr>
        <b/>
        <sz val="8"/>
        <color theme="1"/>
        <rFont val="Arial"/>
        <family val="2"/>
        <scheme val="minor"/>
      </rPr>
      <t>Graph No. (5)</t>
    </r>
    <r>
      <rPr>
        <sz val="11"/>
        <color theme="1"/>
        <rFont val="Arial"/>
        <family val="2"/>
        <charset val="178"/>
        <scheme val="minor"/>
      </rPr>
      <t xml:space="preserve"> </t>
    </r>
    <r>
      <rPr>
        <b/>
        <sz val="10"/>
        <color theme="1"/>
        <rFont val="Arial"/>
        <family val="2"/>
        <scheme val="minor"/>
      </rPr>
      <t>شكل رقم</t>
    </r>
  </si>
  <si>
    <r>
      <t xml:space="preserve"> </t>
    </r>
    <r>
      <rPr>
        <b/>
        <sz val="8"/>
        <color theme="1"/>
        <rFont val="Arial"/>
        <family val="2"/>
        <scheme val="minor"/>
      </rPr>
      <t>Graph No. (6)</t>
    </r>
    <r>
      <rPr>
        <b/>
        <sz val="10"/>
        <color theme="1"/>
        <rFont val="Arial"/>
        <family val="2"/>
        <scheme val="minor"/>
      </rPr>
      <t xml:space="preserve"> شكل رقم</t>
    </r>
  </si>
</sst>
</file>

<file path=xl/styles.xml><?xml version="1.0" encoding="utf-8"?>
<styleSheet xmlns="http://schemas.openxmlformats.org/spreadsheetml/2006/main" xmlns:mc="http://schemas.openxmlformats.org/markup-compatibility/2006" xmlns:x14ac="http://schemas.microsoft.com/office/spreadsheetml/2009/9/ac" mc:Ignorable="x14ac">
  <fonts count="79" x14ac:knownFonts="1">
    <font>
      <sz val="11"/>
      <color theme="1"/>
      <name val="Arial"/>
      <family val="2"/>
      <charset val="178"/>
      <scheme val="minor"/>
    </font>
    <font>
      <sz val="11"/>
      <color theme="1"/>
      <name val="Arial"/>
      <family val="2"/>
      <scheme val="minor"/>
    </font>
    <font>
      <sz val="11"/>
      <color theme="1"/>
      <name val="Arial"/>
      <family val="2"/>
      <scheme val="minor"/>
    </font>
    <font>
      <b/>
      <sz val="18"/>
      <color theme="3"/>
      <name val="Times New Roman"/>
      <family val="2"/>
      <charset val="178"/>
      <scheme val="major"/>
    </font>
    <font>
      <sz val="11"/>
      <color theme="1"/>
      <name val="Arial"/>
      <family val="2"/>
      <scheme val="minor"/>
    </font>
    <font>
      <sz val="11"/>
      <color indexed="8"/>
      <name val="Arial"/>
      <family val="2"/>
    </font>
    <font>
      <sz val="8"/>
      <color indexed="8"/>
      <name val="Arial"/>
      <family val="2"/>
    </font>
    <font>
      <b/>
      <sz val="10"/>
      <color indexed="8"/>
      <name val="Arial"/>
      <family val="2"/>
    </font>
    <font>
      <b/>
      <sz val="12"/>
      <color indexed="8"/>
      <name val="Arial"/>
      <family val="2"/>
    </font>
    <font>
      <b/>
      <sz val="16"/>
      <color indexed="8"/>
      <name val="Arial"/>
      <family val="2"/>
    </font>
    <font>
      <b/>
      <sz val="11"/>
      <color indexed="25"/>
      <name val="Arial"/>
      <family val="2"/>
    </font>
    <font>
      <sz val="10"/>
      <color theme="1"/>
      <name val="Arial"/>
      <family val="2"/>
      <charset val="178"/>
    </font>
    <font>
      <sz val="10"/>
      <color theme="0"/>
      <name val="Arial"/>
      <family val="2"/>
      <charset val="178"/>
    </font>
    <font>
      <sz val="10"/>
      <color rgb="FF9C0006"/>
      <name val="Arial"/>
      <family val="2"/>
      <charset val="178"/>
    </font>
    <font>
      <b/>
      <sz val="10"/>
      <color rgb="FFFA7D00"/>
      <name val="Arial"/>
      <family val="2"/>
      <charset val="178"/>
    </font>
    <font>
      <b/>
      <sz val="10"/>
      <color theme="0"/>
      <name val="Arial"/>
      <family val="2"/>
      <charset val="178"/>
    </font>
    <font>
      <i/>
      <sz val="10"/>
      <color rgb="FF7F7F7F"/>
      <name val="Arial"/>
      <family val="2"/>
      <charset val="178"/>
    </font>
    <font>
      <sz val="10"/>
      <color rgb="FF006100"/>
      <name val="Arial"/>
      <family val="2"/>
      <charset val="178"/>
    </font>
    <font>
      <b/>
      <sz val="15"/>
      <color theme="3"/>
      <name val="Arial"/>
      <family val="2"/>
      <charset val="178"/>
    </font>
    <font>
      <b/>
      <sz val="13"/>
      <color theme="3"/>
      <name val="Arial"/>
      <family val="2"/>
      <charset val="178"/>
    </font>
    <font>
      <b/>
      <sz val="11"/>
      <color theme="3"/>
      <name val="Arial"/>
      <family val="2"/>
      <charset val="178"/>
    </font>
    <font>
      <sz val="10"/>
      <color rgb="FF3F3F76"/>
      <name val="Arial"/>
      <family val="2"/>
      <charset val="178"/>
    </font>
    <font>
      <sz val="10"/>
      <color rgb="FFFA7D00"/>
      <name val="Arial"/>
      <family val="2"/>
      <charset val="178"/>
    </font>
    <font>
      <sz val="10"/>
      <color rgb="FF9C6500"/>
      <name val="Arial"/>
      <family val="2"/>
      <charset val="178"/>
    </font>
    <font>
      <sz val="11"/>
      <color theme="1"/>
      <name val="Calibri"/>
      <family val="2"/>
    </font>
    <font>
      <b/>
      <sz val="10"/>
      <color rgb="FF3F3F3F"/>
      <name val="Arial"/>
      <family val="2"/>
      <charset val="178"/>
    </font>
    <font>
      <b/>
      <sz val="10"/>
      <color theme="1"/>
      <name val="Arial"/>
      <family val="2"/>
      <charset val="178"/>
    </font>
    <font>
      <sz val="10"/>
      <color rgb="FFFF0000"/>
      <name val="Arial"/>
      <family val="2"/>
      <charset val="178"/>
    </font>
    <font>
      <b/>
      <sz val="14"/>
      <color indexed="25"/>
      <name val="Arial"/>
      <family val="2"/>
    </font>
    <font>
      <b/>
      <sz val="20"/>
      <color indexed="8"/>
      <name val="Times New Roman"/>
      <family val="1"/>
    </font>
    <font>
      <b/>
      <sz val="20"/>
      <color indexed="8"/>
      <name val="Arial"/>
      <family val="2"/>
    </font>
    <font>
      <b/>
      <sz val="11"/>
      <color indexed="8"/>
      <name val="Arial"/>
      <family val="2"/>
    </font>
    <font>
      <b/>
      <sz val="14"/>
      <color indexed="8"/>
      <name val="Arial"/>
      <family val="2"/>
    </font>
    <font>
      <b/>
      <sz val="13"/>
      <color indexed="8"/>
      <name val="Arial"/>
      <family val="2"/>
    </font>
    <font>
      <sz val="18"/>
      <color indexed="8"/>
      <name val="Arial"/>
      <family val="2"/>
    </font>
    <font>
      <b/>
      <sz val="18"/>
      <color indexed="8"/>
      <name val="Arial"/>
      <family val="2"/>
    </font>
    <font>
      <b/>
      <sz val="14"/>
      <color indexed="8"/>
      <name val="Arial Black"/>
      <family val="2"/>
    </font>
    <font>
      <b/>
      <sz val="18"/>
      <color indexed="8"/>
      <name val="Arial Black"/>
      <family val="2"/>
    </font>
    <font>
      <b/>
      <sz val="12"/>
      <color indexed="8"/>
      <name val="Arial Black"/>
      <family val="2"/>
    </font>
    <font>
      <b/>
      <sz val="20"/>
      <color indexed="8"/>
      <name val="Sultan bold"/>
      <charset val="178"/>
    </font>
    <font>
      <sz val="12"/>
      <color indexed="8"/>
      <name val="Arial Black"/>
      <family val="2"/>
    </font>
    <font>
      <sz val="16"/>
      <color indexed="8"/>
      <name val="Arial"/>
      <family val="2"/>
    </font>
    <font>
      <sz val="16"/>
      <name val="Arial"/>
      <family val="2"/>
    </font>
    <font>
      <vertAlign val="superscript"/>
      <sz val="16"/>
      <name val="Arial"/>
      <family val="2"/>
    </font>
    <font>
      <b/>
      <sz val="18"/>
      <name val="Arial Black"/>
      <family val="2"/>
    </font>
    <font>
      <b/>
      <sz val="12"/>
      <name val="Arial"/>
      <family val="2"/>
    </font>
    <font>
      <b/>
      <sz val="10"/>
      <name val="Arial"/>
      <family val="2"/>
    </font>
    <font>
      <sz val="11"/>
      <name val="Arial"/>
      <family val="2"/>
    </font>
    <font>
      <b/>
      <sz val="8"/>
      <name val="Arial"/>
      <family val="2"/>
    </font>
    <font>
      <vertAlign val="superscript"/>
      <sz val="11"/>
      <color indexed="8"/>
      <name val="Arial"/>
      <family val="2"/>
    </font>
    <font>
      <b/>
      <sz val="14"/>
      <name val="Arial"/>
      <family val="2"/>
    </font>
    <font>
      <b/>
      <sz val="18"/>
      <name val="Arial"/>
      <family val="2"/>
    </font>
    <font>
      <b/>
      <sz val="16"/>
      <name val="Arial"/>
      <family val="2"/>
    </font>
    <font>
      <b/>
      <sz val="11"/>
      <name val="Arial"/>
      <family val="2"/>
    </font>
    <font>
      <sz val="10"/>
      <name val="Arial"/>
      <family val="2"/>
    </font>
    <font>
      <sz val="13"/>
      <name val="Arial"/>
      <family val="2"/>
    </font>
    <font>
      <b/>
      <sz val="13"/>
      <name val="Arial"/>
      <family val="2"/>
    </font>
    <font>
      <b/>
      <vertAlign val="superscript"/>
      <sz val="14"/>
      <name val="Arial"/>
      <family val="2"/>
    </font>
    <font>
      <b/>
      <sz val="20"/>
      <color theme="0"/>
      <name val="Arial"/>
      <family val="2"/>
    </font>
    <font>
      <b/>
      <sz val="8"/>
      <color theme="1"/>
      <name val="Arial"/>
      <family val="2"/>
      <scheme val="minor"/>
    </font>
    <font>
      <b/>
      <sz val="10"/>
      <color theme="1"/>
      <name val="Arial"/>
      <family val="2"/>
      <scheme val="minor"/>
    </font>
    <font>
      <vertAlign val="superscript"/>
      <sz val="11"/>
      <color theme="1"/>
      <name val="Arial"/>
      <family val="2"/>
      <charset val="178"/>
      <scheme val="minor"/>
    </font>
    <font>
      <sz val="8"/>
      <color theme="1"/>
      <name val="Arial"/>
      <family val="2"/>
      <scheme val="minor"/>
    </font>
    <font>
      <vertAlign val="superscript"/>
      <sz val="8"/>
      <color theme="1"/>
      <name val="Arial"/>
      <family val="2"/>
      <scheme val="minor"/>
    </font>
    <font>
      <b/>
      <sz val="11"/>
      <color theme="1"/>
      <name val="Arial"/>
      <family val="2"/>
      <scheme val="minor"/>
    </font>
    <font>
      <b/>
      <vertAlign val="superscript"/>
      <sz val="16"/>
      <color indexed="8"/>
      <name val="Arial"/>
      <family val="2"/>
    </font>
    <font>
      <b/>
      <vertAlign val="superscript"/>
      <sz val="12"/>
      <color indexed="8"/>
      <name val="Arial"/>
      <family val="2"/>
    </font>
    <font>
      <sz val="12"/>
      <color indexed="8"/>
      <name val="Arial"/>
      <family val="2"/>
    </font>
    <font>
      <b/>
      <sz val="8"/>
      <color indexed="8"/>
      <name val="Arial"/>
      <family val="2"/>
    </font>
    <font>
      <sz val="10"/>
      <color indexed="8"/>
      <name val="Arial"/>
      <family val="2"/>
    </font>
    <font>
      <b/>
      <sz val="12"/>
      <color theme="1"/>
      <name val="Sultan bold"/>
      <charset val="178"/>
    </font>
    <font>
      <b/>
      <sz val="10"/>
      <color theme="1"/>
      <name val="Arial Black"/>
      <family val="2"/>
    </font>
    <font>
      <sz val="10"/>
      <color theme="1"/>
      <name val="Arial Black"/>
      <family val="2"/>
    </font>
    <font>
      <b/>
      <sz val="18"/>
      <color indexed="8"/>
      <name val="Sakkal Majalla"/>
    </font>
    <font>
      <b/>
      <sz val="20"/>
      <color indexed="8"/>
      <name val="Sakkal Majalla"/>
    </font>
    <font>
      <b/>
      <sz val="20"/>
      <name val="Sakkal Majalla"/>
    </font>
    <font>
      <b/>
      <sz val="16"/>
      <color indexed="8"/>
      <name val="Sakkal Majalla"/>
    </font>
    <font>
      <b/>
      <sz val="14"/>
      <color indexed="8"/>
      <name val="Sakkal Majalla"/>
    </font>
    <font>
      <b/>
      <sz val="14"/>
      <name val="Sakkal Majalla"/>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bgColor indexed="64"/>
      </patternFill>
    </fill>
    <fill>
      <patternFill patternType="solid">
        <fgColor theme="0"/>
        <bgColor indexed="64"/>
      </patternFill>
    </fill>
    <fill>
      <patternFill patternType="solid">
        <fgColor theme="2" tint="-0.249977111117893"/>
        <bgColor indexed="64"/>
      </patternFill>
    </fill>
  </fills>
  <borders count="2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ck">
        <color theme="0"/>
      </left>
      <right style="thick">
        <color theme="0"/>
      </right>
      <top style="thin">
        <color indexed="64"/>
      </top>
      <bottom style="thin">
        <color indexed="64"/>
      </bottom>
      <diagonal/>
    </border>
    <border>
      <left/>
      <right/>
      <top/>
      <bottom style="thin">
        <color indexed="64"/>
      </bottom>
      <diagonal/>
    </border>
    <border>
      <left style="thick">
        <color theme="0"/>
      </left>
      <right style="thick">
        <color theme="0"/>
      </right>
      <top style="thin">
        <color indexed="64"/>
      </top>
      <bottom style="medium">
        <color indexed="25"/>
      </bottom>
      <diagonal/>
    </border>
    <border>
      <left style="thick">
        <color theme="0"/>
      </left>
      <right style="thick">
        <color theme="0"/>
      </right>
      <top style="thin">
        <color indexed="64"/>
      </top>
      <bottom/>
      <diagonal/>
    </border>
    <border>
      <left style="thick">
        <color theme="0"/>
      </left>
      <right style="thick">
        <color theme="0"/>
      </right>
      <top style="medium">
        <color indexed="25"/>
      </top>
      <bottom style="thin">
        <color indexed="64"/>
      </bottom>
      <diagonal/>
    </border>
    <border>
      <left style="thick">
        <color theme="0"/>
      </left>
      <right style="thick">
        <color theme="0"/>
      </right>
      <top/>
      <bottom/>
      <diagonal/>
    </border>
    <border>
      <left/>
      <right style="thick">
        <color theme="0"/>
      </right>
      <top style="thin">
        <color indexed="64"/>
      </top>
      <bottom style="thin">
        <color indexed="64"/>
      </bottom>
      <diagonal/>
    </border>
    <border>
      <left/>
      <right/>
      <top style="thin">
        <color indexed="64"/>
      </top>
      <bottom style="thin">
        <color indexed="64"/>
      </bottom>
      <diagonal/>
    </border>
    <border>
      <left style="thick">
        <color theme="0"/>
      </left>
      <right/>
      <top style="thin">
        <color indexed="64"/>
      </top>
      <bottom style="thin">
        <color indexed="64"/>
      </bottom>
      <diagonal/>
    </border>
    <border>
      <left style="thick">
        <color theme="0"/>
      </left>
      <right style="thick">
        <color theme="0"/>
      </right>
      <top/>
      <bottom style="thin">
        <color indexed="64"/>
      </bottom>
      <diagonal/>
    </border>
  </borders>
  <cellStyleXfs count="46">
    <xf numFmtId="0" fontId="0" fillId="0" borderId="0"/>
    <xf numFmtId="0" fontId="4" fillId="0" borderId="0"/>
    <xf numFmtId="0" fontId="11" fillId="10"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11" borderId="0" applyNumberFormat="0" applyBorder="0" applyAlignment="0" applyProtection="0"/>
    <xf numFmtId="0" fontId="11" fillId="15" borderId="0" applyNumberFormat="0" applyBorder="0" applyAlignment="0" applyProtection="0"/>
    <xf numFmtId="0" fontId="11" fillId="19" borderId="0" applyNumberFormat="0" applyBorder="0" applyAlignment="0" applyProtection="0"/>
    <xf numFmtId="0" fontId="11" fillId="23" borderId="0" applyNumberFormat="0" applyBorder="0" applyAlignment="0" applyProtection="0"/>
    <xf numFmtId="0" fontId="11" fillId="27" borderId="0" applyNumberFormat="0" applyBorder="0" applyAlignment="0" applyProtection="0"/>
    <xf numFmtId="0" fontId="11" fillId="31" borderId="0" applyNumberFormat="0" applyBorder="0" applyAlignment="0" applyProtection="0"/>
    <xf numFmtId="0" fontId="12" fillId="12" borderId="0" applyNumberFormat="0" applyBorder="0" applyAlignment="0" applyProtection="0"/>
    <xf numFmtId="0" fontId="12" fillId="16" borderId="0" applyNumberFormat="0" applyBorder="0" applyAlignment="0" applyProtection="0"/>
    <xf numFmtId="0" fontId="12" fillId="20" borderId="0" applyNumberFormat="0" applyBorder="0" applyAlignment="0" applyProtection="0"/>
    <xf numFmtId="0" fontId="12" fillId="24" borderId="0" applyNumberFormat="0" applyBorder="0" applyAlignment="0" applyProtection="0"/>
    <xf numFmtId="0" fontId="12" fillId="28" borderId="0" applyNumberFormat="0" applyBorder="0" applyAlignment="0" applyProtection="0"/>
    <xf numFmtId="0" fontId="12" fillId="32" borderId="0" applyNumberFormat="0" applyBorder="0" applyAlignment="0" applyProtection="0"/>
    <xf numFmtId="0" fontId="12" fillId="9" borderId="0" applyNumberFormat="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3" fillId="3" borderId="0" applyNumberFormat="0" applyBorder="0" applyAlignment="0" applyProtection="0"/>
    <xf numFmtId="0" fontId="14" fillId="6" borderId="4" applyNumberFormat="0" applyAlignment="0" applyProtection="0"/>
    <xf numFmtId="0" fontId="15" fillId="7" borderId="7" applyNumberFormat="0" applyAlignment="0" applyProtection="0"/>
    <xf numFmtId="0" fontId="16" fillId="0" borderId="0" applyNumberFormat="0" applyFill="0" applyBorder="0" applyAlignment="0" applyProtection="0"/>
    <xf numFmtId="0" fontId="17" fillId="2" borderId="0" applyNumberFormat="0" applyBorder="0" applyAlignment="0" applyProtection="0"/>
    <xf numFmtId="0" fontId="18" fillId="0" borderId="1" applyNumberFormat="0" applyFill="0" applyAlignment="0" applyProtection="0"/>
    <xf numFmtId="0" fontId="19" fillId="0" borderId="2" applyNumberFormat="0" applyFill="0" applyAlignment="0" applyProtection="0"/>
    <xf numFmtId="0" fontId="20" fillId="0" borderId="3" applyNumberFormat="0" applyFill="0" applyAlignment="0" applyProtection="0"/>
    <xf numFmtId="0" fontId="20" fillId="0" borderId="0" applyNumberFormat="0" applyFill="0" applyBorder="0" applyAlignment="0" applyProtection="0"/>
    <xf numFmtId="0" fontId="21" fillId="5" borderId="4" applyNumberFormat="0" applyAlignment="0" applyProtection="0"/>
    <xf numFmtId="0" fontId="22" fillId="0" borderId="6" applyNumberFormat="0" applyFill="0" applyAlignment="0" applyProtection="0"/>
    <xf numFmtId="0" fontId="23" fillId="4" borderId="0" applyNumberFormat="0" applyBorder="0" applyAlignment="0" applyProtection="0"/>
    <xf numFmtId="0" fontId="24" fillId="0" borderId="0"/>
    <xf numFmtId="0" fontId="11" fillId="0" borderId="0"/>
    <xf numFmtId="0" fontId="11" fillId="8" borderId="8" applyNumberFormat="0" applyFont="0" applyAlignment="0" applyProtection="0"/>
    <xf numFmtId="0" fontId="25" fillId="6" borderId="5" applyNumberFormat="0" applyAlignment="0" applyProtection="0"/>
    <xf numFmtId="0" fontId="3" fillId="0" borderId="0" applyNumberFormat="0" applyFill="0" applyBorder="0" applyAlignment="0" applyProtection="0"/>
    <xf numFmtId="0" fontId="26" fillId="0" borderId="9" applyNumberFormat="0" applyFill="0" applyAlignment="0" applyProtection="0"/>
    <xf numFmtId="0" fontId="27" fillId="0" borderId="0" applyNumberFormat="0" applyFill="0" applyBorder="0" applyAlignment="0" applyProtection="0"/>
    <xf numFmtId="0" fontId="2" fillId="0" borderId="0"/>
  </cellStyleXfs>
  <cellXfs count="172">
    <xf numFmtId="0" fontId="0" fillId="0" borderId="0" xfId="0"/>
    <xf numFmtId="0" fontId="5" fillId="0" borderId="0" xfId="1" applyFont="1" applyAlignment="1">
      <alignment vertical="center"/>
    </xf>
    <xf numFmtId="0" fontId="10" fillId="0" borderId="0" xfId="1" applyFont="1" applyAlignment="1">
      <alignment horizontal="center" vertical="center" wrapText="1" readingOrder="1"/>
    </xf>
    <xf numFmtId="0" fontId="5" fillId="0" borderId="0" xfId="1" applyFont="1" applyAlignment="1">
      <alignment vertical="center" wrapText="1"/>
    </xf>
    <xf numFmtId="0" fontId="4" fillId="0" borderId="0" xfId="1" applyAlignment="1">
      <alignment vertical="center"/>
    </xf>
    <xf numFmtId="0" fontId="29" fillId="0" borderId="0" xfId="1" applyFont="1" applyAlignment="1">
      <alignment horizontal="center" vertical="center" readingOrder="1"/>
    </xf>
    <xf numFmtId="0" fontId="31" fillId="0" borderId="0" xfId="1" applyFont="1" applyAlignment="1">
      <alignment vertical="center" readingOrder="1"/>
    </xf>
    <xf numFmtId="0" fontId="34" fillId="0" borderId="0" xfId="1" applyFont="1" applyAlignment="1">
      <alignment vertical="center" wrapText="1"/>
    </xf>
    <xf numFmtId="0" fontId="9" fillId="0" borderId="0" xfId="1" applyFont="1" applyAlignment="1">
      <alignment horizontal="center" vertical="center" wrapText="1"/>
    </xf>
    <xf numFmtId="0" fontId="31" fillId="0" borderId="0" xfId="1" applyFont="1" applyAlignment="1">
      <alignment vertical="center" wrapText="1" readingOrder="1"/>
    </xf>
    <xf numFmtId="0" fontId="10" fillId="0" borderId="0" xfId="1" applyFont="1" applyAlignment="1">
      <alignment vertical="center" wrapText="1" readingOrder="1"/>
    </xf>
    <xf numFmtId="0" fontId="6" fillId="0" borderId="0" xfId="1" applyFont="1" applyAlignment="1">
      <alignment horizontal="left" vertical="center"/>
    </xf>
    <xf numFmtId="0" fontId="5" fillId="0" borderId="0" xfId="1" applyFont="1" applyAlignment="1">
      <alignment horizontal="center" vertical="center"/>
    </xf>
    <xf numFmtId="0" fontId="5" fillId="0" borderId="0" xfId="1" applyFont="1" applyAlignment="1">
      <alignment horizontal="right" vertical="center"/>
    </xf>
    <xf numFmtId="0" fontId="48" fillId="0" borderId="0" xfId="1" applyFont="1" applyAlignment="1">
      <alignment horizontal="left" vertical="center"/>
    </xf>
    <xf numFmtId="0" fontId="45" fillId="0" borderId="0" xfId="1" applyFont="1" applyAlignment="1">
      <alignment horizontal="center" vertical="center"/>
    </xf>
    <xf numFmtId="0" fontId="9" fillId="0" borderId="0" xfId="1" applyFont="1" applyAlignment="1">
      <alignment horizontal="center" vertical="center"/>
    </xf>
    <xf numFmtId="0" fontId="9" fillId="0" borderId="0" xfId="1" applyFont="1" applyAlignment="1">
      <alignment vertical="center"/>
    </xf>
    <xf numFmtId="0" fontId="5" fillId="0" borderId="0" xfId="1" applyFont="1" applyAlignment="1">
      <alignment horizontal="distributed" vertical="center" wrapText="1"/>
    </xf>
    <xf numFmtId="0" fontId="34" fillId="0" borderId="0" xfId="1" applyFont="1" applyAlignment="1">
      <alignment horizontal="distributed" vertical="center" wrapText="1"/>
    </xf>
    <xf numFmtId="0" fontId="5" fillId="0" borderId="0" xfId="1" applyFont="1" applyAlignment="1">
      <alignment horizontal="distributed" vertical="top" wrapText="1"/>
    </xf>
    <xf numFmtId="0" fontId="31" fillId="0" borderId="0" xfId="1" applyFont="1" applyAlignment="1">
      <alignment horizontal="distributed" vertical="center" wrapText="1" readingOrder="1"/>
    </xf>
    <xf numFmtId="0" fontId="5" fillId="0" borderId="0" xfId="1" applyFont="1" applyAlignment="1">
      <alignment horizontal="distributed" vertical="center"/>
    </xf>
    <xf numFmtId="0" fontId="10" fillId="0" borderId="0" xfId="1" applyFont="1" applyAlignment="1">
      <alignment horizontal="distributed" vertical="center" wrapText="1" readingOrder="1"/>
    </xf>
    <xf numFmtId="0" fontId="47" fillId="0" borderId="0" xfId="1" applyFont="1" applyAlignment="1">
      <alignment horizontal="distributed" vertical="center" wrapText="1"/>
    </xf>
    <xf numFmtId="0" fontId="56" fillId="0" borderId="0" xfId="1" applyFont="1" applyAlignment="1">
      <alignment horizontal="distributed" vertical="top" wrapText="1" indent="2" readingOrder="2"/>
    </xf>
    <xf numFmtId="0" fontId="46" fillId="0" borderId="0" xfId="1" applyFont="1" applyAlignment="1">
      <alignment horizontal="left" vertical="top" wrapText="1" indent="3"/>
    </xf>
    <xf numFmtId="0" fontId="59" fillId="0" borderId="0" xfId="0" applyFont="1" applyAlignment="1">
      <alignment horizontal="left" vertical="center" indent="1"/>
    </xf>
    <xf numFmtId="0" fontId="59" fillId="33" borderId="0" xfId="0" applyFont="1" applyFill="1" applyAlignment="1">
      <alignment horizontal="left" vertical="center" indent="1"/>
    </xf>
    <xf numFmtId="0" fontId="5" fillId="0" borderId="0" xfId="45" applyFont="1" applyAlignment="1">
      <alignment vertical="center"/>
    </xf>
    <xf numFmtId="0" fontId="8" fillId="0" borderId="0" xfId="45" applyFont="1" applyAlignment="1">
      <alignment horizontal="right" vertical="center" readingOrder="2"/>
    </xf>
    <xf numFmtId="0" fontId="8" fillId="0" borderId="0" xfId="45" applyFont="1" applyAlignment="1">
      <alignment horizontal="right" vertical="center"/>
    </xf>
    <xf numFmtId="0" fontId="67" fillId="0" borderId="0" xfId="45" applyFont="1" applyAlignment="1">
      <alignment vertical="center"/>
    </xf>
    <xf numFmtId="0" fontId="7" fillId="0" borderId="0" xfId="45" applyFont="1" applyAlignment="1">
      <alignment vertical="center"/>
    </xf>
    <xf numFmtId="0" fontId="7" fillId="34" borderId="15" xfId="45" applyFont="1" applyFill="1" applyBorder="1" applyAlignment="1">
      <alignment horizontal="right" vertical="center" indent="1"/>
    </xf>
    <xf numFmtId="0" fontId="69" fillId="34" borderId="15" xfId="45" applyFont="1" applyFill="1" applyBorder="1" applyAlignment="1">
      <alignment horizontal="right" vertical="center" indent="1"/>
    </xf>
    <xf numFmtId="0" fontId="68" fillId="34" borderId="15" xfId="45" applyFont="1" applyFill="1" applyBorder="1" applyAlignment="1">
      <alignment horizontal="left" vertical="center" indent="1"/>
    </xf>
    <xf numFmtId="0" fontId="7" fillId="33" borderId="15" xfId="45" applyFont="1" applyFill="1" applyBorder="1" applyAlignment="1">
      <alignment horizontal="right" vertical="center" indent="1"/>
    </xf>
    <xf numFmtId="0" fontId="69" fillId="33" borderId="15" xfId="45" applyFont="1" applyFill="1" applyBorder="1" applyAlignment="1">
      <alignment horizontal="right" vertical="center" indent="1"/>
    </xf>
    <xf numFmtId="0" fontId="68" fillId="33" borderId="15" xfId="45" applyFont="1" applyFill="1" applyBorder="1" applyAlignment="1">
      <alignment horizontal="left" vertical="center" indent="1"/>
    </xf>
    <xf numFmtId="0" fontId="7" fillId="34" borderId="10" xfId="45" applyFont="1" applyFill="1" applyBorder="1" applyAlignment="1">
      <alignment horizontal="center" vertical="center"/>
    </xf>
    <xf numFmtId="0" fontId="7" fillId="34" borderId="10" xfId="45" applyFont="1" applyFill="1" applyBorder="1" applyAlignment="1">
      <alignment horizontal="right" vertical="center" indent="1"/>
    </xf>
    <xf numFmtId="0" fontId="68" fillId="34" borderId="10" xfId="45" applyFont="1" applyFill="1" applyBorder="1" applyAlignment="1">
      <alignment horizontal="center" vertical="center"/>
    </xf>
    <xf numFmtId="0" fontId="6" fillId="0" borderId="0" xfId="45" applyFont="1" applyAlignment="1">
      <alignment vertical="center"/>
    </xf>
    <xf numFmtId="0" fontId="68" fillId="0" borderId="0" xfId="45" applyFont="1" applyAlignment="1">
      <alignment vertical="center"/>
    </xf>
    <xf numFmtId="0" fontId="10" fillId="0" borderId="0" xfId="45" applyFont="1" applyAlignment="1">
      <alignment vertical="center" readingOrder="1"/>
    </xf>
    <xf numFmtId="0" fontId="9" fillId="0" borderId="0" xfId="45" applyFont="1" applyAlignment="1">
      <alignment vertical="center" wrapText="1" readingOrder="2"/>
    </xf>
    <xf numFmtId="0" fontId="8" fillId="0" borderId="0" xfId="45" applyFont="1" applyAlignment="1">
      <alignment vertical="center"/>
    </xf>
    <xf numFmtId="0" fontId="7" fillId="33" borderId="10" xfId="45" applyFont="1" applyFill="1" applyBorder="1" applyAlignment="1">
      <alignment horizontal="center" vertical="center"/>
    </xf>
    <xf numFmtId="0" fontId="68" fillId="33" borderId="10" xfId="45" applyFont="1" applyFill="1" applyBorder="1" applyAlignment="1">
      <alignment horizontal="center" vertical="center"/>
    </xf>
    <xf numFmtId="0" fontId="8" fillId="34" borderId="15" xfId="45" applyFont="1" applyFill="1" applyBorder="1" applyAlignment="1">
      <alignment horizontal="right" vertical="center" indent="1"/>
    </xf>
    <xf numFmtId="0" fontId="69" fillId="34" borderId="15" xfId="45" applyFont="1" applyFill="1" applyBorder="1" applyAlignment="1">
      <alignment horizontal="right" vertical="center"/>
    </xf>
    <xf numFmtId="0" fontId="7" fillId="34" borderId="15" xfId="45" applyFont="1" applyFill="1" applyBorder="1" applyAlignment="1">
      <alignment horizontal="left" vertical="center" indent="1"/>
    </xf>
    <xf numFmtId="0" fontId="7" fillId="33" borderId="15" xfId="45" applyFont="1" applyFill="1" applyBorder="1" applyAlignment="1">
      <alignment horizontal="right" vertical="center" wrapText="1" indent="4"/>
    </xf>
    <xf numFmtId="0" fontId="68" fillId="33" borderId="15" xfId="45" applyFont="1" applyFill="1" applyBorder="1" applyAlignment="1">
      <alignment horizontal="left" vertical="center" indent="4"/>
    </xf>
    <xf numFmtId="0" fontId="5" fillId="0" borderId="0" xfId="45" applyFont="1" applyAlignment="1">
      <alignment vertical="center" wrapText="1"/>
    </xf>
    <xf numFmtId="0" fontId="7" fillId="34" borderId="15" xfId="45" applyFont="1" applyFill="1" applyBorder="1" applyAlignment="1">
      <alignment horizontal="right" vertical="center" wrapText="1" indent="4"/>
    </xf>
    <xf numFmtId="0" fontId="68" fillId="34" borderId="15" xfId="45" applyFont="1" applyFill="1" applyBorder="1" applyAlignment="1">
      <alignment horizontal="left" vertical="center" indent="4"/>
    </xf>
    <xf numFmtId="0" fontId="7" fillId="33" borderId="15" xfId="45" applyFont="1" applyFill="1" applyBorder="1" applyAlignment="1">
      <alignment horizontal="right" vertical="center" indent="4"/>
    </xf>
    <xf numFmtId="0" fontId="7" fillId="34" borderId="15" xfId="45" applyFont="1" applyFill="1" applyBorder="1" applyAlignment="1">
      <alignment horizontal="right" vertical="center" indent="4"/>
    </xf>
    <xf numFmtId="0" fontId="7" fillId="33" borderId="10" xfId="45" applyFont="1" applyFill="1" applyBorder="1" applyAlignment="1">
      <alignment horizontal="right" vertical="center" indent="1"/>
    </xf>
    <xf numFmtId="0" fontId="7" fillId="0" borderId="10" xfId="45" applyFont="1" applyBorder="1" applyAlignment="1">
      <alignment horizontal="right" vertical="center" indent="1"/>
    </xf>
    <xf numFmtId="0" fontId="7" fillId="0" borderId="10" xfId="45" applyFont="1" applyBorder="1" applyAlignment="1">
      <alignment horizontal="center" vertical="center"/>
    </xf>
    <xf numFmtId="0" fontId="68" fillId="0" borderId="10" xfId="45" applyFont="1" applyBorder="1" applyAlignment="1">
      <alignment horizontal="center" vertical="center"/>
    </xf>
    <xf numFmtId="0" fontId="7" fillId="0" borderId="0" xfId="45" applyFont="1" applyAlignment="1">
      <alignment horizontal="right" vertical="center" readingOrder="2"/>
    </xf>
    <xf numFmtId="0" fontId="68" fillId="0" borderId="0" xfId="45" applyFont="1" applyAlignment="1">
      <alignment wrapText="1"/>
    </xf>
    <xf numFmtId="0" fontId="0" fillId="34" borderId="0" xfId="0" applyFill="1"/>
    <xf numFmtId="0" fontId="71" fillId="34" borderId="0" xfId="0" applyFont="1" applyFill="1" applyAlignment="1">
      <alignment horizontal="center" vertical="center"/>
    </xf>
    <xf numFmtId="0" fontId="8" fillId="0" borderId="0" xfId="45" applyFont="1" applyAlignment="1">
      <alignment vertical="top"/>
    </xf>
    <xf numFmtId="0" fontId="7" fillId="35" borderId="10" xfId="45" applyFont="1" applyFill="1" applyBorder="1" applyAlignment="1">
      <alignment horizontal="center" vertical="center" wrapText="1"/>
    </xf>
    <xf numFmtId="0" fontId="7" fillId="35" borderId="10" xfId="45" applyFont="1" applyFill="1" applyBorder="1" applyAlignment="1">
      <alignment horizontal="center" vertical="center"/>
    </xf>
    <xf numFmtId="0" fontId="7" fillId="35" borderId="10" xfId="45" applyFont="1" applyFill="1" applyBorder="1" applyAlignment="1">
      <alignment horizontal="center" vertical="center" wrapText="1" readingOrder="1"/>
    </xf>
    <xf numFmtId="0" fontId="68" fillId="35" borderId="10" xfId="45" applyFont="1" applyFill="1" applyBorder="1" applyAlignment="1">
      <alignment horizontal="center" vertical="center"/>
    </xf>
    <xf numFmtId="0" fontId="59" fillId="33" borderId="0" xfId="0" applyFont="1" applyFill="1" applyAlignment="1">
      <alignment horizontal="left" vertical="center" indent="1" readingOrder="1"/>
    </xf>
    <xf numFmtId="0" fontId="59" fillId="0" borderId="0" xfId="0" applyFont="1" applyAlignment="1">
      <alignment horizontal="left" vertical="center" indent="1" readingOrder="1"/>
    </xf>
    <xf numFmtId="0" fontId="59" fillId="33" borderId="11" xfId="0" applyFont="1" applyFill="1" applyBorder="1" applyAlignment="1">
      <alignment horizontal="left" vertical="center" indent="1" readingOrder="1"/>
    </xf>
    <xf numFmtId="0" fontId="8" fillId="35" borderId="10" xfId="1" applyFont="1" applyFill="1" applyBorder="1" applyAlignment="1">
      <alignment horizontal="center" vertical="center" wrapText="1" readingOrder="2"/>
    </xf>
    <xf numFmtId="0" fontId="7" fillId="35" borderId="10" xfId="1" applyFont="1" applyFill="1" applyBorder="1" applyAlignment="1">
      <alignment horizontal="center" vertical="center" wrapText="1" readingOrder="1"/>
    </xf>
    <xf numFmtId="0" fontId="7" fillId="35" borderId="10" xfId="1" applyFont="1" applyFill="1" applyBorder="1" applyAlignment="1">
      <alignment horizontal="center" vertical="center" wrapText="1" readingOrder="2"/>
    </xf>
    <xf numFmtId="0" fontId="7" fillId="33" borderId="16" xfId="1" applyFont="1" applyFill="1" applyBorder="1" applyAlignment="1">
      <alignment horizontal="center" vertical="center" wrapText="1" readingOrder="2"/>
    </xf>
    <xf numFmtId="0" fontId="60" fillId="0" borderId="15" xfId="0" applyFont="1" applyBorder="1" applyAlignment="1">
      <alignment horizontal="right" vertical="center" indent="1"/>
    </xf>
    <xf numFmtId="0" fontId="60" fillId="33" borderId="15" xfId="0" applyFont="1" applyFill="1" applyBorder="1" applyAlignment="1">
      <alignment horizontal="right" vertical="center" indent="1"/>
    </xf>
    <xf numFmtId="0" fontId="70" fillId="34" borderId="15" xfId="0" applyFont="1" applyFill="1" applyBorder="1" applyAlignment="1">
      <alignment horizontal="center" vertical="center"/>
    </xf>
    <xf numFmtId="0" fontId="60" fillId="33" borderId="15" xfId="0" applyFont="1" applyFill="1" applyBorder="1" applyAlignment="1">
      <alignment horizontal="right" vertical="center" indent="1" readingOrder="2"/>
    </xf>
    <xf numFmtId="0" fontId="60" fillId="0" borderId="15" xfId="0" applyFont="1" applyBorder="1" applyAlignment="1">
      <alignment horizontal="right" vertical="center" indent="1" readingOrder="2"/>
    </xf>
    <xf numFmtId="0" fontId="60" fillId="34" borderId="15" xfId="0" applyFont="1" applyFill="1" applyBorder="1" applyAlignment="1">
      <alignment horizontal="right" vertical="center" indent="1" readingOrder="2"/>
    </xf>
    <xf numFmtId="0" fontId="60" fillId="33" borderId="19" xfId="0" applyFont="1" applyFill="1" applyBorder="1" applyAlignment="1">
      <alignment horizontal="right" vertical="center" indent="1" readingOrder="2"/>
    </xf>
    <xf numFmtId="0" fontId="62" fillId="0" borderId="15" xfId="0" applyFont="1" applyBorder="1" applyAlignment="1">
      <alignment horizontal="left" vertical="center" indent="1"/>
    </xf>
    <xf numFmtId="0" fontId="62" fillId="33" borderId="15" xfId="0" applyFont="1" applyFill="1" applyBorder="1" applyAlignment="1">
      <alignment horizontal="left" vertical="center" indent="1"/>
    </xf>
    <xf numFmtId="0" fontId="72" fillId="34" borderId="15" xfId="0" applyFont="1" applyFill="1" applyBorder="1" applyAlignment="1">
      <alignment horizontal="center" vertical="center"/>
    </xf>
    <xf numFmtId="0" fontId="62" fillId="33" borderId="15" xfId="0" applyFont="1" applyFill="1" applyBorder="1" applyAlignment="1">
      <alignment horizontal="left" vertical="center" indent="1" readingOrder="1"/>
    </xf>
    <xf numFmtId="0" fontId="62" fillId="34" borderId="15" xfId="0" applyFont="1" applyFill="1" applyBorder="1" applyAlignment="1">
      <alignment horizontal="left" vertical="center" indent="1"/>
    </xf>
    <xf numFmtId="0" fontId="62" fillId="33" borderId="19" xfId="0" applyFont="1" applyFill="1" applyBorder="1" applyAlignment="1">
      <alignment horizontal="left" vertical="center" indent="1"/>
    </xf>
    <xf numFmtId="0" fontId="62" fillId="0" borderId="15" xfId="0" applyFont="1" applyBorder="1" applyAlignment="1">
      <alignment horizontal="left" vertical="center" indent="1" readingOrder="1"/>
    </xf>
    <xf numFmtId="0" fontId="60" fillId="34" borderId="15" xfId="0" applyFont="1" applyFill="1" applyBorder="1" applyAlignment="1">
      <alignment horizontal="right" vertical="center" indent="1"/>
    </xf>
    <xf numFmtId="0" fontId="70" fillId="33" borderId="15" xfId="0" applyFont="1" applyFill="1" applyBorder="1" applyAlignment="1">
      <alignment horizontal="center" vertical="center"/>
    </xf>
    <xf numFmtId="0" fontId="72" fillId="33" borderId="15" xfId="0" applyFont="1" applyFill="1" applyBorder="1" applyAlignment="1">
      <alignment horizontal="center" vertical="center"/>
    </xf>
    <xf numFmtId="0" fontId="62" fillId="34" borderId="15" xfId="0" applyFont="1" applyFill="1" applyBorder="1" applyAlignment="1">
      <alignment horizontal="left" vertical="center" indent="1" readingOrder="1"/>
    </xf>
    <xf numFmtId="0" fontId="60" fillId="34" borderId="19" xfId="0" applyFont="1" applyFill="1" applyBorder="1" applyAlignment="1">
      <alignment horizontal="right" vertical="center" indent="1" readingOrder="2"/>
    </xf>
    <xf numFmtId="0" fontId="62" fillId="34" borderId="19" xfId="0" applyFont="1" applyFill="1" applyBorder="1" applyAlignment="1">
      <alignment horizontal="left" vertical="center" indent="1"/>
    </xf>
    <xf numFmtId="0" fontId="0" fillId="0" borderId="15" xfId="0" applyBorder="1" applyAlignment="1">
      <alignment horizontal="center" vertical="center"/>
    </xf>
    <xf numFmtId="0" fontId="0" fillId="33" borderId="15" xfId="0" applyFill="1" applyBorder="1" applyAlignment="1">
      <alignment horizontal="center" vertical="center"/>
    </xf>
    <xf numFmtId="0" fontId="0" fillId="34" borderId="15" xfId="0" applyFill="1" applyBorder="1" applyAlignment="1">
      <alignment horizontal="center" vertical="center"/>
    </xf>
    <xf numFmtId="0" fontId="0" fillId="34" borderId="19" xfId="0" applyFill="1" applyBorder="1" applyAlignment="1">
      <alignment horizontal="center" vertical="center"/>
    </xf>
    <xf numFmtId="0" fontId="0" fillId="33" borderId="19" xfId="0" applyFill="1" applyBorder="1" applyAlignment="1">
      <alignment horizontal="center" vertical="center"/>
    </xf>
    <xf numFmtId="0" fontId="52" fillId="0" borderId="0" xfId="1" applyFont="1" applyAlignment="1">
      <alignment horizontal="center" vertical="center" wrapText="1" readingOrder="1"/>
    </xf>
    <xf numFmtId="0" fontId="32" fillId="0" borderId="0" xfId="1" applyFont="1" applyAlignment="1">
      <alignment horizontal="left" vertical="center" wrapText="1" indent="2"/>
    </xf>
    <xf numFmtId="0" fontId="9" fillId="0" borderId="0" xfId="1" applyFont="1" applyAlignment="1">
      <alignment horizontal="right" vertical="center" wrapText="1" indent="2"/>
    </xf>
    <xf numFmtId="0" fontId="10" fillId="0" borderId="0" xfId="1" applyFont="1" applyAlignment="1">
      <alignment horizontal="center" wrapText="1" readingOrder="1"/>
    </xf>
    <xf numFmtId="0" fontId="30" fillId="0" borderId="0" xfId="1" applyFont="1" applyAlignment="1">
      <alignment horizontal="center" vertical="center" wrapText="1" readingOrder="1"/>
    </xf>
    <xf numFmtId="0" fontId="28" fillId="0" borderId="0" xfId="1" applyFont="1" applyAlignment="1">
      <alignment horizontal="center" vertical="center" wrapText="1" readingOrder="1"/>
    </xf>
    <xf numFmtId="0" fontId="10" fillId="0" borderId="0" xfId="1" applyFont="1" applyAlignment="1">
      <alignment horizontal="center" vertical="center" wrapText="1" readingOrder="1"/>
    </xf>
    <xf numFmtId="0" fontId="44" fillId="0" borderId="0" xfId="1" applyFont="1" applyAlignment="1">
      <alignment horizontal="center" vertical="center" wrapText="1" readingOrder="1"/>
    </xf>
    <xf numFmtId="0" fontId="42" fillId="0" borderId="0" xfId="1" applyFont="1" applyAlignment="1">
      <alignment horizontal="left" vertical="top" wrapText="1" readingOrder="1"/>
    </xf>
    <xf numFmtId="0" fontId="74" fillId="0" borderId="0" xfId="1" applyFont="1" applyAlignment="1">
      <alignment horizontal="right" vertical="top" wrapText="1" readingOrder="2"/>
    </xf>
    <xf numFmtId="0" fontId="40" fillId="0" borderId="0" xfId="1" applyFont="1" applyAlignment="1">
      <alignment horizontal="center" vertical="top" wrapText="1"/>
    </xf>
    <xf numFmtId="0" fontId="73" fillId="0" borderId="0" xfId="1" applyFont="1" applyAlignment="1">
      <alignment horizontal="center" vertical="top" wrapText="1" readingOrder="2"/>
    </xf>
    <xf numFmtId="0" fontId="36" fillId="0" borderId="0" xfId="1" applyFont="1" applyAlignment="1">
      <alignment horizontal="center" vertical="center" wrapText="1" readingOrder="2"/>
    </xf>
    <xf numFmtId="0" fontId="35" fillId="0" borderId="0" xfId="1" applyFont="1" applyAlignment="1">
      <alignment horizontal="center" vertical="center" wrapText="1" readingOrder="2"/>
    </xf>
    <xf numFmtId="0" fontId="30" fillId="0" borderId="0" xfId="1" applyFont="1" applyAlignment="1">
      <alignment horizontal="center" vertical="center" wrapText="1" readingOrder="2"/>
    </xf>
    <xf numFmtId="0" fontId="41" fillId="0" borderId="0" xfId="1" applyFont="1" applyAlignment="1">
      <alignment horizontal="left" vertical="top" wrapText="1" readingOrder="1"/>
    </xf>
    <xf numFmtId="0" fontId="32" fillId="0" borderId="0" xfId="1" applyFont="1" applyAlignment="1">
      <alignment horizontal="left" vertical="center" wrapText="1" readingOrder="1"/>
    </xf>
    <xf numFmtId="0" fontId="47" fillId="0" borderId="0" xfId="1" applyFont="1" applyAlignment="1">
      <alignment horizontal="left" vertical="top" wrapText="1" indent="3"/>
    </xf>
    <xf numFmtId="0" fontId="9" fillId="0" borderId="0" xfId="1" applyFont="1" applyAlignment="1">
      <alignment horizontal="right" vertical="center" readingOrder="2"/>
    </xf>
    <xf numFmtId="0" fontId="77" fillId="0" borderId="0" xfId="1" applyFont="1" applyAlignment="1">
      <alignment horizontal="right" vertical="top" wrapText="1" indent="3" readingOrder="2"/>
    </xf>
    <xf numFmtId="0" fontId="5" fillId="0" borderId="0" xfId="1" applyFont="1" applyAlignment="1">
      <alignment horizontal="left" vertical="top" wrapText="1" indent="3"/>
    </xf>
    <xf numFmtId="0" fontId="77" fillId="0" borderId="0" xfId="1" applyFont="1" applyAlignment="1">
      <alignment horizontal="right" vertical="top" wrapText="1" readingOrder="2"/>
    </xf>
    <xf numFmtId="0" fontId="47" fillId="0" borderId="0" xfId="1" applyFont="1" applyAlignment="1">
      <alignment horizontal="left" vertical="center" wrapText="1" readingOrder="1"/>
    </xf>
    <xf numFmtId="0" fontId="77" fillId="0" borderId="0" xfId="1" applyFont="1" applyFill="1" applyAlignment="1">
      <alignment horizontal="right" vertical="top" wrapText="1" indent="3" readingOrder="2"/>
    </xf>
    <xf numFmtId="0" fontId="50" fillId="0" borderId="0" xfId="1" applyFont="1" applyAlignment="1">
      <alignment horizontal="distributed" vertical="center" wrapText="1" readingOrder="1"/>
    </xf>
    <xf numFmtId="0" fontId="51" fillId="0" borderId="0" xfId="1" applyFont="1" applyAlignment="1">
      <alignment horizontal="center" vertical="center" wrapText="1" readingOrder="1"/>
    </xf>
    <xf numFmtId="0" fontId="55" fillId="0" borderId="0" xfId="1" applyFont="1" applyAlignment="1">
      <alignment horizontal="right" vertical="top" wrapText="1" indent="2" readingOrder="2"/>
    </xf>
    <xf numFmtId="0" fontId="54" fillId="0" borderId="0" xfId="1" applyFont="1" applyAlignment="1">
      <alignment horizontal="left" vertical="top" wrapText="1" indent="3"/>
    </xf>
    <xf numFmtId="0" fontId="50" fillId="0" borderId="0" xfId="1" applyFont="1" applyAlignment="1">
      <alignment horizontal="right" vertical="top" wrapText="1" readingOrder="2"/>
    </xf>
    <xf numFmtId="0" fontId="53" fillId="0" borderId="0" xfId="1" applyFont="1" applyAlignment="1">
      <alignment horizontal="left" vertical="top" wrapText="1"/>
    </xf>
    <xf numFmtId="0" fontId="56" fillId="0" borderId="0" xfId="1" applyFont="1" applyAlignment="1">
      <alignment horizontal="distributed" vertical="top" wrapText="1" indent="2" readingOrder="2"/>
    </xf>
    <xf numFmtId="0" fontId="46" fillId="0" borderId="0" xfId="1" applyFont="1" applyAlignment="1">
      <alignment horizontal="left" vertical="top" wrapText="1" indent="3"/>
    </xf>
    <xf numFmtId="0" fontId="55" fillId="0" borderId="0" xfId="1" applyFont="1" applyAlignment="1">
      <alignment horizontal="right" vertical="top" wrapText="1" indent="4" readingOrder="2"/>
    </xf>
    <xf numFmtId="0" fontId="54" fillId="0" borderId="0" xfId="1" applyFont="1" applyAlignment="1">
      <alignment horizontal="left" vertical="top" wrapText="1" indent="5"/>
    </xf>
    <xf numFmtId="0" fontId="56" fillId="0" borderId="0" xfId="1" applyFont="1" applyAlignment="1">
      <alignment horizontal="distributed" vertical="center" wrapText="1" indent="2" readingOrder="2"/>
    </xf>
    <xf numFmtId="0" fontId="46" fillId="0" borderId="0" xfId="1" applyFont="1" applyAlignment="1">
      <alignment horizontal="left" vertical="center" wrapText="1" indent="3"/>
    </xf>
    <xf numFmtId="0" fontId="46" fillId="0" borderId="0" xfId="1" applyFont="1" applyAlignment="1">
      <alignment horizontal="left" vertical="top" wrapText="1" indent="2"/>
    </xf>
    <xf numFmtId="0" fontId="46" fillId="0" borderId="0" xfId="1" applyFont="1" applyAlignment="1">
      <alignment horizontal="left" wrapText="1" indent="3"/>
    </xf>
    <xf numFmtId="0" fontId="56" fillId="0" borderId="0" xfId="1" applyFont="1" applyAlignment="1">
      <alignment horizontal="distributed" wrapText="1" indent="2" readingOrder="2"/>
    </xf>
    <xf numFmtId="0" fontId="50" fillId="0" borderId="0" xfId="1" applyFont="1" applyAlignment="1">
      <alignment horizontal="center" vertical="top" wrapText="1"/>
    </xf>
    <xf numFmtId="0" fontId="51" fillId="0" borderId="0" xfId="1" applyFont="1" applyFill="1" applyAlignment="1">
      <alignment horizontal="center" vertical="top" wrapText="1" readingOrder="2"/>
    </xf>
    <xf numFmtId="0" fontId="50" fillId="0" borderId="0" xfId="1" applyFont="1" applyAlignment="1">
      <alignment horizontal="right" vertical="center" readingOrder="2"/>
    </xf>
    <xf numFmtId="0" fontId="54" fillId="0" borderId="0" xfId="1" applyFont="1" applyAlignment="1">
      <alignment horizontal="left" vertical="top" wrapText="1" indent="2" readingOrder="1"/>
    </xf>
    <xf numFmtId="0" fontId="54" fillId="0" borderId="0" xfId="1" applyFont="1" applyAlignment="1">
      <alignment horizontal="left" vertical="top" wrapText="1" indent="3" readingOrder="1"/>
    </xf>
    <xf numFmtId="0" fontId="58" fillId="34" borderId="0" xfId="1" applyFont="1" applyFill="1" applyAlignment="1">
      <alignment horizontal="center" vertical="center" wrapText="1" readingOrder="2"/>
    </xf>
    <xf numFmtId="0" fontId="7" fillId="0" borderId="0" xfId="45" applyFont="1" applyAlignment="1">
      <alignment horizontal="right" vertical="center" readingOrder="2"/>
    </xf>
    <xf numFmtId="0" fontId="10" fillId="0" borderId="0" xfId="45" applyFont="1" applyAlignment="1">
      <alignment horizontal="center" vertical="center" wrapText="1" readingOrder="1"/>
    </xf>
    <xf numFmtId="0" fontId="10" fillId="0" borderId="0" xfId="45" applyFont="1" applyAlignment="1">
      <alignment horizontal="center" vertical="center" readingOrder="1"/>
    </xf>
    <xf numFmtId="0" fontId="9" fillId="0" borderId="0" xfId="45" applyFont="1" applyAlignment="1">
      <alignment horizontal="center" vertical="center" wrapText="1" readingOrder="2"/>
    </xf>
    <xf numFmtId="0" fontId="8" fillId="0" borderId="0" xfId="45" applyFont="1" applyAlignment="1">
      <alignment horizontal="center" vertical="top"/>
    </xf>
    <xf numFmtId="0" fontId="8" fillId="0" borderId="0" xfId="45" applyFont="1" applyAlignment="1">
      <alignment horizontal="center" vertical="center"/>
    </xf>
    <xf numFmtId="0" fontId="7" fillId="35" borderId="12" xfId="45" applyFont="1" applyFill="1" applyBorder="1" applyAlignment="1">
      <alignment horizontal="center" vertical="center" wrapText="1"/>
    </xf>
    <xf numFmtId="0" fontId="7" fillId="35" borderId="14" xfId="45" applyFont="1" applyFill="1" applyBorder="1" applyAlignment="1">
      <alignment horizontal="center" vertical="center" wrapText="1"/>
    </xf>
    <xf numFmtId="0" fontId="7" fillId="35" borderId="13" xfId="45" applyFont="1" applyFill="1" applyBorder="1" applyAlignment="1">
      <alignment horizontal="center" vertical="center" wrapText="1"/>
    </xf>
    <xf numFmtId="0" fontId="7" fillId="35" borderId="13" xfId="45" applyFont="1" applyFill="1" applyBorder="1" applyAlignment="1">
      <alignment horizontal="center" vertical="center"/>
    </xf>
    <xf numFmtId="0" fontId="68" fillId="35" borderId="12" xfId="45" applyFont="1" applyFill="1" applyBorder="1" applyAlignment="1">
      <alignment horizontal="center" vertical="center"/>
    </xf>
    <xf numFmtId="0" fontId="6" fillId="35" borderId="14" xfId="45" applyFont="1" applyFill="1" applyBorder="1" applyAlignment="1">
      <alignment horizontal="center" vertical="center"/>
    </xf>
    <xf numFmtId="0" fontId="64" fillId="0" borderId="0" xfId="0" applyFont="1" applyAlignment="1">
      <alignment horizontal="center" vertical="center" readingOrder="1"/>
    </xf>
    <xf numFmtId="0" fontId="8" fillId="0" borderId="11" xfId="45" applyFont="1" applyBorder="1" applyAlignment="1">
      <alignment horizontal="center" vertical="center"/>
    </xf>
    <xf numFmtId="0" fontId="6" fillId="0" borderId="0" xfId="45" applyFont="1" applyAlignment="1">
      <alignment horizontal="left" wrapText="1"/>
    </xf>
    <xf numFmtId="0" fontId="28" fillId="0" borderId="0" xfId="45" applyFont="1" applyAlignment="1">
      <alignment horizontal="center" vertical="center" wrapText="1" readingOrder="1"/>
    </xf>
    <xf numFmtId="0" fontId="8" fillId="0" borderId="0" xfId="45" applyFont="1" applyAlignment="1">
      <alignment horizontal="center" vertical="center" wrapText="1"/>
    </xf>
    <xf numFmtId="0" fontId="0" fillId="0" borderId="0" xfId="0" applyAlignment="1">
      <alignment horizontal="center"/>
    </xf>
    <xf numFmtId="0" fontId="60" fillId="0" borderId="0" xfId="0" applyFont="1" applyAlignment="1">
      <alignment horizontal="center"/>
    </xf>
    <xf numFmtId="0" fontId="7" fillId="35" borderId="18" xfId="45" applyFont="1" applyFill="1" applyBorder="1" applyAlignment="1">
      <alignment horizontal="center" vertical="center" wrapText="1"/>
    </xf>
    <xf numFmtId="0" fontId="7" fillId="35" borderId="17" xfId="45" applyFont="1" applyFill="1" applyBorder="1" applyAlignment="1">
      <alignment horizontal="center" vertical="center" wrapText="1"/>
    </xf>
    <xf numFmtId="0" fontId="7" fillId="35" borderId="16" xfId="45" applyFont="1" applyFill="1" applyBorder="1" applyAlignment="1">
      <alignment horizontal="center" vertical="center" wrapText="1"/>
    </xf>
  </cellXfs>
  <cellStyles count="46">
    <cellStyle name="20% - Accent1 2" xfId="2"/>
    <cellStyle name="20% - Accent2 2" xfId="3"/>
    <cellStyle name="20% - Accent3 2" xfId="4"/>
    <cellStyle name="20% - Accent4 2" xfId="5"/>
    <cellStyle name="20% - Accent5 2" xfId="6"/>
    <cellStyle name="20% - Accent6 2" xfId="7"/>
    <cellStyle name="40% - Accent1 2" xfId="8"/>
    <cellStyle name="40% - Accent2 2" xfId="9"/>
    <cellStyle name="40% - Accent3 2" xfId="10"/>
    <cellStyle name="40% - Accent4 2" xfId="11"/>
    <cellStyle name="40% - Accent5 2" xfId="12"/>
    <cellStyle name="40% - Accent6 2" xfId="13"/>
    <cellStyle name="60% - Accent1 2" xfId="14"/>
    <cellStyle name="60% - Accent2 2" xfId="15"/>
    <cellStyle name="60% - Accent3 2" xfId="16"/>
    <cellStyle name="60% - Accent4 2" xfId="17"/>
    <cellStyle name="60% - Accent5 2" xfId="18"/>
    <cellStyle name="60% - Accent6 2" xfId="19"/>
    <cellStyle name="Accent1 2" xfId="20"/>
    <cellStyle name="Accent2 2" xfId="21"/>
    <cellStyle name="Accent3 2" xfId="22"/>
    <cellStyle name="Accent4 2" xfId="23"/>
    <cellStyle name="Accent5 2" xfId="24"/>
    <cellStyle name="Accent6 2" xfId="25"/>
    <cellStyle name="Bad 2" xfId="26"/>
    <cellStyle name="Calculation 2" xfId="27"/>
    <cellStyle name="Check Cell 2" xfId="28"/>
    <cellStyle name="Explanatory Text 2" xfId="29"/>
    <cellStyle name="Good 2" xfId="30"/>
    <cellStyle name="Heading 1 2" xfId="31"/>
    <cellStyle name="Heading 2 2" xfId="32"/>
    <cellStyle name="Heading 3 2" xfId="33"/>
    <cellStyle name="Heading 4 2" xfId="34"/>
    <cellStyle name="Input 2" xfId="35"/>
    <cellStyle name="Linked Cell 2" xfId="36"/>
    <cellStyle name="Neutral 2" xfId="37"/>
    <cellStyle name="Normal" xfId="0" builtinId="0"/>
    <cellStyle name="Normal 2" xfId="1"/>
    <cellStyle name="Normal 2 2" xfId="45"/>
    <cellStyle name="Normal 3" xfId="38"/>
    <cellStyle name="Normal 4" xfId="39"/>
    <cellStyle name="Note 2" xfId="40"/>
    <cellStyle name="Output 2" xfId="41"/>
    <cellStyle name="Title 2" xfId="42"/>
    <cellStyle name="Total 2" xfId="43"/>
    <cellStyle name="Warning Text 2" xfId="44"/>
  </cellStyles>
  <dxfs count="0"/>
  <tableStyles count="0" defaultTableStyle="TableStyleMedium2" defaultPivotStyle="PivotStyleLight16"/>
  <colors>
    <mruColors>
      <color rgb="FF0000CC"/>
      <color rgb="FF0000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haredStrings" Target="sharedStrings.xml"/><Relationship Id="rId40"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ar-QA"/>
  <c:roundedCorners val="0"/>
  <mc:AlternateContent xmlns:mc="http://schemas.openxmlformats.org/markup-compatibility/2006">
    <mc:Choice xmlns:c14="http://schemas.microsoft.com/office/drawing/2007/8/2/chart" Requires="c14">
      <c14:style val="126"/>
    </mc:Choice>
    <mc:Fallback>
      <c:style val="26"/>
    </mc:Fallback>
  </mc:AlternateContent>
  <c:chart>
    <c:autoTitleDeleted val="0"/>
    <c:plotArea>
      <c:layout>
        <c:manualLayout>
          <c:layoutTarget val="inner"/>
          <c:xMode val="edge"/>
          <c:yMode val="edge"/>
          <c:x val="4.3482133025366951E-2"/>
          <c:y val="2.3514460967482224E-2"/>
          <c:w val="0.95145095285925207"/>
          <c:h val="0.76831710513489804"/>
        </c:manualLayout>
      </c:layout>
      <c:barChart>
        <c:barDir val="col"/>
        <c:grouping val="clustered"/>
        <c:varyColors val="0"/>
        <c:ser>
          <c:idx val="0"/>
          <c:order val="0"/>
          <c:tx>
            <c:strRef>
              <c:f>'1'!$B$7</c:f>
              <c:strCache>
                <c:ptCount val="1"/>
                <c:pt idx="0">
                  <c:v>مباني جديدة
New Building</c:v>
                </c:pt>
              </c:strCache>
            </c:strRef>
          </c:tx>
          <c:invertIfNegative val="0"/>
          <c:dLbls>
            <c:txPr>
              <a:bodyPr rot="-5400000" vert="horz"/>
              <a:lstStyle/>
              <a:p>
                <a:pPr>
                  <a:defRPr b="1">
                    <a:solidFill>
                      <a:srgbClr val="000066"/>
                    </a:solidFill>
                    <a:latin typeface="Arial" panose="020B0604020202020204" pitchFamily="34" charset="0"/>
                    <a:cs typeface="Arial" panose="020B0604020202020204" pitchFamily="34" charset="0"/>
                  </a:defRPr>
                </a:pPr>
                <a:endParaRPr lang="ar-QA"/>
              </a:p>
            </c:txPr>
            <c:showLegendKey val="0"/>
            <c:showVal val="1"/>
            <c:showCatName val="0"/>
            <c:showSerName val="0"/>
            <c:showPercent val="0"/>
            <c:showBubbleSize val="0"/>
            <c:showLeaderLines val="0"/>
          </c:dLbls>
          <c:cat>
            <c:strRef>
              <c:f>'1'!$H$8:$H$19</c:f>
              <c:strCache>
                <c:ptCount val="12"/>
                <c:pt idx="0">
                  <c:v>يناير
JANUARY</c:v>
                </c:pt>
                <c:pt idx="1">
                  <c:v>فبراير
FEBRUARY</c:v>
                </c:pt>
                <c:pt idx="2">
                  <c:v>مارس
MARCH</c:v>
                </c:pt>
                <c:pt idx="3">
                  <c:v>ابريل
APRIL</c:v>
                </c:pt>
                <c:pt idx="4">
                  <c:v>مايـو
MAY
</c:v>
                </c:pt>
                <c:pt idx="5">
                  <c:v>يونيو
JUNE</c:v>
                </c:pt>
                <c:pt idx="6">
                  <c:v>يوليو
JULY</c:v>
                </c:pt>
                <c:pt idx="7">
                  <c:v>اغسطس
AUGUST</c:v>
                </c:pt>
                <c:pt idx="8">
                  <c:v>سبتمبر
SEPTEMBER</c:v>
                </c:pt>
                <c:pt idx="9">
                  <c:v>أكتوبر
OCTOBER</c:v>
                </c:pt>
                <c:pt idx="10">
                  <c:v>نوفمبر
NOVEMBER</c:v>
                </c:pt>
                <c:pt idx="11">
                  <c:v>ديسمبر
DECEMBER</c:v>
                </c:pt>
              </c:strCache>
            </c:strRef>
          </c:cat>
          <c:val>
            <c:numRef>
              <c:f>'1'!$B$8:$B$19</c:f>
              <c:numCache>
                <c:formatCode>General</c:formatCode>
                <c:ptCount val="12"/>
                <c:pt idx="0">
                  <c:v>363</c:v>
                </c:pt>
                <c:pt idx="1">
                  <c:v>364</c:v>
                </c:pt>
                <c:pt idx="2">
                  <c:v>334</c:v>
                </c:pt>
                <c:pt idx="3">
                  <c:v>244</c:v>
                </c:pt>
                <c:pt idx="4">
                  <c:v>154</c:v>
                </c:pt>
                <c:pt idx="5">
                  <c:v>282</c:v>
                </c:pt>
                <c:pt idx="6">
                  <c:v>336</c:v>
                </c:pt>
                <c:pt idx="7">
                  <c:v>256</c:v>
                </c:pt>
                <c:pt idx="8">
                  <c:v>327</c:v>
                </c:pt>
                <c:pt idx="9">
                  <c:v>342</c:v>
                </c:pt>
                <c:pt idx="10">
                  <c:v>383</c:v>
                </c:pt>
                <c:pt idx="11">
                  <c:v>507</c:v>
                </c:pt>
              </c:numCache>
            </c:numRef>
          </c:val>
          <c:extLst xmlns:c16r2="http://schemas.microsoft.com/office/drawing/2015/06/chart">
            <c:ext xmlns:c16="http://schemas.microsoft.com/office/drawing/2014/chart" uri="{C3380CC4-5D6E-409C-BE32-E72D297353CC}">
              <c16:uniqueId val="{00000000-179E-435D-A126-5A56C4433E2C}"/>
            </c:ext>
          </c:extLst>
        </c:ser>
        <c:ser>
          <c:idx val="1"/>
          <c:order val="1"/>
          <c:tx>
            <c:strRef>
              <c:f>'1'!$C$7</c:f>
              <c:strCache>
                <c:ptCount val="1"/>
                <c:pt idx="0">
                  <c:v>اضافات
Additions</c:v>
                </c:pt>
              </c:strCache>
            </c:strRef>
          </c:tx>
          <c:invertIfNegative val="0"/>
          <c:dLbls>
            <c:txPr>
              <a:bodyPr rot="-5400000" vert="horz"/>
              <a:lstStyle/>
              <a:p>
                <a:pPr>
                  <a:defRPr b="1">
                    <a:solidFill>
                      <a:srgbClr val="FF0000"/>
                    </a:solidFill>
                    <a:latin typeface="Arial" panose="020B0604020202020204" pitchFamily="34" charset="0"/>
                    <a:cs typeface="Arial" panose="020B0604020202020204" pitchFamily="34" charset="0"/>
                  </a:defRPr>
                </a:pPr>
                <a:endParaRPr lang="ar-QA"/>
              </a:p>
            </c:txPr>
            <c:showLegendKey val="0"/>
            <c:showVal val="1"/>
            <c:showCatName val="0"/>
            <c:showSerName val="0"/>
            <c:showPercent val="0"/>
            <c:showBubbleSize val="0"/>
            <c:showLeaderLines val="0"/>
          </c:dLbls>
          <c:cat>
            <c:strRef>
              <c:f>'1'!$H$8:$H$19</c:f>
              <c:strCache>
                <c:ptCount val="12"/>
                <c:pt idx="0">
                  <c:v>يناير
JANUARY</c:v>
                </c:pt>
                <c:pt idx="1">
                  <c:v>فبراير
FEBRUARY</c:v>
                </c:pt>
                <c:pt idx="2">
                  <c:v>مارس
MARCH</c:v>
                </c:pt>
                <c:pt idx="3">
                  <c:v>ابريل
APRIL</c:v>
                </c:pt>
                <c:pt idx="4">
                  <c:v>مايـو
MAY
</c:v>
                </c:pt>
                <c:pt idx="5">
                  <c:v>يونيو
JUNE</c:v>
                </c:pt>
                <c:pt idx="6">
                  <c:v>يوليو
JULY</c:v>
                </c:pt>
                <c:pt idx="7">
                  <c:v>اغسطس
AUGUST</c:v>
                </c:pt>
                <c:pt idx="8">
                  <c:v>سبتمبر
SEPTEMBER</c:v>
                </c:pt>
                <c:pt idx="9">
                  <c:v>أكتوبر
OCTOBER</c:v>
                </c:pt>
                <c:pt idx="10">
                  <c:v>نوفمبر
NOVEMBER</c:v>
                </c:pt>
                <c:pt idx="11">
                  <c:v>ديسمبر
DECEMBER</c:v>
                </c:pt>
              </c:strCache>
            </c:strRef>
          </c:cat>
          <c:val>
            <c:numRef>
              <c:f>'1'!$C$8:$C$19</c:f>
              <c:numCache>
                <c:formatCode>General</c:formatCode>
                <c:ptCount val="12"/>
                <c:pt idx="0">
                  <c:v>316</c:v>
                </c:pt>
                <c:pt idx="1">
                  <c:v>283</c:v>
                </c:pt>
                <c:pt idx="2">
                  <c:v>280</c:v>
                </c:pt>
                <c:pt idx="3">
                  <c:v>225</c:v>
                </c:pt>
                <c:pt idx="4">
                  <c:v>115</c:v>
                </c:pt>
                <c:pt idx="5">
                  <c:v>271</c:v>
                </c:pt>
                <c:pt idx="6">
                  <c:v>320</c:v>
                </c:pt>
                <c:pt idx="7">
                  <c:v>303</c:v>
                </c:pt>
                <c:pt idx="8">
                  <c:v>392</c:v>
                </c:pt>
                <c:pt idx="9">
                  <c:v>368</c:v>
                </c:pt>
                <c:pt idx="10">
                  <c:v>343</c:v>
                </c:pt>
                <c:pt idx="11">
                  <c:v>429</c:v>
                </c:pt>
              </c:numCache>
            </c:numRef>
          </c:val>
          <c:extLst xmlns:c16r2="http://schemas.microsoft.com/office/drawing/2015/06/chart">
            <c:ext xmlns:c16="http://schemas.microsoft.com/office/drawing/2014/chart" uri="{C3380CC4-5D6E-409C-BE32-E72D297353CC}">
              <c16:uniqueId val="{00000001-179E-435D-A126-5A56C4433E2C}"/>
            </c:ext>
          </c:extLst>
        </c:ser>
        <c:ser>
          <c:idx val="2"/>
          <c:order val="2"/>
          <c:tx>
            <c:strRef>
              <c:f>'1'!$D$7</c:f>
              <c:strCache>
                <c:ptCount val="1"/>
                <c:pt idx="0">
                  <c:v>تحويط
Fencing</c:v>
                </c:pt>
              </c:strCache>
            </c:strRef>
          </c:tx>
          <c:invertIfNegative val="0"/>
          <c:dLbls>
            <c:txPr>
              <a:bodyPr rot="-5400000" vert="horz"/>
              <a:lstStyle/>
              <a:p>
                <a:pPr>
                  <a:defRPr b="1">
                    <a:solidFill>
                      <a:schemeClr val="accent3">
                        <a:lumMod val="75000"/>
                      </a:schemeClr>
                    </a:solidFill>
                    <a:latin typeface="Arial" panose="020B0604020202020204" pitchFamily="34" charset="0"/>
                    <a:cs typeface="Arial" panose="020B0604020202020204" pitchFamily="34" charset="0"/>
                  </a:defRPr>
                </a:pPr>
                <a:endParaRPr lang="ar-QA"/>
              </a:p>
            </c:txPr>
            <c:showLegendKey val="0"/>
            <c:showVal val="1"/>
            <c:showCatName val="0"/>
            <c:showSerName val="0"/>
            <c:showPercent val="0"/>
            <c:showBubbleSize val="0"/>
            <c:showLeaderLines val="0"/>
          </c:dLbls>
          <c:cat>
            <c:strRef>
              <c:f>'1'!$H$8:$H$19</c:f>
              <c:strCache>
                <c:ptCount val="12"/>
                <c:pt idx="0">
                  <c:v>يناير
JANUARY</c:v>
                </c:pt>
                <c:pt idx="1">
                  <c:v>فبراير
FEBRUARY</c:v>
                </c:pt>
                <c:pt idx="2">
                  <c:v>مارس
MARCH</c:v>
                </c:pt>
                <c:pt idx="3">
                  <c:v>ابريل
APRIL</c:v>
                </c:pt>
                <c:pt idx="4">
                  <c:v>مايـو
MAY
</c:v>
                </c:pt>
                <c:pt idx="5">
                  <c:v>يونيو
JUNE</c:v>
                </c:pt>
                <c:pt idx="6">
                  <c:v>يوليو
JULY</c:v>
                </c:pt>
                <c:pt idx="7">
                  <c:v>اغسطس
AUGUST</c:v>
                </c:pt>
                <c:pt idx="8">
                  <c:v>سبتمبر
SEPTEMBER</c:v>
                </c:pt>
                <c:pt idx="9">
                  <c:v>أكتوبر
OCTOBER</c:v>
                </c:pt>
                <c:pt idx="10">
                  <c:v>نوفمبر
NOVEMBER</c:v>
                </c:pt>
                <c:pt idx="11">
                  <c:v>ديسمبر
DECEMBER</c:v>
                </c:pt>
              </c:strCache>
            </c:strRef>
          </c:cat>
          <c:val>
            <c:numRef>
              <c:f>'1'!$D$8:$D$19</c:f>
              <c:numCache>
                <c:formatCode>General</c:formatCode>
                <c:ptCount val="12"/>
                <c:pt idx="0">
                  <c:v>17</c:v>
                </c:pt>
                <c:pt idx="1">
                  <c:v>17</c:v>
                </c:pt>
                <c:pt idx="2">
                  <c:v>23</c:v>
                </c:pt>
                <c:pt idx="3">
                  <c:v>14</c:v>
                </c:pt>
                <c:pt idx="4">
                  <c:v>2</c:v>
                </c:pt>
                <c:pt idx="5">
                  <c:v>19</c:v>
                </c:pt>
                <c:pt idx="6">
                  <c:v>28</c:v>
                </c:pt>
                <c:pt idx="7">
                  <c:v>18</c:v>
                </c:pt>
                <c:pt idx="8">
                  <c:v>38</c:v>
                </c:pt>
                <c:pt idx="9">
                  <c:v>21</c:v>
                </c:pt>
                <c:pt idx="10">
                  <c:v>36</c:v>
                </c:pt>
                <c:pt idx="11">
                  <c:v>36</c:v>
                </c:pt>
              </c:numCache>
            </c:numRef>
          </c:val>
          <c:extLst xmlns:c16r2="http://schemas.microsoft.com/office/drawing/2015/06/chart">
            <c:ext xmlns:c16="http://schemas.microsoft.com/office/drawing/2014/chart" uri="{C3380CC4-5D6E-409C-BE32-E72D297353CC}">
              <c16:uniqueId val="{00000002-179E-435D-A126-5A56C4433E2C}"/>
            </c:ext>
          </c:extLst>
        </c:ser>
        <c:dLbls>
          <c:showLegendKey val="0"/>
          <c:showVal val="0"/>
          <c:showCatName val="0"/>
          <c:showSerName val="0"/>
          <c:showPercent val="0"/>
          <c:showBubbleSize val="0"/>
        </c:dLbls>
        <c:gapWidth val="50"/>
        <c:axId val="42144512"/>
        <c:axId val="42146048"/>
      </c:barChart>
      <c:catAx>
        <c:axId val="42144512"/>
        <c:scaling>
          <c:orientation val="minMax"/>
        </c:scaling>
        <c:delete val="0"/>
        <c:axPos val="b"/>
        <c:numFmt formatCode="General" sourceLinked="0"/>
        <c:majorTickMark val="out"/>
        <c:minorTickMark val="none"/>
        <c:tickLblPos val="nextTo"/>
        <c:txPr>
          <a:bodyPr/>
          <a:lstStyle/>
          <a:p>
            <a:pPr>
              <a:defRPr sz="800" b="1">
                <a:latin typeface="Arial" panose="020B0604020202020204" pitchFamily="34" charset="0"/>
                <a:cs typeface="Arial" panose="020B0604020202020204" pitchFamily="34" charset="0"/>
              </a:defRPr>
            </a:pPr>
            <a:endParaRPr lang="ar-QA"/>
          </a:p>
        </c:txPr>
        <c:crossAx val="42146048"/>
        <c:crosses val="autoZero"/>
        <c:auto val="1"/>
        <c:lblAlgn val="ctr"/>
        <c:lblOffset val="100"/>
        <c:noMultiLvlLbl val="0"/>
      </c:catAx>
      <c:valAx>
        <c:axId val="42146048"/>
        <c:scaling>
          <c:orientation val="minMax"/>
        </c:scaling>
        <c:delete val="0"/>
        <c:axPos val="l"/>
        <c:numFmt formatCode="General" sourceLinked="1"/>
        <c:majorTickMark val="out"/>
        <c:minorTickMark val="none"/>
        <c:tickLblPos val="nextTo"/>
        <c:txPr>
          <a:bodyPr/>
          <a:lstStyle/>
          <a:p>
            <a:pPr>
              <a:defRPr sz="800" b="1">
                <a:latin typeface="Arial" panose="020B0604020202020204" pitchFamily="34" charset="0"/>
                <a:cs typeface="Arial" panose="020B0604020202020204" pitchFamily="34" charset="0"/>
              </a:defRPr>
            </a:pPr>
            <a:endParaRPr lang="ar-QA"/>
          </a:p>
        </c:txPr>
        <c:crossAx val="42144512"/>
        <c:crosses val="autoZero"/>
        <c:crossBetween val="between"/>
      </c:valAx>
    </c:plotArea>
    <c:legend>
      <c:legendPos val="l"/>
      <c:layout>
        <c:manualLayout>
          <c:xMode val="edge"/>
          <c:yMode val="edge"/>
          <c:x val="0.15524589415445775"/>
          <c:y val="0.8861345478307644"/>
          <c:w val="0.68711961002860333"/>
          <c:h val="9.7426594027878552E-2"/>
        </c:manualLayout>
      </c:layout>
      <c:overlay val="0"/>
      <c:txPr>
        <a:bodyPr/>
        <a:lstStyle/>
        <a:p>
          <a:pPr>
            <a:defRPr b="1">
              <a:latin typeface="Arial" panose="020B0604020202020204" pitchFamily="34" charset="0"/>
              <a:cs typeface="Arial" panose="020B0604020202020204" pitchFamily="34" charset="0"/>
            </a:defRPr>
          </a:pPr>
          <a:endParaRPr lang="ar-QA"/>
        </a:p>
      </c:txPr>
    </c:legend>
    <c:plotVisOnly val="1"/>
    <c:dispBlanksAs val="gap"/>
    <c:showDLblsOverMax val="0"/>
  </c:chart>
  <c:spPr>
    <a:ln>
      <a:noFill/>
    </a:ln>
  </c:spPr>
  <c:printSettings>
    <c:headerFooter/>
    <c:pageMargins b="0.75000000000000011" l="0.70000000000000007" r="0.70000000000000007" t="0.75000000000000011" header="0.30000000000000004" footer="0.30000000000000004"/>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ar-QA"/>
  <c:roundedCorners val="0"/>
  <mc:AlternateContent xmlns:mc="http://schemas.openxmlformats.org/markup-compatibility/2006">
    <mc:Choice xmlns:c14="http://schemas.microsoft.com/office/drawing/2007/8/2/chart" Requires="c14">
      <c14:style val="126"/>
    </mc:Choice>
    <mc:Fallback>
      <c:style val="26"/>
    </mc:Fallback>
  </mc:AlternateContent>
  <c:chart>
    <c:title>
      <c:tx>
        <c:rich>
          <a:bodyPr/>
          <a:lstStyle/>
          <a:p>
            <a:pPr>
              <a:defRPr sz="1200">
                <a:latin typeface="Arial" panose="020B0604020202020204" pitchFamily="34" charset="0"/>
                <a:cs typeface="Arial" panose="020B0604020202020204" pitchFamily="34" charset="0"/>
              </a:defRPr>
            </a:pPr>
            <a:r>
              <a:rPr lang="ar-QA" sz="1200">
                <a:latin typeface="Arial" panose="020B0604020202020204" pitchFamily="34" charset="0"/>
                <a:cs typeface="Arial" panose="020B0604020202020204" pitchFamily="34" charset="0"/>
              </a:rPr>
              <a:t>مبانى سكنية
</a:t>
            </a:r>
            <a:r>
              <a:rPr lang="en-US" sz="1000">
                <a:latin typeface="Arial" panose="020B0604020202020204" pitchFamily="34" charset="0"/>
                <a:cs typeface="Arial" panose="020B0604020202020204" pitchFamily="34" charset="0"/>
              </a:rPr>
              <a:t>RESIDENTIAL BUILDINGS</a:t>
            </a:r>
            <a:endParaRPr lang="en-US" sz="1200">
              <a:latin typeface="Arial" panose="020B0604020202020204" pitchFamily="34" charset="0"/>
              <a:cs typeface="Arial" panose="020B0604020202020204" pitchFamily="34" charset="0"/>
            </a:endParaRPr>
          </a:p>
        </c:rich>
      </c:tx>
      <c:overlay val="0"/>
    </c:title>
    <c:autoTitleDeleted val="0"/>
    <c:plotArea>
      <c:layout>
        <c:manualLayout>
          <c:layoutTarget val="inner"/>
          <c:xMode val="edge"/>
          <c:yMode val="edge"/>
          <c:x val="0.22250437445319338"/>
          <c:y val="0.17889511086318571"/>
          <c:w val="0.72999146981627294"/>
          <c:h val="0.79563102977250455"/>
        </c:manualLayout>
      </c:layout>
      <c:pieChart>
        <c:varyColors val="1"/>
        <c:ser>
          <c:idx val="0"/>
          <c:order val="0"/>
          <c:tx>
            <c:strRef>
              <c:f>'10'!$M$7</c:f>
              <c:strCache>
                <c:ptCount val="1"/>
                <c:pt idx="0">
                  <c:v>مبانى سكنية
RESIDENTIAL BUILDINGS</c:v>
                </c:pt>
              </c:strCache>
            </c:strRef>
          </c:tx>
          <c:dLbls>
            <c:dLbl>
              <c:idx val="0"/>
              <c:layout>
                <c:manualLayout>
                  <c:x val="-0.13284033245844273"/>
                  <c:y val="8.1537185236041698E-2"/>
                </c:manualLayout>
              </c:layout>
              <c:spPr/>
              <c:txPr>
                <a:bodyPr/>
                <a:lstStyle/>
                <a:p>
                  <a:pPr>
                    <a:defRPr sz="800" b="1">
                      <a:solidFill>
                        <a:schemeClr val="bg1"/>
                      </a:solidFill>
                      <a:latin typeface="Arial" panose="020B0604020202020204" pitchFamily="34" charset="0"/>
                      <a:cs typeface="Arial" panose="020B0604020202020204" pitchFamily="34" charset="0"/>
                    </a:defRPr>
                  </a:pPr>
                  <a:endParaRPr lang="ar-QA"/>
                </a:p>
              </c:txPr>
              <c:showLegendKey val="0"/>
              <c:showVal val="0"/>
              <c:showCatName val="1"/>
              <c:showSerName val="0"/>
              <c:showPercent val="1"/>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0-38AE-4973-BEB1-294BFD7C3EE2}"/>
                </c:ext>
              </c:extLst>
            </c:dLbl>
            <c:dLbl>
              <c:idx val="1"/>
              <c:spPr/>
              <c:txPr>
                <a:bodyPr/>
                <a:lstStyle/>
                <a:p>
                  <a:pPr>
                    <a:defRPr sz="800" b="1">
                      <a:solidFill>
                        <a:schemeClr val="bg1"/>
                      </a:solidFill>
                      <a:latin typeface="Arial" panose="020B0604020202020204" pitchFamily="34" charset="0"/>
                      <a:cs typeface="Arial" panose="020B0604020202020204" pitchFamily="34" charset="0"/>
                    </a:defRPr>
                  </a:pPr>
                  <a:endParaRPr lang="ar-QA"/>
                </a:p>
              </c:txPr>
              <c:showLegendKey val="0"/>
              <c:showVal val="0"/>
              <c:showCatName val="1"/>
              <c:showSerName val="0"/>
              <c:showPercent val="1"/>
              <c:showBubbleSize val="0"/>
            </c:dLbl>
            <c:dLbl>
              <c:idx val="2"/>
              <c:layout>
                <c:manualLayout>
                  <c:x val="-3.4686242344706922E-2"/>
                  <c:y val="8.4267463842224111E-2"/>
                </c:manualLayout>
              </c:layout>
              <c:showLegendKey val="0"/>
              <c:showVal val="0"/>
              <c:showCatName val="1"/>
              <c:showSerName val="0"/>
              <c:showPercent val="1"/>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2-38AE-4973-BEB1-294BFD7C3EE2}"/>
                </c:ext>
              </c:extLst>
            </c:dLbl>
            <c:dLbl>
              <c:idx val="3"/>
              <c:layout>
                <c:manualLayout>
                  <c:x val="-6.5893482064741929E-3"/>
                  <c:y val="-3.3448714006117083E-2"/>
                </c:manualLayout>
              </c:layout>
              <c:showLegendKey val="0"/>
              <c:showVal val="0"/>
              <c:showCatName val="1"/>
              <c:showSerName val="0"/>
              <c:showPercent val="1"/>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3-38AE-4973-BEB1-294BFD7C3EE2}"/>
                </c:ext>
              </c:extLst>
            </c:dLbl>
            <c:spPr>
              <a:noFill/>
              <a:ln>
                <a:noFill/>
              </a:ln>
              <a:effectLst/>
            </c:spPr>
            <c:txPr>
              <a:bodyPr/>
              <a:lstStyle/>
              <a:p>
                <a:pPr>
                  <a:defRPr sz="800" b="1">
                    <a:latin typeface="Arial" panose="020B0604020202020204" pitchFamily="34" charset="0"/>
                    <a:cs typeface="Arial" panose="020B0604020202020204" pitchFamily="34" charset="0"/>
                  </a:defRPr>
                </a:pPr>
                <a:endParaRPr lang="ar-QA"/>
              </a:p>
            </c:txPr>
            <c:showLegendKey val="0"/>
            <c:showVal val="0"/>
            <c:showCatName val="1"/>
            <c:showSerName val="0"/>
            <c:showPercent val="1"/>
            <c:showBubbleSize val="0"/>
            <c:showLeaderLines val="1"/>
            <c:extLst xmlns:c16r2="http://schemas.microsoft.com/office/drawing/2015/06/chart">
              <c:ext xmlns:c15="http://schemas.microsoft.com/office/drawing/2012/chart" uri="{CE6537A1-D6FC-4f65-9D91-7224C49458BB}"/>
            </c:extLst>
          </c:dLbls>
          <c:cat>
            <c:strRef>
              <c:f>'10'!$M$8:$M$11</c:f>
              <c:strCache>
                <c:ptCount val="4"/>
                <c:pt idx="0">
                  <c:v>فيلا
VILLA</c:v>
                </c:pt>
                <c:pt idx="1">
                  <c:v>مساكن قروض الاسكان
DEWLLINGS OF HOUSING LOANS</c:v>
                </c:pt>
                <c:pt idx="2">
                  <c:v>عمارة
MULTI-STOREYED BUILDING</c:v>
                </c:pt>
                <c:pt idx="3">
                  <c:v>أخرى
OTHERS (RESIDENTIAL)</c:v>
                </c:pt>
              </c:strCache>
            </c:strRef>
          </c:cat>
          <c:val>
            <c:numRef>
              <c:f>'10'!$J$8:$J$11</c:f>
              <c:numCache>
                <c:formatCode>General</c:formatCode>
                <c:ptCount val="4"/>
                <c:pt idx="0">
                  <c:v>2242</c:v>
                </c:pt>
                <c:pt idx="1">
                  <c:v>478</c:v>
                </c:pt>
                <c:pt idx="2">
                  <c:v>239</c:v>
                </c:pt>
                <c:pt idx="3">
                  <c:v>71</c:v>
                </c:pt>
              </c:numCache>
            </c:numRef>
          </c:val>
          <c:extLst xmlns:c16r2="http://schemas.microsoft.com/office/drawing/2015/06/chart">
            <c:ext xmlns:c16="http://schemas.microsoft.com/office/drawing/2014/chart" uri="{C3380CC4-5D6E-409C-BE32-E72D297353CC}">
              <c16:uniqueId val="{00000004-38AE-4973-BEB1-294BFD7C3EE2}"/>
            </c:ext>
          </c:extLst>
        </c:ser>
        <c:dLbls>
          <c:showLegendKey val="0"/>
          <c:showVal val="0"/>
          <c:showCatName val="0"/>
          <c:showSerName val="0"/>
          <c:showPercent val="0"/>
          <c:showBubbleSize val="0"/>
          <c:showLeaderLines val="1"/>
        </c:dLbls>
        <c:firstSliceAng val="310"/>
      </c:pieChart>
    </c:plotArea>
    <c:plotVisOnly val="1"/>
    <c:dispBlanksAs val="zero"/>
    <c:showDLblsOverMax val="0"/>
  </c:chart>
  <c:spPr>
    <a:ln>
      <a:noFill/>
    </a:ln>
  </c:spPr>
  <c:printSettings>
    <c:headerFooter/>
    <c:pageMargins b="0" l="0" r="0" t="0" header="0.31496062992125995" footer="0.31496062992125995"/>
    <c:pageSetup orientation="landscape"/>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ar-QA"/>
  <c:roundedCorners val="0"/>
  <mc:AlternateContent xmlns:mc="http://schemas.openxmlformats.org/markup-compatibility/2006">
    <mc:Choice xmlns:c14="http://schemas.microsoft.com/office/drawing/2007/8/2/chart" Requires="c14">
      <c14:style val="126"/>
    </mc:Choice>
    <mc:Fallback>
      <c:style val="26"/>
    </mc:Fallback>
  </mc:AlternateContent>
  <c:chart>
    <c:title>
      <c:tx>
        <c:rich>
          <a:bodyPr/>
          <a:lstStyle/>
          <a:p>
            <a:pPr>
              <a:defRPr sz="1200">
                <a:latin typeface="Arial" panose="020B0604020202020204" pitchFamily="34" charset="0"/>
                <a:cs typeface="Arial" panose="020B0604020202020204" pitchFamily="34" charset="0"/>
              </a:defRPr>
            </a:pPr>
            <a:r>
              <a:rPr lang="ar-QA" sz="1200">
                <a:latin typeface="Arial" panose="020B0604020202020204" pitchFamily="34" charset="0"/>
                <a:cs typeface="Arial" panose="020B0604020202020204" pitchFamily="34" charset="0"/>
              </a:rPr>
              <a:t>مبانى</a:t>
            </a:r>
            <a:r>
              <a:rPr lang="en-US" sz="1200">
                <a:latin typeface="Arial" panose="020B0604020202020204" pitchFamily="34" charset="0"/>
                <a:cs typeface="Arial" panose="020B0604020202020204" pitchFamily="34" charset="0"/>
              </a:rPr>
              <a:t> </a:t>
            </a:r>
            <a:r>
              <a:rPr lang="ar-QA" sz="1200">
                <a:latin typeface="Arial" panose="020B0604020202020204" pitchFamily="34" charset="0"/>
                <a:cs typeface="Arial" panose="020B0604020202020204" pitchFamily="34" charset="0"/>
              </a:rPr>
              <a:t>غير سكنية
</a:t>
            </a:r>
            <a:r>
              <a:rPr lang="en-US" sz="1000">
                <a:latin typeface="Arial" panose="020B0604020202020204" pitchFamily="34" charset="0"/>
                <a:cs typeface="Arial" panose="020B0604020202020204" pitchFamily="34" charset="0"/>
              </a:rPr>
              <a:t>RESIDENTIAL BUILDINGS</a:t>
            </a:r>
            <a:endParaRPr lang="en-US" sz="1200">
              <a:latin typeface="Arial" panose="020B0604020202020204" pitchFamily="34" charset="0"/>
              <a:cs typeface="Arial" panose="020B0604020202020204" pitchFamily="34" charset="0"/>
            </a:endParaRPr>
          </a:p>
        </c:rich>
      </c:tx>
      <c:overlay val="0"/>
    </c:title>
    <c:autoTitleDeleted val="0"/>
    <c:plotArea>
      <c:layout>
        <c:manualLayout>
          <c:layoutTarget val="inner"/>
          <c:xMode val="edge"/>
          <c:yMode val="edge"/>
          <c:x val="0.22250437445319338"/>
          <c:y val="0.17889511086318571"/>
          <c:w val="0.72999146981627294"/>
          <c:h val="0.79563102977250455"/>
        </c:manualLayout>
      </c:layout>
      <c:pieChart>
        <c:varyColors val="1"/>
        <c:ser>
          <c:idx val="0"/>
          <c:order val="0"/>
          <c:tx>
            <c:strRef>
              <c:f>'10'!$M$13</c:f>
              <c:strCache>
                <c:ptCount val="1"/>
                <c:pt idx="0">
                  <c:v>مبانى غير سكنية
NON RESIDENTIAL BUILDINGS</c:v>
                </c:pt>
              </c:strCache>
            </c:strRef>
          </c:tx>
          <c:dLbls>
            <c:dLbl>
              <c:idx val="0"/>
              <c:layout>
                <c:manualLayout>
                  <c:x val="0.12167716535433071"/>
                  <c:y val="0.18408819469773369"/>
                </c:manualLayout>
              </c:layout>
              <c:showLegendKey val="0"/>
              <c:showVal val="0"/>
              <c:showCatName val="1"/>
              <c:showSerName val="0"/>
              <c:showPercent val="1"/>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0-4C12-4175-9E6C-A6858243BD2C}"/>
                </c:ext>
              </c:extLst>
            </c:dLbl>
            <c:dLbl>
              <c:idx val="1"/>
              <c:layout>
                <c:manualLayout>
                  <c:x val="-0.10368044619422571"/>
                  <c:y val="2.9476901218410379E-3"/>
                </c:manualLayout>
              </c:layout>
              <c:showLegendKey val="0"/>
              <c:showVal val="0"/>
              <c:showCatName val="1"/>
              <c:showSerName val="0"/>
              <c:showPercent val="1"/>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1-4C12-4175-9E6C-A6858243BD2C}"/>
                </c:ext>
              </c:extLst>
            </c:dLbl>
            <c:dLbl>
              <c:idx val="2"/>
              <c:layout>
                <c:manualLayout>
                  <c:x val="0.17858541119860019"/>
                  <c:y val="-0.17414471692400846"/>
                </c:manualLayout>
              </c:layout>
              <c:showLegendKey val="0"/>
              <c:showVal val="0"/>
              <c:showCatName val="1"/>
              <c:showSerName val="0"/>
              <c:showPercent val="1"/>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2-4C12-4175-9E6C-A6858243BD2C}"/>
                </c:ext>
              </c:extLst>
            </c:dLbl>
            <c:dLbl>
              <c:idx val="3"/>
              <c:layout>
                <c:manualLayout>
                  <c:x val="0.1430334645669292"/>
                  <c:y val="3.2398130070253488E-2"/>
                </c:manualLayout>
              </c:layout>
              <c:showLegendKey val="0"/>
              <c:showVal val="0"/>
              <c:showCatName val="1"/>
              <c:showSerName val="0"/>
              <c:showPercent val="1"/>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3-4C12-4175-9E6C-A6858243BD2C}"/>
                </c:ext>
              </c:extLst>
            </c:dLbl>
            <c:dLbl>
              <c:idx val="4"/>
              <c:layout>
                <c:manualLayout>
                  <c:x val="-2.2792650918635173E-2"/>
                  <c:y val="-4.6432138761946316E-2"/>
                </c:manualLayout>
              </c:layout>
              <c:spPr/>
              <c:txPr>
                <a:bodyPr/>
                <a:lstStyle/>
                <a:p>
                  <a:pPr>
                    <a:defRPr sz="800" b="1">
                      <a:solidFill>
                        <a:sysClr val="windowText" lastClr="000000"/>
                      </a:solidFill>
                      <a:latin typeface="Arial" panose="020B0604020202020204" pitchFamily="34" charset="0"/>
                      <a:cs typeface="Arial" panose="020B0604020202020204" pitchFamily="34" charset="0"/>
                    </a:defRPr>
                  </a:pPr>
                  <a:endParaRPr lang="ar-QA"/>
                </a:p>
              </c:txPr>
              <c:showLegendKey val="0"/>
              <c:showVal val="0"/>
              <c:showCatName val="1"/>
              <c:showSerName val="0"/>
              <c:showPercent val="1"/>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4-4C12-4175-9E6C-A6858243BD2C}"/>
                </c:ext>
              </c:extLst>
            </c:dLbl>
            <c:spPr>
              <a:noFill/>
              <a:ln>
                <a:noFill/>
              </a:ln>
              <a:effectLst/>
            </c:spPr>
            <c:txPr>
              <a:bodyPr/>
              <a:lstStyle/>
              <a:p>
                <a:pPr>
                  <a:defRPr sz="800" b="1">
                    <a:solidFill>
                      <a:schemeClr val="bg1"/>
                    </a:solidFill>
                    <a:latin typeface="Arial" panose="020B0604020202020204" pitchFamily="34" charset="0"/>
                    <a:cs typeface="Arial" panose="020B0604020202020204" pitchFamily="34" charset="0"/>
                  </a:defRPr>
                </a:pPr>
                <a:endParaRPr lang="ar-QA"/>
              </a:p>
            </c:txPr>
            <c:showLegendKey val="0"/>
            <c:showVal val="0"/>
            <c:showCatName val="1"/>
            <c:showSerName val="0"/>
            <c:showPercent val="1"/>
            <c:showBubbleSize val="0"/>
            <c:showLeaderLines val="1"/>
            <c:extLst xmlns:c16r2="http://schemas.microsoft.com/office/drawing/2015/06/chart">
              <c:ext xmlns:c15="http://schemas.microsoft.com/office/drawing/2012/chart" uri="{CE6537A1-D6FC-4f65-9D91-7224C49458BB}"/>
            </c:extLst>
          </c:dLbls>
          <c:cat>
            <c:strRef>
              <c:f>'10'!$M$14:$M$18</c:f>
              <c:strCache>
                <c:ptCount val="5"/>
                <c:pt idx="0">
                  <c:v>ادارة حكومية
PUBLIC BUILDING</c:v>
                </c:pt>
                <c:pt idx="1">
                  <c:v>مبنى تجاري
COMMERCIAL BLDG.</c:v>
                </c:pt>
                <c:pt idx="2">
                  <c:v>ورشة / مصنع
WORKSHOP/FACTORY</c:v>
                </c:pt>
                <c:pt idx="3">
                  <c:v>مسجد
Mosque</c:v>
                </c:pt>
                <c:pt idx="4">
                  <c:v>أخرى
OTHERS(NON-RESIDENTIAL)</c:v>
                </c:pt>
              </c:strCache>
            </c:strRef>
          </c:cat>
          <c:val>
            <c:numRef>
              <c:f>'10'!$J$14:$J$18</c:f>
              <c:numCache>
                <c:formatCode>General</c:formatCode>
                <c:ptCount val="5"/>
                <c:pt idx="0">
                  <c:v>152</c:v>
                </c:pt>
                <c:pt idx="1">
                  <c:v>414</c:v>
                </c:pt>
                <c:pt idx="2">
                  <c:v>218</c:v>
                </c:pt>
                <c:pt idx="3">
                  <c:v>32</c:v>
                </c:pt>
                <c:pt idx="4">
                  <c:v>46</c:v>
                </c:pt>
              </c:numCache>
            </c:numRef>
          </c:val>
          <c:extLst xmlns:c16r2="http://schemas.microsoft.com/office/drawing/2015/06/chart">
            <c:ext xmlns:c16="http://schemas.microsoft.com/office/drawing/2014/chart" uri="{C3380CC4-5D6E-409C-BE32-E72D297353CC}">
              <c16:uniqueId val="{00000005-4C12-4175-9E6C-A6858243BD2C}"/>
            </c:ext>
          </c:extLst>
        </c:ser>
        <c:dLbls>
          <c:showLegendKey val="0"/>
          <c:showVal val="0"/>
          <c:showCatName val="0"/>
          <c:showSerName val="0"/>
          <c:showPercent val="0"/>
          <c:showBubbleSize val="0"/>
          <c:showLeaderLines val="1"/>
        </c:dLbls>
        <c:firstSliceAng val="310"/>
      </c:pieChart>
    </c:plotArea>
    <c:plotVisOnly val="1"/>
    <c:dispBlanksAs val="zero"/>
    <c:showDLblsOverMax val="0"/>
  </c:chart>
  <c:spPr>
    <a:ln>
      <a:noFill/>
    </a:ln>
  </c:spPr>
  <c:printSettings>
    <c:headerFooter/>
    <c:pageMargins b="0" l="0" r="0" t="0" header="0.31496062992125995" footer="0.31496062992125995"/>
    <c:pageSetup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ar-QA"/>
  <c:roundedCorners val="0"/>
  <mc:AlternateContent xmlns:mc="http://schemas.openxmlformats.org/markup-compatibility/2006">
    <mc:Choice xmlns:c14="http://schemas.microsoft.com/office/drawing/2007/8/2/chart" Requires="c14">
      <c14:style val="126"/>
    </mc:Choice>
    <mc:Fallback>
      <c:style val="26"/>
    </mc:Fallback>
  </mc:AlternateContent>
  <c:chart>
    <c:autoTitleDeleted val="1"/>
    <c:plotArea>
      <c:layout/>
      <c:barChart>
        <c:barDir val="col"/>
        <c:grouping val="clustered"/>
        <c:varyColors val="0"/>
        <c:ser>
          <c:idx val="0"/>
          <c:order val="0"/>
          <c:invertIfNegative val="0"/>
          <c:dLbls>
            <c:spPr>
              <a:noFill/>
              <a:ln>
                <a:noFill/>
              </a:ln>
              <a:effectLst/>
            </c:spPr>
            <c:txPr>
              <a:bodyPr/>
              <a:lstStyle/>
              <a:p>
                <a:pPr>
                  <a:defRPr sz="1000" b="1">
                    <a:solidFill>
                      <a:schemeClr val="tx2">
                        <a:lumMod val="60000"/>
                        <a:lumOff val="40000"/>
                      </a:schemeClr>
                    </a:solidFill>
                    <a:latin typeface="Arial" panose="020B0604020202020204" pitchFamily="34" charset="0"/>
                    <a:cs typeface="Arial" panose="020B0604020202020204" pitchFamily="34" charset="0"/>
                  </a:defRPr>
                </a:pPr>
                <a:endParaRPr lang="ar-QA"/>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strRef>
              <c:f>'10'!$B$6:$I$6</c:f>
              <c:strCache>
                <c:ptCount val="8"/>
                <c:pt idx="0">
                  <c:v>الدوحة
Doha</c:v>
                </c:pt>
                <c:pt idx="1">
                  <c:v>الريان
Rayyan</c:v>
                </c:pt>
                <c:pt idx="2">
                  <c:v>الوكرة
Wakrah</c:v>
                </c:pt>
                <c:pt idx="3">
                  <c:v>ام صلال
Umm Slal</c:v>
                </c:pt>
                <c:pt idx="4">
                  <c:v>الظعاين
Al-Daayen</c:v>
                </c:pt>
                <c:pt idx="5">
                  <c:v>الخور
Al-Khor</c:v>
                </c:pt>
                <c:pt idx="6">
                  <c:v>الشمال
Al-Shamal</c:v>
                </c:pt>
                <c:pt idx="7">
                  <c:v>الشيحانية
Al-Shahhaniya</c:v>
                </c:pt>
              </c:strCache>
            </c:strRef>
          </c:cat>
          <c:val>
            <c:numRef>
              <c:f>'10'!$B$23:$I$23</c:f>
              <c:numCache>
                <c:formatCode>General</c:formatCode>
                <c:ptCount val="8"/>
                <c:pt idx="0">
                  <c:v>1636</c:v>
                </c:pt>
                <c:pt idx="1">
                  <c:v>1927</c:v>
                </c:pt>
                <c:pt idx="2">
                  <c:v>1486</c:v>
                </c:pt>
                <c:pt idx="3">
                  <c:v>591</c:v>
                </c:pt>
                <c:pt idx="4">
                  <c:v>1405</c:v>
                </c:pt>
                <c:pt idx="5">
                  <c:v>377</c:v>
                </c:pt>
                <c:pt idx="6">
                  <c:v>167</c:v>
                </c:pt>
                <c:pt idx="7">
                  <c:v>217</c:v>
                </c:pt>
              </c:numCache>
            </c:numRef>
          </c:val>
          <c:extLst xmlns:c16r2="http://schemas.microsoft.com/office/drawing/2015/06/chart">
            <c:ext xmlns:c16="http://schemas.microsoft.com/office/drawing/2014/chart" uri="{C3380CC4-5D6E-409C-BE32-E72D297353CC}">
              <c16:uniqueId val="{00000000-ECB9-4058-806F-4ED739D8D461}"/>
            </c:ext>
          </c:extLst>
        </c:ser>
        <c:dLbls>
          <c:showLegendKey val="0"/>
          <c:showVal val="0"/>
          <c:showCatName val="0"/>
          <c:showSerName val="0"/>
          <c:showPercent val="0"/>
          <c:showBubbleSize val="0"/>
        </c:dLbls>
        <c:gapWidth val="75"/>
        <c:overlap val="-25"/>
        <c:axId val="115774976"/>
        <c:axId val="115776512"/>
      </c:barChart>
      <c:catAx>
        <c:axId val="115774976"/>
        <c:scaling>
          <c:orientation val="minMax"/>
        </c:scaling>
        <c:delete val="0"/>
        <c:axPos val="b"/>
        <c:numFmt formatCode="General" sourceLinked="0"/>
        <c:majorTickMark val="none"/>
        <c:minorTickMark val="none"/>
        <c:tickLblPos val="nextTo"/>
        <c:txPr>
          <a:bodyPr/>
          <a:lstStyle/>
          <a:p>
            <a:pPr>
              <a:defRPr b="1">
                <a:latin typeface="Arial" panose="020B0604020202020204" pitchFamily="34" charset="0"/>
                <a:cs typeface="Arial" panose="020B0604020202020204" pitchFamily="34" charset="0"/>
              </a:defRPr>
            </a:pPr>
            <a:endParaRPr lang="ar-QA"/>
          </a:p>
        </c:txPr>
        <c:crossAx val="115776512"/>
        <c:crosses val="autoZero"/>
        <c:auto val="1"/>
        <c:lblAlgn val="ctr"/>
        <c:lblOffset val="100"/>
        <c:noMultiLvlLbl val="0"/>
      </c:catAx>
      <c:valAx>
        <c:axId val="115776512"/>
        <c:scaling>
          <c:orientation val="minMax"/>
        </c:scaling>
        <c:delete val="0"/>
        <c:axPos val="l"/>
        <c:numFmt formatCode="General" sourceLinked="1"/>
        <c:majorTickMark val="none"/>
        <c:minorTickMark val="none"/>
        <c:tickLblPos val="nextTo"/>
        <c:spPr>
          <a:ln w="9525">
            <a:noFill/>
          </a:ln>
        </c:spPr>
        <c:txPr>
          <a:bodyPr/>
          <a:lstStyle/>
          <a:p>
            <a:pPr>
              <a:defRPr sz="900" b="0">
                <a:latin typeface="Arial" panose="020B0604020202020204" pitchFamily="34" charset="0"/>
                <a:cs typeface="Arial" panose="020B0604020202020204" pitchFamily="34" charset="0"/>
              </a:defRPr>
            </a:pPr>
            <a:endParaRPr lang="ar-QA"/>
          </a:p>
        </c:txPr>
        <c:crossAx val="115774976"/>
        <c:crosses val="autoZero"/>
        <c:crossBetween val="between"/>
      </c:valAx>
    </c:plotArea>
    <c:plotVisOnly val="1"/>
    <c:dispBlanksAs val="gap"/>
    <c:showDLblsOverMax val="0"/>
  </c:chart>
  <c:spPr>
    <a:ln>
      <a:noFill/>
    </a:ln>
  </c:spPr>
  <c:printSettings>
    <c:headerFooter/>
    <c:pageMargins b="0.75000000000000011" l="0.70000000000000007" r="0.70000000000000007" t="0.75000000000000011" header="0.30000000000000004" footer="0.30000000000000004"/>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ar-QA"/>
  <c:roundedCorners val="0"/>
  <mc:AlternateContent xmlns:mc="http://schemas.openxmlformats.org/markup-compatibility/2006">
    <mc:Choice xmlns:c14="http://schemas.microsoft.com/office/drawing/2007/8/2/chart" Requires="c14">
      <c14:style val="126"/>
    </mc:Choice>
    <mc:Fallback>
      <c:style val="26"/>
    </mc:Fallback>
  </mc:AlternateContent>
  <c:chart>
    <c:autoTitleDeleted val="0"/>
    <c:plotArea>
      <c:layout>
        <c:manualLayout>
          <c:layoutTarget val="inner"/>
          <c:xMode val="edge"/>
          <c:yMode val="edge"/>
          <c:x val="4.3482133025366951E-2"/>
          <c:y val="2.3514460967482224E-2"/>
          <c:w val="0.95145095285925207"/>
          <c:h val="0.76831710513489804"/>
        </c:manualLayout>
      </c:layout>
      <c:barChart>
        <c:barDir val="col"/>
        <c:grouping val="clustered"/>
        <c:varyColors val="0"/>
        <c:ser>
          <c:idx val="0"/>
          <c:order val="0"/>
          <c:tx>
            <c:strRef>
              <c:f>'11'!$B$7</c:f>
              <c:strCache>
                <c:ptCount val="1"/>
                <c:pt idx="0">
                  <c:v>مباني جديدة
New Building</c:v>
                </c:pt>
              </c:strCache>
            </c:strRef>
          </c:tx>
          <c:invertIfNegative val="0"/>
          <c:dLbls>
            <c:txPr>
              <a:bodyPr/>
              <a:lstStyle/>
              <a:p>
                <a:pPr>
                  <a:defRPr b="1">
                    <a:solidFill>
                      <a:schemeClr val="tx2">
                        <a:lumMod val="60000"/>
                        <a:lumOff val="40000"/>
                      </a:schemeClr>
                    </a:solidFill>
                    <a:latin typeface="Arial" panose="020B0604020202020204" pitchFamily="34" charset="0"/>
                    <a:cs typeface="Arial" panose="020B0604020202020204" pitchFamily="34" charset="0"/>
                  </a:defRPr>
                </a:pPr>
                <a:endParaRPr lang="ar-QA"/>
              </a:p>
            </c:txPr>
            <c:showLegendKey val="0"/>
            <c:showVal val="1"/>
            <c:showCatName val="0"/>
            <c:showSerName val="0"/>
            <c:showPercent val="0"/>
            <c:showBubbleSize val="0"/>
            <c:showLeaderLines val="0"/>
          </c:dLbls>
          <c:cat>
            <c:strRef>
              <c:f>'1'!$H$8:$H$19</c:f>
              <c:strCache>
                <c:ptCount val="12"/>
                <c:pt idx="0">
                  <c:v>يناير
JANUARY</c:v>
                </c:pt>
                <c:pt idx="1">
                  <c:v>فبراير
FEBRUARY</c:v>
                </c:pt>
                <c:pt idx="2">
                  <c:v>مارس
MARCH</c:v>
                </c:pt>
                <c:pt idx="3">
                  <c:v>ابريل
APRIL</c:v>
                </c:pt>
                <c:pt idx="4">
                  <c:v>مايـو
MAY
</c:v>
                </c:pt>
                <c:pt idx="5">
                  <c:v>يونيو
JUNE</c:v>
                </c:pt>
                <c:pt idx="6">
                  <c:v>يوليو
JULY</c:v>
                </c:pt>
                <c:pt idx="7">
                  <c:v>اغسطس
AUGUST</c:v>
                </c:pt>
                <c:pt idx="8">
                  <c:v>سبتمبر
SEPTEMBER</c:v>
                </c:pt>
                <c:pt idx="9">
                  <c:v>أكتوبر
OCTOBER</c:v>
                </c:pt>
                <c:pt idx="10">
                  <c:v>نوفمبر
NOVEMBER</c:v>
                </c:pt>
                <c:pt idx="11">
                  <c:v>ديسمبر
DECEMBER</c:v>
                </c:pt>
              </c:strCache>
            </c:strRef>
          </c:cat>
          <c:val>
            <c:numRef>
              <c:f>'11'!$B$8:$B$19</c:f>
              <c:numCache>
                <c:formatCode>General</c:formatCode>
                <c:ptCount val="12"/>
                <c:pt idx="0">
                  <c:v>235</c:v>
                </c:pt>
                <c:pt idx="1">
                  <c:v>209</c:v>
                </c:pt>
                <c:pt idx="2">
                  <c:v>282</c:v>
                </c:pt>
                <c:pt idx="3">
                  <c:v>182</c:v>
                </c:pt>
                <c:pt idx="4">
                  <c:v>119</c:v>
                </c:pt>
                <c:pt idx="5">
                  <c:v>233</c:v>
                </c:pt>
                <c:pt idx="6">
                  <c:v>265</c:v>
                </c:pt>
                <c:pt idx="7">
                  <c:v>201</c:v>
                </c:pt>
                <c:pt idx="8">
                  <c:v>283</c:v>
                </c:pt>
                <c:pt idx="9">
                  <c:v>246</c:v>
                </c:pt>
                <c:pt idx="10">
                  <c:v>246</c:v>
                </c:pt>
                <c:pt idx="11">
                  <c:v>220</c:v>
                </c:pt>
              </c:numCache>
            </c:numRef>
          </c:val>
          <c:extLst xmlns:c16r2="http://schemas.microsoft.com/office/drawing/2015/06/chart">
            <c:ext xmlns:c16="http://schemas.microsoft.com/office/drawing/2014/chart" uri="{C3380CC4-5D6E-409C-BE32-E72D297353CC}">
              <c16:uniqueId val="{00000000-4B70-4173-A650-A754DA9891C7}"/>
            </c:ext>
          </c:extLst>
        </c:ser>
        <c:ser>
          <c:idx val="1"/>
          <c:order val="1"/>
          <c:tx>
            <c:strRef>
              <c:f>'11'!$C$7</c:f>
              <c:strCache>
                <c:ptCount val="1"/>
                <c:pt idx="0">
                  <c:v>اضافات
Additions</c:v>
                </c:pt>
              </c:strCache>
            </c:strRef>
          </c:tx>
          <c:invertIfNegative val="0"/>
          <c:dLbls>
            <c:txPr>
              <a:bodyPr/>
              <a:lstStyle/>
              <a:p>
                <a:pPr>
                  <a:defRPr b="1">
                    <a:solidFill>
                      <a:srgbClr val="FF0000"/>
                    </a:solidFill>
                    <a:latin typeface="Arial" panose="020B0604020202020204" pitchFamily="34" charset="0"/>
                    <a:cs typeface="Arial" panose="020B0604020202020204" pitchFamily="34" charset="0"/>
                  </a:defRPr>
                </a:pPr>
                <a:endParaRPr lang="ar-QA"/>
              </a:p>
            </c:txPr>
            <c:showLegendKey val="0"/>
            <c:showVal val="1"/>
            <c:showCatName val="0"/>
            <c:showSerName val="0"/>
            <c:showPercent val="0"/>
            <c:showBubbleSize val="0"/>
            <c:showLeaderLines val="0"/>
          </c:dLbls>
          <c:cat>
            <c:strRef>
              <c:f>'1'!$H$8:$H$19</c:f>
              <c:strCache>
                <c:ptCount val="12"/>
                <c:pt idx="0">
                  <c:v>يناير
JANUARY</c:v>
                </c:pt>
                <c:pt idx="1">
                  <c:v>فبراير
FEBRUARY</c:v>
                </c:pt>
                <c:pt idx="2">
                  <c:v>مارس
MARCH</c:v>
                </c:pt>
                <c:pt idx="3">
                  <c:v>ابريل
APRIL</c:v>
                </c:pt>
                <c:pt idx="4">
                  <c:v>مايـو
MAY
</c:v>
                </c:pt>
                <c:pt idx="5">
                  <c:v>يونيو
JUNE</c:v>
                </c:pt>
                <c:pt idx="6">
                  <c:v>يوليو
JULY</c:v>
                </c:pt>
                <c:pt idx="7">
                  <c:v>اغسطس
AUGUST</c:v>
                </c:pt>
                <c:pt idx="8">
                  <c:v>سبتمبر
SEPTEMBER</c:v>
                </c:pt>
                <c:pt idx="9">
                  <c:v>أكتوبر
OCTOBER</c:v>
                </c:pt>
                <c:pt idx="10">
                  <c:v>نوفمبر
NOVEMBER</c:v>
                </c:pt>
                <c:pt idx="11">
                  <c:v>ديسمبر
DECEMBER</c:v>
                </c:pt>
              </c:strCache>
            </c:strRef>
          </c:cat>
          <c:val>
            <c:numRef>
              <c:f>'11'!$C$8:$C$19</c:f>
              <c:numCache>
                <c:formatCode>General</c:formatCode>
                <c:ptCount val="12"/>
                <c:pt idx="0">
                  <c:v>102</c:v>
                </c:pt>
                <c:pt idx="1">
                  <c:v>79</c:v>
                </c:pt>
                <c:pt idx="2">
                  <c:v>93</c:v>
                </c:pt>
                <c:pt idx="3">
                  <c:v>78</c:v>
                </c:pt>
                <c:pt idx="4">
                  <c:v>39</c:v>
                </c:pt>
                <c:pt idx="5">
                  <c:v>87</c:v>
                </c:pt>
                <c:pt idx="6">
                  <c:v>89</c:v>
                </c:pt>
                <c:pt idx="7">
                  <c:v>76</c:v>
                </c:pt>
                <c:pt idx="8">
                  <c:v>85</c:v>
                </c:pt>
                <c:pt idx="9">
                  <c:v>104</c:v>
                </c:pt>
                <c:pt idx="10">
                  <c:v>109</c:v>
                </c:pt>
                <c:pt idx="11">
                  <c:v>99</c:v>
                </c:pt>
              </c:numCache>
            </c:numRef>
          </c:val>
          <c:extLst xmlns:c16r2="http://schemas.microsoft.com/office/drawing/2015/06/chart">
            <c:ext xmlns:c16="http://schemas.microsoft.com/office/drawing/2014/chart" uri="{C3380CC4-5D6E-409C-BE32-E72D297353CC}">
              <c16:uniqueId val="{00000001-4B70-4173-A650-A754DA9891C7}"/>
            </c:ext>
          </c:extLst>
        </c:ser>
        <c:dLbls>
          <c:showLegendKey val="0"/>
          <c:showVal val="0"/>
          <c:showCatName val="0"/>
          <c:showSerName val="0"/>
          <c:showPercent val="0"/>
          <c:showBubbleSize val="0"/>
        </c:dLbls>
        <c:gapWidth val="50"/>
        <c:axId val="111729664"/>
        <c:axId val="111735552"/>
      </c:barChart>
      <c:catAx>
        <c:axId val="111729664"/>
        <c:scaling>
          <c:orientation val="minMax"/>
        </c:scaling>
        <c:delete val="0"/>
        <c:axPos val="b"/>
        <c:numFmt formatCode="General" sourceLinked="0"/>
        <c:majorTickMark val="out"/>
        <c:minorTickMark val="none"/>
        <c:tickLblPos val="nextTo"/>
        <c:txPr>
          <a:bodyPr/>
          <a:lstStyle/>
          <a:p>
            <a:pPr>
              <a:defRPr sz="800" b="1">
                <a:latin typeface="Arial" panose="020B0604020202020204" pitchFamily="34" charset="0"/>
                <a:cs typeface="Arial" panose="020B0604020202020204" pitchFamily="34" charset="0"/>
              </a:defRPr>
            </a:pPr>
            <a:endParaRPr lang="ar-QA"/>
          </a:p>
        </c:txPr>
        <c:crossAx val="111735552"/>
        <c:crosses val="autoZero"/>
        <c:auto val="1"/>
        <c:lblAlgn val="ctr"/>
        <c:lblOffset val="100"/>
        <c:noMultiLvlLbl val="0"/>
      </c:catAx>
      <c:valAx>
        <c:axId val="111735552"/>
        <c:scaling>
          <c:orientation val="minMax"/>
          <c:max val="300"/>
        </c:scaling>
        <c:delete val="0"/>
        <c:axPos val="l"/>
        <c:numFmt formatCode="General" sourceLinked="1"/>
        <c:majorTickMark val="out"/>
        <c:minorTickMark val="none"/>
        <c:tickLblPos val="nextTo"/>
        <c:txPr>
          <a:bodyPr/>
          <a:lstStyle/>
          <a:p>
            <a:pPr>
              <a:defRPr sz="800" b="1">
                <a:latin typeface="Arial" panose="020B0604020202020204" pitchFamily="34" charset="0"/>
                <a:cs typeface="Arial" panose="020B0604020202020204" pitchFamily="34" charset="0"/>
              </a:defRPr>
            </a:pPr>
            <a:endParaRPr lang="ar-QA"/>
          </a:p>
        </c:txPr>
        <c:crossAx val="111729664"/>
        <c:crosses val="autoZero"/>
        <c:crossBetween val="between"/>
      </c:valAx>
    </c:plotArea>
    <c:legend>
      <c:legendPos val="l"/>
      <c:layout>
        <c:manualLayout>
          <c:xMode val="edge"/>
          <c:yMode val="edge"/>
          <c:x val="1.1384419882275064E-3"/>
          <c:y val="0.8861345478307644"/>
          <c:w val="0.99274175337401116"/>
          <c:h val="0.11386536348654094"/>
        </c:manualLayout>
      </c:layout>
      <c:overlay val="0"/>
      <c:txPr>
        <a:bodyPr/>
        <a:lstStyle/>
        <a:p>
          <a:pPr>
            <a:defRPr b="1">
              <a:latin typeface="Arial" panose="020B0604020202020204" pitchFamily="34" charset="0"/>
              <a:cs typeface="Arial" panose="020B0604020202020204" pitchFamily="34" charset="0"/>
            </a:defRPr>
          </a:pPr>
          <a:endParaRPr lang="ar-QA"/>
        </a:p>
      </c:txPr>
    </c:legend>
    <c:plotVisOnly val="1"/>
    <c:dispBlanksAs val="gap"/>
    <c:showDLblsOverMax val="0"/>
  </c:chart>
  <c:spPr>
    <a:ln>
      <a:noFill/>
    </a:ln>
  </c:spPr>
  <c:printSettings>
    <c:headerFooter/>
    <c:pageMargins b="0.75000000000000011" l="0.70000000000000007" r="0.70000000000000007" t="0.75000000000000011" header="0.30000000000000004" footer="0.30000000000000004"/>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ar-QA"/>
  <c:roundedCorners val="0"/>
  <mc:AlternateContent xmlns:mc="http://schemas.openxmlformats.org/markup-compatibility/2006">
    <mc:Choice xmlns:c14="http://schemas.microsoft.com/office/drawing/2007/8/2/chart" Requires="c14">
      <c14:style val="126"/>
    </mc:Choice>
    <mc:Fallback>
      <c:style val="26"/>
    </mc:Fallback>
  </mc:AlternateContent>
  <c:chart>
    <c:title>
      <c:tx>
        <c:rich>
          <a:bodyPr/>
          <a:lstStyle/>
          <a:p>
            <a:pPr>
              <a:defRPr sz="1200">
                <a:latin typeface="Arial" panose="020B0604020202020204" pitchFamily="34" charset="0"/>
                <a:cs typeface="Arial" panose="020B0604020202020204" pitchFamily="34" charset="0"/>
              </a:defRPr>
            </a:pPr>
            <a:r>
              <a:rPr lang="ar-QA" sz="1200">
                <a:latin typeface="Arial" panose="020B0604020202020204" pitchFamily="34" charset="0"/>
                <a:cs typeface="Arial" panose="020B0604020202020204" pitchFamily="34" charset="0"/>
              </a:rPr>
              <a:t>مبانى سكنية
</a:t>
            </a:r>
            <a:r>
              <a:rPr lang="en-US" sz="1000">
                <a:latin typeface="Arial" panose="020B0604020202020204" pitchFamily="34" charset="0"/>
                <a:cs typeface="Arial" panose="020B0604020202020204" pitchFamily="34" charset="0"/>
              </a:rPr>
              <a:t>RESIDENTIAL BUILDINGS</a:t>
            </a:r>
            <a:endParaRPr lang="en-US" sz="1200">
              <a:latin typeface="Arial" panose="020B0604020202020204" pitchFamily="34" charset="0"/>
              <a:cs typeface="Arial" panose="020B0604020202020204" pitchFamily="34" charset="0"/>
            </a:endParaRPr>
          </a:p>
        </c:rich>
      </c:tx>
      <c:layout/>
      <c:overlay val="0"/>
    </c:title>
    <c:autoTitleDeleted val="0"/>
    <c:plotArea>
      <c:layout>
        <c:manualLayout>
          <c:layoutTarget val="inner"/>
          <c:xMode val="edge"/>
          <c:yMode val="edge"/>
          <c:x val="0.22250437445319338"/>
          <c:y val="0.17889511086318571"/>
          <c:w val="0.72999146981627294"/>
          <c:h val="0.79563102977250455"/>
        </c:manualLayout>
      </c:layout>
      <c:pieChart>
        <c:varyColors val="1"/>
        <c:ser>
          <c:idx val="0"/>
          <c:order val="0"/>
          <c:dLbls>
            <c:dLbl>
              <c:idx val="0"/>
              <c:layout>
                <c:manualLayout>
                  <c:x val="-0.13284033245844273"/>
                  <c:y val="8.1537185236041698E-2"/>
                </c:manualLayout>
              </c:layout>
              <c:spPr/>
              <c:txPr>
                <a:bodyPr/>
                <a:lstStyle/>
                <a:p>
                  <a:pPr>
                    <a:defRPr sz="800" b="1">
                      <a:solidFill>
                        <a:schemeClr val="bg1"/>
                      </a:solidFill>
                      <a:latin typeface="Arial" panose="020B0604020202020204" pitchFamily="34" charset="0"/>
                      <a:cs typeface="Arial" panose="020B0604020202020204" pitchFamily="34" charset="0"/>
                    </a:defRPr>
                  </a:pPr>
                  <a:endParaRPr lang="ar-QA"/>
                </a:p>
              </c:txPr>
              <c:showLegendKey val="0"/>
              <c:showVal val="0"/>
              <c:showCatName val="1"/>
              <c:showSerName val="0"/>
              <c:showPercent val="1"/>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0-B5DC-4D53-A1A4-0323CD1E17BF}"/>
                </c:ext>
              </c:extLst>
            </c:dLbl>
            <c:dLbl>
              <c:idx val="1"/>
              <c:spPr/>
              <c:txPr>
                <a:bodyPr/>
                <a:lstStyle/>
                <a:p>
                  <a:pPr>
                    <a:defRPr sz="800" b="1">
                      <a:solidFill>
                        <a:schemeClr val="bg1"/>
                      </a:solidFill>
                      <a:latin typeface="Arial" panose="020B0604020202020204" pitchFamily="34" charset="0"/>
                      <a:cs typeface="Arial" panose="020B0604020202020204" pitchFamily="34" charset="0"/>
                    </a:defRPr>
                  </a:pPr>
                  <a:endParaRPr lang="ar-QA"/>
                </a:p>
              </c:txPr>
              <c:showLegendKey val="0"/>
              <c:showVal val="0"/>
              <c:showCatName val="1"/>
              <c:showSerName val="0"/>
              <c:showPercent val="1"/>
              <c:showBubbleSize val="0"/>
            </c:dLbl>
            <c:dLbl>
              <c:idx val="2"/>
              <c:layout>
                <c:manualLayout>
                  <c:x val="-3.4686242344706922E-2"/>
                  <c:y val="8.4267463842224111E-2"/>
                </c:manualLayout>
              </c:layout>
              <c:showLegendKey val="0"/>
              <c:showVal val="0"/>
              <c:showCatName val="1"/>
              <c:showSerName val="0"/>
              <c:showPercent val="1"/>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2-B5DC-4D53-A1A4-0323CD1E17BF}"/>
                </c:ext>
              </c:extLst>
            </c:dLbl>
            <c:dLbl>
              <c:idx val="3"/>
              <c:layout>
                <c:manualLayout>
                  <c:x val="-6.5893482064741929E-3"/>
                  <c:y val="-3.3448714006117083E-2"/>
                </c:manualLayout>
              </c:layout>
              <c:showLegendKey val="0"/>
              <c:showVal val="0"/>
              <c:showCatName val="1"/>
              <c:showSerName val="0"/>
              <c:showPercent val="1"/>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3-B5DC-4D53-A1A4-0323CD1E17BF}"/>
                </c:ext>
              </c:extLst>
            </c:dLbl>
            <c:spPr>
              <a:noFill/>
              <a:ln>
                <a:noFill/>
              </a:ln>
              <a:effectLst/>
            </c:spPr>
            <c:txPr>
              <a:bodyPr/>
              <a:lstStyle/>
              <a:p>
                <a:pPr>
                  <a:defRPr sz="800" b="1">
                    <a:latin typeface="Arial" panose="020B0604020202020204" pitchFamily="34" charset="0"/>
                    <a:cs typeface="Arial" panose="020B0604020202020204" pitchFamily="34" charset="0"/>
                  </a:defRPr>
                </a:pPr>
                <a:endParaRPr lang="ar-QA"/>
              </a:p>
            </c:txPr>
            <c:showLegendKey val="0"/>
            <c:showVal val="0"/>
            <c:showCatName val="1"/>
            <c:showSerName val="0"/>
            <c:showPercent val="1"/>
            <c:showBubbleSize val="0"/>
            <c:showLeaderLines val="1"/>
            <c:extLst xmlns:c16r2="http://schemas.microsoft.com/office/drawing/2015/06/chart">
              <c:ext xmlns:c15="http://schemas.microsoft.com/office/drawing/2012/chart" uri="{CE6537A1-D6FC-4f65-9D91-7224C49458BB}"/>
            </c:extLst>
          </c:dLbls>
          <c:cat>
            <c:strRef>
              <c:f>'10'!$M$8:$M$11</c:f>
              <c:strCache>
                <c:ptCount val="4"/>
                <c:pt idx="0">
                  <c:v>فيلا
VILLA</c:v>
                </c:pt>
                <c:pt idx="1">
                  <c:v>مساكن قروض الاسكان
DEWLLINGS OF HOUSING LOANS</c:v>
                </c:pt>
                <c:pt idx="2">
                  <c:v>عمارة
MULTI-STOREYED BUILDING</c:v>
                </c:pt>
                <c:pt idx="3">
                  <c:v>أخرى
OTHERS (RESIDENTIAL)</c:v>
                </c:pt>
              </c:strCache>
            </c:strRef>
          </c:cat>
          <c:val>
            <c:numRef>
              <c:f>'20'!$J$8:$J$11</c:f>
              <c:numCache>
                <c:formatCode>General</c:formatCode>
                <c:ptCount val="4"/>
                <c:pt idx="0">
                  <c:v>1391</c:v>
                </c:pt>
                <c:pt idx="1">
                  <c:v>759</c:v>
                </c:pt>
                <c:pt idx="2">
                  <c:v>124</c:v>
                </c:pt>
                <c:pt idx="3">
                  <c:v>50</c:v>
                </c:pt>
              </c:numCache>
            </c:numRef>
          </c:val>
          <c:extLst xmlns:c16r2="http://schemas.microsoft.com/office/drawing/2015/06/chart">
            <c:ext xmlns:c16="http://schemas.microsoft.com/office/drawing/2014/chart" uri="{C3380CC4-5D6E-409C-BE32-E72D297353CC}">
              <c16:uniqueId val="{00000004-B5DC-4D53-A1A4-0323CD1E17BF}"/>
            </c:ext>
          </c:extLst>
        </c:ser>
        <c:dLbls>
          <c:showLegendKey val="0"/>
          <c:showVal val="0"/>
          <c:showCatName val="0"/>
          <c:showSerName val="0"/>
          <c:showPercent val="0"/>
          <c:showBubbleSize val="0"/>
          <c:showLeaderLines val="1"/>
        </c:dLbls>
        <c:firstSliceAng val="310"/>
      </c:pieChart>
    </c:plotArea>
    <c:plotVisOnly val="1"/>
    <c:dispBlanksAs val="zero"/>
    <c:showDLblsOverMax val="0"/>
  </c:chart>
  <c:spPr>
    <a:ln>
      <a:noFill/>
    </a:ln>
  </c:spPr>
  <c:printSettings>
    <c:headerFooter/>
    <c:pageMargins b="0" l="0" r="0" t="0" header="0.31496062992125995" footer="0.31496062992125995"/>
    <c:pageSetup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ar-QA"/>
  <c:roundedCorners val="0"/>
  <mc:AlternateContent xmlns:mc="http://schemas.openxmlformats.org/markup-compatibility/2006">
    <mc:Choice xmlns:c14="http://schemas.microsoft.com/office/drawing/2007/8/2/chart" Requires="c14">
      <c14:style val="126"/>
    </mc:Choice>
    <mc:Fallback>
      <c:style val="26"/>
    </mc:Fallback>
  </mc:AlternateContent>
  <c:chart>
    <c:title>
      <c:tx>
        <c:rich>
          <a:bodyPr/>
          <a:lstStyle/>
          <a:p>
            <a:pPr>
              <a:defRPr sz="1200">
                <a:latin typeface="Arial" panose="020B0604020202020204" pitchFamily="34" charset="0"/>
                <a:cs typeface="Arial" panose="020B0604020202020204" pitchFamily="34" charset="0"/>
              </a:defRPr>
            </a:pPr>
            <a:r>
              <a:rPr lang="ar-QA" sz="1200">
                <a:latin typeface="Arial" panose="020B0604020202020204" pitchFamily="34" charset="0"/>
                <a:cs typeface="Arial" panose="020B0604020202020204" pitchFamily="34" charset="0"/>
              </a:rPr>
              <a:t>مبانى</a:t>
            </a:r>
            <a:r>
              <a:rPr lang="en-US" sz="1200">
                <a:latin typeface="Arial" panose="020B0604020202020204" pitchFamily="34" charset="0"/>
                <a:cs typeface="Arial" panose="020B0604020202020204" pitchFamily="34" charset="0"/>
              </a:rPr>
              <a:t> </a:t>
            </a:r>
            <a:r>
              <a:rPr lang="ar-QA" sz="1200">
                <a:latin typeface="Arial" panose="020B0604020202020204" pitchFamily="34" charset="0"/>
                <a:cs typeface="Arial" panose="020B0604020202020204" pitchFamily="34" charset="0"/>
              </a:rPr>
              <a:t>غير سكنية
</a:t>
            </a:r>
            <a:r>
              <a:rPr lang="en-US" sz="1000">
                <a:latin typeface="Arial" panose="020B0604020202020204" pitchFamily="34" charset="0"/>
                <a:cs typeface="Arial" panose="020B0604020202020204" pitchFamily="34" charset="0"/>
              </a:rPr>
              <a:t>RESIDENTIAL BUILDINGS</a:t>
            </a:r>
            <a:endParaRPr lang="en-US" sz="1200">
              <a:latin typeface="Arial" panose="020B0604020202020204" pitchFamily="34" charset="0"/>
              <a:cs typeface="Arial" panose="020B0604020202020204" pitchFamily="34" charset="0"/>
            </a:endParaRPr>
          </a:p>
        </c:rich>
      </c:tx>
      <c:layout/>
      <c:overlay val="0"/>
    </c:title>
    <c:autoTitleDeleted val="0"/>
    <c:plotArea>
      <c:layout>
        <c:manualLayout>
          <c:layoutTarget val="inner"/>
          <c:xMode val="edge"/>
          <c:yMode val="edge"/>
          <c:x val="0.22250437445319338"/>
          <c:y val="0.17889511086318571"/>
          <c:w val="0.72999146981627294"/>
          <c:h val="0.79563102977250455"/>
        </c:manualLayout>
      </c:layout>
      <c:pieChart>
        <c:varyColors val="1"/>
        <c:ser>
          <c:idx val="0"/>
          <c:order val="0"/>
          <c:dLbls>
            <c:dLbl>
              <c:idx val="0"/>
              <c:layout>
                <c:manualLayout>
                  <c:x val="0.12167716535433071"/>
                  <c:y val="0.18408819469773369"/>
                </c:manualLayout>
              </c:layout>
              <c:showLegendKey val="0"/>
              <c:showVal val="0"/>
              <c:showCatName val="1"/>
              <c:showSerName val="0"/>
              <c:showPercent val="1"/>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0-DDA7-4EE0-B392-1AB9B210E3B0}"/>
                </c:ext>
              </c:extLst>
            </c:dLbl>
            <c:dLbl>
              <c:idx val="1"/>
              <c:layout>
                <c:manualLayout>
                  <c:x val="-0.10368044619422571"/>
                  <c:y val="2.9476901218410379E-3"/>
                </c:manualLayout>
              </c:layout>
              <c:showLegendKey val="0"/>
              <c:showVal val="0"/>
              <c:showCatName val="1"/>
              <c:showSerName val="0"/>
              <c:showPercent val="1"/>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1-DDA7-4EE0-B392-1AB9B210E3B0}"/>
                </c:ext>
              </c:extLst>
            </c:dLbl>
            <c:dLbl>
              <c:idx val="2"/>
              <c:layout>
                <c:manualLayout>
                  <c:x val="0.17858541119860019"/>
                  <c:y val="-0.17414471692400846"/>
                </c:manualLayout>
              </c:layout>
              <c:showLegendKey val="0"/>
              <c:showVal val="0"/>
              <c:showCatName val="1"/>
              <c:showSerName val="0"/>
              <c:showPercent val="1"/>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2-DDA7-4EE0-B392-1AB9B210E3B0}"/>
                </c:ext>
              </c:extLst>
            </c:dLbl>
            <c:dLbl>
              <c:idx val="3"/>
              <c:layout>
                <c:manualLayout>
                  <c:x val="0.1430334645669292"/>
                  <c:y val="3.2398130070253488E-2"/>
                </c:manualLayout>
              </c:layout>
              <c:showLegendKey val="0"/>
              <c:showVal val="0"/>
              <c:showCatName val="1"/>
              <c:showSerName val="0"/>
              <c:showPercent val="1"/>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3-DDA7-4EE0-B392-1AB9B210E3B0}"/>
                </c:ext>
              </c:extLst>
            </c:dLbl>
            <c:dLbl>
              <c:idx val="4"/>
              <c:layout>
                <c:manualLayout>
                  <c:x val="-2.2792650918635173E-2"/>
                  <c:y val="-4.6432138761946316E-2"/>
                </c:manualLayout>
              </c:layout>
              <c:spPr/>
              <c:txPr>
                <a:bodyPr/>
                <a:lstStyle/>
                <a:p>
                  <a:pPr>
                    <a:defRPr sz="800" b="1">
                      <a:solidFill>
                        <a:sysClr val="windowText" lastClr="000000"/>
                      </a:solidFill>
                      <a:latin typeface="Arial" panose="020B0604020202020204" pitchFamily="34" charset="0"/>
                      <a:cs typeface="Arial" panose="020B0604020202020204" pitchFamily="34" charset="0"/>
                    </a:defRPr>
                  </a:pPr>
                  <a:endParaRPr lang="ar-QA"/>
                </a:p>
              </c:txPr>
              <c:showLegendKey val="0"/>
              <c:showVal val="0"/>
              <c:showCatName val="1"/>
              <c:showSerName val="0"/>
              <c:showPercent val="1"/>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4-DDA7-4EE0-B392-1AB9B210E3B0}"/>
                </c:ext>
              </c:extLst>
            </c:dLbl>
            <c:spPr>
              <a:noFill/>
              <a:ln>
                <a:noFill/>
              </a:ln>
              <a:effectLst/>
            </c:spPr>
            <c:txPr>
              <a:bodyPr/>
              <a:lstStyle/>
              <a:p>
                <a:pPr>
                  <a:defRPr sz="800" b="1">
                    <a:solidFill>
                      <a:schemeClr val="bg1"/>
                    </a:solidFill>
                    <a:latin typeface="Arial" panose="020B0604020202020204" pitchFamily="34" charset="0"/>
                    <a:cs typeface="Arial" panose="020B0604020202020204" pitchFamily="34" charset="0"/>
                  </a:defRPr>
                </a:pPr>
                <a:endParaRPr lang="ar-QA"/>
              </a:p>
            </c:txPr>
            <c:showLegendKey val="0"/>
            <c:showVal val="0"/>
            <c:showCatName val="1"/>
            <c:showSerName val="0"/>
            <c:showPercent val="1"/>
            <c:showBubbleSize val="0"/>
            <c:showLeaderLines val="1"/>
            <c:extLst xmlns:c16r2="http://schemas.microsoft.com/office/drawing/2015/06/chart">
              <c:ext xmlns:c15="http://schemas.microsoft.com/office/drawing/2012/chart" uri="{CE6537A1-D6FC-4f65-9D91-7224C49458BB}"/>
            </c:extLst>
          </c:dLbls>
          <c:cat>
            <c:strRef>
              <c:f>'10'!$L$14:$M$18</c:f>
              <c:strCache>
                <c:ptCount val="5"/>
                <c:pt idx="0">
                  <c:v>ادارة حكومية
PUBLIC BUILDING</c:v>
                </c:pt>
                <c:pt idx="1">
                  <c:v>مبنى تجاري
COMMERCIAL BLDG.</c:v>
                </c:pt>
                <c:pt idx="2">
                  <c:v>ورشة / مصنع
WORKSHOP/FACTORY</c:v>
                </c:pt>
                <c:pt idx="3">
                  <c:v>مسجد
Mosque</c:v>
                </c:pt>
                <c:pt idx="4">
                  <c:v>أخرى
OTHERS(NON-RESIDENTIAL)</c:v>
                </c:pt>
              </c:strCache>
            </c:strRef>
          </c:cat>
          <c:val>
            <c:numRef>
              <c:f>'20'!$J$14:$J$18</c:f>
              <c:numCache>
                <c:formatCode>General</c:formatCode>
                <c:ptCount val="5"/>
                <c:pt idx="0">
                  <c:v>42</c:v>
                </c:pt>
                <c:pt idx="1">
                  <c:v>206</c:v>
                </c:pt>
                <c:pt idx="2">
                  <c:v>83</c:v>
                </c:pt>
                <c:pt idx="3">
                  <c:v>36</c:v>
                </c:pt>
                <c:pt idx="4">
                  <c:v>30</c:v>
                </c:pt>
              </c:numCache>
            </c:numRef>
          </c:val>
          <c:extLst xmlns:c16r2="http://schemas.microsoft.com/office/drawing/2015/06/chart">
            <c:ext xmlns:c16="http://schemas.microsoft.com/office/drawing/2014/chart" uri="{C3380CC4-5D6E-409C-BE32-E72D297353CC}">
              <c16:uniqueId val="{00000005-DDA7-4EE0-B392-1AB9B210E3B0}"/>
            </c:ext>
          </c:extLst>
        </c:ser>
        <c:dLbls>
          <c:showLegendKey val="0"/>
          <c:showVal val="0"/>
          <c:showCatName val="0"/>
          <c:showSerName val="0"/>
          <c:showPercent val="0"/>
          <c:showBubbleSize val="0"/>
          <c:showLeaderLines val="1"/>
        </c:dLbls>
        <c:firstSliceAng val="310"/>
      </c:pieChart>
    </c:plotArea>
    <c:plotVisOnly val="1"/>
    <c:dispBlanksAs val="zero"/>
    <c:showDLblsOverMax val="0"/>
  </c:chart>
  <c:spPr>
    <a:ln>
      <a:noFill/>
    </a:ln>
  </c:spPr>
  <c:printSettings>
    <c:headerFooter/>
    <c:pageMargins b="0" l="0" r="0" t="0" header="0.31496062992125995" footer="0.31496062992125995"/>
    <c:pageSetup orientation="landscape"/>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ar-QA"/>
  <c:roundedCorners val="0"/>
  <mc:AlternateContent xmlns:mc="http://schemas.openxmlformats.org/markup-compatibility/2006">
    <mc:Choice xmlns:c14="http://schemas.microsoft.com/office/drawing/2007/8/2/chart" Requires="c14">
      <c14:style val="126"/>
    </mc:Choice>
    <mc:Fallback>
      <c:style val="26"/>
    </mc:Fallback>
  </mc:AlternateContent>
  <c:chart>
    <c:autoTitleDeleted val="1"/>
    <c:plotArea>
      <c:layout/>
      <c:barChart>
        <c:barDir val="col"/>
        <c:grouping val="clustered"/>
        <c:varyColors val="0"/>
        <c:ser>
          <c:idx val="0"/>
          <c:order val="0"/>
          <c:invertIfNegative val="0"/>
          <c:dLbls>
            <c:spPr>
              <a:noFill/>
              <a:ln>
                <a:noFill/>
              </a:ln>
              <a:effectLst/>
            </c:spPr>
            <c:txPr>
              <a:bodyPr/>
              <a:lstStyle/>
              <a:p>
                <a:pPr>
                  <a:defRPr b="1">
                    <a:solidFill>
                      <a:srgbClr val="0000CC"/>
                    </a:solidFill>
                    <a:latin typeface="Arial" panose="020B0604020202020204" pitchFamily="34" charset="0"/>
                    <a:cs typeface="Arial" panose="020B0604020202020204" pitchFamily="34" charset="0"/>
                  </a:defRPr>
                </a:pPr>
                <a:endParaRPr lang="ar-QA"/>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strRef>
              <c:f>'20'!$B$6:$I$6</c:f>
              <c:strCache>
                <c:ptCount val="8"/>
                <c:pt idx="0">
                  <c:v>الدوحة
Doha</c:v>
                </c:pt>
                <c:pt idx="1">
                  <c:v>الريان
Rayyan</c:v>
                </c:pt>
                <c:pt idx="2">
                  <c:v>الوكرة
Wakrah</c:v>
                </c:pt>
                <c:pt idx="3">
                  <c:v>ام صلال
Umm Slal</c:v>
                </c:pt>
                <c:pt idx="4">
                  <c:v>الظعاين
Al-Daayen</c:v>
                </c:pt>
                <c:pt idx="5">
                  <c:v>الخور
Al-Khor</c:v>
                </c:pt>
                <c:pt idx="6">
                  <c:v>الشمال
Al-Shamal</c:v>
                </c:pt>
                <c:pt idx="7">
                  <c:v>الشيحانية
Al-Shahhaniya</c:v>
                </c:pt>
              </c:strCache>
            </c:strRef>
          </c:cat>
          <c:val>
            <c:numRef>
              <c:f>'20'!$B$22:$I$22</c:f>
              <c:numCache>
                <c:formatCode>General</c:formatCode>
                <c:ptCount val="8"/>
                <c:pt idx="0">
                  <c:v>627</c:v>
                </c:pt>
                <c:pt idx="1">
                  <c:v>1080</c:v>
                </c:pt>
                <c:pt idx="2">
                  <c:v>829</c:v>
                </c:pt>
                <c:pt idx="3">
                  <c:v>297</c:v>
                </c:pt>
                <c:pt idx="4">
                  <c:v>577</c:v>
                </c:pt>
                <c:pt idx="5">
                  <c:v>124</c:v>
                </c:pt>
                <c:pt idx="6">
                  <c:v>84</c:v>
                </c:pt>
                <c:pt idx="7">
                  <c:v>143</c:v>
                </c:pt>
              </c:numCache>
            </c:numRef>
          </c:val>
          <c:extLst xmlns:c16r2="http://schemas.microsoft.com/office/drawing/2015/06/chart">
            <c:ext xmlns:c16="http://schemas.microsoft.com/office/drawing/2014/chart" uri="{C3380CC4-5D6E-409C-BE32-E72D297353CC}">
              <c16:uniqueId val="{00000000-7448-4632-9840-83F136360E8B}"/>
            </c:ext>
          </c:extLst>
        </c:ser>
        <c:dLbls>
          <c:showLegendKey val="0"/>
          <c:showVal val="0"/>
          <c:showCatName val="0"/>
          <c:showSerName val="0"/>
          <c:showPercent val="0"/>
          <c:showBubbleSize val="0"/>
        </c:dLbls>
        <c:gapWidth val="75"/>
        <c:overlap val="-25"/>
        <c:axId val="125671296"/>
        <c:axId val="125672832"/>
      </c:barChart>
      <c:catAx>
        <c:axId val="125671296"/>
        <c:scaling>
          <c:orientation val="minMax"/>
        </c:scaling>
        <c:delete val="0"/>
        <c:axPos val="b"/>
        <c:numFmt formatCode="General" sourceLinked="0"/>
        <c:majorTickMark val="none"/>
        <c:minorTickMark val="none"/>
        <c:tickLblPos val="nextTo"/>
        <c:txPr>
          <a:bodyPr/>
          <a:lstStyle/>
          <a:p>
            <a:pPr>
              <a:defRPr b="1">
                <a:latin typeface="Arial" panose="020B0604020202020204" pitchFamily="34" charset="0"/>
                <a:cs typeface="Arial" panose="020B0604020202020204" pitchFamily="34" charset="0"/>
              </a:defRPr>
            </a:pPr>
            <a:endParaRPr lang="ar-QA"/>
          </a:p>
        </c:txPr>
        <c:crossAx val="125672832"/>
        <c:crosses val="autoZero"/>
        <c:auto val="1"/>
        <c:lblAlgn val="ctr"/>
        <c:lblOffset val="100"/>
        <c:noMultiLvlLbl val="0"/>
      </c:catAx>
      <c:valAx>
        <c:axId val="125672832"/>
        <c:scaling>
          <c:orientation val="minMax"/>
        </c:scaling>
        <c:delete val="0"/>
        <c:axPos val="l"/>
        <c:numFmt formatCode="General" sourceLinked="1"/>
        <c:majorTickMark val="none"/>
        <c:minorTickMark val="none"/>
        <c:tickLblPos val="nextTo"/>
        <c:spPr>
          <a:ln w="9525">
            <a:noFill/>
          </a:ln>
        </c:spPr>
        <c:txPr>
          <a:bodyPr/>
          <a:lstStyle/>
          <a:p>
            <a:pPr>
              <a:defRPr sz="800" b="1">
                <a:latin typeface="Arial" panose="020B0604020202020204" pitchFamily="34" charset="0"/>
                <a:cs typeface="Arial" panose="020B0604020202020204" pitchFamily="34" charset="0"/>
              </a:defRPr>
            </a:pPr>
            <a:endParaRPr lang="ar-QA"/>
          </a:p>
        </c:txPr>
        <c:crossAx val="125671296"/>
        <c:crosses val="autoZero"/>
        <c:crossBetween val="between"/>
      </c:valAx>
    </c:plotArea>
    <c:plotVisOnly val="1"/>
    <c:dispBlanksAs val="gap"/>
    <c:showDLblsOverMax val="0"/>
  </c:chart>
  <c:spPr>
    <a:ln>
      <a:noFill/>
    </a:ln>
  </c:spPr>
  <c:printSettings>
    <c:headerFooter/>
    <c:pageMargins b="0.75000000000000011" l="0.70000000000000007" r="0.70000000000000007" t="0.75000000000000011" header="0.30000000000000004" footer="0.30000000000000004"/>
    <c:pageSetup orientation="portrait"/>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8.png"/></Relationships>
</file>

<file path=xl/drawings/_rels/drawing11.xml.rels><?xml version="1.0" encoding="UTF-8" standalone="yes"?>
<Relationships xmlns="http://schemas.openxmlformats.org/package/2006/relationships"><Relationship Id="rId1" Type="http://schemas.openxmlformats.org/officeDocument/2006/relationships/image" Target="../media/image8.png"/></Relationships>
</file>

<file path=xl/drawings/_rels/drawing12.xml.rels><?xml version="1.0" encoding="UTF-8" standalone="yes"?>
<Relationships xmlns="http://schemas.openxmlformats.org/package/2006/relationships"><Relationship Id="rId1" Type="http://schemas.openxmlformats.org/officeDocument/2006/relationships/image" Target="../media/image8.png"/></Relationships>
</file>

<file path=xl/drawings/_rels/drawing13.xml.rels><?xml version="1.0" encoding="UTF-8" standalone="yes"?>
<Relationships xmlns="http://schemas.openxmlformats.org/package/2006/relationships"><Relationship Id="rId1" Type="http://schemas.openxmlformats.org/officeDocument/2006/relationships/image" Target="../media/image8.png"/></Relationships>
</file>

<file path=xl/drawings/_rels/drawing14.xml.rels><?xml version="1.0" encoding="UTF-8" standalone="yes"?>
<Relationships xmlns="http://schemas.openxmlformats.org/package/2006/relationships"><Relationship Id="rId1" Type="http://schemas.openxmlformats.org/officeDocument/2006/relationships/image" Target="../media/image8.png"/></Relationships>
</file>

<file path=xl/drawings/_rels/drawing15.xml.rels><?xml version="1.0" encoding="UTF-8" standalone="yes"?>
<Relationships xmlns="http://schemas.openxmlformats.org/package/2006/relationships"><Relationship Id="rId1" Type="http://schemas.openxmlformats.org/officeDocument/2006/relationships/image" Target="../media/image8.png"/></Relationships>
</file>

<file path=xl/drawings/_rels/drawing16.xml.rels><?xml version="1.0" encoding="UTF-8" standalone="yes"?>
<Relationships xmlns="http://schemas.openxmlformats.org/package/2006/relationships"><Relationship Id="rId1" Type="http://schemas.openxmlformats.org/officeDocument/2006/relationships/image" Target="../media/image8.png"/></Relationships>
</file>

<file path=xl/drawings/_rels/drawing17.xml.rels><?xml version="1.0" encoding="UTF-8" standalone="yes"?>
<Relationships xmlns="http://schemas.openxmlformats.org/package/2006/relationships"><Relationship Id="rId1" Type="http://schemas.openxmlformats.org/officeDocument/2006/relationships/image" Target="../media/image8.png"/></Relationships>
</file>

<file path=xl/drawings/_rels/drawing18.xml.rels><?xml version="1.0" encoding="UTF-8" standalone="yes"?>
<Relationships xmlns="http://schemas.openxmlformats.org/package/2006/relationships"><Relationship Id="rId1" Type="http://schemas.openxmlformats.org/officeDocument/2006/relationships/image" Target="../media/image8.png"/></Relationships>
</file>

<file path=xl/drawings/_rels/drawing19.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image" Target="../media/image8.png"/><Relationship Id="rId1" Type="http://schemas.openxmlformats.org/officeDocument/2006/relationships/chart" Target="../charts/chart2.xml"/></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wmf"/></Relationships>
</file>

<file path=xl/drawings/_rels/drawing20.xml.rels><?xml version="1.0" encoding="UTF-8" standalone="yes"?>
<Relationships xmlns="http://schemas.openxmlformats.org/package/2006/relationships"><Relationship Id="rId2" Type="http://schemas.openxmlformats.org/officeDocument/2006/relationships/image" Target="../media/image8.png"/><Relationship Id="rId1" Type="http://schemas.openxmlformats.org/officeDocument/2006/relationships/chart" Target="../charts/chart4.xml"/></Relationships>
</file>

<file path=xl/drawings/_rels/drawing21.xml.rels><?xml version="1.0" encoding="UTF-8" standalone="yes"?>
<Relationships xmlns="http://schemas.openxmlformats.org/package/2006/relationships"><Relationship Id="rId1" Type="http://schemas.openxmlformats.org/officeDocument/2006/relationships/image" Target="../media/image11.png"/></Relationships>
</file>

<file path=xl/drawings/_rels/drawing22.xml.rels><?xml version="1.0" encoding="UTF-8" standalone="yes"?>
<Relationships xmlns="http://schemas.openxmlformats.org/package/2006/relationships"><Relationship Id="rId1" Type="http://schemas.openxmlformats.org/officeDocument/2006/relationships/image" Target="../media/image8.png"/></Relationships>
</file>

<file path=xl/drawings/_rels/drawing23.xml.rels><?xml version="1.0" encoding="UTF-8" standalone="yes"?>
<Relationships xmlns="http://schemas.openxmlformats.org/package/2006/relationships"><Relationship Id="rId2" Type="http://schemas.openxmlformats.org/officeDocument/2006/relationships/image" Target="../media/image8.png"/><Relationship Id="rId1" Type="http://schemas.openxmlformats.org/officeDocument/2006/relationships/chart" Target="../charts/chart5.xml"/></Relationships>
</file>

<file path=xl/drawings/_rels/drawing24.xml.rels><?xml version="1.0" encoding="UTF-8" standalone="yes"?>
<Relationships xmlns="http://schemas.openxmlformats.org/package/2006/relationships"><Relationship Id="rId1" Type="http://schemas.openxmlformats.org/officeDocument/2006/relationships/image" Target="../media/image8.png"/></Relationships>
</file>

<file path=xl/drawings/_rels/drawing25.xml.rels><?xml version="1.0" encoding="UTF-8" standalone="yes"?>
<Relationships xmlns="http://schemas.openxmlformats.org/package/2006/relationships"><Relationship Id="rId1" Type="http://schemas.openxmlformats.org/officeDocument/2006/relationships/image" Target="../media/image8.png"/></Relationships>
</file>

<file path=xl/drawings/_rels/drawing26.xml.rels><?xml version="1.0" encoding="UTF-8" standalone="yes"?>
<Relationships xmlns="http://schemas.openxmlformats.org/package/2006/relationships"><Relationship Id="rId1" Type="http://schemas.openxmlformats.org/officeDocument/2006/relationships/image" Target="../media/image8.png"/></Relationships>
</file>

<file path=xl/drawings/_rels/drawing27.xml.rels><?xml version="1.0" encoding="UTF-8" standalone="yes"?>
<Relationships xmlns="http://schemas.openxmlformats.org/package/2006/relationships"><Relationship Id="rId1" Type="http://schemas.openxmlformats.org/officeDocument/2006/relationships/image" Target="../media/image8.png"/></Relationships>
</file>

<file path=xl/drawings/_rels/drawing28.xml.rels><?xml version="1.0" encoding="UTF-8" standalone="yes"?>
<Relationships xmlns="http://schemas.openxmlformats.org/package/2006/relationships"><Relationship Id="rId1" Type="http://schemas.openxmlformats.org/officeDocument/2006/relationships/image" Target="../media/image8.png"/></Relationships>
</file>

<file path=xl/drawings/_rels/drawing29.xml.rels><?xml version="1.0" encoding="UTF-8" standalone="yes"?>
<Relationships xmlns="http://schemas.openxmlformats.org/package/2006/relationships"><Relationship Id="rId1" Type="http://schemas.openxmlformats.org/officeDocument/2006/relationships/image" Target="../media/image8.png"/></Relationships>
</file>

<file path=xl/drawings/_rels/drawing3.xml.rels><?xml version="1.0" encoding="UTF-8" standalone="yes"?>
<Relationships xmlns="http://schemas.openxmlformats.org/package/2006/relationships"><Relationship Id="rId2" Type="http://schemas.openxmlformats.org/officeDocument/2006/relationships/image" Target="../media/image7.png"/><Relationship Id="rId1" Type="http://schemas.openxmlformats.org/officeDocument/2006/relationships/image" Target="../media/image6.png"/></Relationships>
</file>

<file path=xl/drawings/_rels/drawing30.xml.rels><?xml version="1.0" encoding="UTF-8" standalone="yes"?>
<Relationships xmlns="http://schemas.openxmlformats.org/package/2006/relationships"><Relationship Id="rId1" Type="http://schemas.openxmlformats.org/officeDocument/2006/relationships/image" Target="../media/image8.png"/></Relationships>
</file>

<file path=xl/drawings/_rels/drawing31.xml.rels><?xml version="1.0" encoding="UTF-8" standalone="yes"?>
<Relationships xmlns="http://schemas.openxmlformats.org/package/2006/relationships"><Relationship Id="rId1" Type="http://schemas.openxmlformats.org/officeDocument/2006/relationships/image" Target="../media/image8.png"/></Relationships>
</file>

<file path=xl/drawings/_rels/drawing32.xml.rels><?xml version="1.0" encoding="UTF-8" standalone="yes"?>
<Relationships xmlns="http://schemas.openxmlformats.org/package/2006/relationships"><Relationship Id="rId1" Type="http://schemas.openxmlformats.org/officeDocument/2006/relationships/image" Target="../media/image8.png"/></Relationships>
</file>

<file path=xl/drawings/_rels/drawing33.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image" Target="../media/image8.png"/><Relationship Id="rId1" Type="http://schemas.openxmlformats.org/officeDocument/2006/relationships/chart" Target="../charts/chart6.xml"/></Relationships>
</file>

<file path=xl/drawings/_rels/drawing34.xml.rels><?xml version="1.0" encoding="UTF-8" standalone="yes"?>
<Relationships xmlns="http://schemas.openxmlformats.org/package/2006/relationships"><Relationship Id="rId2" Type="http://schemas.openxmlformats.org/officeDocument/2006/relationships/image" Target="../media/image8.png"/><Relationship Id="rId1" Type="http://schemas.openxmlformats.org/officeDocument/2006/relationships/chart" Target="../charts/chart8.xml"/></Relationships>
</file>

<file path=xl/drawings/_rels/drawing4.xml.rels><?xml version="1.0" encoding="UTF-8" standalone="yes"?>
<Relationships xmlns="http://schemas.openxmlformats.org/package/2006/relationships"><Relationship Id="rId1" Type="http://schemas.openxmlformats.org/officeDocument/2006/relationships/image" Target="../media/image8.png"/></Relationships>
</file>

<file path=xl/drawings/_rels/drawing5.xml.rels><?xml version="1.0" encoding="UTF-8" standalone="yes"?>
<Relationships xmlns="http://schemas.openxmlformats.org/package/2006/relationships"><Relationship Id="rId2" Type="http://schemas.openxmlformats.org/officeDocument/2006/relationships/image" Target="../media/image8.png"/><Relationship Id="rId1" Type="http://schemas.openxmlformats.org/officeDocument/2006/relationships/image" Target="../media/image6.png"/></Relationships>
</file>

<file path=xl/drawings/_rels/drawing6.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image" Target="../media/image9.jpeg"/><Relationship Id="rId1" Type="http://schemas.openxmlformats.org/officeDocument/2006/relationships/image" Target="../media/image6.png"/></Relationships>
</file>

<file path=xl/drawings/_rels/drawing7.xml.rels><?xml version="1.0" encoding="UTF-8" standalone="yes"?>
<Relationships xmlns="http://schemas.openxmlformats.org/package/2006/relationships"><Relationship Id="rId1" Type="http://schemas.openxmlformats.org/officeDocument/2006/relationships/image" Target="../media/image10.png"/></Relationships>
</file>

<file path=xl/drawings/_rels/drawing8.xml.rels><?xml version="1.0" encoding="UTF-8" standalone="yes"?>
<Relationships xmlns="http://schemas.openxmlformats.org/package/2006/relationships"><Relationship Id="rId1" Type="http://schemas.openxmlformats.org/officeDocument/2006/relationships/image" Target="../media/image8.png"/></Relationships>
</file>

<file path=xl/drawings/_rels/drawing9.xml.rels><?xml version="1.0" encoding="UTF-8" standalone="yes"?>
<Relationships xmlns="http://schemas.openxmlformats.org/package/2006/relationships"><Relationship Id="rId2" Type="http://schemas.openxmlformats.org/officeDocument/2006/relationships/image" Target="../media/image8.png"/><Relationship Id="rId1" Type="http://schemas.openxmlformats.org/officeDocument/2006/relationships/chart" Target="../charts/chart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5.wmf"/></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14</xdr:col>
      <xdr:colOff>637547</xdr:colOff>
      <xdr:row>40</xdr:row>
      <xdr:rowOff>106680</xdr:rowOff>
    </xdr:to>
    <xdr:pic>
      <xdr:nvPicPr>
        <xdr:cNvPr id="3" name="Picture 2"/>
        <xdr:cNvPicPr>
          <a:picLocks noChangeAspect="1"/>
        </xdr:cNvPicPr>
      </xdr:nvPicPr>
      <xdr:blipFill>
        <a:blip xmlns:r="http://schemas.openxmlformats.org/officeDocument/2006/relationships" r:embed="rId1"/>
        <a:stretch>
          <a:fillRect/>
        </a:stretch>
      </xdr:blipFill>
      <xdr:spPr>
        <a:xfrm>
          <a:off x="10976429653" y="0"/>
          <a:ext cx="10025387" cy="711708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720000</xdr:colOff>
      <xdr:row>2</xdr:row>
      <xdr:rowOff>4140</xdr:rowOff>
    </xdr:to>
    <xdr:pic>
      <xdr:nvPicPr>
        <xdr:cNvPr id="2" name="Picture 1">
          <a:extLst>
            <a:ext uri="{FF2B5EF4-FFF2-40B4-BE49-F238E27FC236}">
              <a16:creationId xmlns="" xmlns:a16="http://schemas.microsoft.com/office/drawing/2014/main" id="{00000000-0008-0000-09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239356040" y="0"/>
          <a:ext cx="720000" cy="712800"/>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720000</xdr:colOff>
      <xdr:row>2</xdr:row>
      <xdr:rowOff>4140</xdr:rowOff>
    </xdr:to>
    <xdr:pic>
      <xdr:nvPicPr>
        <xdr:cNvPr id="2" name="Picture 1">
          <a:extLst>
            <a:ext uri="{FF2B5EF4-FFF2-40B4-BE49-F238E27FC236}">
              <a16:creationId xmlns="" xmlns:a16="http://schemas.microsoft.com/office/drawing/2014/main" id="{00000000-0008-0000-0A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239356040" y="0"/>
          <a:ext cx="720000" cy="712800"/>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720000</xdr:colOff>
      <xdr:row>2</xdr:row>
      <xdr:rowOff>4140</xdr:rowOff>
    </xdr:to>
    <xdr:pic>
      <xdr:nvPicPr>
        <xdr:cNvPr id="2" name="Picture 1">
          <a:extLst>
            <a:ext uri="{FF2B5EF4-FFF2-40B4-BE49-F238E27FC236}">
              <a16:creationId xmlns="" xmlns:a16="http://schemas.microsoft.com/office/drawing/2014/main" id="{00000000-0008-0000-0B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239356040" y="0"/>
          <a:ext cx="720000" cy="712800"/>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720000</xdr:colOff>
      <xdr:row>2</xdr:row>
      <xdr:rowOff>4140</xdr:rowOff>
    </xdr:to>
    <xdr:pic>
      <xdr:nvPicPr>
        <xdr:cNvPr id="2" name="Picture 1">
          <a:extLst>
            <a:ext uri="{FF2B5EF4-FFF2-40B4-BE49-F238E27FC236}">
              <a16:creationId xmlns="" xmlns:a16="http://schemas.microsoft.com/office/drawing/2014/main" id="{00000000-0008-0000-0C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239356040" y="0"/>
          <a:ext cx="720000" cy="712800"/>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720000</xdr:colOff>
      <xdr:row>2</xdr:row>
      <xdr:rowOff>4140</xdr:rowOff>
    </xdr:to>
    <xdr:pic>
      <xdr:nvPicPr>
        <xdr:cNvPr id="2" name="Picture 1">
          <a:extLst>
            <a:ext uri="{FF2B5EF4-FFF2-40B4-BE49-F238E27FC236}">
              <a16:creationId xmlns="" xmlns:a16="http://schemas.microsoft.com/office/drawing/2014/main" id="{00000000-0008-0000-0D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239356040" y="0"/>
          <a:ext cx="720000" cy="712800"/>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720000</xdr:colOff>
      <xdr:row>2</xdr:row>
      <xdr:rowOff>4140</xdr:rowOff>
    </xdr:to>
    <xdr:pic>
      <xdr:nvPicPr>
        <xdr:cNvPr id="2" name="Picture 1">
          <a:extLst>
            <a:ext uri="{FF2B5EF4-FFF2-40B4-BE49-F238E27FC236}">
              <a16:creationId xmlns="" xmlns:a16="http://schemas.microsoft.com/office/drawing/2014/main" id="{00000000-0008-0000-0E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239356040" y="0"/>
          <a:ext cx="720000" cy="712800"/>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720000</xdr:colOff>
      <xdr:row>2</xdr:row>
      <xdr:rowOff>4140</xdr:rowOff>
    </xdr:to>
    <xdr:pic>
      <xdr:nvPicPr>
        <xdr:cNvPr id="2" name="Picture 1">
          <a:extLst>
            <a:ext uri="{FF2B5EF4-FFF2-40B4-BE49-F238E27FC236}">
              <a16:creationId xmlns="" xmlns:a16="http://schemas.microsoft.com/office/drawing/2014/main" id="{00000000-0008-0000-0F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239356040" y="0"/>
          <a:ext cx="720000" cy="712800"/>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720000</xdr:colOff>
      <xdr:row>2</xdr:row>
      <xdr:rowOff>4140</xdr:rowOff>
    </xdr:to>
    <xdr:pic>
      <xdr:nvPicPr>
        <xdr:cNvPr id="2" name="Picture 1">
          <a:extLst>
            <a:ext uri="{FF2B5EF4-FFF2-40B4-BE49-F238E27FC236}">
              <a16:creationId xmlns="" xmlns:a16="http://schemas.microsoft.com/office/drawing/2014/main" id="{00000000-0008-0000-1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239356040" y="0"/>
          <a:ext cx="720000" cy="712800"/>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720000</xdr:colOff>
      <xdr:row>1</xdr:row>
      <xdr:rowOff>240360</xdr:rowOff>
    </xdr:to>
    <xdr:pic>
      <xdr:nvPicPr>
        <xdr:cNvPr id="2" name="Picture 1">
          <a:extLst>
            <a:ext uri="{FF2B5EF4-FFF2-40B4-BE49-F238E27FC236}">
              <a16:creationId xmlns="" xmlns:a16="http://schemas.microsoft.com/office/drawing/2014/main" id="{00000000-0008-0000-11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239691320" y="0"/>
          <a:ext cx="720000" cy="712800"/>
        </a:xfrm>
        <a:prstGeom prst="rect">
          <a:avLst/>
        </a:prstGeom>
      </xdr:spPr>
    </xdr:pic>
    <xdr:clientData/>
  </xdr:twoCellAnchor>
</xdr:wsDr>
</file>

<file path=xl/drawings/drawing19.xml><?xml version="1.0" encoding="utf-8"?>
<xdr:wsDr xmlns:xdr="http://schemas.openxmlformats.org/drawingml/2006/spreadsheetDrawing" xmlns:a="http://schemas.openxmlformats.org/drawingml/2006/main">
  <xdr:twoCellAnchor>
    <xdr:from>
      <xdr:col>0</xdr:col>
      <xdr:colOff>15240</xdr:colOff>
      <xdr:row>4</xdr:row>
      <xdr:rowOff>19050</xdr:rowOff>
    </xdr:from>
    <xdr:to>
      <xdr:col>6</xdr:col>
      <xdr:colOff>563880</xdr:colOff>
      <xdr:row>28</xdr:row>
      <xdr:rowOff>7620</xdr:rowOff>
    </xdr:to>
    <xdr:graphicFrame macro="">
      <xdr:nvGraphicFramePr>
        <xdr:cNvPr id="2" name="Chart 1">
          <a:extLst>
            <a:ext uri="{FF2B5EF4-FFF2-40B4-BE49-F238E27FC236}">
              <a16:creationId xmlns="" xmlns:a16="http://schemas.microsoft.com/office/drawing/2014/main" id="{00000000-0008-0000-1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0</xdr:row>
      <xdr:rowOff>0</xdr:rowOff>
    </xdr:from>
    <xdr:to>
      <xdr:col>1</xdr:col>
      <xdr:colOff>3720</xdr:colOff>
      <xdr:row>1</xdr:row>
      <xdr:rowOff>171780</xdr:rowOff>
    </xdr:to>
    <xdr:pic>
      <xdr:nvPicPr>
        <xdr:cNvPr id="3" name="Picture 2">
          <a:extLst>
            <a:ext uri="{FF2B5EF4-FFF2-40B4-BE49-F238E27FC236}">
              <a16:creationId xmlns="" xmlns:a16="http://schemas.microsoft.com/office/drawing/2014/main" id="{00000000-0008-0000-1200-000003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1364822420" y="0"/>
          <a:ext cx="720000" cy="712800"/>
        </a:xfrm>
        <a:prstGeom prst="rect">
          <a:avLst/>
        </a:prstGeom>
      </xdr:spPr>
    </xdr:pic>
    <xdr:clientData/>
  </xdr:twoCellAnchor>
  <xdr:twoCellAnchor>
    <xdr:from>
      <xdr:col>7</xdr:col>
      <xdr:colOff>91440</xdr:colOff>
      <xdr:row>4</xdr:row>
      <xdr:rowOff>45720</xdr:rowOff>
    </xdr:from>
    <xdr:to>
      <xdr:col>13</xdr:col>
      <xdr:colOff>640080</xdr:colOff>
      <xdr:row>28</xdr:row>
      <xdr:rowOff>34290</xdr:rowOff>
    </xdr:to>
    <xdr:graphicFrame macro="">
      <xdr:nvGraphicFramePr>
        <xdr:cNvPr id="5" name="Chart 4">
          <a:extLst>
            <a:ext uri="{FF2B5EF4-FFF2-40B4-BE49-F238E27FC236}">
              <a16:creationId xmlns="" xmlns:a16="http://schemas.microsoft.com/office/drawing/2014/main" id="{00000000-0008-0000-12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2674620</xdr:colOff>
      <xdr:row>2</xdr:row>
      <xdr:rowOff>733425</xdr:rowOff>
    </xdr:from>
    <xdr:to>
      <xdr:col>3</xdr:col>
      <xdr:colOff>60960</xdr:colOff>
      <xdr:row>3</xdr:row>
      <xdr:rowOff>2314575</xdr:rowOff>
    </xdr:to>
    <xdr:pic>
      <xdr:nvPicPr>
        <xdr:cNvPr id="2" name="Picture 1">
          <a:extLst>
            <a:ext uri="{FF2B5EF4-FFF2-40B4-BE49-F238E27FC236}">
              <a16:creationId xmlns=""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360878980" y="2813685"/>
          <a:ext cx="5547360" cy="2343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3</xdr:col>
      <xdr:colOff>800100</xdr:colOff>
      <xdr:row>1</xdr:row>
      <xdr:rowOff>66675</xdr:rowOff>
    </xdr:from>
    <xdr:ext cx="0" cy="123825"/>
    <xdr:pic>
      <xdr:nvPicPr>
        <xdr:cNvPr id="3" name="Picture 8" descr="logo">
          <a:extLst>
            <a:ext uri="{FF2B5EF4-FFF2-40B4-BE49-F238E27FC236}">
              <a16:creationId xmlns=""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985248000" y="257175"/>
          <a:ext cx="0" cy="123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twoCellAnchor editAs="oneCell">
    <xdr:from>
      <xdr:col>1</xdr:col>
      <xdr:colOff>1832918</xdr:colOff>
      <xdr:row>0</xdr:row>
      <xdr:rowOff>30480</xdr:rowOff>
    </xdr:from>
    <xdr:to>
      <xdr:col>2</xdr:col>
      <xdr:colOff>912578</xdr:colOff>
      <xdr:row>1</xdr:row>
      <xdr:rowOff>85917</xdr:rowOff>
    </xdr:to>
    <xdr:pic>
      <xdr:nvPicPr>
        <xdr:cNvPr id="5" name="Picture 4">
          <a:extLst>
            <a:ext uri="{FF2B5EF4-FFF2-40B4-BE49-F238E27FC236}">
              <a16:creationId xmlns="" xmlns:a16="http://schemas.microsoft.com/office/drawing/2014/main" id="{00000000-0008-0000-0100-000005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1362747702" y="30480"/>
          <a:ext cx="1800000" cy="1251777"/>
        </a:xfrm>
        <a:prstGeom prst="rect">
          <a:avLst/>
        </a:prstGeom>
      </xdr:spPr>
    </xdr:pic>
    <xdr:clientData/>
  </xdr:twoCellAnchor>
</xdr:wsDr>
</file>

<file path=xl/drawings/drawing20.xml><?xml version="1.0" encoding="utf-8"?>
<xdr:wsDr xmlns:xdr="http://schemas.openxmlformats.org/drawingml/2006/spreadsheetDrawing" xmlns:a="http://schemas.openxmlformats.org/drawingml/2006/main">
  <xdr:twoCellAnchor>
    <xdr:from>
      <xdr:col>0</xdr:col>
      <xdr:colOff>30480</xdr:colOff>
      <xdr:row>4</xdr:row>
      <xdr:rowOff>49530</xdr:rowOff>
    </xdr:from>
    <xdr:to>
      <xdr:col>11</xdr:col>
      <xdr:colOff>624840</xdr:colOff>
      <xdr:row>29</xdr:row>
      <xdr:rowOff>160020</xdr:rowOff>
    </xdr:to>
    <xdr:graphicFrame macro="">
      <xdr:nvGraphicFramePr>
        <xdr:cNvPr id="2" name="Chart 1">
          <a:extLst>
            <a:ext uri="{FF2B5EF4-FFF2-40B4-BE49-F238E27FC236}">
              <a16:creationId xmlns="" xmlns:a16="http://schemas.microsoft.com/office/drawing/2014/main" id="{00000000-0008-0000-1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30480</xdr:colOff>
      <xdr:row>0</xdr:row>
      <xdr:rowOff>30480</xdr:rowOff>
    </xdr:from>
    <xdr:to>
      <xdr:col>1</xdr:col>
      <xdr:colOff>34200</xdr:colOff>
      <xdr:row>1</xdr:row>
      <xdr:rowOff>202260</xdr:rowOff>
    </xdr:to>
    <xdr:pic>
      <xdr:nvPicPr>
        <xdr:cNvPr id="3" name="Picture 2">
          <a:extLst>
            <a:ext uri="{FF2B5EF4-FFF2-40B4-BE49-F238E27FC236}">
              <a16:creationId xmlns="" xmlns:a16="http://schemas.microsoft.com/office/drawing/2014/main" id="{00000000-0008-0000-1300-000003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0985750280" y="30480"/>
          <a:ext cx="674280" cy="644220"/>
        </a:xfrm>
        <a:prstGeom prst="rect">
          <a:avLst/>
        </a:prstGeom>
      </xdr:spPr>
    </xdr:pic>
    <xdr:clientData/>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9895113</xdr:colOff>
      <xdr:row>1</xdr:row>
      <xdr:rowOff>3418114</xdr:rowOff>
    </xdr:to>
    <xdr:pic>
      <xdr:nvPicPr>
        <xdr:cNvPr id="3" name="Picture 2">
          <a:extLst>
            <a:ext uri="{FF2B5EF4-FFF2-40B4-BE49-F238E27FC236}">
              <a16:creationId xmlns="" xmlns:a16="http://schemas.microsoft.com/office/drawing/2014/main" id="{00000000-0008-0000-1400-000003000000}"/>
            </a:ext>
          </a:extLst>
        </xdr:cNvPr>
        <xdr:cNvPicPr>
          <a:picLocks noChangeAspect="1"/>
        </xdr:cNvPicPr>
      </xdr:nvPicPr>
      <xdr:blipFill>
        <a:blip xmlns:r="http://schemas.openxmlformats.org/officeDocument/2006/relationships" r:embed="rId1"/>
        <a:stretch>
          <a:fillRect/>
        </a:stretch>
      </xdr:blipFill>
      <xdr:spPr>
        <a:xfrm>
          <a:off x="11056478487" y="0"/>
          <a:ext cx="9895113" cy="6847114"/>
        </a:xfrm>
        <a:prstGeom prst="rect">
          <a:avLst/>
        </a:prstGeom>
      </xdr:spPr>
    </xdr:pic>
    <xdr:clientData/>
  </xdr:twoCellAnchor>
</xdr:wsDr>
</file>

<file path=xl/drawings/drawing22.xml><?xml version="1.0" encoding="utf-8"?>
<xdr:wsDr xmlns:xdr="http://schemas.openxmlformats.org/drawingml/2006/spreadsheetDrawing" xmlns:a="http://schemas.openxmlformats.org/drawingml/2006/main">
  <xdr:oneCellAnchor>
    <xdr:from>
      <xdr:col>0</xdr:col>
      <xdr:colOff>0</xdr:colOff>
      <xdr:row>0</xdr:row>
      <xdr:rowOff>0</xdr:rowOff>
    </xdr:from>
    <xdr:ext cx="720000" cy="712800"/>
    <xdr:pic>
      <xdr:nvPicPr>
        <xdr:cNvPr id="2" name="Picture 1">
          <a:extLst>
            <a:ext uri="{FF2B5EF4-FFF2-40B4-BE49-F238E27FC236}">
              <a16:creationId xmlns="" xmlns:a16="http://schemas.microsoft.com/office/drawing/2014/main" id="{00000000-0008-0000-15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236658560" y="0"/>
          <a:ext cx="720000" cy="712800"/>
        </a:xfrm>
        <a:prstGeom prst="rect">
          <a:avLst/>
        </a:prstGeom>
      </xdr:spPr>
    </xdr:pic>
    <xdr:clientData/>
  </xdr:oneCellAnchor>
</xdr:wsDr>
</file>

<file path=xl/drawings/drawing23.xml><?xml version="1.0" encoding="utf-8"?>
<xdr:wsDr xmlns:xdr="http://schemas.openxmlformats.org/drawingml/2006/spreadsheetDrawing" xmlns:a="http://schemas.openxmlformats.org/drawingml/2006/main">
  <xdr:twoCellAnchor>
    <xdr:from>
      <xdr:col>0</xdr:col>
      <xdr:colOff>10886</xdr:colOff>
      <xdr:row>3</xdr:row>
      <xdr:rowOff>15240</xdr:rowOff>
    </xdr:from>
    <xdr:to>
      <xdr:col>12</xdr:col>
      <xdr:colOff>617220</xdr:colOff>
      <xdr:row>32</xdr:row>
      <xdr:rowOff>83820</xdr:rowOff>
    </xdr:to>
    <xdr:graphicFrame macro="">
      <xdr:nvGraphicFramePr>
        <xdr:cNvPr id="2" name="Chart 1">
          <a:extLst>
            <a:ext uri="{FF2B5EF4-FFF2-40B4-BE49-F238E27FC236}">
              <a16:creationId xmlns="" xmlns:a16="http://schemas.microsoft.com/office/drawing/2014/main" id="{00000000-0008-0000-16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0</xdr:row>
      <xdr:rowOff>0</xdr:rowOff>
    </xdr:from>
    <xdr:to>
      <xdr:col>1</xdr:col>
      <xdr:colOff>50529</xdr:colOff>
      <xdr:row>3</xdr:row>
      <xdr:rowOff>57480</xdr:rowOff>
    </xdr:to>
    <xdr:pic>
      <xdr:nvPicPr>
        <xdr:cNvPr id="3" name="Picture 2">
          <a:extLst>
            <a:ext uri="{FF2B5EF4-FFF2-40B4-BE49-F238E27FC236}">
              <a16:creationId xmlns="" xmlns:a16="http://schemas.microsoft.com/office/drawing/2014/main" id="{00000000-0008-0000-1600-000003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0985733951" y="0"/>
          <a:ext cx="721089" cy="712800"/>
        </a:xfrm>
        <a:prstGeom prst="rect">
          <a:avLst/>
        </a:prstGeom>
      </xdr:spPr>
    </xdr:pic>
    <xdr:clientData/>
  </xdr:twoCellAnchor>
</xdr:wsDr>
</file>

<file path=xl/drawings/drawing24.xml><?xml version="1.0" encoding="utf-8"?>
<xdr:wsDr xmlns:xdr="http://schemas.openxmlformats.org/drawingml/2006/spreadsheetDrawing" xmlns:a="http://schemas.openxmlformats.org/drawingml/2006/main">
  <xdr:oneCellAnchor>
    <xdr:from>
      <xdr:col>0</xdr:col>
      <xdr:colOff>0</xdr:colOff>
      <xdr:row>0</xdr:row>
      <xdr:rowOff>0</xdr:rowOff>
    </xdr:from>
    <xdr:ext cx="720000" cy="712800"/>
    <xdr:pic>
      <xdr:nvPicPr>
        <xdr:cNvPr id="2" name="Picture 1">
          <a:extLst>
            <a:ext uri="{FF2B5EF4-FFF2-40B4-BE49-F238E27FC236}">
              <a16:creationId xmlns="" xmlns:a16="http://schemas.microsoft.com/office/drawing/2014/main" id="{00000000-0008-0000-17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236658560" y="0"/>
          <a:ext cx="720000" cy="712800"/>
        </a:xfrm>
        <a:prstGeom prst="rect">
          <a:avLst/>
        </a:prstGeom>
      </xdr:spPr>
    </xdr:pic>
    <xdr:clientData/>
  </xdr:oneCellAnchor>
</xdr:wsDr>
</file>

<file path=xl/drawings/drawing25.xml><?xml version="1.0" encoding="utf-8"?>
<xdr:wsDr xmlns:xdr="http://schemas.openxmlformats.org/drawingml/2006/spreadsheetDrawing" xmlns:a="http://schemas.openxmlformats.org/drawingml/2006/main">
  <xdr:oneCellAnchor>
    <xdr:from>
      <xdr:col>0</xdr:col>
      <xdr:colOff>0</xdr:colOff>
      <xdr:row>0</xdr:row>
      <xdr:rowOff>0</xdr:rowOff>
    </xdr:from>
    <xdr:ext cx="720000" cy="712800"/>
    <xdr:pic>
      <xdr:nvPicPr>
        <xdr:cNvPr id="2" name="Picture 1">
          <a:extLst>
            <a:ext uri="{FF2B5EF4-FFF2-40B4-BE49-F238E27FC236}">
              <a16:creationId xmlns="" xmlns:a16="http://schemas.microsoft.com/office/drawing/2014/main" id="{00000000-0008-0000-18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236658560" y="0"/>
          <a:ext cx="720000" cy="712800"/>
        </a:xfrm>
        <a:prstGeom prst="rect">
          <a:avLst/>
        </a:prstGeom>
      </xdr:spPr>
    </xdr:pic>
    <xdr:clientData/>
  </xdr:oneCellAnchor>
</xdr:wsDr>
</file>

<file path=xl/drawings/drawing26.xml><?xml version="1.0" encoding="utf-8"?>
<xdr:wsDr xmlns:xdr="http://schemas.openxmlformats.org/drawingml/2006/spreadsheetDrawing" xmlns:a="http://schemas.openxmlformats.org/drawingml/2006/main">
  <xdr:oneCellAnchor>
    <xdr:from>
      <xdr:col>0</xdr:col>
      <xdr:colOff>0</xdr:colOff>
      <xdr:row>0</xdr:row>
      <xdr:rowOff>0</xdr:rowOff>
    </xdr:from>
    <xdr:ext cx="720000" cy="712800"/>
    <xdr:pic>
      <xdr:nvPicPr>
        <xdr:cNvPr id="2" name="Picture 1">
          <a:extLst>
            <a:ext uri="{FF2B5EF4-FFF2-40B4-BE49-F238E27FC236}">
              <a16:creationId xmlns="" xmlns:a16="http://schemas.microsoft.com/office/drawing/2014/main" id="{00000000-0008-0000-19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236658560" y="0"/>
          <a:ext cx="720000" cy="712800"/>
        </a:xfrm>
        <a:prstGeom prst="rect">
          <a:avLst/>
        </a:prstGeom>
      </xdr:spPr>
    </xdr:pic>
    <xdr:clientData/>
  </xdr:oneCellAnchor>
</xdr:wsDr>
</file>

<file path=xl/drawings/drawing27.xml><?xml version="1.0" encoding="utf-8"?>
<xdr:wsDr xmlns:xdr="http://schemas.openxmlformats.org/drawingml/2006/spreadsheetDrawing" xmlns:a="http://schemas.openxmlformats.org/drawingml/2006/main">
  <xdr:oneCellAnchor>
    <xdr:from>
      <xdr:col>0</xdr:col>
      <xdr:colOff>0</xdr:colOff>
      <xdr:row>0</xdr:row>
      <xdr:rowOff>0</xdr:rowOff>
    </xdr:from>
    <xdr:ext cx="720000" cy="712800"/>
    <xdr:pic>
      <xdr:nvPicPr>
        <xdr:cNvPr id="2" name="Picture 1">
          <a:extLst>
            <a:ext uri="{FF2B5EF4-FFF2-40B4-BE49-F238E27FC236}">
              <a16:creationId xmlns="" xmlns:a16="http://schemas.microsoft.com/office/drawing/2014/main" id="{00000000-0008-0000-1A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236658560" y="0"/>
          <a:ext cx="720000" cy="712800"/>
        </a:xfrm>
        <a:prstGeom prst="rect">
          <a:avLst/>
        </a:prstGeom>
      </xdr:spPr>
    </xdr:pic>
    <xdr:clientData/>
  </xdr:oneCellAnchor>
</xdr:wsDr>
</file>

<file path=xl/drawings/drawing28.xml><?xml version="1.0" encoding="utf-8"?>
<xdr:wsDr xmlns:xdr="http://schemas.openxmlformats.org/drawingml/2006/spreadsheetDrawing" xmlns:a="http://schemas.openxmlformats.org/drawingml/2006/main">
  <xdr:oneCellAnchor>
    <xdr:from>
      <xdr:col>0</xdr:col>
      <xdr:colOff>0</xdr:colOff>
      <xdr:row>0</xdr:row>
      <xdr:rowOff>0</xdr:rowOff>
    </xdr:from>
    <xdr:ext cx="720000" cy="712800"/>
    <xdr:pic>
      <xdr:nvPicPr>
        <xdr:cNvPr id="2" name="Picture 1">
          <a:extLst>
            <a:ext uri="{FF2B5EF4-FFF2-40B4-BE49-F238E27FC236}">
              <a16:creationId xmlns="" xmlns:a16="http://schemas.microsoft.com/office/drawing/2014/main" id="{00000000-0008-0000-1B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236658560" y="0"/>
          <a:ext cx="720000" cy="712800"/>
        </a:xfrm>
        <a:prstGeom prst="rect">
          <a:avLst/>
        </a:prstGeom>
      </xdr:spPr>
    </xdr:pic>
    <xdr:clientData/>
  </xdr:oneCellAnchor>
</xdr:wsDr>
</file>

<file path=xl/drawings/drawing29.xml><?xml version="1.0" encoding="utf-8"?>
<xdr:wsDr xmlns:xdr="http://schemas.openxmlformats.org/drawingml/2006/spreadsheetDrawing" xmlns:a="http://schemas.openxmlformats.org/drawingml/2006/main">
  <xdr:oneCellAnchor>
    <xdr:from>
      <xdr:col>0</xdr:col>
      <xdr:colOff>0</xdr:colOff>
      <xdr:row>0</xdr:row>
      <xdr:rowOff>0</xdr:rowOff>
    </xdr:from>
    <xdr:ext cx="720000" cy="712800"/>
    <xdr:pic>
      <xdr:nvPicPr>
        <xdr:cNvPr id="2" name="Picture 1">
          <a:extLst>
            <a:ext uri="{FF2B5EF4-FFF2-40B4-BE49-F238E27FC236}">
              <a16:creationId xmlns="" xmlns:a16="http://schemas.microsoft.com/office/drawing/2014/main" id="{00000000-0008-0000-1C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236658560" y="0"/>
          <a:ext cx="720000" cy="712800"/>
        </a:xfrm>
        <a:prstGeom prst="rect">
          <a:avLst/>
        </a:prstGeom>
      </xdr:spPr>
    </xdr:pic>
    <xdr:clientData/>
  </xdr:oneCellAnchor>
</xdr:wsDr>
</file>

<file path=xl/drawings/drawing3.xml><?xml version="1.0" encoding="utf-8"?>
<xdr:wsDr xmlns:xdr="http://schemas.openxmlformats.org/drawingml/2006/spreadsheetDrawing" xmlns:a="http://schemas.openxmlformats.org/drawingml/2006/main">
  <xdr:oneCellAnchor>
    <xdr:from>
      <xdr:col>7</xdr:col>
      <xdr:colOff>1457325</xdr:colOff>
      <xdr:row>0</xdr:row>
      <xdr:rowOff>9525</xdr:rowOff>
    </xdr:from>
    <xdr:ext cx="9525" cy="180975"/>
    <xdr:pic>
      <xdr:nvPicPr>
        <xdr:cNvPr id="2" name="Picture 8" descr="logo">
          <a:extLst>
            <a:ext uri="{FF2B5EF4-FFF2-40B4-BE49-F238E27FC236}">
              <a16:creationId xmlns="" xmlns:a16="http://schemas.microsoft.com/office/drawing/2014/main" id="{00000000-0008-0000-02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982800075" y="9525"/>
          <a:ext cx="95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twoCellAnchor editAs="oneCell">
    <xdr:from>
      <xdr:col>1</xdr:col>
      <xdr:colOff>3307080</xdr:colOff>
      <xdr:row>0</xdr:row>
      <xdr:rowOff>0</xdr:rowOff>
    </xdr:from>
    <xdr:to>
      <xdr:col>3</xdr:col>
      <xdr:colOff>550320</xdr:colOff>
      <xdr:row>1</xdr:row>
      <xdr:rowOff>520257</xdr:rowOff>
    </xdr:to>
    <xdr:pic>
      <xdr:nvPicPr>
        <xdr:cNvPr id="6" name="Picture 5">
          <a:extLst>
            <a:ext uri="{FF2B5EF4-FFF2-40B4-BE49-F238E27FC236}">
              <a16:creationId xmlns="" xmlns:a16="http://schemas.microsoft.com/office/drawing/2014/main" id="{00000000-0008-0000-0200-000006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1361982200" y="0"/>
          <a:ext cx="1800000" cy="1251777"/>
        </a:xfrm>
        <a:prstGeom prst="rect">
          <a:avLst/>
        </a:prstGeom>
      </xdr:spPr>
    </xdr:pic>
    <xdr:clientData/>
  </xdr:twoCellAnchor>
  <mc:AlternateContent xmlns:mc="http://schemas.openxmlformats.org/markup-compatibility/2006">
    <mc:Choice xmlns:a14="http://schemas.microsoft.com/office/drawing/2010/main" Requires="a14">
      <xdr:twoCellAnchor>
        <xdr:from>
          <xdr:col>8509</xdr:col>
          <xdr:colOff>99060</xdr:colOff>
          <xdr:row>0</xdr:row>
          <xdr:rowOff>365760</xdr:rowOff>
        </xdr:from>
        <xdr:to>
          <xdr:col>8509</xdr:col>
          <xdr:colOff>99060</xdr:colOff>
          <xdr:row>0</xdr:row>
          <xdr:rowOff>662940</xdr:rowOff>
        </xdr:to>
        <xdr:sp macro="" textlink="">
          <xdr:nvSpPr>
            <xdr:cNvPr id="13313" name="Object 1" hidden="1">
              <a:extLst>
                <a:ext uri="{63B3BB69-23CF-44E3-9099-C40C66FF867C}">
                  <a14:compatExt spid="_x0000_s1331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8509</xdr:col>
          <xdr:colOff>480060</xdr:colOff>
          <xdr:row>0</xdr:row>
          <xdr:rowOff>342900</xdr:rowOff>
        </xdr:from>
        <xdr:to>
          <xdr:col>8510</xdr:col>
          <xdr:colOff>182880</xdr:colOff>
          <xdr:row>0</xdr:row>
          <xdr:rowOff>678180</xdr:rowOff>
        </xdr:to>
        <xdr:sp macro="" textlink="">
          <xdr:nvSpPr>
            <xdr:cNvPr id="13314" name="Object 2" hidden="1">
              <a:extLst>
                <a:ext uri="{63B3BB69-23CF-44E3-9099-C40C66FF867C}">
                  <a14:compatExt spid="_x0000_s13314"/>
                </a:ext>
              </a:extLst>
            </xdr:cNvPr>
            <xdr:cNvSpPr/>
          </xdr:nvSpPr>
          <xdr:spPr>
            <a:xfrm>
              <a:off x="0" y="0"/>
              <a:ext cx="0" cy="0"/>
            </a:xfrm>
            <a:prstGeom prst="rect">
              <a:avLst/>
            </a:prstGeom>
          </xdr:spPr>
        </xdr:sp>
        <xdr:clientData/>
      </xdr:twoCellAnchor>
    </mc:Choice>
    <mc:Fallback/>
  </mc:AlternateContent>
</xdr:wsDr>
</file>

<file path=xl/drawings/drawing30.xml><?xml version="1.0" encoding="utf-8"?>
<xdr:wsDr xmlns:xdr="http://schemas.openxmlformats.org/drawingml/2006/spreadsheetDrawing" xmlns:a="http://schemas.openxmlformats.org/drawingml/2006/main">
  <xdr:oneCellAnchor>
    <xdr:from>
      <xdr:col>0</xdr:col>
      <xdr:colOff>0</xdr:colOff>
      <xdr:row>0</xdr:row>
      <xdr:rowOff>0</xdr:rowOff>
    </xdr:from>
    <xdr:ext cx="720000" cy="712800"/>
    <xdr:pic>
      <xdr:nvPicPr>
        <xdr:cNvPr id="2" name="Picture 1">
          <a:extLst>
            <a:ext uri="{FF2B5EF4-FFF2-40B4-BE49-F238E27FC236}">
              <a16:creationId xmlns="" xmlns:a16="http://schemas.microsoft.com/office/drawing/2014/main" id="{00000000-0008-0000-1D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236658560" y="0"/>
          <a:ext cx="720000" cy="712800"/>
        </a:xfrm>
        <a:prstGeom prst="rect">
          <a:avLst/>
        </a:prstGeom>
      </xdr:spPr>
    </xdr:pic>
    <xdr:clientData/>
  </xdr:oneCellAnchor>
</xdr:wsDr>
</file>

<file path=xl/drawings/drawing31.xml><?xml version="1.0" encoding="utf-8"?>
<xdr:wsDr xmlns:xdr="http://schemas.openxmlformats.org/drawingml/2006/spreadsheetDrawing" xmlns:a="http://schemas.openxmlformats.org/drawingml/2006/main">
  <xdr:oneCellAnchor>
    <xdr:from>
      <xdr:col>0</xdr:col>
      <xdr:colOff>0</xdr:colOff>
      <xdr:row>0</xdr:row>
      <xdr:rowOff>0</xdr:rowOff>
    </xdr:from>
    <xdr:ext cx="720000" cy="712800"/>
    <xdr:pic>
      <xdr:nvPicPr>
        <xdr:cNvPr id="2" name="Picture 1">
          <a:extLst>
            <a:ext uri="{FF2B5EF4-FFF2-40B4-BE49-F238E27FC236}">
              <a16:creationId xmlns="" xmlns:a16="http://schemas.microsoft.com/office/drawing/2014/main" id="{00000000-0008-0000-1E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236658560" y="0"/>
          <a:ext cx="720000" cy="712800"/>
        </a:xfrm>
        <a:prstGeom prst="rect">
          <a:avLst/>
        </a:prstGeom>
      </xdr:spPr>
    </xdr:pic>
    <xdr:clientData/>
  </xdr:oneCellAnchor>
</xdr:wsDr>
</file>

<file path=xl/drawings/drawing32.xml><?xml version="1.0" encoding="utf-8"?>
<xdr:wsDr xmlns:xdr="http://schemas.openxmlformats.org/drawingml/2006/spreadsheetDrawing" xmlns:a="http://schemas.openxmlformats.org/drawingml/2006/main">
  <xdr:oneCellAnchor>
    <xdr:from>
      <xdr:col>0</xdr:col>
      <xdr:colOff>0</xdr:colOff>
      <xdr:row>0</xdr:row>
      <xdr:rowOff>0</xdr:rowOff>
    </xdr:from>
    <xdr:ext cx="720000" cy="712800"/>
    <xdr:pic>
      <xdr:nvPicPr>
        <xdr:cNvPr id="2" name="Picture 1">
          <a:extLst>
            <a:ext uri="{FF2B5EF4-FFF2-40B4-BE49-F238E27FC236}">
              <a16:creationId xmlns="" xmlns:a16="http://schemas.microsoft.com/office/drawing/2014/main" id="{00000000-0008-0000-1F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236658560" y="0"/>
          <a:ext cx="720000" cy="712800"/>
        </a:xfrm>
        <a:prstGeom prst="rect">
          <a:avLst/>
        </a:prstGeom>
      </xdr:spPr>
    </xdr:pic>
    <xdr:clientData/>
  </xdr:oneCellAnchor>
</xdr:wsDr>
</file>

<file path=xl/drawings/drawing33.xml><?xml version="1.0" encoding="utf-8"?>
<xdr:wsDr xmlns:xdr="http://schemas.openxmlformats.org/drawingml/2006/spreadsheetDrawing" xmlns:a="http://schemas.openxmlformats.org/drawingml/2006/main">
  <xdr:twoCellAnchor>
    <xdr:from>
      <xdr:col>0</xdr:col>
      <xdr:colOff>15240</xdr:colOff>
      <xdr:row>4</xdr:row>
      <xdr:rowOff>19050</xdr:rowOff>
    </xdr:from>
    <xdr:to>
      <xdr:col>6</xdr:col>
      <xdr:colOff>563880</xdr:colOff>
      <xdr:row>28</xdr:row>
      <xdr:rowOff>7620</xdr:rowOff>
    </xdr:to>
    <xdr:graphicFrame macro="">
      <xdr:nvGraphicFramePr>
        <xdr:cNvPr id="2" name="Chart 1">
          <a:extLst>
            <a:ext uri="{FF2B5EF4-FFF2-40B4-BE49-F238E27FC236}">
              <a16:creationId xmlns="" xmlns:a16="http://schemas.microsoft.com/office/drawing/2014/main" id="{00000000-0008-0000-2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0</xdr:row>
      <xdr:rowOff>0</xdr:rowOff>
    </xdr:from>
    <xdr:to>
      <xdr:col>1</xdr:col>
      <xdr:colOff>3720</xdr:colOff>
      <xdr:row>1</xdr:row>
      <xdr:rowOff>171780</xdr:rowOff>
    </xdr:to>
    <xdr:pic>
      <xdr:nvPicPr>
        <xdr:cNvPr id="3" name="Picture 2">
          <a:extLst>
            <a:ext uri="{FF2B5EF4-FFF2-40B4-BE49-F238E27FC236}">
              <a16:creationId xmlns="" xmlns:a16="http://schemas.microsoft.com/office/drawing/2014/main" id="{00000000-0008-0000-2000-000003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0985780760" y="0"/>
          <a:ext cx="674280" cy="644220"/>
        </a:xfrm>
        <a:prstGeom prst="rect">
          <a:avLst/>
        </a:prstGeom>
      </xdr:spPr>
    </xdr:pic>
    <xdr:clientData/>
  </xdr:twoCellAnchor>
  <xdr:twoCellAnchor>
    <xdr:from>
      <xdr:col>7</xdr:col>
      <xdr:colOff>91440</xdr:colOff>
      <xdr:row>4</xdr:row>
      <xdr:rowOff>45720</xdr:rowOff>
    </xdr:from>
    <xdr:to>
      <xdr:col>13</xdr:col>
      <xdr:colOff>640080</xdr:colOff>
      <xdr:row>28</xdr:row>
      <xdr:rowOff>34290</xdr:rowOff>
    </xdr:to>
    <xdr:graphicFrame macro="">
      <xdr:nvGraphicFramePr>
        <xdr:cNvPr id="4" name="Chart 3">
          <a:extLst>
            <a:ext uri="{FF2B5EF4-FFF2-40B4-BE49-F238E27FC236}">
              <a16:creationId xmlns="" xmlns:a16="http://schemas.microsoft.com/office/drawing/2014/main" id="{00000000-0008-0000-20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4.xml><?xml version="1.0" encoding="utf-8"?>
<xdr:wsDr xmlns:xdr="http://schemas.openxmlformats.org/drawingml/2006/spreadsheetDrawing" xmlns:a="http://schemas.openxmlformats.org/drawingml/2006/main">
  <xdr:twoCellAnchor>
    <xdr:from>
      <xdr:col>0</xdr:col>
      <xdr:colOff>30480</xdr:colOff>
      <xdr:row>4</xdr:row>
      <xdr:rowOff>49530</xdr:rowOff>
    </xdr:from>
    <xdr:to>
      <xdr:col>11</xdr:col>
      <xdr:colOff>624840</xdr:colOff>
      <xdr:row>29</xdr:row>
      <xdr:rowOff>160020</xdr:rowOff>
    </xdr:to>
    <xdr:graphicFrame macro="">
      <xdr:nvGraphicFramePr>
        <xdr:cNvPr id="2" name="Chart 1">
          <a:extLst>
            <a:ext uri="{FF2B5EF4-FFF2-40B4-BE49-F238E27FC236}">
              <a16:creationId xmlns="" xmlns:a16="http://schemas.microsoft.com/office/drawing/2014/main" id="{00000000-0008-0000-2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0</xdr:row>
      <xdr:rowOff>0</xdr:rowOff>
    </xdr:from>
    <xdr:to>
      <xdr:col>1</xdr:col>
      <xdr:colOff>3720</xdr:colOff>
      <xdr:row>1</xdr:row>
      <xdr:rowOff>171780</xdr:rowOff>
    </xdr:to>
    <xdr:pic>
      <xdr:nvPicPr>
        <xdr:cNvPr id="3" name="Picture 2">
          <a:extLst>
            <a:ext uri="{FF2B5EF4-FFF2-40B4-BE49-F238E27FC236}">
              <a16:creationId xmlns="" xmlns:a16="http://schemas.microsoft.com/office/drawing/2014/main" id="{00000000-0008-0000-2100-000003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0985780760" y="0"/>
          <a:ext cx="674280" cy="64422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4974529</xdr:colOff>
      <xdr:row>0</xdr:row>
      <xdr:rowOff>20320</xdr:rowOff>
    </xdr:from>
    <xdr:to>
      <xdr:col>2</xdr:col>
      <xdr:colOff>15089</xdr:colOff>
      <xdr:row>2</xdr:row>
      <xdr:rowOff>115900</xdr:rowOff>
    </xdr:to>
    <xdr:pic>
      <xdr:nvPicPr>
        <xdr:cNvPr id="3" name="Picture 2">
          <a:extLst>
            <a:ext uri="{FF2B5EF4-FFF2-40B4-BE49-F238E27FC236}">
              <a16:creationId xmlns="" xmlns:a16="http://schemas.microsoft.com/office/drawing/2014/main" id="{00000000-0008-0000-03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347180911" y="20320"/>
          <a:ext cx="730160" cy="71153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oneCellAnchor>
    <xdr:from>
      <xdr:col>7</xdr:col>
      <xdr:colOff>1457325</xdr:colOff>
      <xdr:row>0</xdr:row>
      <xdr:rowOff>9525</xdr:rowOff>
    </xdr:from>
    <xdr:ext cx="9525" cy="180975"/>
    <xdr:pic>
      <xdr:nvPicPr>
        <xdr:cNvPr id="2" name="Picture 8" descr="logo">
          <a:extLst>
            <a:ext uri="{FF2B5EF4-FFF2-40B4-BE49-F238E27FC236}">
              <a16:creationId xmlns=""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982800075" y="9525"/>
          <a:ext cx="95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twoCellAnchor editAs="oneCell">
    <xdr:from>
      <xdr:col>1</xdr:col>
      <xdr:colOff>3672840</xdr:colOff>
      <xdr:row>0</xdr:row>
      <xdr:rowOff>53340</xdr:rowOff>
    </xdr:from>
    <xdr:to>
      <xdr:col>3</xdr:col>
      <xdr:colOff>224700</xdr:colOff>
      <xdr:row>0</xdr:row>
      <xdr:rowOff>766140</xdr:rowOff>
    </xdr:to>
    <xdr:pic>
      <xdr:nvPicPr>
        <xdr:cNvPr id="4" name="Picture 3">
          <a:extLst>
            <a:ext uri="{FF2B5EF4-FFF2-40B4-BE49-F238E27FC236}">
              <a16:creationId xmlns="" xmlns:a16="http://schemas.microsoft.com/office/drawing/2014/main" id="{00000000-0008-0000-0400-000004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1366575020" y="53340"/>
          <a:ext cx="720000" cy="71280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oneCellAnchor>
    <xdr:from>
      <xdr:col>7</xdr:col>
      <xdr:colOff>1457325</xdr:colOff>
      <xdr:row>1</xdr:row>
      <xdr:rowOff>0</xdr:rowOff>
    </xdr:from>
    <xdr:ext cx="9525" cy="180975"/>
    <xdr:pic>
      <xdr:nvPicPr>
        <xdr:cNvPr id="2" name="Picture 8" descr="logo">
          <a:extLst>
            <a:ext uri="{FF2B5EF4-FFF2-40B4-BE49-F238E27FC236}">
              <a16:creationId xmlns="" xmlns:a16="http://schemas.microsoft.com/office/drawing/2014/main" id="{00000000-0008-0000-05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982800075" y="190500"/>
          <a:ext cx="95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1457325</xdr:colOff>
      <xdr:row>0</xdr:row>
      <xdr:rowOff>9525</xdr:rowOff>
    </xdr:from>
    <xdr:ext cx="9525" cy="180975"/>
    <xdr:pic>
      <xdr:nvPicPr>
        <xdr:cNvPr id="3" name="Picture 8" descr="logo">
          <a:extLst>
            <a:ext uri="{FF2B5EF4-FFF2-40B4-BE49-F238E27FC236}">
              <a16:creationId xmlns="" xmlns:a16="http://schemas.microsoft.com/office/drawing/2014/main" id="{00000000-0008-0000-0500-000003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982800075" y="9525"/>
          <a:ext cx="95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0</xdr:col>
      <xdr:colOff>0</xdr:colOff>
      <xdr:row>20</xdr:row>
      <xdr:rowOff>91440</xdr:rowOff>
    </xdr:from>
    <xdr:ext cx="819150" cy="676275"/>
    <xdr:pic>
      <xdr:nvPicPr>
        <xdr:cNvPr id="5" name="Picture 4">
          <a:extLst>
            <a:ext uri="{FF2B5EF4-FFF2-40B4-BE49-F238E27FC236}">
              <a16:creationId xmlns="" xmlns:a16="http://schemas.microsoft.com/office/drawing/2014/main" id="{00000000-0008-0000-0500-000005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370849750" y="7734300"/>
          <a:ext cx="819150"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twoCellAnchor editAs="oneCell">
    <xdr:from>
      <xdr:col>1</xdr:col>
      <xdr:colOff>3322320</xdr:colOff>
      <xdr:row>0</xdr:row>
      <xdr:rowOff>22860</xdr:rowOff>
    </xdr:from>
    <xdr:to>
      <xdr:col>3</xdr:col>
      <xdr:colOff>201840</xdr:colOff>
      <xdr:row>0</xdr:row>
      <xdr:rowOff>735660</xdr:rowOff>
    </xdr:to>
    <xdr:pic>
      <xdr:nvPicPr>
        <xdr:cNvPr id="6" name="Picture 5">
          <a:extLst>
            <a:ext uri="{FF2B5EF4-FFF2-40B4-BE49-F238E27FC236}">
              <a16:creationId xmlns="" xmlns:a16="http://schemas.microsoft.com/office/drawing/2014/main" id="{00000000-0008-0000-0500-000006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1366216880" y="22860"/>
          <a:ext cx="720000" cy="71280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9884229</xdr:colOff>
      <xdr:row>1</xdr:row>
      <xdr:rowOff>3396343</xdr:rowOff>
    </xdr:to>
    <xdr:pic>
      <xdr:nvPicPr>
        <xdr:cNvPr id="2" name="Picture 1">
          <a:extLst>
            <a:ext uri="{FF2B5EF4-FFF2-40B4-BE49-F238E27FC236}">
              <a16:creationId xmlns=""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11056489371" y="0"/>
          <a:ext cx="9884229" cy="6825343"/>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720000</xdr:colOff>
      <xdr:row>2</xdr:row>
      <xdr:rowOff>4140</xdr:rowOff>
    </xdr:to>
    <xdr:pic>
      <xdr:nvPicPr>
        <xdr:cNvPr id="2" name="Picture 1">
          <a:extLst>
            <a:ext uri="{FF2B5EF4-FFF2-40B4-BE49-F238E27FC236}">
              <a16:creationId xmlns="" xmlns:a16="http://schemas.microsoft.com/office/drawing/2014/main" id="{00000000-0008-0000-07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363290800" y="0"/>
          <a:ext cx="720000" cy="71280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xdr:from>
      <xdr:col>0</xdr:col>
      <xdr:colOff>10886</xdr:colOff>
      <xdr:row>3</xdr:row>
      <xdr:rowOff>15240</xdr:rowOff>
    </xdr:from>
    <xdr:to>
      <xdr:col>12</xdr:col>
      <xdr:colOff>617220</xdr:colOff>
      <xdr:row>33</xdr:row>
      <xdr:rowOff>0</xdr:rowOff>
    </xdr:to>
    <xdr:graphicFrame macro="">
      <xdr:nvGraphicFramePr>
        <xdr:cNvPr id="2" name="Chart 1">
          <a:extLst>
            <a:ext uri="{FF2B5EF4-FFF2-40B4-BE49-F238E27FC236}">
              <a16:creationId xmlns="" xmlns:a16="http://schemas.microsoft.com/office/drawing/2014/main" id="{00000000-0008-0000-08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0</xdr:row>
      <xdr:rowOff>0</xdr:rowOff>
    </xdr:from>
    <xdr:to>
      <xdr:col>1</xdr:col>
      <xdr:colOff>50529</xdr:colOff>
      <xdr:row>3</xdr:row>
      <xdr:rowOff>57480</xdr:rowOff>
    </xdr:to>
    <xdr:pic>
      <xdr:nvPicPr>
        <xdr:cNvPr id="4" name="Picture 3">
          <a:extLst>
            <a:ext uri="{FF2B5EF4-FFF2-40B4-BE49-F238E27FC236}">
              <a16:creationId xmlns="" xmlns:a16="http://schemas.microsoft.com/office/drawing/2014/main" id="{00000000-0008-0000-0800-000004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0985733951" y="0"/>
          <a:ext cx="721089" cy="7128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3.bin"/><Relationship Id="rId6" Type="http://schemas.openxmlformats.org/officeDocument/2006/relationships/oleObject" Target="../embeddings/oleObject2.bin"/><Relationship Id="rId5" Type="http://schemas.openxmlformats.org/officeDocument/2006/relationships/image" Target="../media/image5.wmf"/><Relationship Id="rId4" Type="http://schemas.openxmlformats.org/officeDocument/2006/relationships/oleObject" Target="../embeddings/oleObject1.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34.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1"/>
  <sheetViews>
    <sheetView rightToLeft="1" view="pageBreakPreview" topLeftCell="A31" zoomScaleNormal="100" zoomScaleSheetLayoutView="100" workbookViewId="0"/>
  </sheetViews>
  <sheetFormatPr defaultRowHeight="13.8" x14ac:dyDescent="0.25"/>
  <sheetData>
    <row r="41" ht="10.199999999999999" customHeight="1" x14ac:dyDescent="0.25"/>
  </sheetData>
  <printOptions horizontalCentered="1" verticalCentered="1"/>
  <pageMargins left="0" right="0" top="0" bottom="0" header="0.31496062992125984" footer="0.31496062992125984"/>
  <pageSetup paperSize="9" orientation="landscape"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H21"/>
  <sheetViews>
    <sheetView rightToLeft="1" view="pageBreakPreview" topLeftCell="A11" zoomScaleNormal="100" zoomScaleSheetLayoutView="100" workbookViewId="0">
      <selection activeCell="B20" sqref="B20"/>
    </sheetView>
  </sheetViews>
  <sheetFormatPr defaultColWidth="9.09765625" defaultRowHeight="13.8" x14ac:dyDescent="0.25"/>
  <cols>
    <col min="1" max="1" width="25.69921875" style="29" customWidth="1"/>
    <col min="2" max="5" width="10.69921875" style="29" customWidth="1"/>
    <col min="6" max="6" width="25.69921875" style="29" customWidth="1"/>
    <col min="7" max="16384" width="9.09765625" style="29"/>
  </cols>
  <sheetData>
    <row r="1" spans="1:6" ht="34.950000000000003" customHeight="1" x14ac:dyDescent="0.25">
      <c r="A1" s="151"/>
      <c r="B1" s="152"/>
      <c r="C1" s="152"/>
      <c r="D1" s="152"/>
      <c r="E1" s="152"/>
      <c r="F1" s="152"/>
    </row>
    <row r="2" spans="1:6" ht="21" x14ac:dyDescent="0.25">
      <c r="A2" s="153" t="s">
        <v>130</v>
      </c>
      <c r="B2" s="153"/>
      <c r="C2" s="153"/>
      <c r="D2" s="153"/>
      <c r="E2" s="153"/>
      <c r="F2" s="153"/>
    </row>
    <row r="3" spans="1:6" ht="18" x14ac:dyDescent="0.25">
      <c r="A3" s="154" t="s">
        <v>92</v>
      </c>
      <c r="B3" s="154"/>
      <c r="C3" s="154"/>
      <c r="D3" s="154"/>
      <c r="E3" s="154"/>
      <c r="F3" s="154"/>
    </row>
    <row r="4" spans="1:6" ht="15" customHeight="1" x14ac:dyDescent="0.25">
      <c r="A4" s="155">
        <v>2020</v>
      </c>
      <c r="B4" s="155"/>
      <c r="C4" s="155"/>
      <c r="D4" s="155"/>
      <c r="E4" s="155"/>
      <c r="F4" s="155"/>
    </row>
    <row r="5" spans="1:6" ht="15.6" x14ac:dyDescent="0.25">
      <c r="A5" s="30" t="s">
        <v>131</v>
      </c>
      <c r="B5" s="163" t="s">
        <v>132</v>
      </c>
      <c r="C5" s="163"/>
      <c r="D5" s="163"/>
      <c r="E5" s="163"/>
      <c r="F5" s="33" t="s">
        <v>133</v>
      </c>
    </row>
    <row r="6" spans="1:6" ht="30" customHeight="1" thickBot="1" x14ac:dyDescent="0.3">
      <c r="A6" s="156" t="s">
        <v>95</v>
      </c>
      <c r="B6" s="158" t="s">
        <v>96</v>
      </c>
      <c r="C6" s="159"/>
      <c r="D6" s="159"/>
      <c r="E6" s="159"/>
      <c r="F6" s="160" t="s">
        <v>97</v>
      </c>
    </row>
    <row r="7" spans="1:6" ht="30" customHeight="1" x14ac:dyDescent="0.25">
      <c r="A7" s="157"/>
      <c r="B7" s="69" t="s">
        <v>98</v>
      </c>
      <c r="C7" s="69" t="s">
        <v>99</v>
      </c>
      <c r="D7" s="69" t="s">
        <v>100</v>
      </c>
      <c r="E7" s="69" t="s">
        <v>101</v>
      </c>
      <c r="F7" s="161"/>
    </row>
    <row r="8" spans="1:6" ht="22.5" customHeight="1" x14ac:dyDescent="0.25">
      <c r="A8" s="34" t="s">
        <v>102</v>
      </c>
      <c r="B8" s="35">
        <f>46+15</f>
        <v>61</v>
      </c>
      <c r="C8" s="35">
        <v>90</v>
      </c>
      <c r="D8" s="35">
        <v>0</v>
      </c>
      <c r="E8" s="34">
        <f t="shared" ref="E8:E19" si="0">SUM(B8:D8)</f>
        <v>151</v>
      </c>
      <c r="F8" s="36" t="s">
        <v>103</v>
      </c>
    </row>
    <row r="9" spans="1:6" ht="22.5" customHeight="1" x14ac:dyDescent="0.25">
      <c r="A9" s="37" t="s">
        <v>104</v>
      </c>
      <c r="B9" s="38">
        <f>89+7</f>
        <v>96</v>
      </c>
      <c r="C9" s="38">
        <v>81</v>
      </c>
      <c r="D9" s="38">
        <v>0</v>
      </c>
      <c r="E9" s="37">
        <f t="shared" si="0"/>
        <v>177</v>
      </c>
      <c r="F9" s="39" t="s">
        <v>105</v>
      </c>
    </row>
    <row r="10" spans="1:6" ht="22.5" customHeight="1" x14ac:dyDescent="0.25">
      <c r="A10" s="34" t="s">
        <v>106</v>
      </c>
      <c r="B10" s="35">
        <f>23+16</f>
        <v>39</v>
      </c>
      <c r="C10" s="35">
        <v>85</v>
      </c>
      <c r="D10" s="35">
        <v>6</v>
      </c>
      <c r="E10" s="34">
        <f t="shared" si="0"/>
        <v>130</v>
      </c>
      <c r="F10" s="36" t="s">
        <v>107</v>
      </c>
    </row>
    <row r="11" spans="1:6" ht="22.5" customHeight="1" x14ac:dyDescent="0.25">
      <c r="A11" s="37" t="s">
        <v>108</v>
      </c>
      <c r="B11" s="38">
        <f>24+18</f>
        <v>42</v>
      </c>
      <c r="C11" s="38">
        <v>77</v>
      </c>
      <c r="D11" s="38">
        <v>1</v>
      </c>
      <c r="E11" s="37">
        <f t="shared" si="0"/>
        <v>120</v>
      </c>
      <c r="F11" s="39" t="s">
        <v>109</v>
      </c>
    </row>
    <row r="12" spans="1:6" ht="22.5" customHeight="1" x14ac:dyDescent="0.25">
      <c r="A12" s="34" t="s">
        <v>110</v>
      </c>
      <c r="B12" s="35">
        <f>10+9</f>
        <v>19</v>
      </c>
      <c r="C12" s="35">
        <v>35</v>
      </c>
      <c r="D12" s="35">
        <v>0</v>
      </c>
      <c r="E12" s="34">
        <f t="shared" si="0"/>
        <v>54</v>
      </c>
      <c r="F12" s="36" t="s">
        <v>111</v>
      </c>
    </row>
    <row r="13" spans="1:6" ht="22.5" customHeight="1" x14ac:dyDescent="0.25">
      <c r="A13" s="37" t="s">
        <v>112</v>
      </c>
      <c r="B13" s="38">
        <f>26+13</f>
        <v>39</v>
      </c>
      <c r="C13" s="38">
        <v>58</v>
      </c>
      <c r="D13" s="38">
        <v>0</v>
      </c>
      <c r="E13" s="37">
        <f t="shared" si="0"/>
        <v>97</v>
      </c>
      <c r="F13" s="39" t="s">
        <v>113</v>
      </c>
    </row>
    <row r="14" spans="1:6" ht="22.5" customHeight="1" x14ac:dyDescent="0.25">
      <c r="A14" s="34" t="s">
        <v>114</v>
      </c>
      <c r="B14" s="35">
        <f>26+17</f>
        <v>43</v>
      </c>
      <c r="C14" s="35">
        <v>73</v>
      </c>
      <c r="D14" s="35">
        <v>0</v>
      </c>
      <c r="E14" s="34">
        <f t="shared" si="0"/>
        <v>116</v>
      </c>
      <c r="F14" s="36" t="s">
        <v>115</v>
      </c>
    </row>
    <row r="15" spans="1:6" ht="22.5" customHeight="1" x14ac:dyDescent="0.25">
      <c r="A15" s="37" t="s">
        <v>116</v>
      </c>
      <c r="B15" s="38">
        <f>28+15</f>
        <v>43</v>
      </c>
      <c r="C15" s="38">
        <v>81</v>
      </c>
      <c r="D15" s="38">
        <v>4</v>
      </c>
      <c r="E15" s="37">
        <f t="shared" si="0"/>
        <v>128</v>
      </c>
      <c r="F15" s="39" t="s">
        <v>117</v>
      </c>
    </row>
    <row r="16" spans="1:6" ht="22.5" customHeight="1" x14ac:dyDescent="0.25">
      <c r="A16" s="34" t="s">
        <v>118</v>
      </c>
      <c r="B16" s="35">
        <f>42+15</f>
        <v>57</v>
      </c>
      <c r="C16" s="35">
        <v>109</v>
      </c>
      <c r="D16" s="35">
        <v>4</v>
      </c>
      <c r="E16" s="34">
        <f t="shared" si="0"/>
        <v>170</v>
      </c>
      <c r="F16" s="36" t="s">
        <v>119</v>
      </c>
    </row>
    <row r="17" spans="1:8" ht="22.5" customHeight="1" x14ac:dyDescent="0.25">
      <c r="A17" s="37" t="s">
        <v>120</v>
      </c>
      <c r="B17" s="38">
        <f>26+16</f>
        <v>42</v>
      </c>
      <c r="C17" s="38">
        <v>85</v>
      </c>
      <c r="D17" s="38">
        <v>5</v>
      </c>
      <c r="E17" s="37">
        <f t="shared" si="0"/>
        <v>132</v>
      </c>
      <c r="F17" s="39" t="s">
        <v>121</v>
      </c>
    </row>
    <row r="18" spans="1:8" ht="22.5" customHeight="1" x14ac:dyDescent="0.25">
      <c r="A18" s="34" t="s">
        <v>122</v>
      </c>
      <c r="B18" s="35">
        <f>34+16</f>
        <v>50</v>
      </c>
      <c r="C18" s="35">
        <v>107</v>
      </c>
      <c r="D18" s="35">
        <v>4</v>
      </c>
      <c r="E18" s="34">
        <f t="shared" si="0"/>
        <v>161</v>
      </c>
      <c r="F18" s="36" t="s">
        <v>123</v>
      </c>
    </row>
    <row r="19" spans="1:8" ht="22.5" customHeight="1" x14ac:dyDescent="0.25">
      <c r="A19" s="37" t="s">
        <v>124</v>
      </c>
      <c r="B19" s="38">
        <f>60+22</f>
        <v>82</v>
      </c>
      <c r="C19" s="38">
        <v>115</v>
      </c>
      <c r="D19" s="38">
        <v>3</v>
      </c>
      <c r="E19" s="37">
        <f t="shared" si="0"/>
        <v>200</v>
      </c>
      <c r="F19" s="39" t="s">
        <v>125</v>
      </c>
    </row>
    <row r="20" spans="1:8" ht="36" customHeight="1" x14ac:dyDescent="0.25">
      <c r="A20" s="40" t="s">
        <v>126</v>
      </c>
      <c r="B20" s="41">
        <f>SUM(B8:B19)</f>
        <v>613</v>
      </c>
      <c r="C20" s="41">
        <f>SUM(C8:C19)</f>
        <v>996</v>
      </c>
      <c r="D20" s="41">
        <f>SUM(D8:D19)</f>
        <v>27</v>
      </c>
      <c r="E20" s="41">
        <f>SUM(E8:E19)</f>
        <v>1636</v>
      </c>
      <c r="F20" s="42" t="s">
        <v>127</v>
      </c>
    </row>
    <row r="21" spans="1:8" ht="15" x14ac:dyDescent="0.25">
      <c r="A21" s="150" t="s">
        <v>128</v>
      </c>
      <c r="B21" s="150"/>
      <c r="C21" s="150"/>
      <c r="D21" s="150"/>
      <c r="E21" s="32"/>
      <c r="F21" s="43" t="s">
        <v>129</v>
      </c>
      <c r="G21" s="44"/>
      <c r="H21" s="44"/>
    </row>
  </sheetData>
  <mergeCells count="9">
    <mergeCell ref="A21:D21"/>
    <mergeCell ref="A1:F1"/>
    <mergeCell ref="A2:F2"/>
    <mergeCell ref="A3:F3"/>
    <mergeCell ref="A4:F4"/>
    <mergeCell ref="B5:E5"/>
    <mergeCell ref="A6:A7"/>
    <mergeCell ref="B6:E6"/>
    <mergeCell ref="F6:F7"/>
  </mergeCells>
  <printOptions horizontalCentered="1" verticalCentered="1"/>
  <pageMargins left="0" right="0" top="0" bottom="0" header="0.31496062992125984" footer="0.31496062992125984"/>
  <pageSetup paperSize="9" orientation="landscape"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H21"/>
  <sheetViews>
    <sheetView rightToLeft="1" view="pageBreakPreview" zoomScaleNormal="100" zoomScaleSheetLayoutView="100" workbookViewId="0">
      <selection activeCell="B20" sqref="B20"/>
    </sheetView>
  </sheetViews>
  <sheetFormatPr defaultColWidth="9.09765625" defaultRowHeight="13.8" x14ac:dyDescent="0.25"/>
  <cols>
    <col min="1" max="1" width="25.69921875" style="29" customWidth="1"/>
    <col min="2" max="5" width="10.69921875" style="29" customWidth="1"/>
    <col min="6" max="6" width="25.69921875" style="29" customWidth="1"/>
    <col min="7" max="16384" width="9.09765625" style="29"/>
  </cols>
  <sheetData>
    <row r="1" spans="1:6" ht="34.950000000000003" customHeight="1" x14ac:dyDescent="0.25">
      <c r="A1" s="151"/>
      <c r="B1" s="152"/>
      <c r="C1" s="152"/>
      <c r="D1" s="152"/>
      <c r="E1" s="152"/>
      <c r="F1" s="152"/>
    </row>
    <row r="2" spans="1:6" ht="21" x14ac:dyDescent="0.25">
      <c r="A2" s="153" t="s">
        <v>130</v>
      </c>
      <c r="B2" s="153"/>
      <c r="C2" s="153"/>
      <c r="D2" s="153"/>
      <c r="E2" s="153"/>
      <c r="F2" s="153"/>
    </row>
    <row r="3" spans="1:6" ht="18" x14ac:dyDescent="0.25">
      <c r="A3" s="154" t="s">
        <v>92</v>
      </c>
      <c r="B3" s="154"/>
      <c r="C3" s="154"/>
      <c r="D3" s="154"/>
      <c r="E3" s="154"/>
      <c r="F3" s="154"/>
    </row>
    <row r="4" spans="1:6" ht="15" customHeight="1" x14ac:dyDescent="0.25">
      <c r="A4" s="155">
        <v>2020</v>
      </c>
      <c r="B4" s="155"/>
      <c r="C4" s="155"/>
      <c r="D4" s="155"/>
      <c r="E4" s="155"/>
      <c r="F4" s="155"/>
    </row>
    <row r="5" spans="1:6" ht="15.6" x14ac:dyDescent="0.25">
      <c r="A5" s="30" t="s">
        <v>134</v>
      </c>
      <c r="B5" s="163" t="s">
        <v>135</v>
      </c>
      <c r="C5" s="163"/>
      <c r="D5" s="163"/>
      <c r="E5" s="163"/>
      <c r="F5" s="33" t="s">
        <v>136</v>
      </c>
    </row>
    <row r="6" spans="1:6" ht="30" customHeight="1" thickBot="1" x14ac:dyDescent="0.3">
      <c r="A6" s="156" t="s">
        <v>95</v>
      </c>
      <c r="B6" s="158" t="s">
        <v>96</v>
      </c>
      <c r="C6" s="159"/>
      <c r="D6" s="159"/>
      <c r="E6" s="159"/>
      <c r="F6" s="160" t="s">
        <v>97</v>
      </c>
    </row>
    <row r="7" spans="1:6" ht="30" customHeight="1" x14ac:dyDescent="0.25">
      <c r="A7" s="157"/>
      <c r="B7" s="69" t="s">
        <v>98</v>
      </c>
      <c r="C7" s="69" t="s">
        <v>99</v>
      </c>
      <c r="D7" s="69" t="s">
        <v>100</v>
      </c>
      <c r="E7" s="69" t="s">
        <v>101</v>
      </c>
      <c r="F7" s="161"/>
    </row>
    <row r="8" spans="1:6" ht="22.5" customHeight="1" x14ac:dyDescent="0.25">
      <c r="A8" s="34" t="s">
        <v>102</v>
      </c>
      <c r="B8" s="35">
        <f>74+9</f>
        <v>83</v>
      </c>
      <c r="C8" s="35">
        <v>108</v>
      </c>
      <c r="D8" s="35">
        <v>5</v>
      </c>
      <c r="E8" s="34">
        <f t="shared" ref="E8:E19" si="0">SUM(B8:D8)</f>
        <v>196</v>
      </c>
      <c r="F8" s="36" t="s">
        <v>103</v>
      </c>
    </row>
    <row r="9" spans="1:6" ht="22.5" customHeight="1" x14ac:dyDescent="0.25">
      <c r="A9" s="37" t="s">
        <v>104</v>
      </c>
      <c r="B9" s="38">
        <f>63+13</f>
        <v>76</v>
      </c>
      <c r="C9" s="38">
        <v>90</v>
      </c>
      <c r="D9" s="38">
        <v>3</v>
      </c>
      <c r="E9" s="37">
        <f t="shared" si="0"/>
        <v>169</v>
      </c>
      <c r="F9" s="39" t="s">
        <v>105</v>
      </c>
    </row>
    <row r="10" spans="1:6" ht="22.5" customHeight="1" x14ac:dyDescent="0.25">
      <c r="A10" s="34" t="s">
        <v>106</v>
      </c>
      <c r="B10" s="35">
        <f>59+9</f>
        <v>68</v>
      </c>
      <c r="C10" s="35">
        <v>76</v>
      </c>
      <c r="D10" s="35">
        <v>8</v>
      </c>
      <c r="E10" s="34">
        <f t="shared" si="0"/>
        <v>152</v>
      </c>
      <c r="F10" s="36" t="s">
        <v>107</v>
      </c>
    </row>
    <row r="11" spans="1:6" ht="22.5" customHeight="1" x14ac:dyDescent="0.25">
      <c r="A11" s="37" t="s">
        <v>108</v>
      </c>
      <c r="B11" s="38">
        <f>51+9</f>
        <v>60</v>
      </c>
      <c r="C11" s="38">
        <v>64</v>
      </c>
      <c r="D11" s="38">
        <v>7</v>
      </c>
      <c r="E11" s="37">
        <f t="shared" si="0"/>
        <v>131</v>
      </c>
      <c r="F11" s="39" t="s">
        <v>109</v>
      </c>
    </row>
    <row r="12" spans="1:6" ht="22.5" customHeight="1" x14ac:dyDescent="0.25">
      <c r="A12" s="34" t="s">
        <v>110</v>
      </c>
      <c r="B12" s="35">
        <f>17+11</f>
        <v>28</v>
      </c>
      <c r="C12" s="35">
        <v>28</v>
      </c>
      <c r="D12" s="35">
        <v>1</v>
      </c>
      <c r="E12" s="34">
        <f t="shared" si="0"/>
        <v>57</v>
      </c>
      <c r="F12" s="36" t="s">
        <v>111</v>
      </c>
    </row>
    <row r="13" spans="1:6" ht="22.5" customHeight="1" x14ac:dyDescent="0.25">
      <c r="A13" s="37" t="s">
        <v>112</v>
      </c>
      <c r="B13" s="38">
        <f>72+6</f>
        <v>78</v>
      </c>
      <c r="C13" s="38">
        <v>82</v>
      </c>
      <c r="D13" s="38">
        <v>7</v>
      </c>
      <c r="E13" s="37">
        <f t="shared" si="0"/>
        <v>167</v>
      </c>
      <c r="F13" s="39" t="s">
        <v>113</v>
      </c>
    </row>
    <row r="14" spans="1:6" ht="22.5" customHeight="1" x14ac:dyDescent="0.25">
      <c r="A14" s="34" t="s">
        <v>114</v>
      </c>
      <c r="B14" s="35">
        <f>92+10</f>
        <v>102</v>
      </c>
      <c r="C14" s="35">
        <v>92</v>
      </c>
      <c r="D14" s="35">
        <v>2</v>
      </c>
      <c r="E14" s="34">
        <f t="shared" si="0"/>
        <v>196</v>
      </c>
      <c r="F14" s="36" t="s">
        <v>115</v>
      </c>
    </row>
    <row r="15" spans="1:6" ht="22.5" customHeight="1" x14ac:dyDescent="0.25">
      <c r="A15" s="37" t="s">
        <v>116</v>
      </c>
      <c r="B15" s="38">
        <f>53+8</f>
        <v>61</v>
      </c>
      <c r="C15" s="38">
        <v>85</v>
      </c>
      <c r="D15" s="38">
        <v>1</v>
      </c>
      <c r="E15" s="37">
        <f t="shared" si="0"/>
        <v>147</v>
      </c>
      <c r="F15" s="39" t="s">
        <v>117</v>
      </c>
    </row>
    <row r="16" spans="1:6" ht="22.5" customHeight="1" x14ac:dyDescent="0.25">
      <c r="A16" s="34" t="s">
        <v>118</v>
      </c>
      <c r="B16" s="35">
        <f>71+3</f>
        <v>74</v>
      </c>
      <c r="C16" s="35">
        <v>96</v>
      </c>
      <c r="D16" s="35">
        <v>12</v>
      </c>
      <c r="E16" s="34">
        <f t="shared" si="0"/>
        <v>182</v>
      </c>
      <c r="F16" s="36" t="s">
        <v>119</v>
      </c>
    </row>
    <row r="17" spans="1:8" ht="22.5" customHeight="1" x14ac:dyDescent="0.25">
      <c r="A17" s="37" t="s">
        <v>120</v>
      </c>
      <c r="B17" s="38">
        <f>61+18</f>
        <v>79</v>
      </c>
      <c r="C17" s="38">
        <v>112</v>
      </c>
      <c r="D17" s="38">
        <v>5</v>
      </c>
      <c r="E17" s="37">
        <f>SUM(B17:D17)</f>
        <v>196</v>
      </c>
      <c r="F17" s="39" t="s">
        <v>121</v>
      </c>
    </row>
    <row r="18" spans="1:8" ht="22.5" customHeight="1" x14ac:dyDescent="0.25">
      <c r="A18" s="34" t="s">
        <v>122</v>
      </c>
      <c r="B18" s="35">
        <f>49+10</f>
        <v>59</v>
      </c>
      <c r="C18" s="35">
        <v>75</v>
      </c>
      <c r="D18" s="35">
        <v>11</v>
      </c>
      <c r="E18" s="34">
        <f t="shared" si="0"/>
        <v>145</v>
      </c>
      <c r="F18" s="36" t="s">
        <v>123</v>
      </c>
    </row>
    <row r="19" spans="1:8" ht="22.5" customHeight="1" x14ac:dyDescent="0.25">
      <c r="A19" s="37" t="s">
        <v>124</v>
      </c>
      <c r="B19" s="38">
        <f>64+14</f>
        <v>78</v>
      </c>
      <c r="C19" s="38">
        <v>98</v>
      </c>
      <c r="D19" s="38">
        <v>13</v>
      </c>
      <c r="E19" s="37">
        <f t="shared" si="0"/>
        <v>189</v>
      </c>
      <c r="F19" s="39" t="s">
        <v>125</v>
      </c>
    </row>
    <row r="20" spans="1:8" ht="36" customHeight="1" x14ac:dyDescent="0.25">
      <c r="A20" s="40" t="s">
        <v>126</v>
      </c>
      <c r="B20" s="41">
        <f>SUM(B8:B19)</f>
        <v>846</v>
      </c>
      <c r="C20" s="41">
        <f>SUM(C8:C19)</f>
        <v>1006</v>
      </c>
      <c r="D20" s="41">
        <f>SUM(D8:D19)</f>
        <v>75</v>
      </c>
      <c r="E20" s="41">
        <f>SUM(E8:E19)</f>
        <v>1927</v>
      </c>
      <c r="F20" s="42" t="s">
        <v>127</v>
      </c>
    </row>
    <row r="21" spans="1:8" ht="15" x14ac:dyDescent="0.25">
      <c r="A21" s="150" t="s">
        <v>128</v>
      </c>
      <c r="B21" s="150"/>
      <c r="C21" s="150"/>
      <c r="D21" s="150"/>
      <c r="E21" s="32"/>
      <c r="F21" s="43" t="s">
        <v>129</v>
      </c>
      <c r="G21" s="44"/>
      <c r="H21" s="44"/>
    </row>
  </sheetData>
  <mergeCells count="9">
    <mergeCell ref="A21:D21"/>
    <mergeCell ref="A1:F1"/>
    <mergeCell ref="A2:F2"/>
    <mergeCell ref="A3:F3"/>
    <mergeCell ref="A4:F4"/>
    <mergeCell ref="B5:E5"/>
    <mergeCell ref="A6:A7"/>
    <mergeCell ref="B6:E6"/>
    <mergeCell ref="F6:F7"/>
  </mergeCells>
  <printOptions horizontalCentered="1" verticalCentered="1"/>
  <pageMargins left="0" right="0" top="0" bottom="0" header="0.31496062992125984" footer="0.31496062992125984"/>
  <pageSetup paperSize="9" orientation="landscape"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H21"/>
  <sheetViews>
    <sheetView rightToLeft="1" view="pageBreakPreview" zoomScaleNormal="100" zoomScaleSheetLayoutView="100" workbookViewId="0">
      <selection activeCell="B20" sqref="B20"/>
    </sheetView>
  </sheetViews>
  <sheetFormatPr defaultColWidth="9.09765625" defaultRowHeight="13.8" x14ac:dyDescent="0.25"/>
  <cols>
    <col min="1" max="1" width="25.69921875" style="29" customWidth="1"/>
    <col min="2" max="5" width="10.69921875" style="29" customWidth="1"/>
    <col min="6" max="6" width="25.69921875" style="29" customWidth="1"/>
    <col min="7" max="16384" width="9.09765625" style="29"/>
  </cols>
  <sheetData>
    <row r="1" spans="1:6" ht="34.950000000000003" customHeight="1" x14ac:dyDescent="0.25">
      <c r="A1" s="151"/>
      <c r="B1" s="152"/>
      <c r="C1" s="152"/>
      <c r="D1" s="152"/>
      <c r="E1" s="152"/>
      <c r="F1" s="152"/>
    </row>
    <row r="2" spans="1:6" ht="21" x14ac:dyDescent="0.25">
      <c r="A2" s="153" t="s">
        <v>130</v>
      </c>
      <c r="B2" s="153"/>
      <c r="C2" s="153"/>
      <c r="D2" s="153"/>
      <c r="E2" s="153"/>
      <c r="F2" s="153"/>
    </row>
    <row r="3" spans="1:6" ht="18" x14ac:dyDescent="0.25">
      <c r="A3" s="154" t="s">
        <v>92</v>
      </c>
      <c r="B3" s="154"/>
      <c r="C3" s="154"/>
      <c r="D3" s="154"/>
      <c r="E3" s="154"/>
      <c r="F3" s="154"/>
    </row>
    <row r="4" spans="1:6" ht="15" customHeight="1" x14ac:dyDescent="0.25">
      <c r="A4" s="155">
        <v>2020</v>
      </c>
      <c r="B4" s="155"/>
      <c r="C4" s="155"/>
      <c r="D4" s="155"/>
      <c r="E4" s="155"/>
      <c r="F4" s="155"/>
    </row>
    <row r="5" spans="1:6" ht="15.6" x14ac:dyDescent="0.25">
      <c r="A5" s="30" t="s">
        <v>137</v>
      </c>
      <c r="B5" s="163" t="s">
        <v>138</v>
      </c>
      <c r="C5" s="163"/>
      <c r="D5" s="163"/>
      <c r="E5" s="163"/>
      <c r="F5" s="33" t="s">
        <v>139</v>
      </c>
    </row>
    <row r="6" spans="1:6" ht="30" customHeight="1" thickBot="1" x14ac:dyDescent="0.3">
      <c r="A6" s="156" t="s">
        <v>95</v>
      </c>
      <c r="B6" s="158" t="s">
        <v>96</v>
      </c>
      <c r="C6" s="159"/>
      <c r="D6" s="159"/>
      <c r="E6" s="159"/>
      <c r="F6" s="160" t="s">
        <v>97</v>
      </c>
    </row>
    <row r="7" spans="1:6" ht="30" customHeight="1" x14ac:dyDescent="0.25">
      <c r="A7" s="157"/>
      <c r="B7" s="69" t="s">
        <v>98</v>
      </c>
      <c r="C7" s="69" t="s">
        <v>99</v>
      </c>
      <c r="D7" s="69" t="s">
        <v>100</v>
      </c>
      <c r="E7" s="69" t="s">
        <v>101</v>
      </c>
      <c r="F7" s="161"/>
    </row>
    <row r="8" spans="1:6" ht="22.5" customHeight="1" x14ac:dyDescent="0.25">
      <c r="A8" s="34" t="s">
        <v>102</v>
      </c>
      <c r="B8" s="35">
        <f>54+39</f>
        <v>93</v>
      </c>
      <c r="C8" s="35">
        <v>36</v>
      </c>
      <c r="D8" s="35">
        <v>4</v>
      </c>
      <c r="E8" s="34">
        <f t="shared" ref="E8:E19" si="0">SUM(B8:D8)</f>
        <v>133</v>
      </c>
      <c r="F8" s="36" t="s">
        <v>103</v>
      </c>
    </row>
    <row r="9" spans="1:6" ht="22.5" customHeight="1" x14ac:dyDescent="0.25">
      <c r="A9" s="37" t="s">
        <v>104</v>
      </c>
      <c r="B9" s="38">
        <f>48+41</f>
        <v>89</v>
      </c>
      <c r="C9" s="38">
        <v>34</v>
      </c>
      <c r="D9" s="38">
        <v>3</v>
      </c>
      <c r="E9" s="37">
        <f t="shared" si="0"/>
        <v>126</v>
      </c>
      <c r="F9" s="39" t="s">
        <v>105</v>
      </c>
    </row>
    <row r="10" spans="1:6" ht="22.5" customHeight="1" x14ac:dyDescent="0.25">
      <c r="A10" s="34" t="s">
        <v>106</v>
      </c>
      <c r="B10" s="35">
        <f>41+49</f>
        <v>90</v>
      </c>
      <c r="C10" s="35">
        <v>32</v>
      </c>
      <c r="D10" s="35">
        <v>4</v>
      </c>
      <c r="E10" s="34">
        <f t="shared" si="0"/>
        <v>126</v>
      </c>
      <c r="F10" s="36" t="s">
        <v>107</v>
      </c>
    </row>
    <row r="11" spans="1:6" ht="22.5" customHeight="1" x14ac:dyDescent="0.25">
      <c r="A11" s="37" t="s">
        <v>108</v>
      </c>
      <c r="B11" s="38">
        <f>33+31</f>
        <v>64</v>
      </c>
      <c r="C11" s="38">
        <v>35</v>
      </c>
      <c r="D11" s="38">
        <v>4</v>
      </c>
      <c r="E11" s="37">
        <f t="shared" si="0"/>
        <v>103</v>
      </c>
      <c r="F11" s="39" t="s">
        <v>109</v>
      </c>
    </row>
    <row r="12" spans="1:6" ht="22.5" customHeight="1" x14ac:dyDescent="0.25">
      <c r="A12" s="34" t="s">
        <v>110</v>
      </c>
      <c r="B12" s="35">
        <f>22+14</f>
        <v>36</v>
      </c>
      <c r="C12" s="35">
        <v>15</v>
      </c>
      <c r="D12" s="35">
        <v>0</v>
      </c>
      <c r="E12" s="34">
        <f t="shared" si="0"/>
        <v>51</v>
      </c>
      <c r="F12" s="36" t="s">
        <v>111</v>
      </c>
    </row>
    <row r="13" spans="1:6" ht="22.5" customHeight="1" x14ac:dyDescent="0.25">
      <c r="A13" s="37" t="s">
        <v>112</v>
      </c>
      <c r="B13" s="38">
        <f>45+28</f>
        <v>73</v>
      </c>
      <c r="C13" s="38">
        <v>47</v>
      </c>
      <c r="D13" s="38">
        <v>5</v>
      </c>
      <c r="E13" s="37">
        <f t="shared" si="0"/>
        <v>125</v>
      </c>
      <c r="F13" s="39" t="s">
        <v>113</v>
      </c>
    </row>
    <row r="14" spans="1:6" ht="22.5" customHeight="1" x14ac:dyDescent="0.25">
      <c r="A14" s="34" t="s">
        <v>114</v>
      </c>
      <c r="B14" s="35">
        <f>49+37</f>
        <v>86</v>
      </c>
      <c r="C14" s="35">
        <v>56</v>
      </c>
      <c r="D14" s="35">
        <v>8</v>
      </c>
      <c r="E14" s="34">
        <f t="shared" si="0"/>
        <v>150</v>
      </c>
      <c r="F14" s="36" t="s">
        <v>115</v>
      </c>
    </row>
    <row r="15" spans="1:6" ht="22.5" customHeight="1" x14ac:dyDescent="0.25">
      <c r="A15" s="37" t="s">
        <v>116</v>
      </c>
      <c r="B15" s="38">
        <f>29+22</f>
        <v>51</v>
      </c>
      <c r="C15" s="38">
        <v>43</v>
      </c>
      <c r="D15" s="38">
        <v>3</v>
      </c>
      <c r="E15" s="37">
        <f t="shared" si="0"/>
        <v>97</v>
      </c>
      <c r="F15" s="39" t="s">
        <v>117</v>
      </c>
    </row>
    <row r="16" spans="1:6" ht="22.5" customHeight="1" x14ac:dyDescent="0.25">
      <c r="A16" s="34" t="s">
        <v>118</v>
      </c>
      <c r="B16" s="35">
        <f>40+25</f>
        <v>65</v>
      </c>
      <c r="C16" s="35">
        <v>55</v>
      </c>
      <c r="D16" s="35">
        <v>4</v>
      </c>
      <c r="E16" s="34">
        <f t="shared" si="0"/>
        <v>124</v>
      </c>
      <c r="F16" s="36" t="s">
        <v>119</v>
      </c>
    </row>
    <row r="17" spans="1:8" ht="22.5" customHeight="1" x14ac:dyDescent="0.25">
      <c r="A17" s="37" t="s">
        <v>120</v>
      </c>
      <c r="B17" s="38">
        <f>50+34</f>
        <v>84</v>
      </c>
      <c r="C17" s="38">
        <v>54</v>
      </c>
      <c r="D17" s="38">
        <v>0</v>
      </c>
      <c r="E17" s="37">
        <f t="shared" si="0"/>
        <v>138</v>
      </c>
      <c r="F17" s="39" t="s">
        <v>121</v>
      </c>
    </row>
    <row r="18" spans="1:8" ht="22.5" customHeight="1" x14ac:dyDescent="0.25">
      <c r="A18" s="34" t="s">
        <v>122</v>
      </c>
      <c r="B18" s="35">
        <f>60+50</f>
        <v>110</v>
      </c>
      <c r="C18" s="35">
        <v>53</v>
      </c>
      <c r="D18" s="35">
        <v>1</v>
      </c>
      <c r="E18" s="34">
        <f t="shared" si="0"/>
        <v>164</v>
      </c>
      <c r="F18" s="36" t="s">
        <v>123</v>
      </c>
    </row>
    <row r="19" spans="1:8" ht="22.5" customHeight="1" x14ac:dyDescent="0.25">
      <c r="A19" s="37" t="s">
        <v>124</v>
      </c>
      <c r="B19" s="38">
        <f>71+31</f>
        <v>102</v>
      </c>
      <c r="C19" s="38">
        <v>46</v>
      </c>
      <c r="D19" s="38">
        <v>1</v>
      </c>
      <c r="E19" s="37">
        <f t="shared" si="0"/>
        <v>149</v>
      </c>
      <c r="F19" s="39" t="s">
        <v>125</v>
      </c>
    </row>
    <row r="20" spans="1:8" ht="36" customHeight="1" x14ac:dyDescent="0.25">
      <c r="A20" s="40" t="s">
        <v>126</v>
      </c>
      <c r="B20" s="41">
        <f>SUM(B8:B19)</f>
        <v>943</v>
      </c>
      <c r="C20" s="41">
        <f>SUM(C8:C19)</f>
        <v>506</v>
      </c>
      <c r="D20" s="41">
        <f>SUM(D8:D19)</f>
        <v>37</v>
      </c>
      <c r="E20" s="41">
        <f>SUM(E8:E19)</f>
        <v>1486</v>
      </c>
      <c r="F20" s="42" t="s">
        <v>127</v>
      </c>
    </row>
    <row r="21" spans="1:8" ht="15" x14ac:dyDescent="0.25">
      <c r="A21" s="150" t="s">
        <v>128</v>
      </c>
      <c r="B21" s="150"/>
      <c r="C21" s="150"/>
      <c r="D21" s="150"/>
      <c r="E21" s="32"/>
      <c r="F21" s="43" t="s">
        <v>129</v>
      </c>
      <c r="G21" s="44"/>
      <c r="H21" s="44"/>
    </row>
  </sheetData>
  <mergeCells count="9">
    <mergeCell ref="A21:D21"/>
    <mergeCell ref="A1:F1"/>
    <mergeCell ref="A2:F2"/>
    <mergeCell ref="A3:F3"/>
    <mergeCell ref="A4:F4"/>
    <mergeCell ref="B5:E5"/>
    <mergeCell ref="A6:A7"/>
    <mergeCell ref="B6:E6"/>
    <mergeCell ref="F6:F7"/>
  </mergeCells>
  <printOptions horizontalCentered="1" verticalCentered="1"/>
  <pageMargins left="0" right="0" top="0" bottom="0" header="0.31496062992125984" footer="0.31496062992125984"/>
  <pageSetup paperSize="9" orientation="landscape"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H21"/>
  <sheetViews>
    <sheetView rightToLeft="1" view="pageBreakPreview" zoomScaleNormal="100" zoomScaleSheetLayoutView="100" workbookViewId="0">
      <selection activeCell="B20" sqref="B20"/>
    </sheetView>
  </sheetViews>
  <sheetFormatPr defaultColWidth="9.09765625" defaultRowHeight="13.8" x14ac:dyDescent="0.25"/>
  <cols>
    <col min="1" max="1" width="25.69921875" style="29" customWidth="1"/>
    <col min="2" max="5" width="10.69921875" style="29" customWidth="1"/>
    <col min="6" max="6" width="25.69921875" style="29" customWidth="1"/>
    <col min="7" max="16384" width="9.09765625" style="29"/>
  </cols>
  <sheetData>
    <row r="1" spans="1:6" ht="34.950000000000003" customHeight="1" x14ac:dyDescent="0.25">
      <c r="A1" s="151"/>
      <c r="B1" s="152"/>
      <c r="C1" s="152"/>
      <c r="D1" s="152"/>
      <c r="E1" s="152"/>
      <c r="F1" s="152"/>
    </row>
    <row r="2" spans="1:6" ht="21" x14ac:dyDescent="0.25">
      <c r="A2" s="153" t="s">
        <v>130</v>
      </c>
      <c r="B2" s="153"/>
      <c r="C2" s="153"/>
      <c r="D2" s="153"/>
      <c r="E2" s="153"/>
      <c r="F2" s="153"/>
    </row>
    <row r="3" spans="1:6" ht="18" x14ac:dyDescent="0.25">
      <c r="A3" s="154" t="s">
        <v>92</v>
      </c>
      <c r="B3" s="154"/>
      <c r="C3" s="154"/>
      <c r="D3" s="154"/>
      <c r="E3" s="154"/>
      <c r="F3" s="154"/>
    </row>
    <row r="4" spans="1:6" ht="15" customHeight="1" x14ac:dyDescent="0.25">
      <c r="A4" s="155">
        <v>2020</v>
      </c>
      <c r="B4" s="155"/>
      <c r="C4" s="155"/>
      <c r="D4" s="155"/>
      <c r="E4" s="155"/>
      <c r="F4" s="155"/>
    </row>
    <row r="5" spans="1:6" ht="15.6" x14ac:dyDescent="0.25">
      <c r="A5" s="30" t="s">
        <v>140</v>
      </c>
      <c r="B5" s="163" t="s">
        <v>141</v>
      </c>
      <c r="C5" s="163"/>
      <c r="D5" s="163"/>
      <c r="E5" s="163"/>
      <c r="F5" s="33" t="s">
        <v>142</v>
      </c>
    </row>
    <row r="6" spans="1:6" ht="30" customHeight="1" thickBot="1" x14ac:dyDescent="0.3">
      <c r="A6" s="156" t="s">
        <v>95</v>
      </c>
      <c r="B6" s="158" t="s">
        <v>96</v>
      </c>
      <c r="C6" s="159"/>
      <c r="D6" s="159"/>
      <c r="E6" s="159"/>
      <c r="F6" s="160" t="s">
        <v>97</v>
      </c>
    </row>
    <row r="7" spans="1:6" ht="30" customHeight="1" x14ac:dyDescent="0.25">
      <c r="A7" s="157"/>
      <c r="B7" s="69" t="s">
        <v>98</v>
      </c>
      <c r="C7" s="69" t="s">
        <v>99</v>
      </c>
      <c r="D7" s="69" t="s">
        <v>100</v>
      </c>
      <c r="E7" s="69" t="s">
        <v>101</v>
      </c>
      <c r="F7" s="161"/>
    </row>
    <row r="8" spans="1:6" ht="22.5" customHeight="1" x14ac:dyDescent="0.25">
      <c r="A8" s="34" t="s">
        <v>102</v>
      </c>
      <c r="B8" s="35">
        <f>15+1</f>
        <v>16</v>
      </c>
      <c r="C8" s="35">
        <v>13</v>
      </c>
      <c r="D8" s="35">
        <v>1</v>
      </c>
      <c r="E8" s="34">
        <f t="shared" ref="E8:E19" si="0">SUM(B8:D8)</f>
        <v>30</v>
      </c>
      <c r="F8" s="36" t="s">
        <v>103</v>
      </c>
    </row>
    <row r="9" spans="1:6" ht="22.5" customHeight="1" x14ac:dyDescent="0.25">
      <c r="A9" s="37" t="s">
        <v>104</v>
      </c>
      <c r="B9" s="38">
        <f>23+5</f>
        <v>28</v>
      </c>
      <c r="C9" s="38">
        <v>13</v>
      </c>
      <c r="D9" s="38">
        <v>2</v>
      </c>
      <c r="E9" s="37">
        <f t="shared" si="0"/>
        <v>43</v>
      </c>
      <c r="F9" s="39" t="s">
        <v>105</v>
      </c>
    </row>
    <row r="10" spans="1:6" ht="22.5" customHeight="1" x14ac:dyDescent="0.25">
      <c r="A10" s="34" t="s">
        <v>106</v>
      </c>
      <c r="B10" s="35">
        <f>39+7</f>
        <v>46</v>
      </c>
      <c r="C10" s="35">
        <v>26</v>
      </c>
      <c r="D10" s="35">
        <v>2</v>
      </c>
      <c r="E10" s="34">
        <f t="shared" si="0"/>
        <v>74</v>
      </c>
      <c r="F10" s="36" t="s">
        <v>107</v>
      </c>
    </row>
    <row r="11" spans="1:6" ht="22.5" customHeight="1" x14ac:dyDescent="0.25">
      <c r="A11" s="37" t="s">
        <v>108</v>
      </c>
      <c r="B11" s="38">
        <f>22+2</f>
        <v>24</v>
      </c>
      <c r="C11" s="38">
        <v>9</v>
      </c>
      <c r="D11" s="38">
        <v>0</v>
      </c>
      <c r="E11" s="37">
        <f t="shared" si="0"/>
        <v>33</v>
      </c>
      <c r="F11" s="39" t="s">
        <v>109</v>
      </c>
    </row>
    <row r="12" spans="1:6" ht="22.5" customHeight="1" x14ac:dyDescent="0.25">
      <c r="A12" s="34" t="s">
        <v>110</v>
      </c>
      <c r="B12" s="35">
        <f>20+2</f>
        <v>22</v>
      </c>
      <c r="C12" s="35">
        <v>10</v>
      </c>
      <c r="D12" s="35">
        <v>0</v>
      </c>
      <c r="E12" s="34">
        <f t="shared" si="0"/>
        <v>32</v>
      </c>
      <c r="F12" s="36" t="s">
        <v>111</v>
      </c>
    </row>
    <row r="13" spans="1:6" ht="22.5" customHeight="1" x14ac:dyDescent="0.25">
      <c r="A13" s="37" t="s">
        <v>112</v>
      </c>
      <c r="B13" s="38">
        <f>17+2</f>
        <v>19</v>
      </c>
      <c r="C13" s="38">
        <v>10</v>
      </c>
      <c r="D13" s="38">
        <v>1</v>
      </c>
      <c r="E13" s="37">
        <f t="shared" si="0"/>
        <v>30</v>
      </c>
      <c r="F13" s="39" t="s">
        <v>113</v>
      </c>
    </row>
    <row r="14" spans="1:6" ht="22.5" customHeight="1" x14ac:dyDescent="0.25">
      <c r="A14" s="34" t="s">
        <v>114</v>
      </c>
      <c r="B14" s="35">
        <f>31+2</f>
        <v>33</v>
      </c>
      <c r="C14" s="35">
        <v>21</v>
      </c>
      <c r="D14" s="35">
        <v>2</v>
      </c>
      <c r="E14" s="34">
        <f t="shared" si="0"/>
        <v>56</v>
      </c>
      <c r="F14" s="36" t="s">
        <v>115</v>
      </c>
    </row>
    <row r="15" spans="1:6" ht="22.5" customHeight="1" x14ac:dyDescent="0.25">
      <c r="A15" s="37" t="s">
        <v>116</v>
      </c>
      <c r="B15" s="38">
        <f>14+2</f>
        <v>16</v>
      </c>
      <c r="C15" s="38">
        <v>24</v>
      </c>
      <c r="D15" s="38">
        <v>3</v>
      </c>
      <c r="E15" s="37">
        <f t="shared" si="0"/>
        <v>43</v>
      </c>
      <c r="F15" s="39" t="s">
        <v>117</v>
      </c>
    </row>
    <row r="16" spans="1:6" ht="22.5" customHeight="1" x14ac:dyDescent="0.25">
      <c r="A16" s="34" t="s">
        <v>118</v>
      </c>
      <c r="B16" s="35">
        <f>29+4</f>
        <v>33</v>
      </c>
      <c r="C16" s="35">
        <v>24</v>
      </c>
      <c r="D16" s="35">
        <v>1</v>
      </c>
      <c r="E16" s="34">
        <f t="shared" si="0"/>
        <v>58</v>
      </c>
      <c r="F16" s="36" t="s">
        <v>119</v>
      </c>
    </row>
    <row r="17" spans="1:8" ht="22.5" customHeight="1" x14ac:dyDescent="0.25">
      <c r="A17" s="37" t="s">
        <v>120</v>
      </c>
      <c r="B17" s="38">
        <f>18+2</f>
        <v>20</v>
      </c>
      <c r="C17" s="38">
        <v>22</v>
      </c>
      <c r="D17" s="38">
        <v>0</v>
      </c>
      <c r="E17" s="37">
        <f t="shared" si="0"/>
        <v>42</v>
      </c>
      <c r="F17" s="39" t="s">
        <v>121</v>
      </c>
    </row>
    <row r="18" spans="1:8" ht="22.5" customHeight="1" x14ac:dyDescent="0.25">
      <c r="A18" s="34" t="s">
        <v>122</v>
      </c>
      <c r="B18" s="35">
        <f>32+6</f>
        <v>38</v>
      </c>
      <c r="C18" s="35">
        <v>22</v>
      </c>
      <c r="D18" s="35">
        <v>0</v>
      </c>
      <c r="E18" s="34">
        <f t="shared" si="0"/>
        <v>60</v>
      </c>
      <c r="F18" s="36" t="s">
        <v>123</v>
      </c>
    </row>
    <row r="19" spans="1:8" ht="22.5" customHeight="1" x14ac:dyDescent="0.25">
      <c r="A19" s="37" t="s">
        <v>124</v>
      </c>
      <c r="B19" s="38">
        <f>49+5</f>
        <v>54</v>
      </c>
      <c r="C19" s="38">
        <v>32</v>
      </c>
      <c r="D19" s="38">
        <v>4</v>
      </c>
      <c r="E19" s="37">
        <f t="shared" si="0"/>
        <v>90</v>
      </c>
      <c r="F19" s="39" t="s">
        <v>125</v>
      </c>
    </row>
    <row r="20" spans="1:8" ht="36" customHeight="1" x14ac:dyDescent="0.25">
      <c r="A20" s="40" t="s">
        <v>126</v>
      </c>
      <c r="B20" s="41">
        <f>SUM(B8:B19)</f>
        <v>349</v>
      </c>
      <c r="C20" s="41">
        <f>SUM(C8:C19)</f>
        <v>226</v>
      </c>
      <c r="D20" s="41">
        <f>SUM(D8:D19)</f>
        <v>16</v>
      </c>
      <c r="E20" s="41">
        <f>SUM(E8:E19)</f>
        <v>591</v>
      </c>
      <c r="F20" s="42" t="s">
        <v>127</v>
      </c>
    </row>
    <row r="21" spans="1:8" ht="15" x14ac:dyDescent="0.25">
      <c r="A21" s="150" t="s">
        <v>128</v>
      </c>
      <c r="B21" s="150"/>
      <c r="C21" s="150"/>
      <c r="D21" s="150"/>
      <c r="E21" s="32"/>
      <c r="F21" s="43" t="s">
        <v>129</v>
      </c>
      <c r="G21" s="44"/>
      <c r="H21" s="44"/>
    </row>
  </sheetData>
  <mergeCells count="9">
    <mergeCell ref="A21:D21"/>
    <mergeCell ref="A1:F1"/>
    <mergeCell ref="A2:F2"/>
    <mergeCell ref="A3:F3"/>
    <mergeCell ref="A4:F4"/>
    <mergeCell ref="B5:E5"/>
    <mergeCell ref="A6:A7"/>
    <mergeCell ref="B6:E6"/>
    <mergeCell ref="F6:F7"/>
  </mergeCells>
  <printOptions horizontalCentered="1" verticalCentered="1"/>
  <pageMargins left="0" right="0" top="0" bottom="0" header="0.31496062992125984" footer="0.31496062992125984"/>
  <pageSetup paperSize="9" orientation="landscape"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H21"/>
  <sheetViews>
    <sheetView rightToLeft="1" view="pageBreakPreview" zoomScaleNormal="100" zoomScaleSheetLayoutView="100" workbookViewId="0">
      <selection activeCell="B20" sqref="B20"/>
    </sheetView>
  </sheetViews>
  <sheetFormatPr defaultColWidth="9.09765625" defaultRowHeight="13.8" x14ac:dyDescent="0.25"/>
  <cols>
    <col min="1" max="1" width="25.69921875" style="29" customWidth="1"/>
    <col min="2" max="5" width="10.69921875" style="29" customWidth="1"/>
    <col min="6" max="6" width="25.69921875" style="29" customWidth="1"/>
    <col min="7" max="16384" width="9.09765625" style="29"/>
  </cols>
  <sheetData>
    <row r="1" spans="1:6" ht="34.950000000000003" customHeight="1" x14ac:dyDescent="0.25">
      <c r="A1" s="151"/>
      <c r="B1" s="152"/>
      <c r="C1" s="152"/>
      <c r="D1" s="152"/>
      <c r="E1" s="152"/>
      <c r="F1" s="152"/>
    </row>
    <row r="2" spans="1:6" ht="21" x14ac:dyDescent="0.25">
      <c r="A2" s="153" t="s">
        <v>130</v>
      </c>
      <c r="B2" s="153"/>
      <c r="C2" s="153"/>
      <c r="D2" s="153"/>
      <c r="E2" s="153"/>
      <c r="F2" s="153"/>
    </row>
    <row r="3" spans="1:6" ht="18" x14ac:dyDescent="0.25">
      <c r="A3" s="154" t="s">
        <v>92</v>
      </c>
      <c r="B3" s="154"/>
      <c r="C3" s="154"/>
      <c r="D3" s="154"/>
      <c r="E3" s="154"/>
      <c r="F3" s="154"/>
    </row>
    <row r="4" spans="1:6" ht="15" customHeight="1" x14ac:dyDescent="0.25">
      <c r="A4" s="155">
        <v>2020</v>
      </c>
      <c r="B4" s="155"/>
      <c r="C4" s="155"/>
      <c r="D4" s="155"/>
      <c r="E4" s="155"/>
      <c r="F4" s="155"/>
    </row>
    <row r="5" spans="1:6" ht="15.6" x14ac:dyDescent="0.25">
      <c r="A5" s="30" t="s">
        <v>143</v>
      </c>
      <c r="B5" s="163" t="s">
        <v>144</v>
      </c>
      <c r="C5" s="163"/>
      <c r="D5" s="163"/>
      <c r="E5" s="163"/>
      <c r="F5" s="33" t="s">
        <v>145</v>
      </c>
    </row>
    <row r="6" spans="1:6" ht="30" customHeight="1" thickBot="1" x14ac:dyDescent="0.3">
      <c r="A6" s="156" t="s">
        <v>95</v>
      </c>
      <c r="B6" s="158" t="s">
        <v>96</v>
      </c>
      <c r="C6" s="159"/>
      <c r="D6" s="159"/>
      <c r="E6" s="159"/>
      <c r="F6" s="160" t="s">
        <v>97</v>
      </c>
    </row>
    <row r="7" spans="1:6" ht="30" customHeight="1" x14ac:dyDescent="0.25">
      <c r="A7" s="157"/>
      <c r="B7" s="69" t="s">
        <v>98</v>
      </c>
      <c r="C7" s="69" t="s">
        <v>99</v>
      </c>
      <c r="D7" s="69" t="s">
        <v>100</v>
      </c>
      <c r="E7" s="69" t="s">
        <v>101</v>
      </c>
      <c r="F7" s="161"/>
    </row>
    <row r="8" spans="1:6" ht="22.5" customHeight="1" x14ac:dyDescent="0.25">
      <c r="A8" s="34" t="s">
        <v>102</v>
      </c>
      <c r="B8" s="35">
        <f>8+3</f>
        <v>11</v>
      </c>
      <c r="C8" s="35">
        <v>15</v>
      </c>
      <c r="D8" s="35">
        <v>2</v>
      </c>
      <c r="E8" s="34">
        <f t="shared" ref="E8:E19" si="0">SUM(B8:D8)</f>
        <v>28</v>
      </c>
      <c r="F8" s="36" t="s">
        <v>103</v>
      </c>
    </row>
    <row r="9" spans="1:6" ht="22.5" customHeight="1" x14ac:dyDescent="0.25">
      <c r="A9" s="37" t="s">
        <v>104</v>
      </c>
      <c r="B9" s="38">
        <f>5+3</f>
        <v>8</v>
      </c>
      <c r="C9" s="38">
        <v>9</v>
      </c>
      <c r="D9" s="38">
        <v>3</v>
      </c>
      <c r="E9" s="37">
        <f t="shared" si="0"/>
        <v>20</v>
      </c>
      <c r="F9" s="39" t="s">
        <v>105</v>
      </c>
    </row>
    <row r="10" spans="1:6" ht="22.5" customHeight="1" x14ac:dyDescent="0.25">
      <c r="A10" s="34" t="s">
        <v>106</v>
      </c>
      <c r="B10" s="35">
        <f>14+7</f>
        <v>21</v>
      </c>
      <c r="C10" s="35">
        <v>13</v>
      </c>
      <c r="D10" s="35">
        <v>0</v>
      </c>
      <c r="E10" s="34">
        <f t="shared" si="0"/>
        <v>34</v>
      </c>
      <c r="F10" s="36" t="s">
        <v>107</v>
      </c>
    </row>
    <row r="11" spans="1:6" ht="22.5" customHeight="1" x14ac:dyDescent="0.25">
      <c r="A11" s="37" t="s">
        <v>108</v>
      </c>
      <c r="B11" s="38">
        <f>10+4</f>
        <v>14</v>
      </c>
      <c r="C11" s="38">
        <v>9</v>
      </c>
      <c r="D11" s="38">
        <v>0</v>
      </c>
      <c r="E11" s="37">
        <f t="shared" si="0"/>
        <v>23</v>
      </c>
      <c r="F11" s="39" t="s">
        <v>109</v>
      </c>
    </row>
    <row r="12" spans="1:6" ht="22.5" customHeight="1" x14ac:dyDescent="0.25">
      <c r="A12" s="34" t="s">
        <v>110</v>
      </c>
      <c r="B12" s="35">
        <f>9+1</f>
        <v>10</v>
      </c>
      <c r="C12" s="35">
        <v>4</v>
      </c>
      <c r="D12" s="35">
        <v>0</v>
      </c>
      <c r="E12" s="34">
        <f t="shared" si="0"/>
        <v>14</v>
      </c>
      <c r="F12" s="36" t="s">
        <v>111</v>
      </c>
    </row>
    <row r="13" spans="1:6" ht="22.5" customHeight="1" x14ac:dyDescent="0.25">
      <c r="A13" s="37" t="s">
        <v>112</v>
      </c>
      <c r="B13" s="38">
        <f>5+3</f>
        <v>8</v>
      </c>
      <c r="C13" s="38">
        <v>13</v>
      </c>
      <c r="D13" s="38">
        <v>1</v>
      </c>
      <c r="E13" s="37">
        <f t="shared" si="0"/>
        <v>22</v>
      </c>
      <c r="F13" s="39" t="s">
        <v>113</v>
      </c>
    </row>
    <row r="14" spans="1:6" ht="22.5" customHeight="1" x14ac:dyDescent="0.25">
      <c r="A14" s="34" t="s">
        <v>114</v>
      </c>
      <c r="B14" s="35">
        <f>5+4</f>
        <v>9</v>
      </c>
      <c r="C14" s="35">
        <v>20</v>
      </c>
      <c r="D14" s="35">
        <v>2</v>
      </c>
      <c r="E14" s="34">
        <f t="shared" si="0"/>
        <v>31</v>
      </c>
      <c r="F14" s="36" t="s">
        <v>115</v>
      </c>
    </row>
    <row r="15" spans="1:6" ht="22.5" customHeight="1" x14ac:dyDescent="0.25">
      <c r="A15" s="37" t="s">
        <v>116</v>
      </c>
      <c r="B15" s="38">
        <f>7+2</f>
        <v>9</v>
      </c>
      <c r="C15" s="38">
        <v>28</v>
      </c>
      <c r="D15" s="38">
        <v>2</v>
      </c>
      <c r="E15" s="37">
        <f t="shared" si="0"/>
        <v>39</v>
      </c>
      <c r="F15" s="39" t="s">
        <v>117</v>
      </c>
    </row>
    <row r="16" spans="1:6" ht="22.5" customHeight="1" x14ac:dyDescent="0.25">
      <c r="A16" s="34" t="s">
        <v>118</v>
      </c>
      <c r="B16" s="35">
        <f>7+2</f>
        <v>9</v>
      </c>
      <c r="C16" s="35">
        <v>32</v>
      </c>
      <c r="D16" s="35">
        <v>5</v>
      </c>
      <c r="E16" s="34">
        <f t="shared" si="0"/>
        <v>46</v>
      </c>
      <c r="F16" s="36" t="s">
        <v>119</v>
      </c>
    </row>
    <row r="17" spans="1:8" ht="22.5" customHeight="1" x14ac:dyDescent="0.25">
      <c r="A17" s="37" t="s">
        <v>120</v>
      </c>
      <c r="B17" s="38">
        <f>7+2</f>
        <v>9</v>
      </c>
      <c r="C17" s="38">
        <v>18</v>
      </c>
      <c r="D17" s="38">
        <v>5</v>
      </c>
      <c r="E17" s="37">
        <f t="shared" si="0"/>
        <v>32</v>
      </c>
      <c r="F17" s="39" t="s">
        <v>121</v>
      </c>
    </row>
    <row r="18" spans="1:8" ht="22.5" customHeight="1" x14ac:dyDescent="0.25">
      <c r="A18" s="34" t="s">
        <v>122</v>
      </c>
      <c r="B18" s="35">
        <f>17+1</f>
        <v>18</v>
      </c>
      <c r="C18" s="35">
        <v>23</v>
      </c>
      <c r="D18" s="35">
        <v>6</v>
      </c>
      <c r="E18" s="34">
        <f t="shared" si="0"/>
        <v>47</v>
      </c>
      <c r="F18" s="36" t="s">
        <v>123</v>
      </c>
    </row>
    <row r="19" spans="1:8" ht="22.5" customHeight="1" x14ac:dyDescent="0.25">
      <c r="A19" s="37" t="s">
        <v>124</v>
      </c>
      <c r="B19" s="38">
        <f>9+1</f>
        <v>10</v>
      </c>
      <c r="C19" s="38">
        <v>25</v>
      </c>
      <c r="D19" s="38">
        <v>6</v>
      </c>
      <c r="E19" s="37">
        <f t="shared" si="0"/>
        <v>41</v>
      </c>
      <c r="F19" s="39" t="s">
        <v>125</v>
      </c>
    </row>
    <row r="20" spans="1:8" ht="36" customHeight="1" x14ac:dyDescent="0.25">
      <c r="A20" s="40" t="s">
        <v>126</v>
      </c>
      <c r="B20" s="41">
        <f>SUM(B8:B19)</f>
        <v>136</v>
      </c>
      <c r="C20" s="41">
        <f>SUM(C8:C19)</f>
        <v>209</v>
      </c>
      <c r="D20" s="41">
        <f>SUM(D8:D19)</f>
        <v>32</v>
      </c>
      <c r="E20" s="41">
        <f>SUM(E8:E19)</f>
        <v>377</v>
      </c>
      <c r="F20" s="42" t="s">
        <v>127</v>
      </c>
    </row>
    <row r="21" spans="1:8" ht="15" x14ac:dyDescent="0.25">
      <c r="A21" s="150" t="s">
        <v>128</v>
      </c>
      <c r="B21" s="150"/>
      <c r="C21" s="150"/>
      <c r="D21" s="150"/>
      <c r="E21" s="32"/>
      <c r="F21" s="43" t="s">
        <v>129</v>
      </c>
      <c r="G21" s="44"/>
      <c r="H21" s="44"/>
    </row>
  </sheetData>
  <mergeCells count="9">
    <mergeCell ref="A21:D21"/>
    <mergeCell ref="A1:F1"/>
    <mergeCell ref="A2:F2"/>
    <mergeCell ref="A3:F3"/>
    <mergeCell ref="A4:F4"/>
    <mergeCell ref="B5:E5"/>
    <mergeCell ref="A6:A7"/>
    <mergeCell ref="B6:E6"/>
    <mergeCell ref="F6:F7"/>
  </mergeCells>
  <printOptions horizontalCentered="1" verticalCentered="1"/>
  <pageMargins left="0" right="0" top="0" bottom="0" header="0.31496062992125984" footer="0.31496062992125984"/>
  <pageSetup paperSize="9" orientation="landscape"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H21"/>
  <sheetViews>
    <sheetView rightToLeft="1" view="pageBreakPreview" zoomScaleNormal="100" zoomScaleSheetLayoutView="100" workbookViewId="0">
      <selection activeCell="B20" sqref="B20"/>
    </sheetView>
  </sheetViews>
  <sheetFormatPr defaultColWidth="9.09765625" defaultRowHeight="13.8" x14ac:dyDescent="0.25"/>
  <cols>
    <col min="1" max="1" width="25.69921875" style="29" customWidth="1"/>
    <col min="2" max="5" width="10.69921875" style="29" customWidth="1"/>
    <col min="6" max="6" width="25.69921875" style="29" customWidth="1"/>
    <col min="7" max="16384" width="9.09765625" style="29"/>
  </cols>
  <sheetData>
    <row r="1" spans="1:6" ht="34.950000000000003" customHeight="1" x14ac:dyDescent="0.25">
      <c r="A1" s="151"/>
      <c r="B1" s="152"/>
      <c r="C1" s="152"/>
      <c r="D1" s="152"/>
      <c r="E1" s="152"/>
      <c r="F1" s="152"/>
    </row>
    <row r="2" spans="1:6" ht="21" x14ac:dyDescent="0.25">
      <c r="A2" s="153" t="s">
        <v>130</v>
      </c>
      <c r="B2" s="153"/>
      <c r="C2" s="153"/>
      <c r="D2" s="153"/>
      <c r="E2" s="153"/>
      <c r="F2" s="153"/>
    </row>
    <row r="3" spans="1:6" ht="18" x14ac:dyDescent="0.25">
      <c r="A3" s="154" t="s">
        <v>92</v>
      </c>
      <c r="B3" s="154"/>
      <c r="C3" s="154"/>
      <c r="D3" s="154"/>
      <c r="E3" s="154"/>
      <c r="F3" s="154"/>
    </row>
    <row r="4" spans="1:6" ht="15" customHeight="1" x14ac:dyDescent="0.25">
      <c r="A4" s="155">
        <v>2020</v>
      </c>
      <c r="B4" s="155"/>
      <c r="C4" s="155"/>
      <c r="D4" s="155"/>
      <c r="E4" s="155"/>
      <c r="F4" s="155"/>
    </row>
    <row r="5" spans="1:6" ht="15.6" x14ac:dyDescent="0.25">
      <c r="A5" s="30" t="s">
        <v>146</v>
      </c>
      <c r="B5" s="163" t="s">
        <v>147</v>
      </c>
      <c r="C5" s="163"/>
      <c r="D5" s="163"/>
      <c r="E5" s="163"/>
      <c r="F5" s="33" t="s">
        <v>148</v>
      </c>
    </row>
    <row r="6" spans="1:6" ht="30" customHeight="1" thickBot="1" x14ac:dyDescent="0.3">
      <c r="A6" s="156" t="s">
        <v>95</v>
      </c>
      <c r="B6" s="158" t="s">
        <v>96</v>
      </c>
      <c r="C6" s="159"/>
      <c r="D6" s="159"/>
      <c r="E6" s="159"/>
      <c r="F6" s="160" t="s">
        <v>97</v>
      </c>
    </row>
    <row r="7" spans="1:6" ht="30" customHeight="1" x14ac:dyDescent="0.25">
      <c r="A7" s="157"/>
      <c r="B7" s="69" t="s">
        <v>98</v>
      </c>
      <c r="C7" s="69" t="s">
        <v>99</v>
      </c>
      <c r="D7" s="69" t="s">
        <v>100</v>
      </c>
      <c r="E7" s="69" t="s">
        <v>101</v>
      </c>
      <c r="F7" s="161"/>
    </row>
    <row r="8" spans="1:6" ht="22.5" customHeight="1" x14ac:dyDescent="0.25">
      <c r="A8" s="34" t="s">
        <v>102</v>
      </c>
      <c r="B8" s="35">
        <f>10+3</f>
        <v>13</v>
      </c>
      <c r="C8" s="35">
        <v>2</v>
      </c>
      <c r="D8" s="35">
        <v>1</v>
      </c>
      <c r="E8" s="34">
        <f t="shared" ref="E8:E19" si="0">SUM(B8:D8)</f>
        <v>16</v>
      </c>
      <c r="F8" s="36" t="s">
        <v>103</v>
      </c>
    </row>
    <row r="9" spans="1:6" ht="22.5" customHeight="1" x14ac:dyDescent="0.25">
      <c r="A9" s="37" t="s">
        <v>104</v>
      </c>
      <c r="B9" s="38">
        <f>6+0</f>
        <v>6</v>
      </c>
      <c r="C9" s="38">
        <v>2</v>
      </c>
      <c r="D9" s="38">
        <v>3</v>
      </c>
      <c r="E9" s="37">
        <f t="shared" si="0"/>
        <v>11</v>
      </c>
      <c r="F9" s="39" t="s">
        <v>105</v>
      </c>
    </row>
    <row r="10" spans="1:6" ht="22.5" customHeight="1" x14ac:dyDescent="0.25">
      <c r="A10" s="34" t="s">
        <v>106</v>
      </c>
      <c r="B10" s="35">
        <f>6+4</f>
        <v>10</v>
      </c>
      <c r="C10" s="35">
        <v>0</v>
      </c>
      <c r="D10" s="35">
        <v>0</v>
      </c>
      <c r="E10" s="34">
        <f t="shared" si="0"/>
        <v>10</v>
      </c>
      <c r="F10" s="36" t="s">
        <v>107</v>
      </c>
    </row>
    <row r="11" spans="1:6" ht="22.5" customHeight="1" x14ac:dyDescent="0.25">
      <c r="A11" s="37" t="s">
        <v>108</v>
      </c>
      <c r="B11" s="38">
        <f>7+2</f>
        <v>9</v>
      </c>
      <c r="C11" s="38">
        <v>1</v>
      </c>
      <c r="D11" s="38">
        <v>0</v>
      </c>
      <c r="E11" s="37">
        <f t="shared" si="0"/>
        <v>10</v>
      </c>
      <c r="F11" s="39" t="s">
        <v>109</v>
      </c>
    </row>
    <row r="12" spans="1:6" ht="22.5" customHeight="1" x14ac:dyDescent="0.25">
      <c r="A12" s="34" t="s">
        <v>110</v>
      </c>
      <c r="B12" s="35">
        <f>5+0</f>
        <v>5</v>
      </c>
      <c r="C12" s="35">
        <v>0</v>
      </c>
      <c r="D12" s="35">
        <v>0</v>
      </c>
      <c r="E12" s="34">
        <f t="shared" si="0"/>
        <v>5</v>
      </c>
      <c r="F12" s="36" t="s">
        <v>111</v>
      </c>
    </row>
    <row r="13" spans="1:6" ht="22.5" customHeight="1" x14ac:dyDescent="0.25">
      <c r="A13" s="37" t="s">
        <v>112</v>
      </c>
      <c r="B13" s="38">
        <f>8+0</f>
        <v>8</v>
      </c>
      <c r="C13" s="38">
        <v>4</v>
      </c>
      <c r="D13" s="38">
        <v>1</v>
      </c>
      <c r="E13" s="37">
        <f t="shared" si="0"/>
        <v>13</v>
      </c>
      <c r="F13" s="39" t="s">
        <v>113</v>
      </c>
    </row>
    <row r="14" spans="1:6" ht="22.5" customHeight="1" x14ac:dyDescent="0.25">
      <c r="A14" s="34" t="s">
        <v>114</v>
      </c>
      <c r="B14" s="35">
        <f>4+0</f>
        <v>4</v>
      </c>
      <c r="C14" s="35">
        <v>3</v>
      </c>
      <c r="D14" s="35">
        <v>5</v>
      </c>
      <c r="E14" s="34">
        <f t="shared" si="0"/>
        <v>12</v>
      </c>
      <c r="F14" s="36" t="s">
        <v>115</v>
      </c>
    </row>
    <row r="15" spans="1:6" ht="22.5" customHeight="1" x14ac:dyDescent="0.25">
      <c r="A15" s="37" t="s">
        <v>116</v>
      </c>
      <c r="B15" s="38">
        <f>8+0</f>
        <v>8</v>
      </c>
      <c r="C15" s="38">
        <v>6</v>
      </c>
      <c r="D15" s="38">
        <v>3</v>
      </c>
      <c r="E15" s="37">
        <f t="shared" si="0"/>
        <v>17</v>
      </c>
      <c r="F15" s="39" t="s">
        <v>117</v>
      </c>
    </row>
    <row r="16" spans="1:6" ht="22.5" customHeight="1" x14ac:dyDescent="0.25">
      <c r="A16" s="34" t="s">
        <v>118</v>
      </c>
      <c r="B16" s="35">
        <f>8+1</f>
        <v>9</v>
      </c>
      <c r="C16" s="35">
        <v>4</v>
      </c>
      <c r="D16" s="35">
        <v>3</v>
      </c>
      <c r="E16" s="34">
        <f t="shared" si="0"/>
        <v>16</v>
      </c>
      <c r="F16" s="36" t="s">
        <v>119</v>
      </c>
    </row>
    <row r="17" spans="1:8" ht="22.5" customHeight="1" x14ac:dyDescent="0.25">
      <c r="A17" s="37" t="s">
        <v>120</v>
      </c>
      <c r="B17" s="38">
        <f>8+0</f>
        <v>8</v>
      </c>
      <c r="C17" s="38">
        <v>4</v>
      </c>
      <c r="D17" s="38">
        <v>2</v>
      </c>
      <c r="E17" s="37">
        <f t="shared" si="0"/>
        <v>14</v>
      </c>
      <c r="F17" s="39" t="s">
        <v>121</v>
      </c>
    </row>
    <row r="18" spans="1:8" ht="22.5" customHeight="1" x14ac:dyDescent="0.25">
      <c r="A18" s="34" t="s">
        <v>122</v>
      </c>
      <c r="B18" s="35">
        <f>11+2</f>
        <v>13</v>
      </c>
      <c r="C18" s="35">
        <v>4</v>
      </c>
      <c r="D18" s="35">
        <v>1</v>
      </c>
      <c r="E18" s="34">
        <f t="shared" si="0"/>
        <v>18</v>
      </c>
      <c r="F18" s="36" t="s">
        <v>123</v>
      </c>
    </row>
    <row r="19" spans="1:8" ht="22.5" customHeight="1" x14ac:dyDescent="0.25">
      <c r="A19" s="37" t="s">
        <v>124</v>
      </c>
      <c r="B19" s="38">
        <f>15+2</f>
        <v>17</v>
      </c>
      <c r="C19" s="38">
        <v>7</v>
      </c>
      <c r="D19" s="38">
        <v>1</v>
      </c>
      <c r="E19" s="37">
        <f t="shared" si="0"/>
        <v>25</v>
      </c>
      <c r="F19" s="39" t="s">
        <v>125</v>
      </c>
    </row>
    <row r="20" spans="1:8" ht="36" customHeight="1" x14ac:dyDescent="0.25">
      <c r="A20" s="40" t="s">
        <v>126</v>
      </c>
      <c r="B20" s="41">
        <f>SUM(B8:B19)</f>
        <v>110</v>
      </c>
      <c r="C20" s="41">
        <f>SUM(C8:C19)</f>
        <v>37</v>
      </c>
      <c r="D20" s="41">
        <f>SUM(D8:D19)</f>
        <v>20</v>
      </c>
      <c r="E20" s="41">
        <f>SUM(E8:E19)</f>
        <v>167</v>
      </c>
      <c r="F20" s="42" t="s">
        <v>127</v>
      </c>
    </row>
    <row r="21" spans="1:8" ht="15" x14ac:dyDescent="0.25">
      <c r="A21" s="150" t="s">
        <v>128</v>
      </c>
      <c r="B21" s="150"/>
      <c r="C21" s="150"/>
      <c r="D21" s="150"/>
      <c r="E21" s="32"/>
      <c r="F21" s="43" t="s">
        <v>129</v>
      </c>
      <c r="G21" s="44"/>
      <c r="H21" s="44"/>
    </row>
  </sheetData>
  <mergeCells count="9">
    <mergeCell ref="A21:D21"/>
    <mergeCell ref="A1:F1"/>
    <mergeCell ref="A2:F2"/>
    <mergeCell ref="A3:F3"/>
    <mergeCell ref="A4:F4"/>
    <mergeCell ref="B5:E5"/>
    <mergeCell ref="A6:A7"/>
    <mergeCell ref="B6:E6"/>
    <mergeCell ref="F6:F7"/>
  </mergeCells>
  <printOptions horizontalCentered="1" verticalCentered="1"/>
  <pageMargins left="0" right="0" top="0" bottom="0" header="0.31496062992125984" footer="0.31496062992125984"/>
  <pageSetup paperSize="9" orientation="landscape" r:id="rId1"/>
  <ignoredErrors>
    <ignoredError sqref="B14 B16" formula="1"/>
  </ignoredErrors>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H21"/>
  <sheetViews>
    <sheetView rightToLeft="1" view="pageBreakPreview" zoomScaleNormal="100" zoomScaleSheetLayoutView="100" workbookViewId="0">
      <selection activeCell="B20" sqref="B20"/>
    </sheetView>
  </sheetViews>
  <sheetFormatPr defaultColWidth="9.09765625" defaultRowHeight="13.8" x14ac:dyDescent="0.25"/>
  <cols>
    <col min="1" max="1" width="25.69921875" style="29" customWidth="1"/>
    <col min="2" max="5" width="10.69921875" style="29" customWidth="1"/>
    <col min="6" max="6" width="25.69921875" style="29" customWidth="1"/>
    <col min="7" max="16384" width="9.09765625" style="29"/>
  </cols>
  <sheetData>
    <row r="1" spans="1:6" ht="34.950000000000003" customHeight="1" x14ac:dyDescent="0.25">
      <c r="A1" s="151"/>
      <c r="B1" s="152"/>
      <c r="C1" s="152"/>
      <c r="D1" s="152"/>
      <c r="E1" s="152"/>
      <c r="F1" s="152"/>
    </row>
    <row r="2" spans="1:6" ht="21" x14ac:dyDescent="0.25">
      <c r="A2" s="153" t="s">
        <v>130</v>
      </c>
      <c r="B2" s="153"/>
      <c r="C2" s="153"/>
      <c r="D2" s="153"/>
      <c r="E2" s="153"/>
      <c r="F2" s="153"/>
    </row>
    <row r="3" spans="1:6" ht="18" x14ac:dyDescent="0.25">
      <c r="A3" s="154" t="s">
        <v>92</v>
      </c>
      <c r="B3" s="154"/>
      <c r="C3" s="154"/>
      <c r="D3" s="154"/>
      <c r="E3" s="154"/>
      <c r="F3" s="154"/>
    </row>
    <row r="4" spans="1:6" ht="15" customHeight="1" x14ac:dyDescent="0.25">
      <c r="A4" s="155">
        <v>2020</v>
      </c>
      <c r="B4" s="155"/>
      <c r="C4" s="155"/>
      <c r="D4" s="155"/>
      <c r="E4" s="155"/>
      <c r="F4" s="155"/>
    </row>
    <row r="5" spans="1:6" ht="15.6" x14ac:dyDescent="0.25">
      <c r="A5" s="30" t="s">
        <v>149</v>
      </c>
      <c r="B5" s="163" t="s">
        <v>150</v>
      </c>
      <c r="C5" s="163"/>
      <c r="D5" s="163"/>
      <c r="E5" s="163"/>
      <c r="F5" s="33" t="s">
        <v>151</v>
      </c>
    </row>
    <row r="6" spans="1:6" ht="30" customHeight="1" thickBot="1" x14ac:dyDescent="0.3">
      <c r="A6" s="156" t="s">
        <v>95</v>
      </c>
      <c r="B6" s="158" t="s">
        <v>96</v>
      </c>
      <c r="C6" s="159"/>
      <c r="D6" s="159"/>
      <c r="E6" s="159"/>
      <c r="F6" s="160" t="s">
        <v>97</v>
      </c>
    </row>
    <row r="7" spans="1:6" ht="30" customHeight="1" x14ac:dyDescent="0.25">
      <c r="A7" s="157"/>
      <c r="B7" s="69" t="s">
        <v>98</v>
      </c>
      <c r="C7" s="69" t="s">
        <v>99</v>
      </c>
      <c r="D7" s="69" t="s">
        <v>100</v>
      </c>
      <c r="E7" s="69" t="s">
        <v>101</v>
      </c>
      <c r="F7" s="161"/>
    </row>
    <row r="8" spans="1:6" ht="22.5" customHeight="1" x14ac:dyDescent="0.25">
      <c r="A8" s="34" t="s">
        <v>102</v>
      </c>
      <c r="B8" s="35">
        <f>77+5</f>
        <v>82</v>
      </c>
      <c r="C8" s="35">
        <v>37</v>
      </c>
      <c r="D8" s="35">
        <v>3</v>
      </c>
      <c r="E8" s="34">
        <f t="shared" ref="E8:E19" si="0">SUM(B8:D8)</f>
        <v>122</v>
      </c>
      <c r="F8" s="36" t="s">
        <v>103</v>
      </c>
    </row>
    <row r="9" spans="1:6" ht="22.5" customHeight="1" x14ac:dyDescent="0.25">
      <c r="A9" s="37" t="s">
        <v>104</v>
      </c>
      <c r="B9" s="38">
        <f>55+1</f>
        <v>56</v>
      </c>
      <c r="C9" s="38">
        <v>44</v>
      </c>
      <c r="D9" s="38">
        <v>2</v>
      </c>
      <c r="E9" s="37">
        <f t="shared" si="0"/>
        <v>102</v>
      </c>
      <c r="F9" s="39" t="s">
        <v>105</v>
      </c>
    </row>
    <row r="10" spans="1:6" ht="22.5" customHeight="1" x14ac:dyDescent="0.25">
      <c r="A10" s="34" t="s">
        <v>106</v>
      </c>
      <c r="B10" s="35">
        <f>53+2</f>
        <v>55</v>
      </c>
      <c r="C10" s="35">
        <v>33</v>
      </c>
      <c r="D10" s="35">
        <v>2</v>
      </c>
      <c r="E10" s="34">
        <f t="shared" si="0"/>
        <v>90</v>
      </c>
      <c r="F10" s="36" t="s">
        <v>107</v>
      </c>
    </row>
    <row r="11" spans="1:6" ht="22.5" customHeight="1" x14ac:dyDescent="0.25">
      <c r="A11" s="37" t="s">
        <v>108</v>
      </c>
      <c r="B11" s="38">
        <f>26+2</f>
        <v>28</v>
      </c>
      <c r="C11" s="38">
        <v>28</v>
      </c>
      <c r="D11" s="38">
        <v>2</v>
      </c>
      <c r="E11" s="37">
        <f t="shared" si="0"/>
        <v>58</v>
      </c>
      <c r="F11" s="39" t="s">
        <v>109</v>
      </c>
    </row>
    <row r="12" spans="1:6" ht="22.5" customHeight="1" x14ac:dyDescent="0.25">
      <c r="A12" s="34" t="s">
        <v>110</v>
      </c>
      <c r="B12" s="35">
        <f>24+2</f>
        <v>26</v>
      </c>
      <c r="C12" s="35">
        <v>16</v>
      </c>
      <c r="D12" s="35">
        <v>1</v>
      </c>
      <c r="E12" s="34">
        <f t="shared" si="0"/>
        <v>43</v>
      </c>
      <c r="F12" s="36" t="s">
        <v>111</v>
      </c>
    </row>
    <row r="13" spans="1:6" ht="22.5" customHeight="1" x14ac:dyDescent="0.25">
      <c r="A13" s="37" t="s">
        <v>112</v>
      </c>
      <c r="B13" s="38">
        <f>50+4</f>
        <v>54</v>
      </c>
      <c r="C13" s="38">
        <v>45</v>
      </c>
      <c r="D13" s="38">
        <v>1</v>
      </c>
      <c r="E13" s="37">
        <f t="shared" si="0"/>
        <v>100</v>
      </c>
      <c r="F13" s="39" t="s">
        <v>113</v>
      </c>
    </row>
    <row r="14" spans="1:6" ht="22.5" customHeight="1" x14ac:dyDescent="0.25">
      <c r="A14" s="34" t="s">
        <v>114</v>
      </c>
      <c r="B14" s="35">
        <f>47+7</f>
        <v>54</v>
      </c>
      <c r="C14" s="35">
        <v>47</v>
      </c>
      <c r="D14" s="35">
        <v>5</v>
      </c>
      <c r="E14" s="34">
        <f t="shared" si="0"/>
        <v>106</v>
      </c>
      <c r="F14" s="36" t="s">
        <v>115</v>
      </c>
    </row>
    <row r="15" spans="1:6" ht="22.5" customHeight="1" x14ac:dyDescent="0.25">
      <c r="A15" s="37" t="s">
        <v>116</v>
      </c>
      <c r="B15" s="38">
        <f>64+2</f>
        <v>66</v>
      </c>
      <c r="C15" s="38">
        <v>27</v>
      </c>
      <c r="D15" s="38">
        <v>2</v>
      </c>
      <c r="E15" s="37">
        <f t="shared" si="0"/>
        <v>95</v>
      </c>
      <c r="F15" s="39" t="s">
        <v>117</v>
      </c>
    </row>
    <row r="16" spans="1:6" ht="22.5" customHeight="1" x14ac:dyDescent="0.25">
      <c r="A16" s="34" t="s">
        <v>118</v>
      </c>
      <c r="B16" s="35">
        <f>64+6</f>
        <v>70</v>
      </c>
      <c r="C16" s="35">
        <v>60</v>
      </c>
      <c r="D16" s="35">
        <v>6</v>
      </c>
      <c r="E16" s="34">
        <f t="shared" si="0"/>
        <v>136</v>
      </c>
      <c r="F16" s="36" t="s">
        <v>119</v>
      </c>
    </row>
    <row r="17" spans="1:8" ht="22.5" customHeight="1" x14ac:dyDescent="0.25">
      <c r="A17" s="37" t="s">
        <v>120</v>
      </c>
      <c r="B17" s="38">
        <f>74+22</f>
        <v>96</v>
      </c>
      <c r="C17" s="38">
        <v>58</v>
      </c>
      <c r="D17" s="38">
        <v>3</v>
      </c>
      <c r="E17" s="37">
        <f t="shared" si="0"/>
        <v>157</v>
      </c>
      <c r="F17" s="39" t="s">
        <v>121</v>
      </c>
    </row>
    <row r="18" spans="1:8" ht="22.5" customHeight="1" x14ac:dyDescent="0.25">
      <c r="A18" s="34" t="s">
        <v>122</v>
      </c>
      <c r="B18" s="35">
        <f>84+2</f>
        <v>86</v>
      </c>
      <c r="C18" s="35">
        <v>50</v>
      </c>
      <c r="D18" s="35">
        <v>12</v>
      </c>
      <c r="E18" s="34">
        <f t="shared" si="0"/>
        <v>148</v>
      </c>
      <c r="F18" s="36" t="s">
        <v>123</v>
      </c>
    </row>
    <row r="19" spans="1:8" ht="22.5" customHeight="1" x14ac:dyDescent="0.25">
      <c r="A19" s="37" t="s">
        <v>124</v>
      </c>
      <c r="B19" s="38">
        <f>149+5</f>
        <v>154</v>
      </c>
      <c r="C19" s="38">
        <v>88</v>
      </c>
      <c r="D19" s="38">
        <v>6</v>
      </c>
      <c r="E19" s="37">
        <f t="shared" si="0"/>
        <v>248</v>
      </c>
      <c r="F19" s="39" t="s">
        <v>125</v>
      </c>
    </row>
    <row r="20" spans="1:8" ht="36" customHeight="1" x14ac:dyDescent="0.25">
      <c r="A20" s="40" t="s">
        <v>126</v>
      </c>
      <c r="B20" s="41">
        <f>SUM(B8:B19)</f>
        <v>827</v>
      </c>
      <c r="C20" s="41">
        <f>SUM(C8:C19)</f>
        <v>533</v>
      </c>
      <c r="D20" s="41">
        <f>SUM(D8:D19)</f>
        <v>45</v>
      </c>
      <c r="E20" s="41">
        <f>SUM(E8:E19)</f>
        <v>1405</v>
      </c>
      <c r="F20" s="42" t="s">
        <v>127</v>
      </c>
    </row>
    <row r="21" spans="1:8" ht="15" x14ac:dyDescent="0.25">
      <c r="A21" s="150" t="s">
        <v>128</v>
      </c>
      <c r="B21" s="150"/>
      <c r="C21" s="150"/>
      <c r="D21" s="150"/>
      <c r="E21" s="32"/>
      <c r="F21" s="43" t="s">
        <v>129</v>
      </c>
      <c r="G21" s="44"/>
      <c r="H21" s="44"/>
    </row>
  </sheetData>
  <mergeCells count="9">
    <mergeCell ref="A21:D21"/>
    <mergeCell ref="A1:F1"/>
    <mergeCell ref="A2:F2"/>
    <mergeCell ref="A3:F3"/>
    <mergeCell ref="A4:F4"/>
    <mergeCell ref="B5:E5"/>
    <mergeCell ref="A6:A7"/>
    <mergeCell ref="B6:E6"/>
    <mergeCell ref="F6:F7"/>
  </mergeCells>
  <printOptions horizontalCentered="1" verticalCentered="1"/>
  <pageMargins left="0" right="0" top="0" bottom="0" header="0.31496062992125984" footer="0.31496062992125984"/>
  <pageSetup paperSize="9" orientation="landscape"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H21"/>
  <sheetViews>
    <sheetView rightToLeft="1" view="pageBreakPreview" zoomScaleNormal="100" zoomScaleSheetLayoutView="100" workbookViewId="0">
      <selection activeCell="B20" sqref="B20"/>
    </sheetView>
  </sheetViews>
  <sheetFormatPr defaultColWidth="9.09765625" defaultRowHeight="13.8" x14ac:dyDescent="0.25"/>
  <cols>
    <col min="1" max="1" width="25.69921875" style="29" customWidth="1"/>
    <col min="2" max="5" width="10.69921875" style="29" customWidth="1"/>
    <col min="6" max="6" width="25.69921875" style="29" customWidth="1"/>
    <col min="7" max="16384" width="9.09765625" style="29"/>
  </cols>
  <sheetData>
    <row r="1" spans="1:6" ht="34.950000000000003" customHeight="1" x14ac:dyDescent="0.25">
      <c r="A1" s="151"/>
      <c r="B1" s="152"/>
      <c r="C1" s="152"/>
      <c r="D1" s="152"/>
      <c r="E1" s="152"/>
      <c r="F1" s="152"/>
    </row>
    <row r="2" spans="1:6" ht="21" x14ac:dyDescent="0.25">
      <c r="A2" s="153" t="s">
        <v>130</v>
      </c>
      <c r="B2" s="153"/>
      <c r="C2" s="153"/>
      <c r="D2" s="153"/>
      <c r="E2" s="153"/>
      <c r="F2" s="153"/>
    </row>
    <row r="3" spans="1:6" ht="18" x14ac:dyDescent="0.25">
      <c r="A3" s="154" t="s">
        <v>92</v>
      </c>
      <c r="B3" s="154"/>
      <c r="C3" s="154"/>
      <c r="D3" s="154"/>
      <c r="E3" s="154"/>
      <c r="F3" s="154"/>
    </row>
    <row r="4" spans="1:6" ht="15" customHeight="1" x14ac:dyDescent="0.25">
      <c r="A4" s="155">
        <v>2020</v>
      </c>
      <c r="B4" s="155"/>
      <c r="C4" s="155"/>
      <c r="D4" s="155"/>
      <c r="E4" s="155"/>
      <c r="F4" s="155"/>
    </row>
    <row r="5" spans="1:6" ht="15.6" x14ac:dyDescent="0.25">
      <c r="A5" s="30" t="s">
        <v>152</v>
      </c>
      <c r="B5" s="163" t="s">
        <v>153</v>
      </c>
      <c r="C5" s="163"/>
      <c r="D5" s="163"/>
      <c r="E5" s="163"/>
      <c r="F5" s="33" t="s">
        <v>154</v>
      </c>
    </row>
    <row r="6" spans="1:6" ht="30" customHeight="1" thickBot="1" x14ac:dyDescent="0.3">
      <c r="A6" s="156" t="s">
        <v>95</v>
      </c>
      <c r="B6" s="158" t="s">
        <v>96</v>
      </c>
      <c r="C6" s="159"/>
      <c r="D6" s="159"/>
      <c r="E6" s="159"/>
      <c r="F6" s="160" t="s">
        <v>97</v>
      </c>
    </row>
    <row r="7" spans="1:6" ht="30" customHeight="1" x14ac:dyDescent="0.25">
      <c r="A7" s="157"/>
      <c r="B7" s="69" t="s">
        <v>98</v>
      </c>
      <c r="C7" s="69" t="s">
        <v>99</v>
      </c>
      <c r="D7" s="69" t="s">
        <v>100</v>
      </c>
      <c r="E7" s="69" t="s">
        <v>101</v>
      </c>
      <c r="F7" s="161"/>
    </row>
    <row r="8" spans="1:6" ht="22.5" customHeight="1" x14ac:dyDescent="0.25">
      <c r="A8" s="34" t="s">
        <v>102</v>
      </c>
      <c r="B8" s="35">
        <f>2+2</f>
        <v>4</v>
      </c>
      <c r="C8" s="35">
        <v>15</v>
      </c>
      <c r="D8" s="35">
        <v>1</v>
      </c>
      <c r="E8" s="34">
        <f t="shared" ref="E8:E19" si="0">SUM(B8:D8)</f>
        <v>20</v>
      </c>
      <c r="F8" s="36" t="s">
        <v>103</v>
      </c>
    </row>
    <row r="9" spans="1:6" ht="22.5" customHeight="1" x14ac:dyDescent="0.25">
      <c r="A9" s="37" t="s">
        <v>104</v>
      </c>
      <c r="B9" s="38">
        <f>4+1</f>
        <v>5</v>
      </c>
      <c r="C9" s="38">
        <v>10</v>
      </c>
      <c r="D9" s="38">
        <v>1</v>
      </c>
      <c r="E9" s="37">
        <f t="shared" si="0"/>
        <v>16</v>
      </c>
      <c r="F9" s="39" t="s">
        <v>105</v>
      </c>
    </row>
    <row r="10" spans="1:6" ht="22.5" customHeight="1" x14ac:dyDescent="0.25">
      <c r="A10" s="34" t="s">
        <v>106</v>
      </c>
      <c r="B10" s="35">
        <f>4+1</f>
        <v>5</v>
      </c>
      <c r="C10" s="35">
        <v>15</v>
      </c>
      <c r="D10" s="35">
        <v>1</v>
      </c>
      <c r="E10" s="34">
        <f t="shared" si="0"/>
        <v>21</v>
      </c>
      <c r="F10" s="36" t="s">
        <v>107</v>
      </c>
    </row>
    <row r="11" spans="1:6" ht="22.5" customHeight="1" x14ac:dyDescent="0.25">
      <c r="A11" s="37" t="s">
        <v>108</v>
      </c>
      <c r="B11" s="38">
        <f>2+1</f>
        <v>3</v>
      </c>
      <c r="C11" s="38">
        <v>2</v>
      </c>
      <c r="D11" s="38">
        <v>0</v>
      </c>
      <c r="E11" s="37">
        <f t="shared" si="0"/>
        <v>5</v>
      </c>
      <c r="F11" s="39" t="s">
        <v>109</v>
      </c>
    </row>
    <row r="12" spans="1:6" ht="22.5" customHeight="1" x14ac:dyDescent="0.25">
      <c r="A12" s="34" t="s">
        <v>110</v>
      </c>
      <c r="B12" s="35">
        <f>8+0</f>
        <v>8</v>
      </c>
      <c r="C12" s="35">
        <v>7</v>
      </c>
      <c r="D12" s="35">
        <v>0</v>
      </c>
      <c r="E12" s="34">
        <f t="shared" si="0"/>
        <v>15</v>
      </c>
      <c r="F12" s="36" t="s">
        <v>111</v>
      </c>
    </row>
    <row r="13" spans="1:6" ht="22.5" customHeight="1" x14ac:dyDescent="0.25">
      <c r="A13" s="37" t="s">
        <v>112</v>
      </c>
      <c r="B13" s="38">
        <f>3+0</f>
        <v>3</v>
      </c>
      <c r="C13" s="38">
        <v>12</v>
      </c>
      <c r="D13" s="38">
        <v>3</v>
      </c>
      <c r="E13" s="37">
        <f t="shared" si="0"/>
        <v>18</v>
      </c>
      <c r="F13" s="39" t="s">
        <v>113</v>
      </c>
    </row>
    <row r="14" spans="1:6" ht="22.5" customHeight="1" x14ac:dyDescent="0.25">
      <c r="A14" s="34" t="s">
        <v>114</v>
      </c>
      <c r="B14" s="35">
        <f>4+1</f>
        <v>5</v>
      </c>
      <c r="C14" s="35">
        <v>8</v>
      </c>
      <c r="D14" s="35">
        <v>4</v>
      </c>
      <c r="E14" s="34">
        <f t="shared" si="0"/>
        <v>17</v>
      </c>
      <c r="F14" s="36" t="s">
        <v>115</v>
      </c>
    </row>
    <row r="15" spans="1:6" ht="22.5" customHeight="1" x14ac:dyDescent="0.25">
      <c r="A15" s="37" t="s">
        <v>116</v>
      </c>
      <c r="B15" s="38">
        <f>1+1</f>
        <v>2</v>
      </c>
      <c r="C15" s="38">
        <v>9</v>
      </c>
      <c r="D15" s="38">
        <v>0</v>
      </c>
      <c r="E15" s="37">
        <f t="shared" si="0"/>
        <v>11</v>
      </c>
      <c r="F15" s="39" t="s">
        <v>117</v>
      </c>
    </row>
    <row r="16" spans="1:6" ht="22.5" customHeight="1" x14ac:dyDescent="0.25">
      <c r="A16" s="34" t="s">
        <v>118</v>
      </c>
      <c r="B16" s="35">
        <f>7+3</f>
        <v>10</v>
      </c>
      <c r="C16" s="35">
        <v>12</v>
      </c>
      <c r="D16" s="35">
        <v>3</v>
      </c>
      <c r="E16" s="34">
        <f t="shared" si="0"/>
        <v>25</v>
      </c>
      <c r="F16" s="36" t="s">
        <v>119</v>
      </c>
    </row>
    <row r="17" spans="1:8" ht="22.5" customHeight="1" x14ac:dyDescent="0.25">
      <c r="A17" s="37" t="s">
        <v>120</v>
      </c>
      <c r="B17" s="38">
        <f>2+2</f>
        <v>4</v>
      </c>
      <c r="C17" s="38">
        <v>15</v>
      </c>
      <c r="D17" s="38">
        <v>1</v>
      </c>
      <c r="E17" s="37">
        <f t="shared" si="0"/>
        <v>20</v>
      </c>
      <c r="F17" s="39" t="s">
        <v>121</v>
      </c>
    </row>
    <row r="18" spans="1:8" ht="22.5" customHeight="1" x14ac:dyDescent="0.25">
      <c r="A18" s="34" t="s">
        <v>122</v>
      </c>
      <c r="B18" s="35">
        <f>7+2</f>
        <v>9</v>
      </c>
      <c r="C18" s="35">
        <v>9</v>
      </c>
      <c r="D18" s="35">
        <v>1</v>
      </c>
      <c r="E18" s="34">
        <f t="shared" si="0"/>
        <v>19</v>
      </c>
      <c r="F18" s="36" t="s">
        <v>123</v>
      </c>
    </row>
    <row r="19" spans="1:8" ht="22.5" customHeight="1" x14ac:dyDescent="0.25">
      <c r="A19" s="37" t="s">
        <v>124</v>
      </c>
      <c r="B19" s="38">
        <f>9+1</f>
        <v>10</v>
      </c>
      <c r="C19" s="38">
        <v>18</v>
      </c>
      <c r="D19" s="38">
        <v>2</v>
      </c>
      <c r="E19" s="37">
        <f t="shared" si="0"/>
        <v>30</v>
      </c>
      <c r="F19" s="39" t="s">
        <v>125</v>
      </c>
    </row>
    <row r="20" spans="1:8" ht="36" customHeight="1" x14ac:dyDescent="0.25">
      <c r="A20" s="40" t="s">
        <v>126</v>
      </c>
      <c r="B20" s="41">
        <f>SUM(B8:B19)</f>
        <v>68</v>
      </c>
      <c r="C20" s="41">
        <f>SUM(C8:C19)</f>
        <v>132</v>
      </c>
      <c r="D20" s="41">
        <f>SUM(D8:D19)</f>
        <v>17</v>
      </c>
      <c r="E20" s="41">
        <f>SUM(E8:E19)</f>
        <v>217</v>
      </c>
      <c r="F20" s="42" t="s">
        <v>127</v>
      </c>
    </row>
    <row r="21" spans="1:8" ht="15" x14ac:dyDescent="0.25">
      <c r="A21" s="150" t="s">
        <v>128</v>
      </c>
      <c r="B21" s="150"/>
      <c r="C21" s="150"/>
      <c r="D21" s="150"/>
      <c r="E21" s="32"/>
      <c r="F21" s="43" t="s">
        <v>129</v>
      </c>
      <c r="G21" s="44"/>
      <c r="H21" s="44"/>
    </row>
  </sheetData>
  <mergeCells count="9">
    <mergeCell ref="A21:D21"/>
    <mergeCell ref="A1:F1"/>
    <mergeCell ref="A2:F2"/>
    <mergeCell ref="A3:F3"/>
    <mergeCell ref="A4:F4"/>
    <mergeCell ref="B5:E5"/>
    <mergeCell ref="A6:A7"/>
    <mergeCell ref="B6:E6"/>
    <mergeCell ref="F6:F7"/>
  </mergeCells>
  <printOptions horizontalCentered="1" verticalCentered="1"/>
  <pageMargins left="0.70866141732283472" right="0.70866141732283472" top="0.74803149606299213" bottom="0.74803149606299213" header="0.31496062992125984" footer="0.31496062992125984"/>
  <pageSetup paperSize="9" orientation="landscape"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O24"/>
  <sheetViews>
    <sheetView rightToLeft="1" view="pageBreakPreview" topLeftCell="A16" zoomScaleNormal="100" zoomScaleSheetLayoutView="100" workbookViewId="0">
      <selection activeCell="A4" sqref="A4:K4"/>
    </sheetView>
  </sheetViews>
  <sheetFormatPr defaultColWidth="9.09765625" defaultRowHeight="13.8" x14ac:dyDescent="0.25"/>
  <cols>
    <col min="1" max="1" width="28.69921875" style="29" customWidth="1"/>
    <col min="2" max="8" width="8.69921875" style="29" customWidth="1"/>
    <col min="9" max="9" width="10.19921875" style="29" customWidth="1"/>
    <col min="10" max="10" width="8.69921875" style="29" customWidth="1"/>
    <col min="11" max="11" width="28.69921875" style="29" customWidth="1"/>
    <col min="12" max="12" width="12.8984375" style="29" customWidth="1"/>
    <col min="13" max="13" width="27.8984375" style="29" customWidth="1"/>
    <col min="14" max="16384" width="9.09765625" style="29"/>
  </cols>
  <sheetData>
    <row r="1" spans="1:15" ht="37.200000000000003" customHeight="1" x14ac:dyDescent="0.25">
      <c r="A1" s="165"/>
      <c r="B1" s="151"/>
      <c r="C1" s="151"/>
      <c r="D1" s="151"/>
      <c r="E1" s="151"/>
      <c r="F1" s="151"/>
      <c r="G1" s="151"/>
      <c r="H1" s="151"/>
      <c r="I1" s="151"/>
      <c r="J1" s="151"/>
      <c r="K1" s="151"/>
      <c r="L1" s="45"/>
      <c r="M1" s="45"/>
      <c r="N1" s="45"/>
    </row>
    <row r="2" spans="1:15" ht="23.25" customHeight="1" x14ac:dyDescent="0.25">
      <c r="A2" s="153" t="s">
        <v>155</v>
      </c>
      <c r="B2" s="153"/>
      <c r="C2" s="153"/>
      <c r="D2" s="153"/>
      <c r="E2" s="153"/>
      <c r="F2" s="153"/>
      <c r="G2" s="153"/>
      <c r="H2" s="153"/>
      <c r="I2" s="153"/>
      <c r="J2" s="153"/>
      <c r="K2" s="153"/>
      <c r="L2" s="46"/>
      <c r="M2" s="46"/>
      <c r="N2" s="46"/>
    </row>
    <row r="3" spans="1:15" ht="20.25" customHeight="1" x14ac:dyDescent="0.25">
      <c r="A3" s="166" t="s">
        <v>156</v>
      </c>
      <c r="B3" s="166"/>
      <c r="C3" s="166"/>
      <c r="D3" s="166"/>
      <c r="E3" s="166"/>
      <c r="F3" s="166"/>
      <c r="G3" s="166"/>
      <c r="H3" s="166"/>
      <c r="I3" s="166"/>
      <c r="J3" s="166"/>
      <c r="K3" s="166"/>
      <c r="L3" s="47"/>
      <c r="M3" s="47"/>
      <c r="N3" s="47"/>
    </row>
    <row r="4" spans="1:15" ht="15" customHeight="1" x14ac:dyDescent="0.25">
      <c r="A4" s="155">
        <v>2020</v>
      </c>
      <c r="B4" s="155"/>
      <c r="C4" s="155"/>
      <c r="D4" s="155"/>
      <c r="E4" s="155"/>
      <c r="F4" s="155"/>
      <c r="G4" s="155"/>
      <c r="H4" s="155"/>
      <c r="I4" s="155"/>
      <c r="J4" s="155"/>
      <c r="K4" s="155"/>
      <c r="L4" s="47"/>
      <c r="M4" s="47"/>
      <c r="N4" s="47"/>
    </row>
    <row r="5" spans="1:15" ht="15.6" x14ac:dyDescent="0.25">
      <c r="A5" s="30" t="s">
        <v>212</v>
      </c>
      <c r="B5" s="163"/>
      <c r="C5" s="163"/>
      <c r="D5" s="163"/>
      <c r="E5" s="163"/>
      <c r="F5" s="163"/>
      <c r="G5" s="163"/>
      <c r="H5" s="163"/>
      <c r="I5" s="163"/>
      <c r="J5" s="163"/>
      <c r="K5" s="33" t="s">
        <v>213</v>
      </c>
      <c r="L5" s="32"/>
      <c r="M5" s="32"/>
      <c r="N5" s="33"/>
      <c r="O5" s="33"/>
    </row>
    <row r="6" spans="1:15" ht="96" customHeight="1" x14ac:dyDescent="0.25">
      <c r="A6" s="70" t="s">
        <v>159</v>
      </c>
      <c r="B6" s="71" t="s">
        <v>160</v>
      </c>
      <c r="C6" s="71" t="s">
        <v>161</v>
      </c>
      <c r="D6" s="71" t="s">
        <v>162</v>
      </c>
      <c r="E6" s="71" t="s">
        <v>163</v>
      </c>
      <c r="F6" s="71" t="s">
        <v>164</v>
      </c>
      <c r="G6" s="71" t="s">
        <v>165</v>
      </c>
      <c r="H6" s="71" t="s">
        <v>166</v>
      </c>
      <c r="I6" s="71" t="s">
        <v>167</v>
      </c>
      <c r="J6" s="71" t="s">
        <v>168</v>
      </c>
      <c r="K6" s="72" t="s">
        <v>169</v>
      </c>
    </row>
    <row r="7" spans="1:15" ht="30" customHeight="1" x14ac:dyDescent="0.25">
      <c r="A7" s="50" t="s">
        <v>170</v>
      </c>
      <c r="B7" s="51"/>
      <c r="C7" s="51"/>
      <c r="D7" s="51"/>
      <c r="E7" s="51"/>
      <c r="F7" s="51"/>
      <c r="G7" s="51"/>
      <c r="H7" s="51"/>
      <c r="I7" s="51"/>
      <c r="J7" s="51"/>
      <c r="K7" s="52" t="s">
        <v>171</v>
      </c>
      <c r="M7" s="55" t="s">
        <v>248</v>
      </c>
    </row>
    <row r="8" spans="1:15" ht="19.95" customHeight="1" x14ac:dyDescent="0.25">
      <c r="A8" s="53" t="s">
        <v>172</v>
      </c>
      <c r="B8" s="38">
        <v>291</v>
      </c>
      <c r="C8" s="38">
        <v>421</v>
      </c>
      <c r="D8" s="38">
        <v>478</v>
      </c>
      <c r="E8" s="38">
        <v>221</v>
      </c>
      <c r="F8" s="38">
        <v>641</v>
      </c>
      <c r="G8" s="38">
        <v>72</v>
      </c>
      <c r="H8" s="38">
        <v>90</v>
      </c>
      <c r="I8" s="38">
        <v>28</v>
      </c>
      <c r="J8" s="38">
        <f>SUM(B8:I8)</f>
        <v>2242</v>
      </c>
      <c r="K8" s="54" t="s">
        <v>173</v>
      </c>
      <c r="L8" s="55"/>
      <c r="M8" s="55" t="s">
        <v>250</v>
      </c>
    </row>
    <row r="9" spans="1:15" ht="19.95" customHeight="1" x14ac:dyDescent="0.25">
      <c r="A9" s="56" t="s">
        <v>174</v>
      </c>
      <c r="B9" s="35">
        <v>11</v>
      </c>
      <c r="C9" s="35">
        <v>283</v>
      </c>
      <c r="D9" s="35">
        <v>18</v>
      </c>
      <c r="E9" s="35">
        <v>52</v>
      </c>
      <c r="F9" s="35">
        <v>81</v>
      </c>
      <c r="G9" s="35">
        <v>24</v>
      </c>
      <c r="H9" s="35">
        <v>2</v>
      </c>
      <c r="I9" s="35">
        <v>7</v>
      </c>
      <c r="J9" s="35">
        <f>SUM(B9:I9)</f>
        <v>478</v>
      </c>
      <c r="K9" s="57" t="s">
        <v>175</v>
      </c>
      <c r="M9" s="55" t="s">
        <v>249</v>
      </c>
    </row>
    <row r="10" spans="1:15" ht="19.95" customHeight="1" x14ac:dyDescent="0.25">
      <c r="A10" s="58" t="s">
        <v>176</v>
      </c>
      <c r="B10" s="38">
        <v>131</v>
      </c>
      <c r="C10" s="38">
        <v>22</v>
      </c>
      <c r="D10" s="38">
        <v>25</v>
      </c>
      <c r="E10" s="38">
        <v>9</v>
      </c>
      <c r="F10" s="38">
        <v>45</v>
      </c>
      <c r="G10" s="38">
        <v>4</v>
      </c>
      <c r="H10" s="38">
        <v>3</v>
      </c>
      <c r="I10" s="38">
        <v>0</v>
      </c>
      <c r="J10" s="38">
        <f>SUM(I10+H10+G10+F10+E10+D10+C10+B10)</f>
        <v>239</v>
      </c>
      <c r="K10" s="54" t="s">
        <v>177</v>
      </c>
      <c r="M10" s="55" t="s">
        <v>251</v>
      </c>
    </row>
    <row r="11" spans="1:15" ht="19.95" customHeight="1" x14ac:dyDescent="0.25">
      <c r="A11" s="59" t="s">
        <v>178</v>
      </c>
      <c r="B11" s="35">
        <v>1</v>
      </c>
      <c r="C11" s="35">
        <v>0</v>
      </c>
      <c r="D11" s="35">
        <v>21</v>
      </c>
      <c r="E11" s="35">
        <v>27</v>
      </c>
      <c r="F11" s="35">
        <v>0</v>
      </c>
      <c r="G11" s="35">
        <v>3</v>
      </c>
      <c r="H11" s="35">
        <v>1</v>
      </c>
      <c r="I11" s="35">
        <v>18</v>
      </c>
      <c r="J11" s="35">
        <f>SUM(I11+H11+G11+F11+E11+D11+C11+B11)</f>
        <v>71</v>
      </c>
      <c r="K11" s="57" t="s">
        <v>179</v>
      </c>
      <c r="M11" s="55" t="s">
        <v>252</v>
      </c>
    </row>
    <row r="12" spans="1:15" ht="22.5" customHeight="1" x14ac:dyDescent="0.25">
      <c r="A12" s="48" t="s">
        <v>126</v>
      </c>
      <c r="B12" s="60">
        <f t="shared" ref="B12:H12" si="0">SUM(B8:B11)</f>
        <v>434</v>
      </c>
      <c r="C12" s="60">
        <f t="shared" si="0"/>
        <v>726</v>
      </c>
      <c r="D12" s="60">
        <f t="shared" si="0"/>
        <v>542</v>
      </c>
      <c r="E12" s="60">
        <f t="shared" si="0"/>
        <v>309</v>
      </c>
      <c r="F12" s="60">
        <f t="shared" si="0"/>
        <v>767</v>
      </c>
      <c r="G12" s="60">
        <f t="shared" si="0"/>
        <v>103</v>
      </c>
      <c r="H12" s="60">
        <f t="shared" si="0"/>
        <v>96</v>
      </c>
      <c r="I12" s="60">
        <f>SUM(I8:I11)</f>
        <v>53</v>
      </c>
      <c r="J12" s="60">
        <f>SUM(J8:J11)</f>
        <v>3030</v>
      </c>
      <c r="K12" s="49" t="s">
        <v>127</v>
      </c>
    </row>
    <row r="13" spans="1:15" ht="30" customHeight="1" x14ac:dyDescent="0.25">
      <c r="A13" s="50" t="s">
        <v>180</v>
      </c>
      <c r="B13" s="34"/>
      <c r="C13" s="34"/>
      <c r="D13" s="34"/>
      <c r="E13" s="34"/>
      <c r="F13" s="34"/>
      <c r="G13" s="34"/>
      <c r="H13" s="34"/>
      <c r="I13" s="34"/>
      <c r="J13" s="34"/>
      <c r="K13" s="52" t="s">
        <v>181</v>
      </c>
      <c r="M13" s="55" t="s">
        <v>253</v>
      </c>
    </row>
    <row r="14" spans="1:15" ht="19.95" customHeight="1" x14ac:dyDescent="0.25">
      <c r="A14" s="53" t="s">
        <v>182</v>
      </c>
      <c r="B14" s="38">
        <v>46</v>
      </c>
      <c r="C14" s="38">
        <v>38</v>
      </c>
      <c r="D14" s="38">
        <v>39</v>
      </c>
      <c r="E14" s="38">
        <v>7</v>
      </c>
      <c r="F14" s="38">
        <v>10</v>
      </c>
      <c r="G14" s="38">
        <v>3</v>
      </c>
      <c r="H14" s="38">
        <v>6</v>
      </c>
      <c r="I14" s="38">
        <v>3</v>
      </c>
      <c r="J14" s="38">
        <f>SUM(B14:I14)</f>
        <v>152</v>
      </c>
      <c r="K14" s="54" t="s">
        <v>183</v>
      </c>
      <c r="M14" s="55" t="s">
        <v>254</v>
      </c>
    </row>
    <row r="15" spans="1:15" ht="19.95" customHeight="1" x14ac:dyDescent="0.25">
      <c r="A15" s="56" t="s">
        <v>184</v>
      </c>
      <c r="B15" s="35">
        <v>60</v>
      </c>
      <c r="C15" s="35">
        <v>33</v>
      </c>
      <c r="D15" s="35">
        <v>238</v>
      </c>
      <c r="E15" s="35">
        <v>21</v>
      </c>
      <c r="F15" s="35">
        <v>35</v>
      </c>
      <c r="G15" s="35">
        <v>16</v>
      </c>
      <c r="H15" s="35">
        <v>5</v>
      </c>
      <c r="I15" s="35">
        <v>6</v>
      </c>
      <c r="J15" s="35">
        <f>SUM(B15:I15)</f>
        <v>414</v>
      </c>
      <c r="K15" s="57" t="s">
        <v>185</v>
      </c>
      <c r="M15" s="55" t="s">
        <v>255</v>
      </c>
    </row>
    <row r="16" spans="1:15" ht="19.95" customHeight="1" x14ac:dyDescent="0.25">
      <c r="A16" s="53" t="s">
        <v>186</v>
      </c>
      <c r="B16" s="38">
        <v>60</v>
      </c>
      <c r="C16" s="38">
        <v>29</v>
      </c>
      <c r="D16" s="38">
        <v>115</v>
      </c>
      <c r="E16" s="38">
        <v>7</v>
      </c>
      <c r="F16" s="38">
        <v>0</v>
      </c>
      <c r="G16" s="38">
        <v>7</v>
      </c>
      <c r="H16" s="38">
        <v>0</v>
      </c>
      <c r="I16" s="38">
        <v>0</v>
      </c>
      <c r="J16" s="38">
        <f>SUM(B16:I16)</f>
        <v>218</v>
      </c>
      <c r="K16" s="54" t="s">
        <v>187</v>
      </c>
      <c r="M16" s="55" t="s">
        <v>256</v>
      </c>
    </row>
    <row r="17" spans="1:14" ht="19.95" customHeight="1" x14ac:dyDescent="0.25">
      <c r="A17" s="56" t="s">
        <v>188</v>
      </c>
      <c r="B17" s="35">
        <v>7</v>
      </c>
      <c r="C17" s="35">
        <v>4</v>
      </c>
      <c r="D17" s="35">
        <v>4</v>
      </c>
      <c r="E17" s="35">
        <v>3</v>
      </c>
      <c r="F17" s="35">
        <v>6</v>
      </c>
      <c r="G17" s="35">
        <v>2</v>
      </c>
      <c r="H17" s="35">
        <v>2</v>
      </c>
      <c r="I17" s="35">
        <v>4</v>
      </c>
      <c r="J17" s="35">
        <f>SUM(B17:I17)</f>
        <v>32</v>
      </c>
      <c r="K17" s="57" t="s">
        <v>189</v>
      </c>
      <c r="M17" s="55" t="s">
        <v>257</v>
      </c>
    </row>
    <row r="18" spans="1:14" ht="19.95" customHeight="1" x14ac:dyDescent="0.25">
      <c r="A18" s="53" t="s">
        <v>178</v>
      </c>
      <c r="B18" s="38">
        <v>6</v>
      </c>
      <c r="C18" s="38">
        <v>16</v>
      </c>
      <c r="D18" s="38">
        <v>5</v>
      </c>
      <c r="E18" s="38">
        <v>2</v>
      </c>
      <c r="F18" s="38">
        <v>9</v>
      </c>
      <c r="G18" s="38">
        <v>5</v>
      </c>
      <c r="H18" s="38">
        <v>1</v>
      </c>
      <c r="I18" s="38">
        <v>2</v>
      </c>
      <c r="J18" s="38">
        <f>SUM(B18:I18)</f>
        <v>46</v>
      </c>
      <c r="K18" s="54" t="s">
        <v>190</v>
      </c>
      <c r="M18" s="55" t="s">
        <v>258</v>
      </c>
    </row>
    <row r="19" spans="1:14" ht="19.95" customHeight="1" x14ac:dyDescent="0.25">
      <c r="A19" s="62" t="s">
        <v>126</v>
      </c>
      <c r="B19" s="61">
        <f t="shared" ref="B19:I19" si="1">SUM(B18+B17+B16+B15+B14)</f>
        <v>179</v>
      </c>
      <c r="C19" s="61">
        <f t="shared" si="1"/>
        <v>120</v>
      </c>
      <c r="D19" s="61">
        <f t="shared" si="1"/>
        <v>401</v>
      </c>
      <c r="E19" s="61">
        <f t="shared" si="1"/>
        <v>40</v>
      </c>
      <c r="F19" s="61">
        <f t="shared" si="1"/>
        <v>60</v>
      </c>
      <c r="G19" s="61">
        <f t="shared" si="1"/>
        <v>33</v>
      </c>
      <c r="H19" s="61">
        <f t="shared" si="1"/>
        <v>14</v>
      </c>
      <c r="I19" s="61">
        <f t="shared" si="1"/>
        <v>15</v>
      </c>
      <c r="J19" s="61">
        <f t="shared" ref="J19" si="2">SUM(J14:J18)</f>
        <v>862</v>
      </c>
      <c r="K19" s="63" t="s">
        <v>127</v>
      </c>
    </row>
    <row r="20" spans="1:14" ht="19.95" customHeight="1" x14ac:dyDescent="0.25">
      <c r="A20" s="53" t="s">
        <v>191</v>
      </c>
      <c r="B20" s="38"/>
      <c r="C20" s="38"/>
      <c r="D20" s="38"/>
      <c r="E20" s="38"/>
      <c r="F20" s="38"/>
      <c r="G20" s="38"/>
      <c r="H20" s="38"/>
      <c r="I20" s="38"/>
      <c r="J20" s="38"/>
      <c r="K20" s="54" t="s">
        <v>192</v>
      </c>
    </row>
    <row r="21" spans="1:14" ht="19.95" customHeight="1" x14ac:dyDescent="0.25">
      <c r="A21" s="56" t="s">
        <v>193</v>
      </c>
      <c r="B21" s="35">
        <f>'2'!C20</f>
        <v>996</v>
      </c>
      <c r="C21" s="35">
        <f>'3'!C20</f>
        <v>1006</v>
      </c>
      <c r="D21" s="35">
        <f>'4'!C20</f>
        <v>506</v>
      </c>
      <c r="E21" s="35">
        <f>'5'!C20</f>
        <v>226</v>
      </c>
      <c r="F21" s="35">
        <f>'8'!C20</f>
        <v>533</v>
      </c>
      <c r="G21" s="35">
        <f>'6'!C20</f>
        <v>209</v>
      </c>
      <c r="H21" s="35">
        <f>'7'!C20</f>
        <v>37</v>
      </c>
      <c r="I21" s="35">
        <f>'9'!C20</f>
        <v>132</v>
      </c>
      <c r="J21" s="35">
        <f>SUM(B21:I21)</f>
        <v>3645</v>
      </c>
      <c r="K21" s="57" t="s">
        <v>211</v>
      </c>
    </row>
    <row r="22" spans="1:14" ht="19.95" customHeight="1" x14ac:dyDescent="0.25">
      <c r="A22" s="53" t="s">
        <v>195</v>
      </c>
      <c r="B22" s="38">
        <f>'2'!D20</f>
        <v>27</v>
      </c>
      <c r="C22" s="38">
        <f>'3'!D20</f>
        <v>75</v>
      </c>
      <c r="D22" s="38">
        <f>'4'!D20</f>
        <v>37</v>
      </c>
      <c r="E22" s="38">
        <f>'5'!D20</f>
        <v>16</v>
      </c>
      <c r="F22" s="38">
        <f>'8'!D20</f>
        <v>45</v>
      </c>
      <c r="G22" s="38">
        <f>'6'!D20</f>
        <v>32</v>
      </c>
      <c r="H22" s="38">
        <f>'7'!D20</f>
        <v>20</v>
      </c>
      <c r="I22" s="38">
        <f>'9'!D20</f>
        <v>17</v>
      </c>
      <c r="J22" s="38">
        <f>SUM(B22:I22)</f>
        <v>269</v>
      </c>
      <c r="K22" s="54" t="s">
        <v>196</v>
      </c>
    </row>
    <row r="23" spans="1:14" ht="26.25" customHeight="1" x14ac:dyDescent="0.25">
      <c r="A23" s="62" t="s">
        <v>197</v>
      </c>
      <c r="B23" s="61">
        <f t="shared" ref="B23:J23" si="3">SUM(B12+B19+B21+B22)</f>
        <v>1636</v>
      </c>
      <c r="C23" s="61">
        <f t="shared" si="3"/>
        <v>1927</v>
      </c>
      <c r="D23" s="61">
        <f t="shared" si="3"/>
        <v>1486</v>
      </c>
      <c r="E23" s="61">
        <f t="shared" si="3"/>
        <v>591</v>
      </c>
      <c r="F23" s="61">
        <f t="shared" si="3"/>
        <v>1405</v>
      </c>
      <c r="G23" s="61">
        <f t="shared" si="3"/>
        <v>377</v>
      </c>
      <c r="H23" s="61">
        <f t="shared" si="3"/>
        <v>167</v>
      </c>
      <c r="I23" s="61">
        <f t="shared" si="3"/>
        <v>217</v>
      </c>
      <c r="J23" s="61">
        <f t="shared" si="3"/>
        <v>7806</v>
      </c>
      <c r="K23" s="63" t="s">
        <v>198</v>
      </c>
    </row>
    <row r="24" spans="1:14" ht="15" customHeight="1" x14ac:dyDescent="0.2">
      <c r="A24" s="64" t="s">
        <v>128</v>
      </c>
      <c r="B24" s="33"/>
      <c r="C24" s="164" t="s">
        <v>129</v>
      </c>
      <c r="D24" s="164"/>
      <c r="E24" s="164"/>
      <c r="F24" s="164"/>
      <c r="G24" s="164"/>
      <c r="H24" s="164"/>
      <c r="I24" s="164"/>
      <c r="J24" s="164"/>
      <c r="K24" s="164"/>
      <c r="L24" s="65"/>
      <c r="M24" s="65"/>
      <c r="N24" s="65"/>
    </row>
  </sheetData>
  <mergeCells count="6">
    <mergeCell ref="C24:K24"/>
    <mergeCell ref="A1:K1"/>
    <mergeCell ref="A2:K2"/>
    <mergeCell ref="A3:K3"/>
    <mergeCell ref="A4:K4"/>
    <mergeCell ref="B5:J5"/>
  </mergeCells>
  <printOptions horizontalCentered="1" verticalCentered="1"/>
  <pageMargins left="0" right="0" top="0" bottom="0" header="0.31496062992125984" footer="0.31496062992125984"/>
  <pageSetup paperSize="9" scale="95" orientation="landscape"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N31"/>
  <sheetViews>
    <sheetView rightToLeft="1" view="pageBreakPreview" zoomScaleNormal="100" zoomScaleSheetLayoutView="100" workbookViewId="0">
      <selection activeCell="A4" sqref="A4:N4"/>
    </sheetView>
  </sheetViews>
  <sheetFormatPr defaultRowHeight="13.8" x14ac:dyDescent="0.25"/>
  <sheetData>
    <row r="1" spans="1:14" s="29" customFormat="1" ht="37.200000000000003" customHeight="1" x14ac:dyDescent="0.25">
      <c r="A1" s="165"/>
      <c r="B1" s="151"/>
      <c r="C1" s="151"/>
      <c r="D1" s="151"/>
      <c r="E1" s="151"/>
      <c r="F1" s="151"/>
      <c r="G1" s="151"/>
      <c r="H1" s="151"/>
      <c r="I1" s="151"/>
      <c r="J1" s="151"/>
      <c r="K1" s="151"/>
      <c r="L1" s="45"/>
      <c r="M1" s="45"/>
      <c r="N1" s="45"/>
    </row>
    <row r="2" spans="1:14" s="29" customFormat="1" ht="23.25" customHeight="1" x14ac:dyDescent="0.25">
      <c r="A2" s="153" t="s">
        <v>271</v>
      </c>
      <c r="B2" s="153"/>
      <c r="C2" s="153"/>
      <c r="D2" s="153"/>
      <c r="E2" s="153"/>
      <c r="F2" s="153"/>
      <c r="G2" s="153"/>
      <c r="H2" s="153"/>
      <c r="I2" s="153"/>
      <c r="J2" s="153"/>
      <c r="K2" s="153"/>
      <c r="L2" s="153"/>
      <c r="M2" s="153"/>
      <c r="N2" s="153"/>
    </row>
    <row r="3" spans="1:14" s="29" customFormat="1" ht="20.25" customHeight="1" x14ac:dyDescent="0.25">
      <c r="A3" s="166" t="s">
        <v>282</v>
      </c>
      <c r="B3" s="166"/>
      <c r="C3" s="166"/>
      <c r="D3" s="166"/>
      <c r="E3" s="166"/>
      <c r="F3" s="166"/>
      <c r="G3" s="166"/>
      <c r="H3" s="166"/>
      <c r="I3" s="166"/>
      <c r="J3" s="166"/>
      <c r="K3" s="166"/>
      <c r="L3" s="166"/>
      <c r="M3" s="166"/>
      <c r="N3" s="166"/>
    </row>
    <row r="4" spans="1:14" s="29" customFormat="1" ht="15" customHeight="1" x14ac:dyDescent="0.25">
      <c r="A4" s="155">
        <v>2020</v>
      </c>
      <c r="B4" s="155"/>
      <c r="C4" s="155"/>
      <c r="D4" s="155"/>
      <c r="E4" s="155"/>
      <c r="F4" s="155"/>
      <c r="G4" s="155"/>
      <c r="H4" s="155"/>
      <c r="I4" s="155"/>
      <c r="J4" s="155"/>
      <c r="K4" s="155"/>
      <c r="L4" s="155"/>
      <c r="M4" s="155"/>
      <c r="N4" s="155"/>
    </row>
    <row r="31" spans="1:14" x14ac:dyDescent="0.25">
      <c r="A31" s="167" t="s">
        <v>259</v>
      </c>
      <c r="B31" s="167"/>
      <c r="C31" s="167"/>
      <c r="D31" s="167"/>
      <c r="E31" s="167"/>
      <c r="F31" s="167"/>
      <c r="G31" s="167"/>
      <c r="H31" s="167"/>
      <c r="I31" s="167"/>
      <c r="J31" s="167"/>
      <c r="K31" s="167"/>
      <c r="L31" s="167"/>
      <c r="M31" s="167"/>
      <c r="N31" s="167"/>
    </row>
  </sheetData>
  <mergeCells count="5">
    <mergeCell ref="A31:N31"/>
    <mergeCell ref="A4:N4"/>
    <mergeCell ref="A1:K1"/>
    <mergeCell ref="A2:N2"/>
    <mergeCell ref="A3:N3"/>
  </mergeCells>
  <printOptions horizontalCentered="1" verticalCentered="1"/>
  <pageMargins left="0" right="0" top="0" bottom="0" header="0.31496062992125984" footer="0.31496062992125984"/>
  <pageSetup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K6"/>
  <sheetViews>
    <sheetView rightToLeft="1" view="pageBreakPreview" topLeftCell="A16" zoomScaleNormal="100" zoomScaleSheetLayoutView="100" workbookViewId="0">
      <selection activeCell="B10" sqref="B10"/>
    </sheetView>
  </sheetViews>
  <sheetFormatPr defaultColWidth="9.09765625" defaultRowHeight="13.8" x14ac:dyDescent="0.25"/>
  <cols>
    <col min="1" max="4" width="35.69921875" style="4" customWidth="1"/>
    <col min="5" max="16384" width="9.09765625" style="4"/>
  </cols>
  <sheetData>
    <row r="1" spans="1:11" ht="94.5" customHeight="1" x14ac:dyDescent="0.25">
      <c r="A1" s="107" t="s">
        <v>89</v>
      </c>
      <c r="B1" s="107"/>
      <c r="C1" s="106" t="s">
        <v>90</v>
      </c>
      <c r="D1" s="106"/>
    </row>
    <row r="2" spans="1:11" s="1" customFormat="1" ht="69.75" customHeight="1" x14ac:dyDescent="0.25">
      <c r="A2" s="108"/>
      <c r="B2" s="108"/>
      <c r="C2" s="108"/>
      <c r="D2" s="108"/>
      <c r="E2" s="6"/>
      <c r="F2" s="6"/>
      <c r="G2" s="6"/>
      <c r="H2" s="6"/>
      <c r="I2" s="6"/>
      <c r="J2" s="6"/>
      <c r="K2" s="6"/>
    </row>
    <row r="3" spans="1:11" ht="60" customHeight="1" x14ac:dyDescent="0.25"/>
    <row r="4" spans="1:11" ht="189" customHeight="1" x14ac:dyDescent="0.25">
      <c r="B4" s="109" t="s">
        <v>341</v>
      </c>
      <c r="C4" s="109"/>
    </row>
    <row r="5" spans="1:11" ht="60" customHeight="1" x14ac:dyDescent="0.25">
      <c r="A5" s="5"/>
      <c r="B5" s="5"/>
    </row>
    <row r="6" spans="1:11" ht="43.5" customHeight="1" x14ac:dyDescent="0.25">
      <c r="A6" s="105" t="s">
        <v>340</v>
      </c>
      <c r="B6" s="105"/>
      <c r="C6" s="105"/>
      <c r="D6" s="105"/>
    </row>
  </sheetData>
  <mergeCells count="5">
    <mergeCell ref="A6:D6"/>
    <mergeCell ref="C1:D1"/>
    <mergeCell ref="A1:B1"/>
    <mergeCell ref="A2:D2"/>
    <mergeCell ref="B4:C4"/>
  </mergeCells>
  <printOptions horizontalCentered="1" verticalCentered="1"/>
  <pageMargins left="0" right="0" top="0" bottom="0" header="0.31496062992125984" footer="0.31496062992125984"/>
  <pageSetup paperSize="9" scale="90" orientation="landscape" r:id="rId1"/>
  <rowBreaks count="1" manualBreakCount="1">
    <brk id="6" max="3" man="1"/>
  </rowBreaks>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N33"/>
  <sheetViews>
    <sheetView rightToLeft="1" view="pageBreakPreview" zoomScaleNormal="100" zoomScaleSheetLayoutView="100" workbookViewId="0">
      <selection activeCell="A11" sqref="A11"/>
    </sheetView>
  </sheetViews>
  <sheetFormatPr defaultRowHeight="13.8" x14ac:dyDescent="0.25"/>
  <sheetData>
    <row r="1" spans="1:14" s="29" customFormat="1" ht="37.200000000000003" customHeight="1" x14ac:dyDescent="0.25">
      <c r="A1" s="165"/>
      <c r="B1" s="151"/>
      <c r="C1" s="151"/>
      <c r="D1" s="151"/>
      <c r="E1" s="151"/>
      <c r="F1" s="151"/>
      <c r="G1" s="151"/>
      <c r="H1" s="151"/>
      <c r="I1" s="151"/>
      <c r="J1" s="151"/>
      <c r="K1" s="151"/>
      <c r="L1" s="45"/>
      <c r="M1" s="45"/>
      <c r="N1" s="45"/>
    </row>
    <row r="2" spans="1:14" s="29" customFormat="1" ht="23.25" customHeight="1" x14ac:dyDescent="0.25">
      <c r="A2" s="153" t="s">
        <v>291</v>
      </c>
      <c r="B2" s="153"/>
      <c r="C2" s="153"/>
      <c r="D2" s="153"/>
      <c r="E2" s="153"/>
      <c r="F2" s="153"/>
      <c r="G2" s="153"/>
      <c r="H2" s="153"/>
      <c r="I2" s="153"/>
      <c r="J2" s="153"/>
      <c r="K2" s="153"/>
      <c r="L2" s="153"/>
      <c r="M2" s="46"/>
      <c r="N2" s="46"/>
    </row>
    <row r="3" spans="1:14" s="29" customFormat="1" ht="20.25" customHeight="1" x14ac:dyDescent="0.25">
      <c r="A3" s="166" t="s">
        <v>292</v>
      </c>
      <c r="B3" s="166"/>
      <c r="C3" s="166"/>
      <c r="D3" s="166"/>
      <c r="E3" s="166"/>
      <c r="F3" s="166"/>
      <c r="G3" s="166"/>
      <c r="H3" s="166"/>
      <c r="I3" s="166"/>
      <c r="J3" s="166"/>
      <c r="K3" s="166"/>
      <c r="L3" s="166"/>
      <c r="M3" s="47"/>
      <c r="N3" s="47"/>
    </row>
    <row r="4" spans="1:14" s="29" customFormat="1" ht="15" customHeight="1" x14ac:dyDescent="0.25">
      <c r="A4" s="155">
        <v>2020</v>
      </c>
      <c r="B4" s="155"/>
      <c r="C4" s="155"/>
      <c r="D4" s="155"/>
      <c r="E4" s="155"/>
      <c r="F4" s="155"/>
      <c r="G4" s="155"/>
      <c r="H4" s="155"/>
      <c r="I4" s="155"/>
      <c r="J4" s="155"/>
      <c r="K4" s="155"/>
      <c r="L4" s="155"/>
      <c r="M4" s="47"/>
      <c r="N4" s="47"/>
    </row>
    <row r="33" spans="1:12" x14ac:dyDescent="0.25">
      <c r="A33" s="168" t="s">
        <v>293</v>
      </c>
      <c r="B33" s="168"/>
      <c r="C33" s="168"/>
      <c r="D33" s="168"/>
      <c r="E33" s="168"/>
      <c r="F33" s="168"/>
      <c r="G33" s="168"/>
      <c r="H33" s="168"/>
      <c r="I33" s="168"/>
      <c r="J33" s="168"/>
      <c r="K33" s="168"/>
      <c r="L33" s="168"/>
    </row>
  </sheetData>
  <mergeCells count="5">
    <mergeCell ref="A1:K1"/>
    <mergeCell ref="A33:L33"/>
    <mergeCell ref="A2:L2"/>
    <mergeCell ref="A3:L3"/>
    <mergeCell ref="A4:L4"/>
  </mergeCells>
  <printOptions horizontalCentered="1"/>
  <pageMargins left="0.70866141732283472" right="0.70866141732283472" top="0.74803149606299213" bottom="0.74803149606299213" header="0.31496062992125984" footer="0.31496062992125984"/>
  <pageSetup orientation="landscape"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B2"/>
  <sheetViews>
    <sheetView rightToLeft="1" view="pageBreakPreview" zoomScale="70" zoomScaleNormal="100" zoomScaleSheetLayoutView="70" workbookViewId="0">
      <selection sqref="A1:B2"/>
    </sheetView>
  </sheetViews>
  <sheetFormatPr defaultRowHeight="13.8" x14ac:dyDescent="0.25"/>
  <cols>
    <col min="1" max="1" width="130.09765625" customWidth="1"/>
    <col min="2" max="2" width="9.765625E-2" customWidth="1"/>
  </cols>
  <sheetData>
    <row r="1" spans="1:2" ht="270" customHeight="1" x14ac:dyDescent="0.25">
      <c r="A1" s="149"/>
      <c r="B1" s="149"/>
    </row>
    <row r="2" spans="1:2" ht="270" customHeight="1" x14ac:dyDescent="0.25">
      <c r="A2" s="149"/>
      <c r="B2" s="149"/>
    </row>
  </sheetData>
  <mergeCells count="1">
    <mergeCell ref="A1:B2"/>
  </mergeCells>
  <printOptions horizontalCentered="1" verticalCentered="1"/>
  <pageMargins left="0" right="0" top="0" bottom="0" header="0.31496062992125984" footer="0.31496062992125984"/>
  <pageSetup paperSize="9" orientation="landscape" r:id="rId1"/>
  <rowBreaks count="1" manualBreakCount="1">
    <brk id="2" max="1" man="1"/>
  </rowBreaks>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E20"/>
  <sheetViews>
    <sheetView rightToLeft="1" view="pageBreakPreview" zoomScaleNormal="100" zoomScaleSheetLayoutView="100" workbookViewId="0">
      <selection activeCell="A4" sqref="A4:E4"/>
    </sheetView>
  </sheetViews>
  <sheetFormatPr defaultColWidth="9.09765625" defaultRowHeight="13.8" x14ac:dyDescent="0.25"/>
  <cols>
    <col min="1" max="1" width="26.69921875" style="29" customWidth="1"/>
    <col min="2" max="4" width="14.69921875" style="29" customWidth="1"/>
    <col min="5" max="5" width="26.69921875" style="29" customWidth="1"/>
    <col min="6" max="16384" width="9.09765625" style="29"/>
  </cols>
  <sheetData>
    <row r="1" spans="1:5" ht="34.950000000000003" customHeight="1" x14ac:dyDescent="0.25">
      <c r="A1" s="151"/>
      <c r="B1" s="152"/>
      <c r="C1" s="152"/>
      <c r="D1" s="152"/>
      <c r="E1" s="152"/>
    </row>
    <row r="2" spans="1:5" ht="21" x14ac:dyDescent="0.25">
      <c r="A2" s="153" t="s">
        <v>209</v>
      </c>
      <c r="B2" s="153"/>
      <c r="C2" s="153"/>
      <c r="D2" s="153"/>
      <c r="E2" s="153"/>
    </row>
    <row r="3" spans="1:5" ht="18" x14ac:dyDescent="0.25">
      <c r="A3" s="154" t="s">
        <v>200</v>
      </c>
      <c r="B3" s="154"/>
      <c r="C3" s="154"/>
      <c r="D3" s="154"/>
      <c r="E3" s="154"/>
    </row>
    <row r="4" spans="1:5" ht="15" customHeight="1" x14ac:dyDescent="0.25">
      <c r="A4" s="155">
        <v>2020</v>
      </c>
      <c r="B4" s="155"/>
      <c r="C4" s="155"/>
      <c r="D4" s="155"/>
      <c r="E4" s="155"/>
    </row>
    <row r="5" spans="1:5" ht="15.6" x14ac:dyDescent="0.25">
      <c r="A5" s="30" t="s">
        <v>214</v>
      </c>
      <c r="B5" s="31"/>
      <c r="C5" s="32"/>
      <c r="D5" s="32"/>
      <c r="E5" s="33" t="s">
        <v>215</v>
      </c>
    </row>
    <row r="6" spans="1:5" ht="30" customHeight="1" thickBot="1" x14ac:dyDescent="0.3">
      <c r="A6" s="156" t="s">
        <v>95</v>
      </c>
      <c r="B6" s="169" t="s">
        <v>199</v>
      </c>
      <c r="C6" s="170"/>
      <c r="D6" s="171"/>
      <c r="E6" s="160" t="s">
        <v>97</v>
      </c>
    </row>
    <row r="7" spans="1:5" ht="30" customHeight="1" x14ac:dyDescent="0.25">
      <c r="A7" s="157"/>
      <c r="B7" s="69" t="s">
        <v>98</v>
      </c>
      <c r="C7" s="69" t="s">
        <v>99</v>
      </c>
      <c r="D7" s="69" t="s">
        <v>101</v>
      </c>
      <c r="E7" s="161"/>
    </row>
    <row r="8" spans="1:5" ht="22.5" customHeight="1" x14ac:dyDescent="0.25">
      <c r="A8" s="34" t="s">
        <v>102</v>
      </c>
      <c r="B8" s="35">
        <f>SUM('12'!B8+'13'!B8+'14'!B8+'15'!B8+'16'!B8+'17'!B8+'18'!B8+'19'!B8)</f>
        <v>235</v>
      </c>
      <c r="C8" s="35">
        <f>SUM('12'!C8+'13'!C8+'14'!C8+'15'!C8+'16'!C8+'17'!C8+'18'!C8+'19'!C8)</f>
        <v>102</v>
      </c>
      <c r="D8" s="34">
        <f>SUM('12'!D8+'13'!D8+'14'!D8+'15'!D8+'16'!D8+'17'!D8+'18'!D8+'19'!D8)</f>
        <v>337</v>
      </c>
      <c r="E8" s="36" t="s">
        <v>103</v>
      </c>
    </row>
    <row r="9" spans="1:5" ht="22.5" customHeight="1" x14ac:dyDescent="0.25">
      <c r="A9" s="37" t="s">
        <v>104</v>
      </c>
      <c r="B9" s="38">
        <f>SUM('12'!B9+'13'!B9+'14'!B9+'15'!B9+'16'!B9+'17'!B9+'18'!B9+'19'!B9)</f>
        <v>209</v>
      </c>
      <c r="C9" s="38">
        <f>SUM('12'!C9+'13'!C9+'14'!C9+'15'!C9+'16'!C9+'17'!C9+'18'!C9+'19'!C9)</f>
        <v>79</v>
      </c>
      <c r="D9" s="37">
        <f>SUM('12'!D9+'13'!D9+'14'!D9+'15'!D9+'16'!D9+'17'!D9+'18'!D9+'19'!D9)</f>
        <v>288</v>
      </c>
      <c r="E9" s="39" t="s">
        <v>105</v>
      </c>
    </row>
    <row r="10" spans="1:5" ht="22.5" customHeight="1" x14ac:dyDescent="0.25">
      <c r="A10" s="34" t="s">
        <v>106</v>
      </c>
      <c r="B10" s="35">
        <f>SUM('12'!B10+'13'!B10+'14'!B10+'15'!B10+'16'!B10+'17'!B10+'18'!B10+'19'!B10)</f>
        <v>282</v>
      </c>
      <c r="C10" s="35">
        <f>SUM('12'!C10+'13'!C10+'14'!C10+'15'!C10+'16'!C10+'17'!C10+'18'!C10+'19'!C10)</f>
        <v>93</v>
      </c>
      <c r="D10" s="34">
        <f>SUM('12'!D10+'13'!D10+'14'!D10+'15'!D10+'16'!D10+'17'!D10+'18'!D10+'19'!D10)</f>
        <v>375</v>
      </c>
      <c r="E10" s="36" t="s">
        <v>107</v>
      </c>
    </row>
    <row r="11" spans="1:5" ht="22.5" customHeight="1" x14ac:dyDescent="0.25">
      <c r="A11" s="37" t="s">
        <v>108</v>
      </c>
      <c r="B11" s="38">
        <f>SUM('12'!B11+'13'!B11+'14'!B11+'15'!B11+'16'!B11+'17'!B11+'18'!B11+'19'!B11)</f>
        <v>182</v>
      </c>
      <c r="C11" s="38">
        <f>SUM('12'!C11+'13'!C11+'14'!C11+'15'!C11+'16'!C11+'17'!C11+'18'!C11+'19'!C11)</f>
        <v>78</v>
      </c>
      <c r="D11" s="37">
        <f>SUM('12'!D11+'13'!D11+'14'!D11+'15'!D11+'16'!D11+'17'!D11+'18'!D11+'19'!D11)</f>
        <v>260</v>
      </c>
      <c r="E11" s="39" t="s">
        <v>109</v>
      </c>
    </row>
    <row r="12" spans="1:5" ht="22.5" customHeight="1" x14ac:dyDescent="0.25">
      <c r="A12" s="34" t="s">
        <v>110</v>
      </c>
      <c r="B12" s="35">
        <f>SUM('12'!B12+'13'!B12+'14'!B12+'15'!B12+'16'!B12+'17'!B12+'18'!B12+'19'!B12)</f>
        <v>119</v>
      </c>
      <c r="C12" s="35">
        <f>SUM('12'!C12+'13'!C12+'14'!C12+'15'!C12+'16'!C12+'17'!C12+'18'!C12+'19'!C12)</f>
        <v>39</v>
      </c>
      <c r="D12" s="34">
        <f>SUM('12'!D12+'13'!D12+'14'!D12+'15'!D12+'16'!D12+'17'!D12+'18'!D12+'19'!D12)</f>
        <v>158</v>
      </c>
      <c r="E12" s="36" t="s">
        <v>111</v>
      </c>
    </row>
    <row r="13" spans="1:5" ht="22.5" customHeight="1" x14ac:dyDescent="0.25">
      <c r="A13" s="37" t="s">
        <v>112</v>
      </c>
      <c r="B13" s="38">
        <f>SUM('12'!B13+'13'!B13+'14'!B13+'15'!B13+'16'!B13+'17'!B13+'18'!B13+'19'!B13)</f>
        <v>233</v>
      </c>
      <c r="C13" s="38">
        <f>SUM('12'!C13+'13'!C13+'14'!C13+'15'!C13+'16'!C13+'17'!C13+'18'!C13+'19'!C13)</f>
        <v>87</v>
      </c>
      <c r="D13" s="37">
        <f>SUM('12'!D13+'13'!D13+'14'!D13+'15'!D13+'16'!D13+'17'!D13+'18'!D13+'19'!D13)</f>
        <v>320</v>
      </c>
      <c r="E13" s="39" t="s">
        <v>113</v>
      </c>
    </row>
    <row r="14" spans="1:5" ht="22.5" customHeight="1" x14ac:dyDescent="0.25">
      <c r="A14" s="34" t="s">
        <v>114</v>
      </c>
      <c r="B14" s="35">
        <f>SUM('12'!B14+'13'!B14+'14'!B14+'15'!B14+'16'!B14+'17'!B14+'18'!B14+'19'!B14)</f>
        <v>265</v>
      </c>
      <c r="C14" s="35">
        <f>SUM('12'!C14+'13'!C14+'14'!C14+'15'!C14+'16'!C14+'17'!C14+'18'!C14+'19'!C14)</f>
        <v>89</v>
      </c>
      <c r="D14" s="34">
        <f>SUM('12'!D14+'13'!D14+'14'!D14+'15'!D14+'16'!D14+'17'!D14+'18'!D14+'19'!D14)</f>
        <v>354</v>
      </c>
      <c r="E14" s="36" t="s">
        <v>115</v>
      </c>
    </row>
    <row r="15" spans="1:5" ht="22.5" customHeight="1" x14ac:dyDescent="0.25">
      <c r="A15" s="37" t="s">
        <v>116</v>
      </c>
      <c r="B15" s="38">
        <f>SUM('12'!B15+'13'!B15+'14'!B15+'15'!B15+'16'!B15+'17'!B15+'18'!B15+'19'!B15)</f>
        <v>201</v>
      </c>
      <c r="C15" s="38">
        <f>SUM('12'!C15+'13'!C15+'14'!C15+'15'!C15+'16'!C15+'17'!C15+'18'!C15+'19'!C15)</f>
        <v>76</v>
      </c>
      <c r="D15" s="37">
        <f>SUM('12'!D15+'13'!D15+'14'!D15+'15'!D15+'16'!D15+'17'!D15+'18'!D15+'19'!D15)</f>
        <v>277</v>
      </c>
      <c r="E15" s="39" t="s">
        <v>117</v>
      </c>
    </row>
    <row r="16" spans="1:5" ht="22.5" customHeight="1" x14ac:dyDescent="0.25">
      <c r="A16" s="34" t="s">
        <v>118</v>
      </c>
      <c r="B16" s="35">
        <f>SUM('12'!B16+'13'!B16+'14'!B16+'15'!B16+'16'!B16+'17'!B16+'18'!B16+'19'!B16)</f>
        <v>283</v>
      </c>
      <c r="C16" s="35">
        <f>SUM('12'!C16+'13'!C16+'14'!C16+'15'!C16+'16'!C16+'17'!C16+'18'!C16+'19'!C16)</f>
        <v>85</v>
      </c>
      <c r="D16" s="34">
        <f>SUM('12'!D16+'13'!D16+'14'!D16+'15'!D16+'16'!D16+'17'!D16+'18'!D16+'19'!D16)</f>
        <v>368</v>
      </c>
      <c r="E16" s="36" t="s">
        <v>119</v>
      </c>
    </row>
    <row r="17" spans="1:5" ht="22.5" customHeight="1" x14ac:dyDescent="0.25">
      <c r="A17" s="37" t="s">
        <v>120</v>
      </c>
      <c r="B17" s="38">
        <f>SUM('12'!B17+'13'!B17+'14'!B17+'15'!B17+'16'!B17+'17'!B17+'18'!B17+'19'!B17)</f>
        <v>246</v>
      </c>
      <c r="C17" s="38">
        <f>SUM('12'!C17+'13'!C17+'14'!C17+'15'!C17+'16'!C17+'17'!C17+'18'!C17+'19'!C17)</f>
        <v>104</v>
      </c>
      <c r="D17" s="37">
        <f>SUM('12'!D17+'13'!D17+'14'!D17+'15'!D17+'16'!D17+'17'!D17+'18'!D17+'19'!D17)</f>
        <v>350</v>
      </c>
      <c r="E17" s="39" t="s">
        <v>121</v>
      </c>
    </row>
    <row r="18" spans="1:5" ht="22.5" customHeight="1" x14ac:dyDescent="0.25">
      <c r="A18" s="34" t="s">
        <v>122</v>
      </c>
      <c r="B18" s="35">
        <f>SUM('12'!B18+'13'!B18+'14'!B18+'15'!B18+'16'!B18+'17'!B18+'18'!B18+'19'!B18)</f>
        <v>246</v>
      </c>
      <c r="C18" s="35">
        <f>SUM('12'!C18+'13'!C18+'14'!C18+'15'!C18+'16'!C18+'17'!C18+'18'!C18+'19'!C18)</f>
        <v>109</v>
      </c>
      <c r="D18" s="34">
        <f>SUM('12'!D18+'13'!D18+'14'!D18+'15'!D18+'16'!D18+'17'!D18+'18'!D18+'19'!D18)</f>
        <v>355</v>
      </c>
      <c r="E18" s="36" t="s">
        <v>123</v>
      </c>
    </row>
    <row r="19" spans="1:5" ht="22.5" customHeight="1" x14ac:dyDescent="0.25">
      <c r="A19" s="37" t="s">
        <v>124</v>
      </c>
      <c r="B19" s="38">
        <f>SUM('12'!B19+'13'!B19+'14'!B19+'15'!B19+'16'!B19+'17'!B19+'18'!B19+'19'!B19)</f>
        <v>220</v>
      </c>
      <c r="C19" s="38">
        <f>SUM('12'!C19+'13'!C19+'14'!C19+'15'!C19+'16'!C19+'17'!C19+'18'!C19+'19'!C19)</f>
        <v>99</v>
      </c>
      <c r="D19" s="37">
        <f>SUM('12'!D19+'13'!D19+'14'!D19+'15'!D19+'16'!D19+'17'!D19+'18'!D19+'19'!D19)</f>
        <v>319</v>
      </c>
      <c r="E19" s="39" t="s">
        <v>125</v>
      </c>
    </row>
    <row r="20" spans="1:5" ht="36" customHeight="1" x14ac:dyDescent="0.25">
      <c r="A20" s="40" t="s">
        <v>126</v>
      </c>
      <c r="B20" s="41">
        <f>SUM(B8:B19)</f>
        <v>2721</v>
      </c>
      <c r="C20" s="41">
        <f>SUM(C8:C19)</f>
        <v>1040</v>
      </c>
      <c r="D20" s="41">
        <f>SUM(D8:D19)</f>
        <v>3761</v>
      </c>
      <c r="E20" s="42" t="s">
        <v>127</v>
      </c>
    </row>
  </sheetData>
  <mergeCells count="7">
    <mergeCell ref="A1:E1"/>
    <mergeCell ref="A2:E2"/>
    <mergeCell ref="A3:E3"/>
    <mergeCell ref="A4:E4"/>
    <mergeCell ref="A6:A7"/>
    <mergeCell ref="E6:E7"/>
    <mergeCell ref="B6:D6"/>
  </mergeCells>
  <printOptions horizontalCentered="1" verticalCentered="1"/>
  <pageMargins left="0" right="0" top="0" bottom="0" header="0.31496062992125984" footer="0.31496062992125984"/>
  <pageSetup paperSize="9" orientation="landscape"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N34"/>
  <sheetViews>
    <sheetView rightToLeft="1" view="pageBreakPreview" zoomScaleNormal="100" zoomScaleSheetLayoutView="100" workbookViewId="0">
      <selection activeCell="A4" sqref="A4"/>
    </sheetView>
  </sheetViews>
  <sheetFormatPr defaultRowHeight="13.8" x14ac:dyDescent="0.25"/>
  <sheetData>
    <row r="1" spans="1:14" s="29" customFormat="1" ht="21" customHeight="1" x14ac:dyDescent="0.25">
      <c r="A1" s="153" t="s">
        <v>297</v>
      </c>
      <c r="B1" s="153"/>
      <c r="C1" s="153"/>
      <c r="D1" s="153"/>
      <c r="E1" s="153"/>
      <c r="F1" s="153"/>
      <c r="G1" s="153"/>
      <c r="H1" s="153"/>
      <c r="I1" s="153"/>
      <c r="J1" s="153"/>
      <c r="K1" s="153"/>
      <c r="L1" s="153"/>
      <c r="M1" s="153"/>
      <c r="N1" s="46"/>
    </row>
    <row r="2" spans="1:14" s="29" customFormat="1" ht="15.6" x14ac:dyDescent="0.25">
      <c r="A2" s="154" t="s">
        <v>298</v>
      </c>
      <c r="B2" s="154"/>
      <c r="C2" s="154"/>
      <c r="D2" s="154"/>
      <c r="E2" s="154"/>
      <c r="F2" s="154"/>
      <c r="G2" s="154"/>
      <c r="H2" s="154"/>
      <c r="I2" s="154"/>
      <c r="J2" s="154"/>
      <c r="K2" s="154"/>
      <c r="L2" s="154"/>
      <c r="M2" s="154"/>
      <c r="N2" s="68"/>
    </row>
    <row r="3" spans="1:14" s="29" customFormat="1" ht="15" customHeight="1" x14ac:dyDescent="0.25">
      <c r="A3" s="155">
        <v>2020</v>
      </c>
      <c r="B3" s="155"/>
      <c r="C3" s="155"/>
      <c r="D3" s="155"/>
      <c r="E3" s="155"/>
      <c r="F3" s="155"/>
      <c r="G3" s="155"/>
      <c r="H3" s="155"/>
      <c r="I3" s="155"/>
      <c r="J3" s="155"/>
      <c r="K3" s="155"/>
      <c r="L3" s="155"/>
      <c r="M3" s="155"/>
      <c r="N3" s="47"/>
    </row>
    <row r="34" spans="1:14" x14ac:dyDescent="0.25">
      <c r="A34" s="162" t="s">
        <v>299</v>
      </c>
      <c r="B34" s="162"/>
      <c r="C34" s="162"/>
      <c r="D34" s="162"/>
      <c r="E34" s="162"/>
      <c r="F34" s="162"/>
      <c r="G34" s="162"/>
      <c r="H34" s="162"/>
      <c r="I34" s="162"/>
      <c r="J34" s="162"/>
      <c r="K34" s="162"/>
      <c r="L34" s="162"/>
      <c r="M34" s="162"/>
      <c r="N34" s="162"/>
    </row>
  </sheetData>
  <mergeCells count="4">
    <mergeCell ref="A1:M1"/>
    <mergeCell ref="A2:M2"/>
    <mergeCell ref="A3:M3"/>
    <mergeCell ref="A34:N34"/>
  </mergeCells>
  <printOptions horizontalCentered="1" verticalCentered="1"/>
  <pageMargins left="0" right="0" top="0" bottom="0" header="0.31496062992125984" footer="0.31496062992125984"/>
  <pageSetup paperSize="9" orientation="landscape"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E20"/>
  <sheetViews>
    <sheetView rightToLeft="1" view="pageBreakPreview" zoomScaleNormal="100" zoomScaleSheetLayoutView="100" workbookViewId="0">
      <selection activeCell="B20" sqref="B20"/>
    </sheetView>
  </sheetViews>
  <sheetFormatPr defaultColWidth="9.09765625" defaultRowHeight="13.8" x14ac:dyDescent="0.25"/>
  <cols>
    <col min="1" max="1" width="26.69921875" style="29" customWidth="1"/>
    <col min="2" max="4" width="14.69921875" style="29" customWidth="1"/>
    <col min="5" max="5" width="26.69921875" style="29" customWidth="1"/>
    <col min="6" max="16384" width="9.09765625" style="29"/>
  </cols>
  <sheetData>
    <row r="1" spans="1:5" ht="34.950000000000003" customHeight="1" x14ac:dyDescent="0.25">
      <c r="A1" s="151"/>
      <c r="B1" s="152"/>
      <c r="C1" s="152"/>
      <c r="D1" s="152"/>
      <c r="E1" s="152"/>
    </row>
    <row r="2" spans="1:5" ht="21" x14ac:dyDescent="0.25">
      <c r="A2" s="153" t="s">
        <v>201</v>
      </c>
      <c r="B2" s="153"/>
      <c r="C2" s="153"/>
      <c r="D2" s="153"/>
      <c r="E2" s="153"/>
    </row>
    <row r="3" spans="1:5" ht="18" x14ac:dyDescent="0.25">
      <c r="A3" s="154" t="s">
        <v>200</v>
      </c>
      <c r="B3" s="154"/>
      <c r="C3" s="154"/>
      <c r="D3" s="154"/>
      <c r="E3" s="154"/>
    </row>
    <row r="4" spans="1:5" ht="15" customHeight="1" x14ac:dyDescent="0.25">
      <c r="A4" s="155">
        <v>2020</v>
      </c>
      <c r="B4" s="155"/>
      <c r="C4" s="155"/>
      <c r="D4" s="155"/>
      <c r="E4" s="155"/>
    </row>
    <row r="5" spans="1:5" ht="15.6" x14ac:dyDescent="0.25">
      <c r="A5" s="30" t="s">
        <v>157</v>
      </c>
      <c r="B5" s="163" t="s">
        <v>132</v>
      </c>
      <c r="C5" s="163"/>
      <c r="D5" s="163"/>
      <c r="E5" s="33" t="s">
        <v>158</v>
      </c>
    </row>
    <row r="6" spans="1:5" ht="30" customHeight="1" thickBot="1" x14ac:dyDescent="0.3">
      <c r="A6" s="156" t="s">
        <v>95</v>
      </c>
      <c r="B6" s="169" t="s">
        <v>199</v>
      </c>
      <c r="C6" s="170"/>
      <c r="D6" s="171"/>
      <c r="E6" s="160" t="s">
        <v>97</v>
      </c>
    </row>
    <row r="7" spans="1:5" ht="30" customHeight="1" x14ac:dyDescent="0.25">
      <c r="A7" s="157"/>
      <c r="B7" s="69" t="s">
        <v>98</v>
      </c>
      <c r="C7" s="69" t="s">
        <v>99</v>
      </c>
      <c r="D7" s="69" t="s">
        <v>101</v>
      </c>
      <c r="E7" s="161"/>
    </row>
    <row r="8" spans="1:5" ht="22.5" customHeight="1" x14ac:dyDescent="0.25">
      <c r="A8" s="34" t="s">
        <v>102</v>
      </c>
      <c r="B8" s="35">
        <f>31+18</f>
        <v>49</v>
      </c>
      <c r="C8" s="35">
        <v>31</v>
      </c>
      <c r="D8" s="34">
        <f t="shared" ref="D8:D19" si="0">SUM(B8:C8)</f>
        <v>80</v>
      </c>
      <c r="E8" s="36" t="s">
        <v>103</v>
      </c>
    </row>
    <row r="9" spans="1:5" ht="22.5" customHeight="1" x14ac:dyDescent="0.25">
      <c r="A9" s="37" t="s">
        <v>104</v>
      </c>
      <c r="B9" s="38">
        <f>22+6</f>
        <v>28</v>
      </c>
      <c r="C9" s="38">
        <v>17</v>
      </c>
      <c r="D9" s="37">
        <f t="shared" si="0"/>
        <v>45</v>
      </c>
      <c r="E9" s="39" t="s">
        <v>105</v>
      </c>
    </row>
    <row r="10" spans="1:5" ht="22.5" customHeight="1" x14ac:dyDescent="0.25">
      <c r="A10" s="34" t="s">
        <v>106</v>
      </c>
      <c r="B10" s="35">
        <f>31+11</f>
        <v>42</v>
      </c>
      <c r="C10" s="35">
        <v>26</v>
      </c>
      <c r="D10" s="34">
        <f t="shared" si="0"/>
        <v>68</v>
      </c>
      <c r="E10" s="36" t="s">
        <v>107</v>
      </c>
    </row>
    <row r="11" spans="1:5" ht="22.5" customHeight="1" x14ac:dyDescent="0.25">
      <c r="A11" s="37" t="s">
        <v>108</v>
      </c>
      <c r="B11" s="38">
        <f>13+2</f>
        <v>15</v>
      </c>
      <c r="C11" s="38">
        <v>20</v>
      </c>
      <c r="D11" s="37">
        <f t="shared" si="0"/>
        <v>35</v>
      </c>
      <c r="E11" s="39" t="s">
        <v>109</v>
      </c>
    </row>
    <row r="12" spans="1:5" ht="22.5" customHeight="1" x14ac:dyDescent="0.25">
      <c r="A12" s="34" t="s">
        <v>110</v>
      </c>
      <c r="B12" s="35">
        <f>12+2</f>
        <v>14</v>
      </c>
      <c r="C12" s="35">
        <v>11</v>
      </c>
      <c r="D12" s="34">
        <f t="shared" si="0"/>
        <v>25</v>
      </c>
      <c r="E12" s="36" t="s">
        <v>111</v>
      </c>
    </row>
    <row r="13" spans="1:5" ht="22.5" customHeight="1" x14ac:dyDescent="0.25">
      <c r="A13" s="37" t="s">
        <v>112</v>
      </c>
      <c r="B13" s="38">
        <f>17+8</f>
        <v>25</v>
      </c>
      <c r="C13" s="38">
        <v>27</v>
      </c>
      <c r="D13" s="37">
        <f t="shared" si="0"/>
        <v>52</v>
      </c>
      <c r="E13" s="39" t="s">
        <v>113</v>
      </c>
    </row>
    <row r="14" spans="1:5" ht="22.5" customHeight="1" x14ac:dyDescent="0.25">
      <c r="A14" s="34" t="s">
        <v>114</v>
      </c>
      <c r="B14" s="35">
        <f>20+15</f>
        <v>35</v>
      </c>
      <c r="C14" s="35">
        <v>25</v>
      </c>
      <c r="D14" s="34">
        <f t="shared" si="0"/>
        <v>60</v>
      </c>
      <c r="E14" s="36" t="s">
        <v>115</v>
      </c>
    </row>
    <row r="15" spans="1:5" ht="22.5" customHeight="1" x14ac:dyDescent="0.25">
      <c r="A15" s="37" t="s">
        <v>116</v>
      </c>
      <c r="B15" s="38">
        <f>18+3</f>
        <v>21</v>
      </c>
      <c r="C15" s="38">
        <v>19</v>
      </c>
      <c r="D15" s="37">
        <f t="shared" si="0"/>
        <v>40</v>
      </c>
      <c r="E15" s="39" t="s">
        <v>117</v>
      </c>
    </row>
    <row r="16" spans="1:5" ht="22.5" customHeight="1" x14ac:dyDescent="0.25">
      <c r="A16" s="34" t="s">
        <v>118</v>
      </c>
      <c r="B16" s="35">
        <f>24+7</f>
        <v>31</v>
      </c>
      <c r="C16" s="35">
        <v>24</v>
      </c>
      <c r="D16" s="34">
        <f t="shared" si="0"/>
        <v>55</v>
      </c>
      <c r="E16" s="36" t="s">
        <v>119</v>
      </c>
    </row>
    <row r="17" spans="1:5" ht="22.5" customHeight="1" x14ac:dyDescent="0.25">
      <c r="A17" s="37" t="s">
        <v>120</v>
      </c>
      <c r="B17" s="38">
        <f>21+6</f>
        <v>27</v>
      </c>
      <c r="C17" s="38">
        <v>30</v>
      </c>
      <c r="D17" s="37">
        <f t="shared" si="0"/>
        <v>57</v>
      </c>
      <c r="E17" s="39" t="s">
        <v>121</v>
      </c>
    </row>
    <row r="18" spans="1:5" ht="22.5" customHeight="1" x14ac:dyDescent="0.25">
      <c r="A18" s="34" t="s">
        <v>122</v>
      </c>
      <c r="B18" s="35">
        <f>26+9</f>
        <v>35</v>
      </c>
      <c r="C18" s="35">
        <v>31</v>
      </c>
      <c r="D18" s="34">
        <f t="shared" si="0"/>
        <v>66</v>
      </c>
      <c r="E18" s="36" t="s">
        <v>123</v>
      </c>
    </row>
    <row r="19" spans="1:5" ht="22.5" customHeight="1" x14ac:dyDescent="0.25">
      <c r="A19" s="37" t="s">
        <v>124</v>
      </c>
      <c r="B19" s="38">
        <f>15+8</f>
        <v>23</v>
      </c>
      <c r="C19" s="38">
        <v>21</v>
      </c>
      <c r="D19" s="37">
        <f t="shared" si="0"/>
        <v>44</v>
      </c>
      <c r="E19" s="39" t="s">
        <v>125</v>
      </c>
    </row>
    <row r="20" spans="1:5" ht="36" customHeight="1" x14ac:dyDescent="0.25">
      <c r="A20" s="40" t="s">
        <v>126</v>
      </c>
      <c r="B20" s="41">
        <f>SUM(B8:B19)</f>
        <v>345</v>
      </c>
      <c r="C20" s="41">
        <f>SUM(C8:C19)</f>
        <v>282</v>
      </c>
      <c r="D20" s="41">
        <f>SUM(D8:D19)</f>
        <v>627</v>
      </c>
      <c r="E20" s="42" t="s">
        <v>127</v>
      </c>
    </row>
  </sheetData>
  <mergeCells count="8">
    <mergeCell ref="A6:A7"/>
    <mergeCell ref="E6:E7"/>
    <mergeCell ref="B6:D6"/>
    <mergeCell ref="B5:D5"/>
    <mergeCell ref="A1:E1"/>
    <mergeCell ref="A2:E2"/>
    <mergeCell ref="A3:E3"/>
    <mergeCell ref="A4:E4"/>
  </mergeCells>
  <printOptions horizontalCentered="1" verticalCentered="1"/>
  <pageMargins left="0" right="0" top="0" bottom="0" header="0.31496062992125984" footer="0.31496062992125984"/>
  <pageSetup paperSize="9" orientation="landscape"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E20"/>
  <sheetViews>
    <sheetView rightToLeft="1" view="pageBreakPreview" zoomScaleNormal="100" zoomScaleSheetLayoutView="100" workbookViewId="0">
      <selection activeCell="B20" sqref="B20"/>
    </sheetView>
  </sheetViews>
  <sheetFormatPr defaultColWidth="9.09765625" defaultRowHeight="13.8" x14ac:dyDescent="0.25"/>
  <cols>
    <col min="1" max="1" width="26.69921875" style="29" customWidth="1"/>
    <col min="2" max="4" width="14.69921875" style="29" customWidth="1"/>
    <col min="5" max="5" width="26.69921875" style="29" customWidth="1"/>
    <col min="6" max="16384" width="9.09765625" style="29"/>
  </cols>
  <sheetData>
    <row r="1" spans="1:5" ht="34.950000000000003" customHeight="1" x14ac:dyDescent="0.25">
      <c r="A1" s="151"/>
      <c r="B1" s="152"/>
      <c r="C1" s="152"/>
      <c r="D1" s="152"/>
      <c r="E1" s="152"/>
    </row>
    <row r="2" spans="1:5" ht="21" x14ac:dyDescent="0.25">
      <c r="A2" s="153" t="s">
        <v>201</v>
      </c>
      <c r="B2" s="153"/>
      <c r="C2" s="153"/>
      <c r="D2" s="153"/>
      <c r="E2" s="153"/>
    </row>
    <row r="3" spans="1:5" ht="18" x14ac:dyDescent="0.25">
      <c r="A3" s="154" t="s">
        <v>200</v>
      </c>
      <c r="B3" s="154"/>
      <c r="C3" s="154"/>
      <c r="D3" s="154"/>
      <c r="E3" s="154"/>
    </row>
    <row r="4" spans="1:5" ht="15" customHeight="1" x14ac:dyDescent="0.25">
      <c r="A4" s="155">
        <v>2020</v>
      </c>
      <c r="B4" s="155"/>
      <c r="C4" s="155"/>
      <c r="D4" s="155"/>
      <c r="E4" s="155"/>
    </row>
    <row r="5" spans="1:5" ht="15.6" x14ac:dyDescent="0.25">
      <c r="A5" s="30" t="s">
        <v>216</v>
      </c>
      <c r="B5" s="163" t="s">
        <v>135</v>
      </c>
      <c r="C5" s="163"/>
      <c r="D5" s="163"/>
      <c r="E5" s="33" t="s">
        <v>217</v>
      </c>
    </row>
    <row r="6" spans="1:5" ht="30" customHeight="1" thickBot="1" x14ac:dyDescent="0.3">
      <c r="A6" s="156" t="s">
        <v>95</v>
      </c>
      <c r="B6" s="169" t="s">
        <v>199</v>
      </c>
      <c r="C6" s="170"/>
      <c r="D6" s="171"/>
      <c r="E6" s="160" t="s">
        <v>97</v>
      </c>
    </row>
    <row r="7" spans="1:5" ht="30" customHeight="1" x14ac:dyDescent="0.25">
      <c r="A7" s="157"/>
      <c r="B7" s="69" t="s">
        <v>98</v>
      </c>
      <c r="C7" s="69" t="s">
        <v>99</v>
      </c>
      <c r="D7" s="69" t="s">
        <v>101</v>
      </c>
      <c r="E7" s="161"/>
    </row>
    <row r="8" spans="1:5" ht="22.5" customHeight="1" x14ac:dyDescent="0.25">
      <c r="A8" s="34" t="s">
        <v>102</v>
      </c>
      <c r="B8" s="35">
        <f>64+1</f>
        <v>65</v>
      </c>
      <c r="C8" s="35">
        <v>31</v>
      </c>
      <c r="D8" s="34">
        <f t="shared" ref="D8:D19" si="0">SUM(B8:C8)</f>
        <v>96</v>
      </c>
      <c r="E8" s="36" t="s">
        <v>103</v>
      </c>
    </row>
    <row r="9" spans="1:5" ht="22.5" customHeight="1" x14ac:dyDescent="0.25">
      <c r="A9" s="37" t="s">
        <v>104</v>
      </c>
      <c r="B9" s="38">
        <f>49+5</f>
        <v>54</v>
      </c>
      <c r="C9" s="38">
        <v>28</v>
      </c>
      <c r="D9" s="37">
        <f t="shared" si="0"/>
        <v>82</v>
      </c>
      <c r="E9" s="39" t="s">
        <v>105</v>
      </c>
    </row>
    <row r="10" spans="1:5" ht="22.5" customHeight="1" x14ac:dyDescent="0.25">
      <c r="A10" s="34" t="s">
        <v>106</v>
      </c>
      <c r="B10" s="35">
        <f>71+8</f>
        <v>79</v>
      </c>
      <c r="C10" s="35">
        <v>31</v>
      </c>
      <c r="D10" s="34">
        <f t="shared" si="0"/>
        <v>110</v>
      </c>
      <c r="E10" s="36" t="s">
        <v>107</v>
      </c>
    </row>
    <row r="11" spans="1:5" ht="22.5" customHeight="1" x14ac:dyDescent="0.25">
      <c r="A11" s="37" t="s">
        <v>108</v>
      </c>
      <c r="B11" s="38">
        <f>70+3</f>
        <v>73</v>
      </c>
      <c r="C11" s="38">
        <v>19</v>
      </c>
      <c r="D11" s="37">
        <f t="shared" si="0"/>
        <v>92</v>
      </c>
      <c r="E11" s="39" t="s">
        <v>109</v>
      </c>
    </row>
    <row r="12" spans="1:5" ht="22.5" customHeight="1" x14ac:dyDescent="0.25">
      <c r="A12" s="34" t="s">
        <v>110</v>
      </c>
      <c r="B12" s="35">
        <f>38+8</f>
        <v>46</v>
      </c>
      <c r="C12" s="35">
        <v>12</v>
      </c>
      <c r="D12" s="34">
        <f t="shared" si="0"/>
        <v>58</v>
      </c>
      <c r="E12" s="36" t="s">
        <v>111</v>
      </c>
    </row>
    <row r="13" spans="1:5" ht="22.5" customHeight="1" x14ac:dyDescent="0.25">
      <c r="A13" s="37" t="s">
        <v>112</v>
      </c>
      <c r="B13" s="38">
        <f>57+9</f>
        <v>66</v>
      </c>
      <c r="C13" s="38">
        <v>24</v>
      </c>
      <c r="D13" s="37">
        <f t="shared" si="0"/>
        <v>90</v>
      </c>
      <c r="E13" s="39" t="s">
        <v>113</v>
      </c>
    </row>
    <row r="14" spans="1:5" ht="22.5" customHeight="1" x14ac:dyDescent="0.25">
      <c r="A14" s="34" t="s">
        <v>114</v>
      </c>
      <c r="B14" s="35">
        <f>66+5</f>
        <v>71</v>
      </c>
      <c r="C14" s="35">
        <v>29</v>
      </c>
      <c r="D14" s="34">
        <f t="shared" si="0"/>
        <v>100</v>
      </c>
      <c r="E14" s="36" t="s">
        <v>115</v>
      </c>
    </row>
    <row r="15" spans="1:5" ht="22.5" customHeight="1" x14ac:dyDescent="0.25">
      <c r="A15" s="37" t="s">
        <v>116</v>
      </c>
      <c r="B15" s="38">
        <f>46+9</f>
        <v>55</v>
      </c>
      <c r="C15" s="38">
        <v>20</v>
      </c>
      <c r="D15" s="37">
        <f t="shared" si="0"/>
        <v>75</v>
      </c>
      <c r="E15" s="39" t="s">
        <v>117</v>
      </c>
    </row>
    <row r="16" spans="1:5" ht="22.5" customHeight="1" x14ac:dyDescent="0.25">
      <c r="A16" s="34" t="s">
        <v>118</v>
      </c>
      <c r="B16" s="35">
        <f>79+8</f>
        <v>87</v>
      </c>
      <c r="C16" s="35">
        <v>24</v>
      </c>
      <c r="D16" s="34">
        <f t="shared" si="0"/>
        <v>111</v>
      </c>
      <c r="E16" s="36" t="s">
        <v>119</v>
      </c>
    </row>
    <row r="17" spans="1:5" ht="22.5" customHeight="1" x14ac:dyDescent="0.25">
      <c r="A17" s="37" t="s">
        <v>120</v>
      </c>
      <c r="B17" s="38">
        <f>63+1</f>
        <v>64</v>
      </c>
      <c r="C17" s="38">
        <v>28</v>
      </c>
      <c r="D17" s="37">
        <f t="shared" si="0"/>
        <v>92</v>
      </c>
      <c r="E17" s="39" t="s">
        <v>121</v>
      </c>
    </row>
    <row r="18" spans="1:5" ht="22.5" customHeight="1" x14ac:dyDescent="0.25">
      <c r="A18" s="34" t="s">
        <v>122</v>
      </c>
      <c r="B18" s="35">
        <f>50+3</f>
        <v>53</v>
      </c>
      <c r="C18" s="35">
        <v>26</v>
      </c>
      <c r="D18" s="34">
        <f t="shared" si="0"/>
        <v>79</v>
      </c>
      <c r="E18" s="36" t="s">
        <v>123</v>
      </c>
    </row>
    <row r="19" spans="1:5" ht="22.5" customHeight="1" x14ac:dyDescent="0.25">
      <c r="A19" s="37" t="s">
        <v>124</v>
      </c>
      <c r="B19" s="38">
        <f>55+6</f>
        <v>61</v>
      </c>
      <c r="C19" s="38">
        <v>34</v>
      </c>
      <c r="D19" s="37">
        <f t="shared" si="0"/>
        <v>95</v>
      </c>
      <c r="E19" s="39" t="s">
        <v>125</v>
      </c>
    </row>
    <row r="20" spans="1:5" ht="36" customHeight="1" x14ac:dyDescent="0.25">
      <c r="A20" s="40" t="s">
        <v>126</v>
      </c>
      <c r="B20" s="41">
        <f>SUM(B8:B19)</f>
        <v>774</v>
      </c>
      <c r="C20" s="41">
        <f>SUM(C8:C19)</f>
        <v>306</v>
      </c>
      <c r="D20" s="41">
        <f>SUM(D8:D19)</f>
        <v>1080</v>
      </c>
      <c r="E20" s="42" t="s">
        <v>127</v>
      </c>
    </row>
  </sheetData>
  <mergeCells count="8">
    <mergeCell ref="A6:A7"/>
    <mergeCell ref="E6:E7"/>
    <mergeCell ref="B6:D6"/>
    <mergeCell ref="A1:E1"/>
    <mergeCell ref="A2:E2"/>
    <mergeCell ref="A3:E3"/>
    <mergeCell ref="A4:E4"/>
    <mergeCell ref="B5:D5"/>
  </mergeCells>
  <printOptions horizontalCentered="1" verticalCentered="1"/>
  <pageMargins left="0" right="0" top="0" bottom="0" header="0.31496062992125984" footer="0.31496062992125984"/>
  <pageSetup paperSize="9" orientation="landscape"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E20"/>
  <sheetViews>
    <sheetView rightToLeft="1" view="pageBreakPreview" zoomScaleNormal="100" zoomScaleSheetLayoutView="100" workbookViewId="0">
      <selection activeCell="D19" sqref="D19"/>
    </sheetView>
  </sheetViews>
  <sheetFormatPr defaultColWidth="9.09765625" defaultRowHeight="13.8" x14ac:dyDescent="0.25"/>
  <cols>
    <col min="1" max="1" width="26.69921875" style="29" customWidth="1"/>
    <col min="2" max="4" width="14.69921875" style="29" customWidth="1"/>
    <col min="5" max="5" width="26.69921875" style="29" customWidth="1"/>
    <col min="6" max="16384" width="9.09765625" style="29"/>
  </cols>
  <sheetData>
    <row r="1" spans="1:5" ht="34.950000000000003" customHeight="1" x14ac:dyDescent="0.25">
      <c r="A1" s="151"/>
      <c r="B1" s="152"/>
      <c r="C1" s="152"/>
      <c r="D1" s="152"/>
      <c r="E1" s="152"/>
    </row>
    <row r="2" spans="1:5" ht="21" x14ac:dyDescent="0.25">
      <c r="A2" s="153" t="s">
        <v>201</v>
      </c>
      <c r="B2" s="153"/>
      <c r="C2" s="153"/>
      <c r="D2" s="153"/>
      <c r="E2" s="153"/>
    </row>
    <row r="3" spans="1:5" ht="18" x14ac:dyDescent="0.25">
      <c r="A3" s="154" t="s">
        <v>200</v>
      </c>
      <c r="B3" s="154"/>
      <c r="C3" s="154"/>
      <c r="D3" s="154"/>
      <c r="E3" s="154"/>
    </row>
    <row r="4" spans="1:5" ht="15" customHeight="1" x14ac:dyDescent="0.25">
      <c r="A4" s="155">
        <v>2020</v>
      </c>
      <c r="B4" s="155"/>
      <c r="C4" s="155"/>
      <c r="D4" s="155"/>
      <c r="E4" s="155"/>
    </row>
    <row r="5" spans="1:5" ht="15.6" x14ac:dyDescent="0.25">
      <c r="A5" s="30" t="s">
        <v>218</v>
      </c>
      <c r="B5" s="163" t="s">
        <v>138</v>
      </c>
      <c r="C5" s="163"/>
      <c r="D5" s="163"/>
      <c r="E5" s="33" t="s">
        <v>219</v>
      </c>
    </row>
    <row r="6" spans="1:5" ht="30" customHeight="1" thickBot="1" x14ac:dyDescent="0.3">
      <c r="A6" s="156" t="s">
        <v>95</v>
      </c>
      <c r="B6" s="169" t="s">
        <v>199</v>
      </c>
      <c r="C6" s="170"/>
      <c r="D6" s="171"/>
      <c r="E6" s="160" t="s">
        <v>97</v>
      </c>
    </row>
    <row r="7" spans="1:5" ht="30" customHeight="1" x14ac:dyDescent="0.25">
      <c r="A7" s="157"/>
      <c r="B7" s="69" t="s">
        <v>98</v>
      </c>
      <c r="C7" s="69" t="s">
        <v>99</v>
      </c>
      <c r="D7" s="69" t="s">
        <v>101</v>
      </c>
      <c r="E7" s="161"/>
    </row>
    <row r="8" spans="1:5" ht="22.5" customHeight="1" x14ac:dyDescent="0.25">
      <c r="A8" s="34" t="s">
        <v>102</v>
      </c>
      <c r="B8" s="35">
        <f>25+12</f>
        <v>37</v>
      </c>
      <c r="C8" s="35">
        <v>9</v>
      </c>
      <c r="D8" s="34">
        <f t="shared" ref="D8:D19" si="0">SUM(B8:C8)</f>
        <v>46</v>
      </c>
      <c r="E8" s="36" t="s">
        <v>103</v>
      </c>
    </row>
    <row r="9" spans="1:5" ht="22.5" customHeight="1" x14ac:dyDescent="0.25">
      <c r="A9" s="37" t="s">
        <v>104</v>
      </c>
      <c r="B9" s="38">
        <f>41+8</f>
        <v>49</v>
      </c>
      <c r="C9" s="38">
        <v>9</v>
      </c>
      <c r="D9" s="37">
        <f t="shared" si="0"/>
        <v>58</v>
      </c>
      <c r="E9" s="39" t="s">
        <v>105</v>
      </c>
    </row>
    <row r="10" spans="1:5" ht="22.5" customHeight="1" x14ac:dyDescent="0.25">
      <c r="A10" s="34" t="s">
        <v>106</v>
      </c>
      <c r="B10" s="35">
        <f>45+23</f>
        <v>68</v>
      </c>
      <c r="C10" s="35">
        <v>12</v>
      </c>
      <c r="D10" s="34">
        <f t="shared" si="0"/>
        <v>80</v>
      </c>
      <c r="E10" s="36" t="s">
        <v>107</v>
      </c>
    </row>
    <row r="11" spans="1:5" ht="22.5" customHeight="1" x14ac:dyDescent="0.25">
      <c r="A11" s="37" t="s">
        <v>108</v>
      </c>
      <c r="B11" s="38">
        <f>29+4</f>
        <v>33</v>
      </c>
      <c r="C11" s="38">
        <v>10</v>
      </c>
      <c r="D11" s="37">
        <f t="shared" si="0"/>
        <v>43</v>
      </c>
      <c r="E11" s="39" t="s">
        <v>109</v>
      </c>
    </row>
    <row r="12" spans="1:5" ht="22.5" customHeight="1" x14ac:dyDescent="0.25">
      <c r="A12" s="34" t="s">
        <v>110</v>
      </c>
      <c r="B12" s="35">
        <f>19+11</f>
        <v>30</v>
      </c>
      <c r="C12" s="35">
        <v>4</v>
      </c>
      <c r="D12" s="34">
        <f t="shared" si="0"/>
        <v>34</v>
      </c>
      <c r="E12" s="36" t="s">
        <v>111</v>
      </c>
    </row>
    <row r="13" spans="1:5" ht="22.5" customHeight="1" x14ac:dyDescent="0.25">
      <c r="A13" s="37" t="s">
        <v>112</v>
      </c>
      <c r="B13" s="38">
        <f>48+15</f>
        <v>63</v>
      </c>
      <c r="C13" s="38">
        <v>15</v>
      </c>
      <c r="D13" s="37">
        <f t="shared" si="0"/>
        <v>78</v>
      </c>
      <c r="E13" s="39" t="s">
        <v>113</v>
      </c>
    </row>
    <row r="14" spans="1:5" ht="22.5" customHeight="1" x14ac:dyDescent="0.25">
      <c r="A14" s="34" t="s">
        <v>114</v>
      </c>
      <c r="B14" s="35">
        <f>53+20</f>
        <v>73</v>
      </c>
      <c r="C14" s="35">
        <v>11</v>
      </c>
      <c r="D14" s="34">
        <f t="shared" si="0"/>
        <v>84</v>
      </c>
      <c r="E14" s="36" t="s">
        <v>115</v>
      </c>
    </row>
    <row r="15" spans="1:5" ht="22.5" customHeight="1" x14ac:dyDescent="0.25">
      <c r="A15" s="37" t="s">
        <v>116</v>
      </c>
      <c r="B15" s="38">
        <f>48+13</f>
        <v>61</v>
      </c>
      <c r="C15" s="38">
        <v>15</v>
      </c>
      <c r="D15" s="37">
        <f t="shared" si="0"/>
        <v>76</v>
      </c>
      <c r="E15" s="39" t="s">
        <v>117</v>
      </c>
    </row>
    <row r="16" spans="1:5" ht="22.5" customHeight="1" x14ac:dyDescent="0.25">
      <c r="A16" s="34" t="s">
        <v>118</v>
      </c>
      <c r="B16" s="35">
        <f>61+13</f>
        <v>74</v>
      </c>
      <c r="C16" s="35">
        <v>14</v>
      </c>
      <c r="D16" s="34">
        <f t="shared" si="0"/>
        <v>88</v>
      </c>
      <c r="E16" s="36" t="s">
        <v>119</v>
      </c>
    </row>
    <row r="17" spans="1:5" ht="22.5" customHeight="1" x14ac:dyDescent="0.25">
      <c r="A17" s="37" t="s">
        <v>120</v>
      </c>
      <c r="B17" s="38">
        <f>48+12</f>
        <v>60</v>
      </c>
      <c r="C17" s="38">
        <v>19</v>
      </c>
      <c r="D17" s="37">
        <f t="shared" si="0"/>
        <v>79</v>
      </c>
      <c r="E17" s="39" t="s">
        <v>121</v>
      </c>
    </row>
    <row r="18" spans="1:5" ht="22.5" customHeight="1" x14ac:dyDescent="0.25">
      <c r="A18" s="34" t="s">
        <v>122</v>
      </c>
      <c r="B18" s="35">
        <f>46+17</f>
        <v>63</v>
      </c>
      <c r="C18" s="35">
        <v>23</v>
      </c>
      <c r="D18" s="34">
        <f t="shared" si="0"/>
        <v>86</v>
      </c>
      <c r="E18" s="36" t="s">
        <v>123</v>
      </c>
    </row>
    <row r="19" spans="1:5" ht="22.5" customHeight="1" x14ac:dyDescent="0.25">
      <c r="A19" s="37" t="s">
        <v>124</v>
      </c>
      <c r="B19" s="38">
        <f>44+20</f>
        <v>64</v>
      </c>
      <c r="C19" s="38">
        <v>13</v>
      </c>
      <c r="D19" s="37">
        <f t="shared" si="0"/>
        <v>77</v>
      </c>
      <c r="E19" s="39" t="s">
        <v>125</v>
      </c>
    </row>
    <row r="20" spans="1:5" ht="36" customHeight="1" x14ac:dyDescent="0.25">
      <c r="A20" s="40" t="s">
        <v>126</v>
      </c>
      <c r="B20" s="41">
        <f>SUM(B8:B19)</f>
        <v>675</v>
      </c>
      <c r="C20" s="41">
        <f>SUM(C8:C19)</f>
        <v>154</v>
      </c>
      <c r="D20" s="41">
        <f>SUM(D8:D19)</f>
        <v>829</v>
      </c>
      <c r="E20" s="42" t="s">
        <v>127</v>
      </c>
    </row>
  </sheetData>
  <mergeCells count="8">
    <mergeCell ref="A6:A7"/>
    <mergeCell ref="E6:E7"/>
    <mergeCell ref="B6:D6"/>
    <mergeCell ref="A1:E1"/>
    <mergeCell ref="A2:E2"/>
    <mergeCell ref="A3:E3"/>
    <mergeCell ref="A4:E4"/>
    <mergeCell ref="B5:D5"/>
  </mergeCells>
  <printOptions horizontalCentered="1" verticalCentered="1"/>
  <pageMargins left="0" right="0" top="0" bottom="0" header="0.31496062992125984" footer="0.31496062992125984"/>
  <pageSetup paperSize="9" orientation="landscape"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E20"/>
  <sheetViews>
    <sheetView rightToLeft="1" view="pageBreakPreview" zoomScaleNormal="100" zoomScaleSheetLayoutView="100" workbookViewId="0">
      <selection activeCell="B20" sqref="B20"/>
    </sheetView>
  </sheetViews>
  <sheetFormatPr defaultColWidth="9.09765625" defaultRowHeight="13.8" x14ac:dyDescent="0.25"/>
  <cols>
    <col min="1" max="1" width="26.69921875" style="29" customWidth="1"/>
    <col min="2" max="4" width="14.69921875" style="29" customWidth="1"/>
    <col min="5" max="5" width="26.69921875" style="29" customWidth="1"/>
    <col min="6" max="16384" width="9.09765625" style="29"/>
  </cols>
  <sheetData>
    <row r="1" spans="1:5" ht="34.950000000000003" customHeight="1" x14ac:dyDescent="0.25">
      <c r="A1" s="151"/>
      <c r="B1" s="152"/>
      <c r="C1" s="152"/>
      <c r="D1" s="152"/>
      <c r="E1" s="152"/>
    </row>
    <row r="2" spans="1:5" ht="21" x14ac:dyDescent="0.25">
      <c r="A2" s="153" t="s">
        <v>201</v>
      </c>
      <c r="B2" s="153"/>
      <c r="C2" s="153"/>
      <c r="D2" s="153"/>
      <c r="E2" s="153"/>
    </row>
    <row r="3" spans="1:5" ht="18" x14ac:dyDescent="0.25">
      <c r="A3" s="154" t="s">
        <v>200</v>
      </c>
      <c r="B3" s="154"/>
      <c r="C3" s="154"/>
      <c r="D3" s="154"/>
      <c r="E3" s="154"/>
    </row>
    <row r="4" spans="1:5" ht="15" customHeight="1" x14ac:dyDescent="0.25">
      <c r="A4" s="155">
        <v>2020</v>
      </c>
      <c r="B4" s="155"/>
      <c r="C4" s="155"/>
      <c r="D4" s="155"/>
      <c r="E4" s="155"/>
    </row>
    <row r="5" spans="1:5" ht="15.6" x14ac:dyDescent="0.25">
      <c r="A5" s="30" t="s">
        <v>220</v>
      </c>
      <c r="B5" s="163" t="s">
        <v>141</v>
      </c>
      <c r="C5" s="163"/>
      <c r="D5" s="163"/>
      <c r="E5" s="33" t="s">
        <v>221</v>
      </c>
    </row>
    <row r="6" spans="1:5" ht="30" customHeight="1" thickBot="1" x14ac:dyDescent="0.3">
      <c r="A6" s="156" t="s">
        <v>95</v>
      </c>
      <c r="B6" s="169" t="s">
        <v>199</v>
      </c>
      <c r="C6" s="170"/>
      <c r="D6" s="171"/>
      <c r="E6" s="160" t="s">
        <v>97</v>
      </c>
    </row>
    <row r="7" spans="1:5" ht="30" customHeight="1" x14ac:dyDescent="0.25">
      <c r="A7" s="157"/>
      <c r="B7" s="69" t="s">
        <v>98</v>
      </c>
      <c r="C7" s="69" t="s">
        <v>99</v>
      </c>
      <c r="D7" s="69" t="s">
        <v>101</v>
      </c>
      <c r="E7" s="161"/>
    </row>
    <row r="8" spans="1:5" ht="22.5" customHeight="1" x14ac:dyDescent="0.25">
      <c r="A8" s="34" t="s">
        <v>102</v>
      </c>
      <c r="B8" s="35">
        <f>15+4</f>
        <v>19</v>
      </c>
      <c r="C8" s="35">
        <v>4</v>
      </c>
      <c r="D8" s="34">
        <f t="shared" ref="D8:D19" si="0">SUM(B8:C8)</f>
        <v>23</v>
      </c>
      <c r="E8" s="36" t="s">
        <v>103</v>
      </c>
    </row>
    <row r="9" spans="1:5" ht="22.5" customHeight="1" x14ac:dyDescent="0.25">
      <c r="A9" s="37" t="s">
        <v>104</v>
      </c>
      <c r="B9" s="38">
        <f>19+3</f>
        <v>22</v>
      </c>
      <c r="C9" s="38">
        <v>7</v>
      </c>
      <c r="D9" s="37">
        <f t="shared" si="0"/>
        <v>29</v>
      </c>
      <c r="E9" s="39" t="s">
        <v>105</v>
      </c>
    </row>
    <row r="10" spans="1:5" ht="22.5" customHeight="1" x14ac:dyDescent="0.25">
      <c r="A10" s="34" t="s">
        <v>106</v>
      </c>
      <c r="B10" s="35">
        <f>17+2</f>
        <v>19</v>
      </c>
      <c r="C10" s="35">
        <v>5</v>
      </c>
      <c r="D10" s="34">
        <f t="shared" si="0"/>
        <v>24</v>
      </c>
      <c r="E10" s="36" t="s">
        <v>107</v>
      </c>
    </row>
    <row r="11" spans="1:5" ht="22.5" customHeight="1" x14ac:dyDescent="0.25">
      <c r="A11" s="37" t="s">
        <v>108</v>
      </c>
      <c r="B11" s="38">
        <f>15+1</f>
        <v>16</v>
      </c>
      <c r="C11" s="38">
        <v>9</v>
      </c>
      <c r="D11" s="37">
        <f t="shared" si="0"/>
        <v>25</v>
      </c>
      <c r="E11" s="39" t="s">
        <v>109</v>
      </c>
    </row>
    <row r="12" spans="1:5" ht="22.5" customHeight="1" x14ac:dyDescent="0.25">
      <c r="A12" s="34" t="s">
        <v>110</v>
      </c>
      <c r="B12" s="35">
        <f>7+0</f>
        <v>7</v>
      </c>
      <c r="C12" s="35">
        <v>2</v>
      </c>
      <c r="D12" s="34">
        <f t="shared" si="0"/>
        <v>9</v>
      </c>
      <c r="E12" s="36" t="s">
        <v>111</v>
      </c>
    </row>
    <row r="13" spans="1:5" ht="22.5" customHeight="1" x14ac:dyDescent="0.25">
      <c r="A13" s="37" t="s">
        <v>112</v>
      </c>
      <c r="B13" s="38">
        <f>13+0</f>
        <v>13</v>
      </c>
      <c r="C13" s="38">
        <v>4</v>
      </c>
      <c r="D13" s="37">
        <f t="shared" si="0"/>
        <v>17</v>
      </c>
      <c r="E13" s="39" t="s">
        <v>113</v>
      </c>
    </row>
    <row r="14" spans="1:5" ht="22.5" customHeight="1" x14ac:dyDescent="0.25">
      <c r="A14" s="34" t="s">
        <v>114</v>
      </c>
      <c r="B14" s="35">
        <f>15+0</f>
        <v>15</v>
      </c>
      <c r="C14" s="35">
        <v>3</v>
      </c>
      <c r="D14" s="34">
        <f t="shared" si="0"/>
        <v>18</v>
      </c>
      <c r="E14" s="36" t="s">
        <v>115</v>
      </c>
    </row>
    <row r="15" spans="1:5" ht="22.5" customHeight="1" x14ac:dyDescent="0.25">
      <c r="A15" s="37" t="s">
        <v>116</v>
      </c>
      <c r="B15" s="38">
        <f>22+1</f>
        <v>23</v>
      </c>
      <c r="C15" s="38">
        <v>7</v>
      </c>
      <c r="D15" s="37">
        <f t="shared" si="0"/>
        <v>30</v>
      </c>
      <c r="E15" s="39" t="s">
        <v>117</v>
      </c>
    </row>
    <row r="16" spans="1:5" ht="22.5" customHeight="1" x14ac:dyDescent="0.25">
      <c r="A16" s="34" t="s">
        <v>118</v>
      </c>
      <c r="B16" s="35">
        <f>16+0</f>
        <v>16</v>
      </c>
      <c r="C16" s="35">
        <v>7</v>
      </c>
      <c r="D16" s="34">
        <f t="shared" si="0"/>
        <v>23</v>
      </c>
      <c r="E16" s="36" t="s">
        <v>119</v>
      </c>
    </row>
    <row r="17" spans="1:5" ht="22.5" customHeight="1" x14ac:dyDescent="0.25">
      <c r="A17" s="37" t="s">
        <v>120</v>
      </c>
      <c r="B17" s="38">
        <f>28+0</f>
        <v>28</v>
      </c>
      <c r="C17" s="38">
        <v>9</v>
      </c>
      <c r="D17" s="37">
        <f t="shared" si="0"/>
        <v>37</v>
      </c>
      <c r="E17" s="39" t="s">
        <v>121</v>
      </c>
    </row>
    <row r="18" spans="1:5" ht="22.5" customHeight="1" x14ac:dyDescent="0.25">
      <c r="A18" s="34" t="s">
        <v>122</v>
      </c>
      <c r="B18" s="35">
        <f>24+0</f>
        <v>24</v>
      </c>
      <c r="C18" s="35">
        <v>6</v>
      </c>
      <c r="D18" s="34">
        <f t="shared" si="0"/>
        <v>30</v>
      </c>
      <c r="E18" s="36" t="s">
        <v>123</v>
      </c>
    </row>
    <row r="19" spans="1:5" ht="22.5" customHeight="1" x14ac:dyDescent="0.25">
      <c r="A19" s="37" t="s">
        <v>124</v>
      </c>
      <c r="B19" s="38">
        <f>21+2</f>
        <v>23</v>
      </c>
      <c r="C19" s="38">
        <v>9</v>
      </c>
      <c r="D19" s="37">
        <f t="shared" si="0"/>
        <v>32</v>
      </c>
      <c r="E19" s="39" t="s">
        <v>125</v>
      </c>
    </row>
    <row r="20" spans="1:5" ht="36" customHeight="1" x14ac:dyDescent="0.25">
      <c r="A20" s="40" t="s">
        <v>126</v>
      </c>
      <c r="B20" s="41">
        <f>SUM(B8:B19)</f>
        <v>225</v>
      </c>
      <c r="C20" s="41">
        <f>SUM(C8:C19)</f>
        <v>72</v>
      </c>
      <c r="D20" s="41">
        <f>SUM(D8:D19)</f>
        <v>297</v>
      </c>
      <c r="E20" s="42" t="s">
        <v>127</v>
      </c>
    </row>
  </sheetData>
  <mergeCells count="8">
    <mergeCell ref="A6:A7"/>
    <mergeCell ref="E6:E7"/>
    <mergeCell ref="B6:D6"/>
    <mergeCell ref="A1:E1"/>
    <mergeCell ref="A2:E2"/>
    <mergeCell ref="A3:E3"/>
    <mergeCell ref="A4:E4"/>
    <mergeCell ref="B5:D5"/>
  </mergeCells>
  <printOptions horizontalCentered="1" verticalCentered="1"/>
  <pageMargins left="0" right="0" top="0" bottom="0" header="0.31496062992125984" footer="0.31496062992125984"/>
  <pageSetup paperSize="9" orientation="landscape"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E20"/>
  <sheetViews>
    <sheetView rightToLeft="1" view="pageBreakPreview" zoomScaleNormal="100" zoomScaleSheetLayoutView="100" workbookViewId="0">
      <selection activeCell="B20" sqref="B20"/>
    </sheetView>
  </sheetViews>
  <sheetFormatPr defaultColWidth="9.09765625" defaultRowHeight="13.8" x14ac:dyDescent="0.25"/>
  <cols>
    <col min="1" max="1" width="26.69921875" style="29" customWidth="1"/>
    <col min="2" max="4" width="14.69921875" style="29" customWidth="1"/>
    <col min="5" max="5" width="26.69921875" style="29" customWidth="1"/>
    <col min="6" max="16384" width="9.09765625" style="29"/>
  </cols>
  <sheetData>
    <row r="1" spans="1:5" ht="34.950000000000003" customHeight="1" x14ac:dyDescent="0.25">
      <c r="A1" s="151"/>
      <c r="B1" s="152"/>
      <c r="C1" s="152"/>
      <c r="D1" s="152"/>
      <c r="E1" s="152"/>
    </row>
    <row r="2" spans="1:5" ht="21" x14ac:dyDescent="0.25">
      <c r="A2" s="153" t="s">
        <v>202</v>
      </c>
      <c r="B2" s="153"/>
      <c r="C2" s="153"/>
      <c r="D2" s="153"/>
      <c r="E2" s="153"/>
    </row>
    <row r="3" spans="1:5" ht="18" x14ac:dyDescent="0.25">
      <c r="A3" s="154" t="s">
        <v>200</v>
      </c>
      <c r="B3" s="154"/>
      <c r="C3" s="154"/>
      <c r="D3" s="154"/>
      <c r="E3" s="154"/>
    </row>
    <row r="4" spans="1:5" ht="15" customHeight="1" x14ac:dyDescent="0.25">
      <c r="A4" s="155">
        <v>2020</v>
      </c>
      <c r="B4" s="155"/>
      <c r="C4" s="155"/>
      <c r="D4" s="155"/>
      <c r="E4" s="155"/>
    </row>
    <row r="5" spans="1:5" ht="15.6" x14ac:dyDescent="0.25">
      <c r="A5" s="30" t="s">
        <v>222</v>
      </c>
      <c r="B5" s="163" t="s">
        <v>144</v>
      </c>
      <c r="C5" s="163"/>
      <c r="D5" s="163"/>
      <c r="E5" s="33" t="s">
        <v>223</v>
      </c>
    </row>
    <row r="6" spans="1:5" ht="30" customHeight="1" thickBot="1" x14ac:dyDescent="0.3">
      <c r="A6" s="156" t="s">
        <v>95</v>
      </c>
      <c r="B6" s="169" t="s">
        <v>199</v>
      </c>
      <c r="C6" s="170"/>
      <c r="D6" s="171"/>
      <c r="E6" s="160" t="s">
        <v>97</v>
      </c>
    </row>
    <row r="7" spans="1:5" ht="30" customHeight="1" x14ac:dyDescent="0.25">
      <c r="A7" s="157"/>
      <c r="B7" s="69" t="s">
        <v>98</v>
      </c>
      <c r="C7" s="69" t="s">
        <v>99</v>
      </c>
      <c r="D7" s="69" t="s">
        <v>101</v>
      </c>
      <c r="E7" s="161"/>
    </row>
    <row r="8" spans="1:5" ht="22.5" customHeight="1" x14ac:dyDescent="0.25">
      <c r="A8" s="34" t="s">
        <v>102</v>
      </c>
      <c r="B8" s="35">
        <f>12+0</f>
        <v>12</v>
      </c>
      <c r="C8" s="35">
        <v>5</v>
      </c>
      <c r="D8" s="34">
        <f t="shared" ref="D8:D19" si="0">SUM(B8:C8)</f>
        <v>17</v>
      </c>
      <c r="E8" s="36" t="s">
        <v>103</v>
      </c>
    </row>
    <row r="9" spans="1:5" ht="22.5" customHeight="1" x14ac:dyDescent="0.25">
      <c r="A9" s="37" t="s">
        <v>104</v>
      </c>
      <c r="B9" s="38">
        <f>4+1</f>
        <v>5</v>
      </c>
      <c r="C9" s="38">
        <v>1</v>
      </c>
      <c r="D9" s="37">
        <f t="shared" si="0"/>
        <v>6</v>
      </c>
      <c r="E9" s="39" t="s">
        <v>105</v>
      </c>
    </row>
    <row r="10" spans="1:5" ht="22.5" customHeight="1" x14ac:dyDescent="0.25">
      <c r="A10" s="34" t="s">
        <v>106</v>
      </c>
      <c r="B10" s="35">
        <f>14+0</f>
        <v>14</v>
      </c>
      <c r="C10" s="35">
        <v>5</v>
      </c>
      <c r="D10" s="34">
        <f t="shared" si="0"/>
        <v>19</v>
      </c>
      <c r="E10" s="36" t="s">
        <v>107</v>
      </c>
    </row>
    <row r="11" spans="1:5" ht="22.5" customHeight="1" x14ac:dyDescent="0.25">
      <c r="A11" s="37" t="s">
        <v>108</v>
      </c>
      <c r="B11" s="38">
        <f>5+0</f>
        <v>5</v>
      </c>
      <c r="C11" s="38">
        <v>1</v>
      </c>
      <c r="D11" s="37">
        <f t="shared" si="0"/>
        <v>6</v>
      </c>
      <c r="E11" s="39" t="s">
        <v>109</v>
      </c>
    </row>
    <row r="12" spans="1:5" ht="22.5" customHeight="1" x14ac:dyDescent="0.25">
      <c r="A12" s="34" t="s">
        <v>110</v>
      </c>
      <c r="B12" s="35">
        <f>4+0</f>
        <v>4</v>
      </c>
      <c r="C12" s="35">
        <v>0</v>
      </c>
      <c r="D12" s="34">
        <f t="shared" si="0"/>
        <v>4</v>
      </c>
      <c r="E12" s="36" t="s">
        <v>111</v>
      </c>
    </row>
    <row r="13" spans="1:5" ht="22.5" customHeight="1" x14ac:dyDescent="0.25">
      <c r="A13" s="37" t="s">
        <v>112</v>
      </c>
      <c r="B13" s="38">
        <f>6+0</f>
        <v>6</v>
      </c>
      <c r="C13" s="38">
        <v>2</v>
      </c>
      <c r="D13" s="37">
        <f t="shared" si="0"/>
        <v>8</v>
      </c>
      <c r="E13" s="39" t="s">
        <v>113</v>
      </c>
    </row>
    <row r="14" spans="1:5" ht="22.5" customHeight="1" x14ac:dyDescent="0.25">
      <c r="A14" s="34" t="s">
        <v>114</v>
      </c>
      <c r="B14" s="35">
        <f>5+0</f>
        <v>5</v>
      </c>
      <c r="C14" s="35">
        <v>6</v>
      </c>
      <c r="D14" s="34">
        <f t="shared" si="0"/>
        <v>11</v>
      </c>
      <c r="E14" s="36" t="s">
        <v>115</v>
      </c>
    </row>
    <row r="15" spans="1:5" ht="22.5" customHeight="1" x14ac:dyDescent="0.25">
      <c r="A15" s="37" t="s">
        <v>116</v>
      </c>
      <c r="B15" s="38">
        <f>5+0</f>
        <v>5</v>
      </c>
      <c r="C15" s="38">
        <v>3</v>
      </c>
      <c r="D15" s="37">
        <f t="shared" si="0"/>
        <v>8</v>
      </c>
      <c r="E15" s="39" t="s">
        <v>117</v>
      </c>
    </row>
    <row r="16" spans="1:5" ht="22.5" customHeight="1" x14ac:dyDescent="0.25">
      <c r="A16" s="34" t="s">
        <v>118</v>
      </c>
      <c r="B16" s="35">
        <f>13+0</f>
        <v>13</v>
      </c>
      <c r="C16" s="35">
        <v>3</v>
      </c>
      <c r="D16" s="34">
        <f t="shared" si="0"/>
        <v>16</v>
      </c>
      <c r="E16" s="36" t="s">
        <v>119</v>
      </c>
    </row>
    <row r="17" spans="1:5" ht="22.5" customHeight="1" x14ac:dyDescent="0.25">
      <c r="A17" s="37" t="s">
        <v>120</v>
      </c>
      <c r="B17" s="38">
        <f>8+0</f>
        <v>8</v>
      </c>
      <c r="C17" s="38">
        <v>3</v>
      </c>
      <c r="D17" s="37">
        <f t="shared" si="0"/>
        <v>11</v>
      </c>
      <c r="E17" s="39" t="s">
        <v>121</v>
      </c>
    </row>
    <row r="18" spans="1:5" ht="22.5" customHeight="1" x14ac:dyDescent="0.25">
      <c r="A18" s="34" t="s">
        <v>122</v>
      </c>
      <c r="B18" s="35">
        <f>5+0</f>
        <v>5</v>
      </c>
      <c r="C18" s="35">
        <v>3</v>
      </c>
      <c r="D18" s="34">
        <f t="shared" si="0"/>
        <v>8</v>
      </c>
      <c r="E18" s="36" t="s">
        <v>123</v>
      </c>
    </row>
    <row r="19" spans="1:5" ht="22.5" customHeight="1" x14ac:dyDescent="0.25">
      <c r="A19" s="37" t="s">
        <v>124</v>
      </c>
      <c r="B19" s="38">
        <f>9+0</f>
        <v>9</v>
      </c>
      <c r="C19" s="38">
        <v>1</v>
      </c>
      <c r="D19" s="37">
        <f t="shared" si="0"/>
        <v>10</v>
      </c>
      <c r="E19" s="39" t="s">
        <v>125</v>
      </c>
    </row>
    <row r="20" spans="1:5" ht="36" customHeight="1" x14ac:dyDescent="0.25">
      <c r="A20" s="40" t="s">
        <v>126</v>
      </c>
      <c r="B20" s="41">
        <f>SUM(B8:B19)</f>
        <v>91</v>
      </c>
      <c r="C20" s="41">
        <f>SUM(C8:C19)</f>
        <v>33</v>
      </c>
      <c r="D20" s="41">
        <f>SUM(D8:D19)</f>
        <v>124</v>
      </c>
      <c r="E20" s="42" t="s">
        <v>127</v>
      </c>
    </row>
  </sheetData>
  <mergeCells count="8">
    <mergeCell ref="A6:A7"/>
    <mergeCell ref="E6:E7"/>
    <mergeCell ref="B6:D6"/>
    <mergeCell ref="A1:E1"/>
    <mergeCell ref="A2:E2"/>
    <mergeCell ref="A3:E3"/>
    <mergeCell ref="A4:E4"/>
    <mergeCell ref="B5:D5"/>
  </mergeCells>
  <printOptions horizontalCentered="1" verticalCentered="1"/>
  <pageMargins left="0" right="0" top="0" bottom="0" header="0.31496062992125984" footer="0.31496062992125984"/>
  <pageSetup paperSize="9" orientation="landscape"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E20"/>
  <sheetViews>
    <sheetView rightToLeft="1" view="pageBreakPreview" zoomScaleNormal="100" zoomScaleSheetLayoutView="100" workbookViewId="0">
      <selection activeCell="B20" sqref="B20"/>
    </sheetView>
  </sheetViews>
  <sheetFormatPr defaultColWidth="9.09765625" defaultRowHeight="13.8" x14ac:dyDescent="0.25"/>
  <cols>
    <col min="1" max="1" width="26.69921875" style="29" customWidth="1"/>
    <col min="2" max="4" width="14.69921875" style="29" customWidth="1"/>
    <col min="5" max="5" width="26.69921875" style="29" customWidth="1"/>
    <col min="6" max="16384" width="9.09765625" style="29"/>
  </cols>
  <sheetData>
    <row r="1" spans="1:5" ht="34.950000000000003" customHeight="1" x14ac:dyDescent="0.25">
      <c r="A1" s="151"/>
      <c r="B1" s="152"/>
      <c r="C1" s="152"/>
      <c r="D1" s="152"/>
      <c r="E1" s="152"/>
    </row>
    <row r="2" spans="1:5" ht="21" x14ac:dyDescent="0.25">
      <c r="A2" s="153" t="s">
        <v>202</v>
      </c>
      <c r="B2" s="153"/>
      <c r="C2" s="153"/>
      <c r="D2" s="153"/>
      <c r="E2" s="153"/>
    </row>
    <row r="3" spans="1:5" ht="18" x14ac:dyDescent="0.25">
      <c r="A3" s="154" t="s">
        <v>200</v>
      </c>
      <c r="B3" s="154"/>
      <c r="C3" s="154"/>
      <c r="D3" s="154"/>
      <c r="E3" s="154"/>
    </row>
    <row r="4" spans="1:5" ht="15" customHeight="1" x14ac:dyDescent="0.25">
      <c r="A4" s="155">
        <v>2020</v>
      </c>
      <c r="B4" s="155"/>
      <c r="C4" s="155"/>
      <c r="D4" s="155"/>
      <c r="E4" s="155"/>
    </row>
    <row r="5" spans="1:5" ht="15.6" x14ac:dyDescent="0.25">
      <c r="A5" s="30" t="s">
        <v>224</v>
      </c>
      <c r="B5" s="163" t="s">
        <v>147</v>
      </c>
      <c r="C5" s="163"/>
      <c r="D5" s="163"/>
      <c r="E5" s="33" t="s">
        <v>225</v>
      </c>
    </row>
    <row r="6" spans="1:5" ht="30" customHeight="1" thickBot="1" x14ac:dyDescent="0.3">
      <c r="A6" s="156" t="s">
        <v>95</v>
      </c>
      <c r="B6" s="169" t="s">
        <v>199</v>
      </c>
      <c r="C6" s="170"/>
      <c r="D6" s="171"/>
      <c r="E6" s="160" t="s">
        <v>97</v>
      </c>
    </row>
    <row r="7" spans="1:5" ht="30" customHeight="1" x14ac:dyDescent="0.25">
      <c r="A7" s="157"/>
      <c r="B7" s="69" t="s">
        <v>98</v>
      </c>
      <c r="C7" s="69" t="s">
        <v>99</v>
      </c>
      <c r="D7" s="69" t="s">
        <v>101</v>
      </c>
      <c r="E7" s="161"/>
    </row>
    <row r="8" spans="1:5" ht="22.5" customHeight="1" x14ac:dyDescent="0.25">
      <c r="A8" s="34" t="s">
        <v>102</v>
      </c>
      <c r="B8" s="35">
        <f>10+1</f>
        <v>11</v>
      </c>
      <c r="C8" s="35">
        <v>1</v>
      </c>
      <c r="D8" s="34">
        <f t="shared" ref="D8:D19" si="0">SUM(B8:C8)</f>
        <v>12</v>
      </c>
      <c r="E8" s="36" t="s">
        <v>103</v>
      </c>
    </row>
    <row r="9" spans="1:5" ht="22.5" customHeight="1" x14ac:dyDescent="0.25">
      <c r="A9" s="37" t="s">
        <v>104</v>
      </c>
      <c r="B9" s="38">
        <f>4+1</f>
        <v>5</v>
      </c>
      <c r="C9" s="38">
        <v>1</v>
      </c>
      <c r="D9" s="37">
        <f t="shared" si="0"/>
        <v>6</v>
      </c>
      <c r="E9" s="39" t="s">
        <v>105</v>
      </c>
    </row>
    <row r="10" spans="1:5" ht="22.5" customHeight="1" x14ac:dyDescent="0.25">
      <c r="A10" s="34" t="s">
        <v>106</v>
      </c>
      <c r="B10" s="35">
        <f>8+1</f>
        <v>9</v>
      </c>
      <c r="C10" s="35">
        <v>2</v>
      </c>
      <c r="D10" s="34">
        <f t="shared" si="0"/>
        <v>11</v>
      </c>
      <c r="E10" s="36" t="s">
        <v>107</v>
      </c>
    </row>
    <row r="11" spans="1:5" ht="22.5" customHeight="1" x14ac:dyDescent="0.25">
      <c r="A11" s="37" t="s">
        <v>108</v>
      </c>
      <c r="B11" s="38">
        <f>2+0</f>
        <v>2</v>
      </c>
      <c r="C11" s="38">
        <v>1</v>
      </c>
      <c r="D11" s="37">
        <f t="shared" si="0"/>
        <v>3</v>
      </c>
      <c r="E11" s="39" t="s">
        <v>109</v>
      </c>
    </row>
    <row r="12" spans="1:5" ht="22.5" customHeight="1" x14ac:dyDescent="0.25">
      <c r="A12" s="34" t="s">
        <v>110</v>
      </c>
      <c r="B12" s="35">
        <f>1+0</f>
        <v>1</v>
      </c>
      <c r="C12" s="35">
        <v>0</v>
      </c>
      <c r="D12" s="34">
        <f t="shared" si="0"/>
        <v>1</v>
      </c>
      <c r="E12" s="36" t="s">
        <v>111</v>
      </c>
    </row>
    <row r="13" spans="1:5" ht="22.5" customHeight="1" x14ac:dyDescent="0.25">
      <c r="A13" s="37" t="s">
        <v>112</v>
      </c>
      <c r="B13" s="38">
        <f>5+2</f>
        <v>7</v>
      </c>
      <c r="C13" s="38">
        <v>1</v>
      </c>
      <c r="D13" s="37">
        <f t="shared" si="0"/>
        <v>8</v>
      </c>
      <c r="E13" s="39" t="s">
        <v>113</v>
      </c>
    </row>
    <row r="14" spans="1:5" ht="22.5" customHeight="1" x14ac:dyDescent="0.25">
      <c r="A14" s="34" t="s">
        <v>114</v>
      </c>
      <c r="B14" s="35">
        <f>4+1</f>
        <v>5</v>
      </c>
      <c r="C14" s="35">
        <v>0</v>
      </c>
      <c r="D14" s="34">
        <f t="shared" si="0"/>
        <v>5</v>
      </c>
      <c r="E14" s="36" t="s">
        <v>115</v>
      </c>
    </row>
    <row r="15" spans="1:5" ht="22.5" customHeight="1" x14ac:dyDescent="0.25">
      <c r="A15" s="37" t="s">
        <v>116</v>
      </c>
      <c r="B15" s="38">
        <f>5+1</f>
        <v>6</v>
      </c>
      <c r="C15" s="38">
        <v>0</v>
      </c>
      <c r="D15" s="37">
        <f t="shared" si="0"/>
        <v>6</v>
      </c>
      <c r="E15" s="39" t="s">
        <v>117</v>
      </c>
    </row>
    <row r="16" spans="1:5" ht="22.5" customHeight="1" x14ac:dyDescent="0.25">
      <c r="A16" s="34" t="s">
        <v>118</v>
      </c>
      <c r="B16" s="35">
        <f>1+2</f>
        <v>3</v>
      </c>
      <c r="C16" s="35">
        <v>1</v>
      </c>
      <c r="D16" s="34">
        <f t="shared" si="0"/>
        <v>4</v>
      </c>
      <c r="E16" s="36" t="s">
        <v>119</v>
      </c>
    </row>
    <row r="17" spans="1:5" ht="22.5" customHeight="1" x14ac:dyDescent="0.25">
      <c r="A17" s="37" t="s">
        <v>120</v>
      </c>
      <c r="B17" s="38">
        <f>11+1</f>
        <v>12</v>
      </c>
      <c r="C17" s="38">
        <v>0</v>
      </c>
      <c r="D17" s="37">
        <f t="shared" si="0"/>
        <v>12</v>
      </c>
      <c r="E17" s="39" t="s">
        <v>121</v>
      </c>
    </row>
    <row r="18" spans="1:5" ht="22.5" customHeight="1" x14ac:dyDescent="0.25">
      <c r="A18" s="34" t="s">
        <v>122</v>
      </c>
      <c r="B18" s="35">
        <f>5+1</f>
        <v>6</v>
      </c>
      <c r="C18" s="35">
        <v>2</v>
      </c>
      <c r="D18" s="34">
        <f t="shared" si="0"/>
        <v>8</v>
      </c>
      <c r="E18" s="36" t="s">
        <v>123</v>
      </c>
    </row>
    <row r="19" spans="1:5" ht="22.5" customHeight="1" x14ac:dyDescent="0.25">
      <c r="A19" s="37" t="s">
        <v>124</v>
      </c>
      <c r="B19" s="38">
        <f>4+2</f>
        <v>6</v>
      </c>
      <c r="C19" s="38">
        <v>2</v>
      </c>
      <c r="D19" s="37">
        <f t="shared" si="0"/>
        <v>8</v>
      </c>
      <c r="E19" s="39" t="s">
        <v>125</v>
      </c>
    </row>
    <row r="20" spans="1:5" ht="36" customHeight="1" x14ac:dyDescent="0.25">
      <c r="A20" s="40" t="s">
        <v>126</v>
      </c>
      <c r="B20" s="41">
        <f>SUM(B8:B19)</f>
        <v>73</v>
      </c>
      <c r="C20" s="41">
        <f>SUM(C8:C19)</f>
        <v>11</v>
      </c>
      <c r="D20" s="41">
        <f>SUM(D8:D19)</f>
        <v>84</v>
      </c>
      <c r="E20" s="42" t="s">
        <v>127</v>
      </c>
    </row>
  </sheetData>
  <mergeCells count="8">
    <mergeCell ref="A6:A7"/>
    <mergeCell ref="E6:E7"/>
    <mergeCell ref="B6:D6"/>
    <mergeCell ref="A1:E1"/>
    <mergeCell ref="A2:E2"/>
    <mergeCell ref="A3:E3"/>
    <mergeCell ref="A4:E4"/>
    <mergeCell ref="B5:D5"/>
  </mergeCells>
  <printOptions horizontalCentered="1" verticalCentered="1"/>
  <pageMargins left="0" right="0" top="0" bottom="0" header="0.31496062992125984" footer="0.31496062992125984"/>
  <pageSetup paperSize="9" orientation="landscape" r:id="rId1"/>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3" tint="0.39997558519241921"/>
  </sheetPr>
  <dimension ref="A1:H21"/>
  <sheetViews>
    <sheetView rightToLeft="1" view="pageBreakPreview" zoomScale="80" zoomScaleNormal="100" zoomScaleSheetLayoutView="80" workbookViewId="0">
      <selection activeCell="A2" sqref="A2:B2"/>
    </sheetView>
  </sheetViews>
  <sheetFormatPr defaultColWidth="9.09765625" defaultRowHeight="22.8" x14ac:dyDescent="0.25"/>
  <cols>
    <col min="1" max="1" width="13.69921875" style="7" customWidth="1"/>
    <col min="2" max="2" width="50.69921875" style="7" customWidth="1"/>
    <col min="3" max="3" width="9.09765625" style="3" customWidth="1"/>
    <col min="4" max="4" width="50.69921875" style="3" customWidth="1"/>
    <col min="5" max="5" width="15" style="3" customWidth="1"/>
    <col min="6" max="16384" width="9.09765625" style="3"/>
  </cols>
  <sheetData>
    <row r="1" spans="1:8" s="1" customFormat="1" ht="57.75" customHeight="1" x14ac:dyDescent="0.25">
      <c r="A1" s="110"/>
      <c r="B1" s="111"/>
      <c r="C1" s="111"/>
      <c r="D1" s="111"/>
      <c r="E1" s="111"/>
      <c r="F1" s="2"/>
      <c r="G1" s="10"/>
      <c r="H1" s="10"/>
    </row>
    <row r="2" spans="1:8" ht="61.5" customHeight="1" x14ac:dyDescent="0.25">
      <c r="A2" s="112" t="s">
        <v>78</v>
      </c>
      <c r="B2" s="112"/>
      <c r="D2" s="112" t="s">
        <v>4</v>
      </c>
      <c r="E2" s="112"/>
      <c r="F2" s="9"/>
      <c r="G2" s="9"/>
      <c r="H2" s="9"/>
    </row>
    <row r="3" spans="1:8" ht="135.6" customHeight="1" x14ac:dyDescent="0.25">
      <c r="A3" s="114" t="s">
        <v>342</v>
      </c>
      <c r="B3" s="114"/>
      <c r="D3" s="113" t="s">
        <v>343</v>
      </c>
      <c r="E3" s="113"/>
    </row>
    <row r="4" spans="1:8" ht="113.4" customHeight="1" x14ac:dyDescent="0.25">
      <c r="A4" s="114" t="s">
        <v>85</v>
      </c>
      <c r="B4" s="114"/>
      <c r="D4" s="120" t="s">
        <v>87</v>
      </c>
      <c r="E4" s="120"/>
    </row>
    <row r="5" spans="1:8" ht="78.599999999999994" customHeight="1" x14ac:dyDescent="0.25">
      <c r="A5" s="114" t="s">
        <v>3</v>
      </c>
      <c r="B5" s="114"/>
      <c r="D5" s="120" t="s">
        <v>2</v>
      </c>
      <c r="E5" s="120"/>
    </row>
    <row r="6" spans="1:8" ht="42.75" customHeight="1" x14ac:dyDescent="0.25">
      <c r="A6" s="116" t="s">
        <v>1</v>
      </c>
      <c r="B6" s="116"/>
      <c r="D6" s="115" t="s">
        <v>0</v>
      </c>
      <c r="E6" s="115"/>
    </row>
    <row r="7" spans="1:8" ht="52.5" customHeight="1" x14ac:dyDescent="0.25">
      <c r="A7" s="119" t="s">
        <v>86</v>
      </c>
      <c r="B7" s="119"/>
      <c r="D7" s="117" t="s">
        <v>88</v>
      </c>
      <c r="E7" s="118"/>
    </row>
    <row r="8" spans="1:8" ht="67.5" customHeight="1" x14ac:dyDescent="0.25">
      <c r="A8" s="3"/>
      <c r="B8" s="3"/>
    </row>
    <row r="9" spans="1:8" ht="67.5" customHeight="1" x14ac:dyDescent="0.25">
      <c r="A9" s="3"/>
      <c r="B9" s="8"/>
    </row>
    <row r="10" spans="1:8" ht="43.5" customHeight="1" x14ac:dyDescent="0.25">
      <c r="A10" s="8"/>
      <c r="B10" s="3"/>
    </row>
    <row r="11" spans="1:8" ht="13.8" x14ac:dyDescent="0.25">
      <c r="A11" s="3"/>
      <c r="B11" s="3"/>
    </row>
    <row r="12" spans="1:8" ht="13.8" x14ac:dyDescent="0.25">
      <c r="A12" s="3"/>
      <c r="B12" s="3"/>
    </row>
    <row r="13" spans="1:8" ht="13.8" x14ac:dyDescent="0.25">
      <c r="A13" s="3"/>
      <c r="B13" s="3"/>
    </row>
    <row r="14" spans="1:8" ht="13.8" x14ac:dyDescent="0.25">
      <c r="A14" s="3"/>
      <c r="B14" s="3"/>
    </row>
    <row r="15" spans="1:8" ht="13.8" x14ac:dyDescent="0.25">
      <c r="A15" s="3"/>
      <c r="B15" s="3"/>
    </row>
    <row r="16" spans="1:8" ht="13.8" x14ac:dyDescent="0.25">
      <c r="A16" s="3"/>
      <c r="B16" s="3"/>
    </row>
    <row r="17" spans="1:2" ht="13.8" x14ac:dyDescent="0.25">
      <c r="A17" s="3"/>
      <c r="B17" s="3"/>
    </row>
    <row r="18" spans="1:2" ht="13.8" x14ac:dyDescent="0.25">
      <c r="A18" s="3"/>
      <c r="B18" s="3"/>
    </row>
    <row r="19" spans="1:2" ht="13.8" x14ac:dyDescent="0.25">
      <c r="A19" s="3"/>
      <c r="B19" s="3"/>
    </row>
    <row r="20" spans="1:2" ht="13.8" x14ac:dyDescent="0.25">
      <c r="A20" s="3"/>
      <c r="B20" s="3"/>
    </row>
    <row r="21" spans="1:2" ht="13.8" x14ac:dyDescent="0.25">
      <c r="A21" s="3"/>
      <c r="B21" s="3"/>
    </row>
  </sheetData>
  <mergeCells count="13">
    <mergeCell ref="D6:E6"/>
    <mergeCell ref="A6:B6"/>
    <mergeCell ref="D7:E7"/>
    <mergeCell ref="A7:B7"/>
    <mergeCell ref="D4:E4"/>
    <mergeCell ref="A4:B4"/>
    <mergeCell ref="D5:E5"/>
    <mergeCell ref="A5:B5"/>
    <mergeCell ref="A1:E1"/>
    <mergeCell ref="D2:E2"/>
    <mergeCell ref="A2:B2"/>
    <mergeCell ref="D3:E3"/>
    <mergeCell ref="A3:B3"/>
  </mergeCells>
  <printOptions horizontalCentered="1" verticalCentered="1"/>
  <pageMargins left="0" right="0" top="0" bottom="0" header="0.31496062992125984" footer="0.31496062992125984"/>
  <pageSetup paperSize="9" scale="90" orientation="landscape" r:id="rId1"/>
  <rowBreaks count="1" manualBreakCount="1">
    <brk id="7" max="4" man="1"/>
  </rowBreaks>
  <drawing r:id="rId2"/>
  <legacyDrawing r:id="rId3"/>
  <oleObjects>
    <mc:AlternateContent xmlns:mc="http://schemas.openxmlformats.org/markup-compatibility/2006">
      <mc:Choice Requires="x14">
        <oleObject progId="MSWordArt.2" shapeId="13313" r:id="rId4">
          <objectPr defaultSize="0" autoPict="0" r:id="rId5">
            <anchor moveWithCells="1" sizeWithCells="1">
              <from>
                <xdr:col>8509</xdr:col>
                <xdr:colOff>99060</xdr:colOff>
                <xdr:row>0</xdr:row>
                <xdr:rowOff>365760</xdr:rowOff>
              </from>
              <to>
                <xdr:col>8509</xdr:col>
                <xdr:colOff>99060</xdr:colOff>
                <xdr:row>0</xdr:row>
                <xdr:rowOff>662940</xdr:rowOff>
              </to>
            </anchor>
          </objectPr>
        </oleObject>
      </mc:Choice>
      <mc:Fallback>
        <oleObject progId="MSWordArt.2" shapeId="13313" r:id="rId4"/>
      </mc:Fallback>
    </mc:AlternateContent>
    <mc:AlternateContent xmlns:mc="http://schemas.openxmlformats.org/markup-compatibility/2006">
      <mc:Choice Requires="x14">
        <oleObject progId="MSWordArt.2" shapeId="13314" r:id="rId6">
          <objectPr defaultSize="0" autoPict="0" r:id="rId5">
            <anchor moveWithCells="1" sizeWithCells="1">
              <from>
                <xdr:col>8509</xdr:col>
                <xdr:colOff>480060</xdr:colOff>
                <xdr:row>0</xdr:row>
                <xdr:rowOff>342900</xdr:rowOff>
              </from>
              <to>
                <xdr:col>8510</xdr:col>
                <xdr:colOff>182880</xdr:colOff>
                <xdr:row>0</xdr:row>
                <xdr:rowOff>678180</xdr:rowOff>
              </to>
            </anchor>
          </objectPr>
        </oleObject>
      </mc:Choice>
      <mc:Fallback>
        <oleObject progId="MSWordArt.2" shapeId="13314" r:id="rId6"/>
      </mc:Fallback>
    </mc:AlternateContent>
  </oleObject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E20"/>
  <sheetViews>
    <sheetView rightToLeft="1" view="pageBreakPreview" zoomScaleNormal="100" zoomScaleSheetLayoutView="100" workbookViewId="0">
      <selection activeCell="B20" sqref="B20"/>
    </sheetView>
  </sheetViews>
  <sheetFormatPr defaultColWidth="9.09765625" defaultRowHeight="13.8" x14ac:dyDescent="0.25"/>
  <cols>
    <col min="1" max="1" width="26.69921875" style="29" customWidth="1"/>
    <col min="2" max="4" width="14.69921875" style="29" customWidth="1"/>
    <col min="5" max="5" width="26.69921875" style="29" customWidth="1"/>
    <col min="6" max="16384" width="9.09765625" style="29"/>
  </cols>
  <sheetData>
    <row r="1" spans="1:5" ht="34.950000000000003" customHeight="1" x14ac:dyDescent="0.25">
      <c r="A1" s="151"/>
      <c r="B1" s="152"/>
      <c r="C1" s="152"/>
      <c r="D1" s="152"/>
      <c r="E1" s="152"/>
    </row>
    <row r="2" spans="1:5" ht="21" x14ac:dyDescent="0.25">
      <c r="A2" s="153" t="s">
        <v>202</v>
      </c>
      <c r="B2" s="153"/>
      <c r="C2" s="153"/>
      <c r="D2" s="153"/>
      <c r="E2" s="153"/>
    </row>
    <row r="3" spans="1:5" ht="18" x14ac:dyDescent="0.25">
      <c r="A3" s="154" t="s">
        <v>200</v>
      </c>
      <c r="B3" s="154"/>
      <c r="C3" s="154"/>
      <c r="D3" s="154"/>
      <c r="E3" s="154"/>
    </row>
    <row r="4" spans="1:5" ht="15" customHeight="1" x14ac:dyDescent="0.25">
      <c r="A4" s="155">
        <v>2020</v>
      </c>
      <c r="B4" s="155"/>
      <c r="C4" s="155"/>
      <c r="D4" s="155"/>
      <c r="E4" s="155"/>
    </row>
    <row r="5" spans="1:5" ht="15.6" x14ac:dyDescent="0.25">
      <c r="A5" s="30" t="s">
        <v>226</v>
      </c>
      <c r="B5" s="163" t="s">
        <v>150</v>
      </c>
      <c r="C5" s="163"/>
      <c r="D5" s="163"/>
      <c r="E5" s="33" t="s">
        <v>227</v>
      </c>
    </row>
    <row r="6" spans="1:5" ht="30" customHeight="1" thickBot="1" x14ac:dyDescent="0.3">
      <c r="A6" s="156" t="s">
        <v>95</v>
      </c>
      <c r="B6" s="169" t="s">
        <v>199</v>
      </c>
      <c r="C6" s="170"/>
      <c r="D6" s="171"/>
      <c r="E6" s="160" t="s">
        <v>97</v>
      </c>
    </row>
    <row r="7" spans="1:5" ht="30" customHeight="1" x14ac:dyDescent="0.25">
      <c r="A7" s="157"/>
      <c r="B7" s="69" t="s">
        <v>98</v>
      </c>
      <c r="C7" s="69" t="s">
        <v>99</v>
      </c>
      <c r="D7" s="69" t="s">
        <v>101</v>
      </c>
      <c r="E7" s="161"/>
    </row>
    <row r="8" spans="1:5" ht="22.5" customHeight="1" x14ac:dyDescent="0.25">
      <c r="A8" s="34" t="s">
        <v>102</v>
      </c>
      <c r="B8" s="35">
        <f>35+3</f>
        <v>38</v>
      </c>
      <c r="C8" s="35">
        <v>14</v>
      </c>
      <c r="D8" s="34">
        <f t="shared" ref="D8:D19" si="0">SUM(B8:C8)</f>
        <v>52</v>
      </c>
      <c r="E8" s="36" t="s">
        <v>103</v>
      </c>
    </row>
    <row r="9" spans="1:5" ht="22.5" customHeight="1" x14ac:dyDescent="0.25">
      <c r="A9" s="37" t="s">
        <v>104</v>
      </c>
      <c r="B9" s="38">
        <f>37+2</f>
        <v>39</v>
      </c>
      <c r="C9" s="38">
        <v>11</v>
      </c>
      <c r="D9" s="37">
        <f t="shared" si="0"/>
        <v>50</v>
      </c>
      <c r="E9" s="39" t="s">
        <v>105</v>
      </c>
    </row>
    <row r="10" spans="1:5" ht="22.5" customHeight="1" x14ac:dyDescent="0.25">
      <c r="A10" s="34" t="s">
        <v>106</v>
      </c>
      <c r="B10" s="35">
        <f>32+7</f>
        <v>39</v>
      </c>
      <c r="C10" s="35">
        <v>5</v>
      </c>
      <c r="D10" s="34">
        <f t="shared" si="0"/>
        <v>44</v>
      </c>
      <c r="E10" s="36" t="s">
        <v>107</v>
      </c>
    </row>
    <row r="11" spans="1:5" ht="22.5" customHeight="1" x14ac:dyDescent="0.25">
      <c r="A11" s="37" t="s">
        <v>108</v>
      </c>
      <c r="B11" s="38">
        <f>34+2</f>
        <v>36</v>
      </c>
      <c r="C11" s="38">
        <v>14</v>
      </c>
      <c r="D11" s="37">
        <f t="shared" si="0"/>
        <v>50</v>
      </c>
      <c r="E11" s="39" t="s">
        <v>109</v>
      </c>
    </row>
    <row r="12" spans="1:5" ht="22.5" customHeight="1" x14ac:dyDescent="0.25">
      <c r="A12" s="34" t="s">
        <v>110</v>
      </c>
      <c r="B12" s="35">
        <f>13+0</f>
        <v>13</v>
      </c>
      <c r="C12" s="35">
        <v>7</v>
      </c>
      <c r="D12" s="34">
        <f t="shared" si="0"/>
        <v>20</v>
      </c>
      <c r="E12" s="36" t="s">
        <v>111</v>
      </c>
    </row>
    <row r="13" spans="1:5" ht="22.5" customHeight="1" x14ac:dyDescent="0.25">
      <c r="A13" s="37" t="s">
        <v>112</v>
      </c>
      <c r="B13" s="38">
        <f>44+3</f>
        <v>47</v>
      </c>
      <c r="C13" s="38">
        <v>11</v>
      </c>
      <c r="D13" s="37">
        <f t="shared" si="0"/>
        <v>58</v>
      </c>
      <c r="E13" s="39" t="s">
        <v>113</v>
      </c>
    </row>
    <row r="14" spans="1:5" ht="22.5" customHeight="1" x14ac:dyDescent="0.25">
      <c r="A14" s="34" t="s">
        <v>114</v>
      </c>
      <c r="B14" s="35">
        <f>47+2</f>
        <v>49</v>
      </c>
      <c r="C14" s="35">
        <v>10</v>
      </c>
      <c r="D14" s="34">
        <f t="shared" si="0"/>
        <v>59</v>
      </c>
      <c r="E14" s="36" t="s">
        <v>115</v>
      </c>
    </row>
    <row r="15" spans="1:5" ht="22.5" customHeight="1" x14ac:dyDescent="0.25">
      <c r="A15" s="37" t="s">
        <v>116</v>
      </c>
      <c r="B15" s="38">
        <f>23+0</f>
        <v>23</v>
      </c>
      <c r="C15" s="38">
        <v>9</v>
      </c>
      <c r="D15" s="37">
        <f t="shared" si="0"/>
        <v>32</v>
      </c>
      <c r="E15" s="39" t="s">
        <v>117</v>
      </c>
    </row>
    <row r="16" spans="1:5" ht="22.5" customHeight="1" x14ac:dyDescent="0.25">
      <c r="A16" s="34" t="s">
        <v>118</v>
      </c>
      <c r="B16" s="35">
        <f>42+4</f>
        <v>46</v>
      </c>
      <c r="C16" s="35">
        <v>8</v>
      </c>
      <c r="D16" s="34">
        <f t="shared" si="0"/>
        <v>54</v>
      </c>
      <c r="E16" s="36" t="s">
        <v>119</v>
      </c>
    </row>
    <row r="17" spans="1:5" ht="22.5" customHeight="1" x14ac:dyDescent="0.25">
      <c r="A17" s="37" t="s">
        <v>120</v>
      </c>
      <c r="B17" s="38">
        <f>40+1</f>
        <v>41</v>
      </c>
      <c r="C17" s="38">
        <v>10</v>
      </c>
      <c r="D17" s="37">
        <f t="shared" si="0"/>
        <v>51</v>
      </c>
      <c r="E17" s="39" t="s">
        <v>121</v>
      </c>
    </row>
    <row r="18" spans="1:5" ht="22.5" customHeight="1" x14ac:dyDescent="0.25">
      <c r="A18" s="34" t="s">
        <v>122</v>
      </c>
      <c r="B18" s="35">
        <f>56+1</f>
        <v>57</v>
      </c>
      <c r="C18" s="35">
        <v>15</v>
      </c>
      <c r="D18" s="34">
        <f t="shared" si="0"/>
        <v>72</v>
      </c>
      <c r="E18" s="36" t="s">
        <v>123</v>
      </c>
    </row>
    <row r="19" spans="1:5" ht="22.5" customHeight="1" x14ac:dyDescent="0.25">
      <c r="A19" s="37" t="s">
        <v>124</v>
      </c>
      <c r="B19" s="38">
        <f>23+2</f>
        <v>25</v>
      </c>
      <c r="C19" s="38">
        <v>10</v>
      </c>
      <c r="D19" s="37">
        <f t="shared" si="0"/>
        <v>35</v>
      </c>
      <c r="E19" s="39" t="s">
        <v>125</v>
      </c>
    </row>
    <row r="20" spans="1:5" ht="36" customHeight="1" x14ac:dyDescent="0.25">
      <c r="A20" s="40" t="s">
        <v>126</v>
      </c>
      <c r="B20" s="41">
        <f>SUM(B8:B19)</f>
        <v>453</v>
      </c>
      <c r="C20" s="41">
        <f>SUM(C8:C19)</f>
        <v>124</v>
      </c>
      <c r="D20" s="41">
        <f>SUM(D8:D19)</f>
        <v>577</v>
      </c>
      <c r="E20" s="42" t="s">
        <v>127</v>
      </c>
    </row>
  </sheetData>
  <mergeCells count="8">
    <mergeCell ref="A6:A7"/>
    <mergeCell ref="E6:E7"/>
    <mergeCell ref="B6:D6"/>
    <mergeCell ref="A1:E1"/>
    <mergeCell ref="A2:E2"/>
    <mergeCell ref="A3:E3"/>
    <mergeCell ref="A4:E4"/>
    <mergeCell ref="B5:D5"/>
  </mergeCells>
  <printOptions horizontalCentered="1" verticalCentered="1"/>
  <pageMargins left="0" right="0" top="0" bottom="0" header="0.31496062992125984" footer="0.31496062992125984"/>
  <pageSetup paperSize="9" orientation="landscape"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E20"/>
  <sheetViews>
    <sheetView rightToLeft="1" view="pageBreakPreview" zoomScaleNormal="100" zoomScaleSheetLayoutView="100" workbookViewId="0">
      <selection activeCell="B20" sqref="B20"/>
    </sheetView>
  </sheetViews>
  <sheetFormatPr defaultColWidth="9.09765625" defaultRowHeight="13.8" x14ac:dyDescent="0.25"/>
  <cols>
    <col min="1" max="1" width="26.69921875" style="29" customWidth="1"/>
    <col min="2" max="4" width="14.69921875" style="29" customWidth="1"/>
    <col min="5" max="5" width="26.69921875" style="29" customWidth="1"/>
    <col min="6" max="16384" width="9.09765625" style="29"/>
  </cols>
  <sheetData>
    <row r="1" spans="1:5" ht="34.950000000000003" customHeight="1" x14ac:dyDescent="0.25">
      <c r="A1" s="151"/>
      <c r="B1" s="152"/>
      <c r="C1" s="152"/>
      <c r="D1" s="152"/>
      <c r="E1" s="152"/>
    </row>
    <row r="2" spans="1:5" ht="21" x14ac:dyDescent="0.25">
      <c r="A2" s="153" t="s">
        <v>202</v>
      </c>
      <c r="B2" s="153"/>
      <c r="C2" s="153"/>
      <c r="D2" s="153"/>
      <c r="E2" s="153"/>
    </row>
    <row r="3" spans="1:5" ht="18" x14ac:dyDescent="0.25">
      <c r="A3" s="154" t="s">
        <v>200</v>
      </c>
      <c r="B3" s="154"/>
      <c r="C3" s="154"/>
      <c r="D3" s="154"/>
      <c r="E3" s="154"/>
    </row>
    <row r="4" spans="1:5" ht="15" customHeight="1" x14ac:dyDescent="0.25">
      <c r="A4" s="155">
        <v>2020</v>
      </c>
      <c r="B4" s="155"/>
      <c r="C4" s="155"/>
      <c r="D4" s="155"/>
      <c r="E4" s="155"/>
    </row>
    <row r="5" spans="1:5" ht="15.6" x14ac:dyDescent="0.25">
      <c r="A5" s="30" t="s">
        <v>229</v>
      </c>
      <c r="B5" s="163" t="s">
        <v>153</v>
      </c>
      <c r="C5" s="163"/>
      <c r="D5" s="163"/>
      <c r="E5" s="33" t="s">
        <v>228</v>
      </c>
    </row>
    <row r="6" spans="1:5" ht="30" customHeight="1" thickBot="1" x14ac:dyDescent="0.3">
      <c r="A6" s="156" t="s">
        <v>95</v>
      </c>
      <c r="B6" s="169" t="s">
        <v>199</v>
      </c>
      <c r="C6" s="170"/>
      <c r="D6" s="171"/>
      <c r="E6" s="160" t="s">
        <v>97</v>
      </c>
    </row>
    <row r="7" spans="1:5" ht="30" customHeight="1" x14ac:dyDescent="0.25">
      <c r="A7" s="157"/>
      <c r="B7" s="69" t="s">
        <v>98</v>
      </c>
      <c r="C7" s="69" t="s">
        <v>99</v>
      </c>
      <c r="D7" s="69" t="s">
        <v>101</v>
      </c>
      <c r="E7" s="161"/>
    </row>
    <row r="8" spans="1:5" ht="22.5" customHeight="1" x14ac:dyDescent="0.25">
      <c r="A8" s="34" t="s">
        <v>102</v>
      </c>
      <c r="B8" s="35">
        <f>2+2</f>
        <v>4</v>
      </c>
      <c r="C8" s="35">
        <v>7</v>
      </c>
      <c r="D8" s="34">
        <f t="shared" ref="D8:D19" si="0">SUM(B8:C8)</f>
        <v>11</v>
      </c>
      <c r="E8" s="36" t="s">
        <v>103</v>
      </c>
    </row>
    <row r="9" spans="1:5" ht="22.5" customHeight="1" x14ac:dyDescent="0.25">
      <c r="A9" s="37" t="s">
        <v>104</v>
      </c>
      <c r="B9" s="38">
        <f>6+1</f>
        <v>7</v>
      </c>
      <c r="C9" s="38">
        <v>5</v>
      </c>
      <c r="D9" s="37">
        <f t="shared" si="0"/>
        <v>12</v>
      </c>
      <c r="E9" s="39" t="s">
        <v>105</v>
      </c>
    </row>
    <row r="10" spans="1:5" ht="22.5" customHeight="1" x14ac:dyDescent="0.25">
      <c r="A10" s="34" t="s">
        <v>106</v>
      </c>
      <c r="B10" s="35">
        <f>10+2</f>
        <v>12</v>
      </c>
      <c r="C10" s="35">
        <v>7</v>
      </c>
      <c r="D10" s="34">
        <f t="shared" si="0"/>
        <v>19</v>
      </c>
      <c r="E10" s="36" t="s">
        <v>107</v>
      </c>
    </row>
    <row r="11" spans="1:5" ht="22.5" customHeight="1" x14ac:dyDescent="0.25">
      <c r="A11" s="37" t="s">
        <v>108</v>
      </c>
      <c r="B11" s="38">
        <f>1+1</f>
        <v>2</v>
      </c>
      <c r="C11" s="38">
        <v>4</v>
      </c>
      <c r="D11" s="37">
        <f t="shared" si="0"/>
        <v>6</v>
      </c>
      <c r="E11" s="39" t="s">
        <v>109</v>
      </c>
    </row>
    <row r="12" spans="1:5" ht="22.5" customHeight="1" x14ac:dyDescent="0.25">
      <c r="A12" s="34" t="s">
        <v>110</v>
      </c>
      <c r="B12" s="35">
        <f>3+1</f>
        <v>4</v>
      </c>
      <c r="C12" s="35">
        <v>3</v>
      </c>
      <c r="D12" s="34">
        <f t="shared" si="0"/>
        <v>7</v>
      </c>
      <c r="E12" s="36" t="s">
        <v>111</v>
      </c>
    </row>
    <row r="13" spans="1:5" ht="22.5" customHeight="1" x14ac:dyDescent="0.25">
      <c r="A13" s="37" t="s">
        <v>112</v>
      </c>
      <c r="B13" s="38">
        <f>6+0</f>
        <v>6</v>
      </c>
      <c r="C13" s="38">
        <v>3</v>
      </c>
      <c r="D13" s="37">
        <f t="shared" si="0"/>
        <v>9</v>
      </c>
      <c r="E13" s="39" t="s">
        <v>113</v>
      </c>
    </row>
    <row r="14" spans="1:5" ht="22.5" customHeight="1" x14ac:dyDescent="0.25">
      <c r="A14" s="34" t="s">
        <v>114</v>
      </c>
      <c r="B14" s="35">
        <f>11+1</f>
        <v>12</v>
      </c>
      <c r="C14" s="35">
        <v>5</v>
      </c>
      <c r="D14" s="34">
        <f t="shared" si="0"/>
        <v>17</v>
      </c>
      <c r="E14" s="36" t="s">
        <v>115</v>
      </c>
    </row>
    <row r="15" spans="1:5" ht="22.5" customHeight="1" x14ac:dyDescent="0.25">
      <c r="A15" s="37" t="s">
        <v>116</v>
      </c>
      <c r="B15" s="38">
        <f>6+1</f>
        <v>7</v>
      </c>
      <c r="C15" s="38">
        <v>3</v>
      </c>
      <c r="D15" s="37">
        <f t="shared" si="0"/>
        <v>10</v>
      </c>
      <c r="E15" s="39" t="s">
        <v>117</v>
      </c>
    </row>
    <row r="16" spans="1:5" ht="22.5" customHeight="1" x14ac:dyDescent="0.25">
      <c r="A16" s="34" t="s">
        <v>118</v>
      </c>
      <c r="B16" s="35">
        <f>11+2</f>
        <v>13</v>
      </c>
      <c r="C16" s="35">
        <v>4</v>
      </c>
      <c r="D16" s="34">
        <f t="shared" si="0"/>
        <v>17</v>
      </c>
      <c r="E16" s="36" t="s">
        <v>119</v>
      </c>
    </row>
    <row r="17" spans="1:5" ht="22.5" customHeight="1" x14ac:dyDescent="0.25">
      <c r="A17" s="37" t="s">
        <v>120</v>
      </c>
      <c r="B17" s="38">
        <f>4+2</f>
        <v>6</v>
      </c>
      <c r="C17" s="38">
        <v>5</v>
      </c>
      <c r="D17" s="37">
        <f t="shared" si="0"/>
        <v>11</v>
      </c>
      <c r="E17" s="39" t="s">
        <v>121</v>
      </c>
    </row>
    <row r="18" spans="1:5" ht="22.5" customHeight="1" x14ac:dyDescent="0.25">
      <c r="A18" s="34" t="s">
        <v>122</v>
      </c>
      <c r="B18" s="35">
        <f>3+0</f>
        <v>3</v>
      </c>
      <c r="C18" s="35">
        <v>3</v>
      </c>
      <c r="D18" s="34">
        <f t="shared" si="0"/>
        <v>6</v>
      </c>
      <c r="E18" s="36" t="s">
        <v>123</v>
      </c>
    </row>
    <row r="19" spans="1:5" ht="22.5" customHeight="1" x14ac:dyDescent="0.25">
      <c r="A19" s="37" t="s">
        <v>124</v>
      </c>
      <c r="B19" s="38">
        <f>8+1</f>
        <v>9</v>
      </c>
      <c r="C19" s="38">
        <v>9</v>
      </c>
      <c r="D19" s="37">
        <f t="shared" si="0"/>
        <v>18</v>
      </c>
      <c r="E19" s="39" t="s">
        <v>125</v>
      </c>
    </row>
    <row r="20" spans="1:5" ht="36" customHeight="1" x14ac:dyDescent="0.25">
      <c r="A20" s="40" t="s">
        <v>126</v>
      </c>
      <c r="B20" s="41">
        <f>SUM(B8:B19)</f>
        <v>85</v>
      </c>
      <c r="C20" s="41">
        <f>SUM(C8:C19)</f>
        <v>58</v>
      </c>
      <c r="D20" s="41">
        <f>SUM(D8:D19)</f>
        <v>143</v>
      </c>
      <c r="E20" s="42" t="s">
        <v>127</v>
      </c>
    </row>
  </sheetData>
  <mergeCells count="8">
    <mergeCell ref="A6:A7"/>
    <mergeCell ref="E6:E7"/>
    <mergeCell ref="B6:D6"/>
    <mergeCell ref="A1:E1"/>
    <mergeCell ref="A2:E2"/>
    <mergeCell ref="A3:E3"/>
    <mergeCell ref="A4:E4"/>
    <mergeCell ref="B5:D5"/>
  </mergeCells>
  <printOptions horizontalCentered="1" verticalCentered="1"/>
  <pageMargins left="0.70866141732283472" right="0.70866141732283472" top="0.74803149606299213" bottom="0.74803149606299213" header="0.31496062992125984" footer="0.31496062992125984"/>
  <pageSetup paperSize="9" orientation="landscape"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O22"/>
  <sheetViews>
    <sheetView rightToLeft="1" view="pageBreakPreview" topLeftCell="A6" zoomScaleNormal="100" zoomScaleSheetLayoutView="100" workbookViewId="0">
      <selection activeCell="M11" sqref="M11"/>
    </sheetView>
  </sheetViews>
  <sheetFormatPr defaultColWidth="9.09765625" defaultRowHeight="13.8" x14ac:dyDescent="0.25"/>
  <cols>
    <col min="1" max="1" width="28.69921875" style="29" customWidth="1"/>
    <col min="2" max="8" width="8.69921875" style="29" customWidth="1"/>
    <col min="9" max="9" width="10.19921875" style="29" customWidth="1"/>
    <col min="10" max="10" width="8.69921875" style="29" customWidth="1"/>
    <col min="11" max="11" width="28.69921875" style="29" customWidth="1"/>
    <col min="12" max="13" width="12.8984375" style="29" customWidth="1"/>
    <col min="14" max="16384" width="9.09765625" style="29"/>
  </cols>
  <sheetData>
    <row r="1" spans="1:15" ht="37.200000000000003" customHeight="1" x14ac:dyDescent="0.25">
      <c r="A1" s="165"/>
      <c r="B1" s="151"/>
      <c r="C1" s="151"/>
      <c r="D1" s="151"/>
      <c r="E1" s="151"/>
      <c r="F1" s="151"/>
      <c r="G1" s="151"/>
      <c r="H1" s="151"/>
      <c r="I1" s="151"/>
      <c r="J1" s="151"/>
      <c r="K1" s="151"/>
      <c r="L1" s="45"/>
      <c r="M1" s="45"/>
      <c r="N1" s="45"/>
    </row>
    <row r="2" spans="1:15" ht="23.25" customHeight="1" x14ac:dyDescent="0.25">
      <c r="A2" s="153" t="s">
        <v>206</v>
      </c>
      <c r="B2" s="153"/>
      <c r="C2" s="153"/>
      <c r="D2" s="153"/>
      <c r="E2" s="153"/>
      <c r="F2" s="153"/>
      <c r="G2" s="153"/>
      <c r="H2" s="153"/>
      <c r="I2" s="153"/>
      <c r="J2" s="153"/>
      <c r="K2" s="153"/>
      <c r="L2" s="46"/>
      <c r="M2" s="46"/>
      <c r="N2" s="46"/>
    </row>
    <row r="3" spans="1:15" ht="20.25" customHeight="1" x14ac:dyDescent="0.25">
      <c r="A3" s="166" t="s">
        <v>205</v>
      </c>
      <c r="B3" s="166"/>
      <c r="C3" s="166"/>
      <c r="D3" s="166"/>
      <c r="E3" s="166"/>
      <c r="F3" s="166"/>
      <c r="G3" s="166"/>
      <c r="H3" s="166"/>
      <c r="I3" s="166"/>
      <c r="J3" s="166"/>
      <c r="K3" s="166"/>
      <c r="L3" s="47"/>
      <c r="M3" s="47"/>
      <c r="N3" s="47"/>
    </row>
    <row r="4" spans="1:15" ht="15" customHeight="1" x14ac:dyDescent="0.25">
      <c r="A4" s="155">
        <v>2020</v>
      </c>
      <c r="B4" s="155"/>
      <c r="C4" s="155"/>
      <c r="D4" s="155"/>
      <c r="E4" s="155"/>
      <c r="F4" s="155"/>
      <c r="G4" s="155"/>
      <c r="H4" s="155"/>
      <c r="I4" s="155"/>
      <c r="J4" s="155"/>
      <c r="K4" s="155"/>
      <c r="L4" s="47"/>
      <c r="M4" s="47"/>
      <c r="N4" s="47"/>
    </row>
    <row r="5" spans="1:15" ht="15.6" x14ac:dyDescent="0.25">
      <c r="A5" s="30" t="s">
        <v>230</v>
      </c>
      <c r="B5" s="163"/>
      <c r="C5" s="163"/>
      <c r="D5" s="163"/>
      <c r="E5" s="163"/>
      <c r="F5" s="163"/>
      <c r="G5" s="163"/>
      <c r="H5" s="163"/>
      <c r="I5" s="163"/>
      <c r="J5" s="163"/>
      <c r="K5" s="33" t="s">
        <v>231</v>
      </c>
      <c r="L5" s="32"/>
      <c r="M5" s="32"/>
      <c r="N5" s="33"/>
      <c r="O5" s="33"/>
    </row>
    <row r="6" spans="1:15" ht="96" customHeight="1" x14ac:dyDescent="0.25">
      <c r="A6" s="70" t="s">
        <v>204</v>
      </c>
      <c r="B6" s="71" t="s">
        <v>160</v>
      </c>
      <c r="C6" s="71" t="s">
        <v>161</v>
      </c>
      <c r="D6" s="71" t="s">
        <v>162</v>
      </c>
      <c r="E6" s="71" t="s">
        <v>163</v>
      </c>
      <c r="F6" s="71" t="s">
        <v>164</v>
      </c>
      <c r="G6" s="71" t="s">
        <v>165</v>
      </c>
      <c r="H6" s="71" t="s">
        <v>166</v>
      </c>
      <c r="I6" s="71" t="s">
        <v>167</v>
      </c>
      <c r="J6" s="71" t="s">
        <v>168</v>
      </c>
      <c r="K6" s="72" t="s">
        <v>203</v>
      </c>
    </row>
    <row r="7" spans="1:15" ht="30" customHeight="1" x14ac:dyDescent="0.25">
      <c r="A7" s="50" t="s">
        <v>170</v>
      </c>
      <c r="B7" s="51"/>
      <c r="C7" s="51"/>
      <c r="D7" s="51"/>
      <c r="E7" s="51"/>
      <c r="F7" s="51"/>
      <c r="G7" s="51"/>
      <c r="H7" s="51"/>
      <c r="I7" s="51"/>
      <c r="J7" s="51"/>
      <c r="K7" s="52" t="s">
        <v>171</v>
      </c>
    </row>
    <row r="8" spans="1:15" ht="19.95" customHeight="1" x14ac:dyDescent="0.25">
      <c r="A8" s="53" t="s">
        <v>172</v>
      </c>
      <c r="B8" s="38">
        <v>157</v>
      </c>
      <c r="C8" s="38">
        <v>381</v>
      </c>
      <c r="D8" s="38">
        <v>259</v>
      </c>
      <c r="E8" s="38">
        <v>134</v>
      </c>
      <c r="F8" s="38">
        <v>309</v>
      </c>
      <c r="G8" s="38">
        <v>68</v>
      </c>
      <c r="H8" s="38">
        <v>55</v>
      </c>
      <c r="I8" s="38">
        <v>28</v>
      </c>
      <c r="J8" s="38">
        <f>SUM(B8:I8)</f>
        <v>1391</v>
      </c>
      <c r="K8" s="54" t="s">
        <v>173</v>
      </c>
      <c r="L8" s="55"/>
      <c r="M8" s="55"/>
    </row>
    <row r="9" spans="1:15" ht="19.95" customHeight="1" x14ac:dyDescent="0.25">
      <c r="A9" s="56" t="s">
        <v>174</v>
      </c>
      <c r="B9" s="35">
        <v>15</v>
      </c>
      <c r="C9" s="35">
        <v>322</v>
      </c>
      <c r="D9" s="35">
        <v>224</v>
      </c>
      <c r="E9" s="35">
        <v>60</v>
      </c>
      <c r="F9" s="35">
        <v>102</v>
      </c>
      <c r="G9" s="35">
        <v>14</v>
      </c>
      <c r="H9" s="35">
        <v>2</v>
      </c>
      <c r="I9" s="35">
        <v>20</v>
      </c>
      <c r="J9" s="35">
        <f>SUM(B9:I9)</f>
        <v>759</v>
      </c>
      <c r="K9" s="57" t="s">
        <v>175</v>
      </c>
      <c r="M9" s="55"/>
    </row>
    <row r="10" spans="1:15" ht="19.95" customHeight="1" x14ac:dyDescent="0.25">
      <c r="A10" s="58" t="s">
        <v>176</v>
      </c>
      <c r="B10" s="38">
        <v>74</v>
      </c>
      <c r="C10" s="38">
        <v>3</v>
      </c>
      <c r="D10" s="38">
        <v>23</v>
      </c>
      <c r="E10" s="38">
        <v>1</v>
      </c>
      <c r="F10" s="38">
        <v>14</v>
      </c>
      <c r="G10" s="38">
        <v>5</v>
      </c>
      <c r="H10" s="38">
        <v>2</v>
      </c>
      <c r="I10" s="38">
        <v>2</v>
      </c>
      <c r="J10" s="38">
        <f>SUM(I10+H10+G10+F10+E10+D10+C10+B10)</f>
        <v>124</v>
      </c>
      <c r="K10" s="54" t="s">
        <v>177</v>
      </c>
    </row>
    <row r="11" spans="1:15" ht="19.95" customHeight="1" x14ac:dyDescent="0.25">
      <c r="A11" s="59" t="s">
        <v>178</v>
      </c>
      <c r="B11" s="35">
        <v>4</v>
      </c>
      <c r="C11" s="35">
        <v>2</v>
      </c>
      <c r="D11" s="35">
        <v>1</v>
      </c>
      <c r="E11" s="35">
        <v>17</v>
      </c>
      <c r="F11" s="35">
        <v>1</v>
      </c>
      <c r="G11" s="35">
        <v>3</v>
      </c>
      <c r="H11" s="35">
        <v>1</v>
      </c>
      <c r="I11" s="35">
        <v>21</v>
      </c>
      <c r="J11" s="35">
        <f>SUM(I11+H11+G11+F11+E11+D11+C11+B11)</f>
        <v>50</v>
      </c>
      <c r="K11" s="57" t="s">
        <v>179</v>
      </c>
    </row>
    <row r="12" spans="1:15" ht="22.5" customHeight="1" x14ac:dyDescent="0.25">
      <c r="A12" s="48" t="s">
        <v>126</v>
      </c>
      <c r="B12" s="60">
        <f t="shared" ref="B12:J12" si="0">SUM(B8:B11)</f>
        <v>250</v>
      </c>
      <c r="C12" s="60">
        <f t="shared" si="0"/>
        <v>708</v>
      </c>
      <c r="D12" s="60">
        <f t="shared" si="0"/>
        <v>507</v>
      </c>
      <c r="E12" s="60">
        <f t="shared" si="0"/>
        <v>212</v>
      </c>
      <c r="F12" s="60">
        <f t="shared" si="0"/>
        <v>426</v>
      </c>
      <c r="G12" s="60">
        <f t="shared" si="0"/>
        <v>90</v>
      </c>
      <c r="H12" s="60">
        <f t="shared" si="0"/>
        <v>60</v>
      </c>
      <c r="I12" s="60">
        <f t="shared" si="0"/>
        <v>71</v>
      </c>
      <c r="J12" s="60">
        <f t="shared" si="0"/>
        <v>2324</v>
      </c>
      <c r="K12" s="49" t="s">
        <v>127</v>
      </c>
    </row>
    <row r="13" spans="1:15" ht="30" customHeight="1" x14ac:dyDescent="0.25">
      <c r="A13" s="50" t="s">
        <v>180</v>
      </c>
      <c r="B13" s="34"/>
      <c r="C13" s="34"/>
      <c r="D13" s="34"/>
      <c r="E13" s="34"/>
      <c r="F13" s="34"/>
      <c r="G13" s="34"/>
      <c r="H13" s="34"/>
      <c r="I13" s="34"/>
      <c r="J13" s="34"/>
      <c r="K13" s="52" t="s">
        <v>181</v>
      </c>
    </row>
    <row r="14" spans="1:15" ht="19.95" customHeight="1" x14ac:dyDescent="0.25">
      <c r="A14" s="53" t="s">
        <v>182</v>
      </c>
      <c r="B14" s="38">
        <v>10</v>
      </c>
      <c r="C14" s="38">
        <v>7</v>
      </c>
      <c r="D14" s="38">
        <v>14</v>
      </c>
      <c r="E14" s="38">
        <v>2</v>
      </c>
      <c r="F14" s="38">
        <v>5</v>
      </c>
      <c r="G14" s="38">
        <v>0</v>
      </c>
      <c r="H14" s="38">
        <v>3</v>
      </c>
      <c r="I14" s="38">
        <v>1</v>
      </c>
      <c r="J14" s="38">
        <f>SUM(B14:I14)</f>
        <v>42</v>
      </c>
      <c r="K14" s="54" t="s">
        <v>183</v>
      </c>
    </row>
    <row r="15" spans="1:15" ht="19.95" customHeight="1" x14ac:dyDescent="0.25">
      <c r="A15" s="56" t="s">
        <v>184</v>
      </c>
      <c r="B15" s="35">
        <v>54</v>
      </c>
      <c r="C15" s="35">
        <v>27</v>
      </c>
      <c r="D15" s="35">
        <v>100</v>
      </c>
      <c r="E15" s="35">
        <v>8</v>
      </c>
      <c r="F15" s="35">
        <v>9</v>
      </c>
      <c r="G15" s="35">
        <v>0</v>
      </c>
      <c r="H15" s="35">
        <v>3</v>
      </c>
      <c r="I15" s="35">
        <v>5</v>
      </c>
      <c r="J15" s="35">
        <f>SUM(B15:I15)</f>
        <v>206</v>
      </c>
      <c r="K15" s="57" t="s">
        <v>185</v>
      </c>
    </row>
    <row r="16" spans="1:15" ht="19.95" customHeight="1" x14ac:dyDescent="0.25">
      <c r="A16" s="53" t="s">
        <v>186</v>
      </c>
      <c r="B16" s="38">
        <v>22</v>
      </c>
      <c r="C16" s="38">
        <v>16</v>
      </c>
      <c r="D16" s="38">
        <v>43</v>
      </c>
      <c r="E16" s="38">
        <v>0</v>
      </c>
      <c r="F16" s="38">
        <v>0</v>
      </c>
      <c r="G16" s="38">
        <v>0</v>
      </c>
      <c r="H16" s="38">
        <v>2</v>
      </c>
      <c r="I16" s="38">
        <v>0</v>
      </c>
      <c r="J16" s="38">
        <f>SUM(B16:I16)</f>
        <v>83</v>
      </c>
      <c r="K16" s="54" t="s">
        <v>187</v>
      </c>
    </row>
    <row r="17" spans="1:11" ht="19.95" customHeight="1" x14ac:dyDescent="0.25">
      <c r="A17" s="56" t="s">
        <v>188</v>
      </c>
      <c r="B17" s="35">
        <v>1</v>
      </c>
      <c r="C17" s="35">
        <v>6</v>
      </c>
      <c r="D17" s="35">
        <v>7</v>
      </c>
      <c r="E17" s="35">
        <v>3</v>
      </c>
      <c r="F17" s="35">
        <v>6</v>
      </c>
      <c r="G17" s="35">
        <v>1</v>
      </c>
      <c r="H17" s="35">
        <v>5</v>
      </c>
      <c r="I17" s="35">
        <v>7</v>
      </c>
      <c r="J17" s="35">
        <f>SUM(B17:I17)</f>
        <v>36</v>
      </c>
      <c r="K17" s="57" t="s">
        <v>189</v>
      </c>
    </row>
    <row r="18" spans="1:11" ht="19.95" customHeight="1" x14ac:dyDescent="0.25">
      <c r="A18" s="53" t="s">
        <v>178</v>
      </c>
      <c r="B18" s="38">
        <v>8</v>
      </c>
      <c r="C18" s="38">
        <v>10</v>
      </c>
      <c r="D18" s="38">
        <v>4</v>
      </c>
      <c r="E18" s="38">
        <v>0</v>
      </c>
      <c r="F18" s="38">
        <v>7</v>
      </c>
      <c r="G18" s="38">
        <v>0</v>
      </c>
      <c r="H18" s="38">
        <v>0</v>
      </c>
      <c r="I18" s="38">
        <v>1</v>
      </c>
      <c r="J18" s="38">
        <f>SUM(B18:I18)</f>
        <v>30</v>
      </c>
      <c r="K18" s="54" t="s">
        <v>190</v>
      </c>
    </row>
    <row r="19" spans="1:11" ht="19.95" customHeight="1" x14ac:dyDescent="0.25">
      <c r="A19" s="62" t="s">
        <v>126</v>
      </c>
      <c r="B19" s="61">
        <f t="shared" ref="B19:I19" si="1">SUM(B18+B17+B16+B15+B14)</f>
        <v>95</v>
      </c>
      <c r="C19" s="61">
        <f t="shared" si="1"/>
        <v>66</v>
      </c>
      <c r="D19" s="61">
        <f t="shared" si="1"/>
        <v>168</v>
      </c>
      <c r="E19" s="61">
        <f t="shared" si="1"/>
        <v>13</v>
      </c>
      <c r="F19" s="61">
        <f t="shared" si="1"/>
        <v>27</v>
      </c>
      <c r="G19" s="61">
        <f t="shared" si="1"/>
        <v>1</v>
      </c>
      <c r="H19" s="61">
        <f t="shared" si="1"/>
        <v>13</v>
      </c>
      <c r="I19" s="61">
        <f t="shared" si="1"/>
        <v>14</v>
      </c>
      <c r="J19" s="61">
        <f>SUM(J14:J18)</f>
        <v>397</v>
      </c>
      <c r="K19" s="63" t="s">
        <v>127</v>
      </c>
    </row>
    <row r="20" spans="1:11" ht="19.95" customHeight="1" x14ac:dyDescent="0.25">
      <c r="A20" s="53" t="s">
        <v>210</v>
      </c>
      <c r="B20" s="38"/>
      <c r="C20" s="38"/>
      <c r="D20" s="38"/>
      <c r="E20" s="38"/>
      <c r="F20" s="38"/>
      <c r="G20" s="38"/>
      <c r="H20" s="38"/>
      <c r="I20" s="38"/>
      <c r="J20" s="38"/>
      <c r="K20" s="54" t="s">
        <v>194</v>
      </c>
    </row>
    <row r="21" spans="1:11" ht="19.95" customHeight="1" x14ac:dyDescent="0.25">
      <c r="A21" s="56" t="s">
        <v>193</v>
      </c>
      <c r="B21" s="35">
        <f>'12'!C20</f>
        <v>282</v>
      </c>
      <c r="C21" s="35">
        <f>'13'!C20</f>
        <v>306</v>
      </c>
      <c r="D21" s="35">
        <f>'14'!C20</f>
        <v>154</v>
      </c>
      <c r="E21" s="35">
        <f>'15'!C20</f>
        <v>72</v>
      </c>
      <c r="F21" s="35">
        <f>'18'!C20</f>
        <v>124</v>
      </c>
      <c r="G21" s="35">
        <f>'16'!C20</f>
        <v>33</v>
      </c>
      <c r="H21" s="35">
        <f>'17'!C20</f>
        <v>11</v>
      </c>
      <c r="I21" s="35">
        <f>'19'!C20</f>
        <v>58</v>
      </c>
      <c r="J21" s="35">
        <f>SUM(B21:I21)</f>
        <v>1040</v>
      </c>
      <c r="K21" s="57" t="s">
        <v>211</v>
      </c>
    </row>
    <row r="22" spans="1:11" ht="26.25" customHeight="1" x14ac:dyDescent="0.25">
      <c r="A22" s="48" t="s">
        <v>197</v>
      </c>
      <c r="B22" s="60">
        <f t="shared" ref="B22:J22" si="2">SUM(B12+B19+B21)</f>
        <v>627</v>
      </c>
      <c r="C22" s="60">
        <f t="shared" si="2"/>
        <v>1080</v>
      </c>
      <c r="D22" s="60">
        <f t="shared" si="2"/>
        <v>829</v>
      </c>
      <c r="E22" s="60">
        <f t="shared" si="2"/>
        <v>297</v>
      </c>
      <c r="F22" s="60">
        <f t="shared" si="2"/>
        <v>577</v>
      </c>
      <c r="G22" s="60">
        <f t="shared" si="2"/>
        <v>124</v>
      </c>
      <c r="H22" s="60">
        <f t="shared" si="2"/>
        <v>84</v>
      </c>
      <c r="I22" s="60">
        <f t="shared" si="2"/>
        <v>143</v>
      </c>
      <c r="J22" s="60">
        <f t="shared" si="2"/>
        <v>3761</v>
      </c>
      <c r="K22" s="49" t="s">
        <v>198</v>
      </c>
    </row>
  </sheetData>
  <mergeCells count="5">
    <mergeCell ref="A1:K1"/>
    <mergeCell ref="A2:K2"/>
    <mergeCell ref="A3:K3"/>
    <mergeCell ref="A4:K4"/>
    <mergeCell ref="B5:J5"/>
  </mergeCells>
  <printOptions horizontalCentered="1" verticalCentered="1"/>
  <pageMargins left="0" right="0" top="0" bottom="0" header="0.31496062992125984" footer="0.31496062992125984"/>
  <pageSetup paperSize="9" scale="95" orientation="landscape" r:id="rId1"/>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N31"/>
  <sheetViews>
    <sheetView rightToLeft="1" view="pageBreakPreview" topLeftCell="A6" zoomScaleNormal="100" zoomScaleSheetLayoutView="100" workbookViewId="0">
      <selection activeCell="G34" sqref="G34"/>
    </sheetView>
  </sheetViews>
  <sheetFormatPr defaultRowHeight="13.8" x14ac:dyDescent="0.25"/>
  <sheetData>
    <row r="1" spans="1:14" s="29" customFormat="1" ht="37.200000000000003" customHeight="1" x14ac:dyDescent="0.25">
      <c r="A1" s="165"/>
      <c r="B1" s="151"/>
      <c r="C1" s="151"/>
      <c r="D1" s="151"/>
      <c r="E1" s="151"/>
      <c r="F1" s="151"/>
      <c r="G1" s="151"/>
      <c r="H1" s="151"/>
      <c r="I1" s="151"/>
      <c r="J1" s="151"/>
      <c r="K1" s="151"/>
      <c r="L1" s="45"/>
      <c r="M1" s="45"/>
      <c r="N1" s="45"/>
    </row>
    <row r="2" spans="1:14" s="29" customFormat="1" ht="23.25" customHeight="1" x14ac:dyDescent="0.25">
      <c r="A2" s="153" t="s">
        <v>300</v>
      </c>
      <c r="B2" s="153"/>
      <c r="C2" s="153"/>
      <c r="D2" s="153"/>
      <c r="E2" s="153"/>
      <c r="F2" s="153"/>
      <c r="G2" s="153"/>
      <c r="H2" s="153"/>
      <c r="I2" s="153"/>
      <c r="J2" s="153"/>
      <c r="K2" s="153"/>
      <c r="L2" s="153"/>
      <c r="M2" s="153"/>
      <c r="N2" s="153"/>
    </row>
    <row r="3" spans="1:14" s="29" customFormat="1" ht="20.25" customHeight="1" x14ac:dyDescent="0.25">
      <c r="A3" s="166" t="s">
        <v>301</v>
      </c>
      <c r="B3" s="166"/>
      <c r="C3" s="166"/>
      <c r="D3" s="166"/>
      <c r="E3" s="166"/>
      <c r="F3" s="166"/>
      <c r="G3" s="166"/>
      <c r="H3" s="166"/>
      <c r="I3" s="166"/>
      <c r="J3" s="166"/>
      <c r="K3" s="166"/>
      <c r="L3" s="166"/>
      <c r="M3" s="166"/>
      <c r="N3" s="166"/>
    </row>
    <row r="4" spans="1:14" s="29" customFormat="1" ht="15" customHeight="1" x14ac:dyDescent="0.25">
      <c r="A4" s="155">
        <v>2020</v>
      </c>
      <c r="B4" s="155"/>
      <c r="C4" s="155"/>
      <c r="D4" s="155"/>
      <c r="E4" s="155"/>
      <c r="F4" s="155"/>
      <c r="G4" s="155"/>
      <c r="H4" s="155"/>
      <c r="I4" s="155"/>
      <c r="J4" s="155"/>
      <c r="K4" s="155"/>
      <c r="L4" s="155"/>
      <c r="M4" s="155"/>
      <c r="N4" s="155"/>
    </row>
    <row r="31" spans="1:14" x14ac:dyDescent="0.25">
      <c r="A31" s="167" t="s">
        <v>345</v>
      </c>
      <c r="B31" s="167"/>
      <c r="C31" s="167"/>
      <c r="D31" s="167"/>
      <c r="E31" s="167"/>
      <c r="F31" s="167"/>
      <c r="G31" s="167"/>
      <c r="H31" s="167"/>
      <c r="I31" s="167"/>
      <c r="J31" s="167"/>
      <c r="K31" s="167"/>
      <c r="L31" s="167"/>
      <c r="M31" s="167"/>
      <c r="N31" s="167"/>
    </row>
  </sheetData>
  <mergeCells count="5">
    <mergeCell ref="A1:K1"/>
    <mergeCell ref="A2:N2"/>
    <mergeCell ref="A3:N3"/>
    <mergeCell ref="A4:N4"/>
    <mergeCell ref="A31:N31"/>
  </mergeCells>
  <printOptions horizontalCentered="1" verticalCentered="1"/>
  <pageMargins left="0" right="0" top="0" bottom="0" header="0.31496062992125984" footer="0.31496062992125984"/>
  <pageSetup orientation="landscape" r:id="rId1"/>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N33"/>
  <sheetViews>
    <sheetView rightToLeft="1" tabSelected="1" view="pageBreakPreview" topLeftCell="A6" zoomScaleNormal="100" zoomScaleSheetLayoutView="100" workbookViewId="0">
      <selection activeCell="F35" sqref="F35"/>
    </sheetView>
  </sheetViews>
  <sheetFormatPr defaultRowHeight="13.8" x14ac:dyDescent="0.25"/>
  <sheetData>
    <row r="1" spans="1:14" s="29" customFormat="1" ht="37.200000000000003" customHeight="1" x14ac:dyDescent="0.25">
      <c r="A1" s="165"/>
      <c r="B1" s="151"/>
      <c r="C1" s="151"/>
      <c r="D1" s="151"/>
      <c r="E1" s="151"/>
      <c r="F1" s="151"/>
      <c r="G1" s="151"/>
      <c r="H1" s="151"/>
      <c r="I1" s="151"/>
      <c r="J1" s="151"/>
      <c r="K1" s="151"/>
      <c r="L1" s="45"/>
      <c r="M1" s="45"/>
      <c r="N1" s="45"/>
    </row>
    <row r="2" spans="1:14" s="29" customFormat="1" ht="23.25" customHeight="1" x14ac:dyDescent="0.25">
      <c r="A2" s="153" t="s">
        <v>302</v>
      </c>
      <c r="B2" s="153"/>
      <c r="C2" s="153"/>
      <c r="D2" s="153"/>
      <c r="E2" s="153"/>
      <c r="F2" s="153"/>
      <c r="G2" s="153"/>
      <c r="H2" s="153"/>
      <c r="I2" s="153"/>
      <c r="J2" s="153"/>
      <c r="K2" s="153"/>
      <c r="L2" s="153"/>
      <c r="M2" s="46"/>
      <c r="N2" s="46"/>
    </row>
    <row r="3" spans="1:14" s="29" customFormat="1" ht="20.25" customHeight="1" x14ac:dyDescent="0.25">
      <c r="A3" s="166" t="s">
        <v>303</v>
      </c>
      <c r="B3" s="166"/>
      <c r="C3" s="166"/>
      <c r="D3" s="166"/>
      <c r="E3" s="166"/>
      <c r="F3" s="166"/>
      <c r="G3" s="166"/>
      <c r="H3" s="166"/>
      <c r="I3" s="166"/>
      <c r="J3" s="166"/>
      <c r="K3" s="166"/>
      <c r="L3" s="166"/>
      <c r="M3" s="47"/>
      <c r="N3" s="47"/>
    </row>
    <row r="4" spans="1:14" s="29" customFormat="1" ht="15" customHeight="1" x14ac:dyDescent="0.25">
      <c r="A4" s="155">
        <v>2020</v>
      </c>
      <c r="B4" s="155"/>
      <c r="C4" s="155"/>
      <c r="D4" s="155"/>
      <c r="E4" s="155"/>
      <c r="F4" s="155"/>
      <c r="G4" s="155"/>
      <c r="H4" s="155"/>
      <c r="I4" s="155"/>
      <c r="J4" s="155"/>
      <c r="K4" s="155"/>
      <c r="L4" s="155"/>
      <c r="M4" s="47"/>
      <c r="N4" s="47"/>
    </row>
    <row r="33" spans="1:12" x14ac:dyDescent="0.25">
      <c r="A33" s="168" t="s">
        <v>346</v>
      </c>
      <c r="B33" s="168"/>
      <c r="C33" s="168"/>
      <c r="D33" s="168"/>
      <c r="E33" s="168"/>
      <c r="F33" s="168"/>
      <c r="G33" s="168"/>
      <c r="H33" s="168"/>
      <c r="I33" s="168"/>
      <c r="J33" s="168"/>
      <c r="K33" s="168"/>
      <c r="L33" s="168"/>
    </row>
  </sheetData>
  <mergeCells count="5">
    <mergeCell ref="A1:K1"/>
    <mergeCell ref="A2:L2"/>
    <mergeCell ref="A3:L3"/>
    <mergeCell ref="A4:L4"/>
    <mergeCell ref="A33:L33"/>
  </mergeCells>
  <printOptions horizontalCentered="1" verticalCentered="1"/>
  <pageMargins left="0.70866141732283472" right="0.70866141732283472" top="0.74803149606299213" bottom="0.74803149606299213" header="0.31496062992125984" footer="0.31496062992125984"/>
  <pageSetup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J36"/>
  <sheetViews>
    <sheetView rightToLeft="1" view="pageBreakPreview" zoomScale="120" zoomScaleNormal="100" zoomScaleSheetLayoutView="120" workbookViewId="0">
      <selection activeCell="B37" sqref="B37"/>
    </sheetView>
  </sheetViews>
  <sheetFormatPr defaultColWidth="9.09765625" defaultRowHeight="13.8" x14ac:dyDescent="0.25"/>
  <cols>
    <col min="1" max="1" width="65.69921875" style="13" customWidth="1"/>
    <col min="2" max="2" width="9" style="12" customWidth="1"/>
    <col min="3" max="3" width="65.69921875" style="11" customWidth="1"/>
    <col min="4" max="4" width="62.69921875" style="11" customWidth="1"/>
    <col min="5" max="16384" width="9.09765625" style="1"/>
  </cols>
  <sheetData>
    <row r="1" spans="1:10" ht="27.6" customHeight="1" x14ac:dyDescent="0.25">
      <c r="A1" s="111"/>
      <c r="B1" s="111"/>
      <c r="C1" s="111"/>
      <c r="D1" s="6"/>
      <c r="E1" s="6"/>
      <c r="F1" s="6"/>
      <c r="G1" s="6"/>
      <c r="H1" s="6"/>
      <c r="I1" s="6"/>
      <c r="J1" s="6"/>
    </row>
    <row r="2" spans="1:10" ht="21" x14ac:dyDescent="0.25">
      <c r="B2" s="16"/>
      <c r="C2" s="17"/>
      <c r="D2" s="17"/>
    </row>
    <row r="3" spans="1:10" ht="15" customHeight="1" x14ac:dyDescent="0.25">
      <c r="A3" s="16" t="s">
        <v>14</v>
      </c>
      <c r="B3" s="15"/>
      <c r="C3" s="15" t="s">
        <v>13</v>
      </c>
      <c r="D3" s="15"/>
    </row>
    <row r="4" spans="1:10" x14ac:dyDescent="0.25">
      <c r="C4" s="14"/>
      <c r="D4" s="14"/>
    </row>
    <row r="5" spans="1:10" ht="40.200000000000003" customHeight="1" x14ac:dyDescent="0.25">
      <c r="A5" s="76" t="s">
        <v>12</v>
      </c>
      <c r="B5" s="77" t="s">
        <v>81</v>
      </c>
      <c r="C5" s="78" t="s">
        <v>11</v>
      </c>
      <c r="D5" s="79"/>
    </row>
    <row r="6" spans="1:10" customFormat="1" ht="25.2" customHeight="1" x14ac:dyDescent="0.25">
      <c r="A6" s="80" t="s">
        <v>10</v>
      </c>
      <c r="B6" s="100">
        <v>3</v>
      </c>
      <c r="C6" s="87" t="s">
        <v>9</v>
      </c>
      <c r="D6" s="27"/>
    </row>
    <row r="7" spans="1:10" customFormat="1" ht="25.2" customHeight="1" x14ac:dyDescent="0.25">
      <c r="A7" s="81" t="s">
        <v>8</v>
      </c>
      <c r="B7" s="101">
        <v>7</v>
      </c>
      <c r="C7" s="88" t="s">
        <v>7</v>
      </c>
      <c r="D7" s="28"/>
    </row>
    <row r="8" spans="1:10" customFormat="1" ht="25.2" customHeight="1" x14ac:dyDescent="0.25">
      <c r="A8" s="94" t="s">
        <v>6</v>
      </c>
      <c r="B8" s="102">
        <v>8</v>
      </c>
      <c r="C8" s="91" t="s">
        <v>5</v>
      </c>
      <c r="D8" s="28"/>
    </row>
    <row r="9" spans="1:10" s="66" customFormat="1" ht="34.950000000000003" customHeight="1" x14ac:dyDescent="0.25">
      <c r="A9" s="95" t="s">
        <v>232</v>
      </c>
      <c r="B9" s="101">
        <v>11</v>
      </c>
      <c r="C9" s="96" t="s">
        <v>233</v>
      </c>
      <c r="D9" s="67"/>
    </row>
    <row r="10" spans="1:10" customFormat="1" ht="25.2" customHeight="1" x14ac:dyDescent="0.25">
      <c r="A10" s="85" t="s">
        <v>260</v>
      </c>
      <c r="B10" s="102">
        <v>13</v>
      </c>
      <c r="C10" s="97" t="s">
        <v>311</v>
      </c>
      <c r="D10" s="73"/>
    </row>
    <row r="11" spans="1:10" customFormat="1" ht="25.2" customHeight="1" x14ac:dyDescent="0.25">
      <c r="A11" s="83" t="s">
        <v>262</v>
      </c>
      <c r="B11" s="101">
        <v>14</v>
      </c>
      <c r="C11" s="88" t="s">
        <v>281</v>
      </c>
      <c r="D11" s="74"/>
    </row>
    <row r="12" spans="1:10" customFormat="1" ht="25.2" customHeight="1" x14ac:dyDescent="0.25">
      <c r="A12" s="84" t="s">
        <v>261</v>
      </c>
      <c r="B12" s="100">
        <v>15</v>
      </c>
      <c r="C12" s="91" t="s">
        <v>273</v>
      </c>
    </row>
    <row r="13" spans="1:10" customFormat="1" ht="25.2" customHeight="1" x14ac:dyDescent="0.25">
      <c r="A13" s="83" t="s">
        <v>263</v>
      </c>
      <c r="B13" s="101">
        <v>16</v>
      </c>
      <c r="C13" s="88" t="s">
        <v>274</v>
      </c>
    </row>
    <row r="14" spans="1:10" customFormat="1" ht="25.2" customHeight="1" x14ac:dyDescent="0.25">
      <c r="A14" s="84" t="s">
        <v>264</v>
      </c>
      <c r="B14" s="100">
        <v>17</v>
      </c>
      <c r="C14" s="91" t="s">
        <v>275</v>
      </c>
    </row>
    <row r="15" spans="1:10" customFormat="1" ht="25.2" customHeight="1" x14ac:dyDescent="0.25">
      <c r="A15" s="83" t="s">
        <v>265</v>
      </c>
      <c r="B15" s="101">
        <v>18</v>
      </c>
      <c r="C15" s="88" t="s">
        <v>276</v>
      </c>
    </row>
    <row r="16" spans="1:10" customFormat="1" ht="25.2" customHeight="1" x14ac:dyDescent="0.25">
      <c r="A16" s="84" t="s">
        <v>266</v>
      </c>
      <c r="B16" s="100">
        <v>19</v>
      </c>
      <c r="C16" s="91" t="s">
        <v>277</v>
      </c>
    </row>
    <row r="17" spans="1:4" customFormat="1" ht="25.2" customHeight="1" x14ac:dyDescent="0.25">
      <c r="A17" s="83" t="s">
        <v>267</v>
      </c>
      <c r="B17" s="101">
        <v>20</v>
      </c>
      <c r="C17" s="88" t="s">
        <v>278</v>
      </c>
    </row>
    <row r="18" spans="1:4" customFormat="1" ht="25.2" customHeight="1" x14ac:dyDescent="0.25">
      <c r="A18" s="84" t="s">
        <v>268</v>
      </c>
      <c r="B18" s="100">
        <v>21</v>
      </c>
      <c r="C18" s="91" t="s">
        <v>279</v>
      </c>
    </row>
    <row r="19" spans="1:4" customFormat="1" ht="25.2" customHeight="1" x14ac:dyDescent="0.25">
      <c r="A19" s="83" t="s">
        <v>269</v>
      </c>
      <c r="B19" s="101">
        <v>22</v>
      </c>
      <c r="C19" s="88" t="s">
        <v>280</v>
      </c>
    </row>
    <row r="20" spans="1:4" customFormat="1" ht="25.2" customHeight="1" x14ac:dyDescent="0.25">
      <c r="A20" s="84" t="s">
        <v>270</v>
      </c>
      <c r="B20" s="100">
        <v>23</v>
      </c>
      <c r="C20" s="91" t="s">
        <v>312</v>
      </c>
    </row>
    <row r="21" spans="1:4" s="66" customFormat="1" ht="25.2" customHeight="1" x14ac:dyDescent="0.25">
      <c r="A21" s="83" t="s">
        <v>272</v>
      </c>
      <c r="B21" s="101">
        <v>24</v>
      </c>
      <c r="C21" s="88" t="s">
        <v>283</v>
      </c>
      <c r="D21" s="73"/>
    </row>
    <row r="22" spans="1:4" s="66" customFormat="1" ht="25.2" customHeight="1" x14ac:dyDescent="0.25">
      <c r="A22" s="98" t="s">
        <v>294</v>
      </c>
      <c r="B22" s="103">
        <v>25</v>
      </c>
      <c r="C22" s="99" t="s">
        <v>295</v>
      </c>
      <c r="D22" s="73"/>
    </row>
    <row r="23" spans="1:4" s="66" customFormat="1" ht="30" customHeight="1" x14ac:dyDescent="0.25">
      <c r="A23" s="82" t="s">
        <v>305</v>
      </c>
      <c r="B23" s="102">
        <v>27</v>
      </c>
      <c r="C23" s="89" t="s">
        <v>306</v>
      </c>
      <c r="D23" s="73"/>
    </row>
    <row r="24" spans="1:4" customFormat="1" ht="25.2" customHeight="1" x14ac:dyDescent="0.25">
      <c r="A24" s="83" t="s">
        <v>307</v>
      </c>
      <c r="B24" s="101">
        <v>29</v>
      </c>
      <c r="C24" s="90" t="s">
        <v>313</v>
      </c>
      <c r="D24" s="74"/>
    </row>
    <row r="25" spans="1:4" customFormat="1" ht="25.2" customHeight="1" x14ac:dyDescent="0.25">
      <c r="A25" s="84" t="s">
        <v>304</v>
      </c>
      <c r="B25" s="100">
        <v>30</v>
      </c>
      <c r="C25" s="93" t="s">
        <v>310</v>
      </c>
      <c r="D25" s="74"/>
    </row>
    <row r="26" spans="1:4" customFormat="1" ht="25.2" customHeight="1" x14ac:dyDescent="0.25">
      <c r="A26" s="83" t="s">
        <v>308</v>
      </c>
      <c r="B26" s="101">
        <v>31</v>
      </c>
      <c r="C26" s="90" t="s">
        <v>314</v>
      </c>
    </row>
    <row r="27" spans="1:4" customFormat="1" ht="25.2" customHeight="1" x14ac:dyDescent="0.25">
      <c r="A27" s="84" t="s">
        <v>309</v>
      </c>
      <c r="B27" s="100">
        <v>32</v>
      </c>
      <c r="C27" s="93" t="s">
        <v>315</v>
      </c>
    </row>
    <row r="28" spans="1:4" customFormat="1" ht="25.2" customHeight="1" x14ac:dyDescent="0.25">
      <c r="A28" s="83" t="s">
        <v>284</v>
      </c>
      <c r="B28" s="101">
        <v>33</v>
      </c>
      <c r="C28" s="90" t="s">
        <v>316</v>
      </c>
    </row>
    <row r="29" spans="1:4" customFormat="1" ht="25.2" customHeight="1" x14ac:dyDescent="0.25">
      <c r="A29" s="84" t="s">
        <v>285</v>
      </c>
      <c r="B29" s="100">
        <v>34</v>
      </c>
      <c r="C29" s="93" t="s">
        <v>317</v>
      </c>
    </row>
    <row r="30" spans="1:4" customFormat="1" ht="25.2" customHeight="1" x14ac:dyDescent="0.25">
      <c r="A30" s="83" t="s">
        <v>286</v>
      </c>
      <c r="B30" s="101">
        <v>35</v>
      </c>
      <c r="C30" s="90" t="s">
        <v>318</v>
      </c>
    </row>
    <row r="31" spans="1:4" customFormat="1" ht="25.2" customHeight="1" x14ac:dyDescent="0.25">
      <c r="A31" s="84" t="s">
        <v>287</v>
      </c>
      <c r="B31" s="100">
        <v>36</v>
      </c>
      <c r="C31" s="93" t="s">
        <v>319</v>
      </c>
    </row>
    <row r="32" spans="1:4" customFormat="1" ht="25.2" customHeight="1" x14ac:dyDescent="0.25">
      <c r="A32" s="83" t="s">
        <v>288</v>
      </c>
      <c r="B32" s="101">
        <v>37</v>
      </c>
      <c r="C32" s="90" t="s">
        <v>320</v>
      </c>
    </row>
    <row r="33" spans="1:4" customFormat="1" ht="25.2" customHeight="1" x14ac:dyDescent="0.25">
      <c r="A33" s="84" t="s">
        <v>289</v>
      </c>
      <c r="B33" s="100">
        <v>38</v>
      </c>
      <c r="C33" s="93" t="s">
        <v>321</v>
      </c>
      <c r="D33" s="74"/>
    </row>
    <row r="34" spans="1:4" customFormat="1" ht="25.2" customHeight="1" x14ac:dyDescent="0.25">
      <c r="A34" s="83" t="s">
        <v>290</v>
      </c>
      <c r="B34" s="101">
        <v>39</v>
      </c>
      <c r="C34" s="90" t="s">
        <v>322</v>
      </c>
      <c r="D34" s="75"/>
    </row>
    <row r="35" spans="1:4" s="66" customFormat="1" ht="25.2" customHeight="1" x14ac:dyDescent="0.25">
      <c r="A35" s="85" t="s">
        <v>324</v>
      </c>
      <c r="B35" s="102">
        <v>40</v>
      </c>
      <c r="C35" s="91" t="s">
        <v>325</v>
      </c>
      <c r="D35" s="73"/>
    </row>
    <row r="36" spans="1:4" s="66" customFormat="1" ht="25.2" customHeight="1" x14ac:dyDescent="0.25">
      <c r="A36" s="86" t="s">
        <v>323</v>
      </c>
      <c r="B36" s="104">
        <v>41</v>
      </c>
      <c r="C36" s="92" t="s">
        <v>326</v>
      </c>
      <c r="D36" s="73"/>
    </row>
  </sheetData>
  <mergeCells count="1">
    <mergeCell ref="A1:C1"/>
  </mergeCells>
  <hyperlinks>
    <hyperlink ref="C7" location="Introduction!A1" display="Introduction!A1"/>
    <hyperlink ref="C8" location="Concepts!A1" display="Concepts!A1"/>
  </hyperlinks>
  <printOptions horizontalCentered="1"/>
  <pageMargins left="0" right="0" top="0.31496062992125984" bottom="0" header="0.31496062992125984" footer="0.31496062992125984"/>
  <pageSetup paperSize="9" scale="90" orientation="landscape" r:id="rId1"/>
  <rowBreaks count="1" manualBreakCount="1">
    <brk id="22" max="2"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K13"/>
  <sheetViews>
    <sheetView rightToLeft="1" view="pageBreakPreview" zoomScale="120" zoomScaleNormal="100" zoomScaleSheetLayoutView="120" workbookViewId="0">
      <selection activeCell="A2" sqref="A2:B2"/>
    </sheetView>
  </sheetViews>
  <sheetFormatPr defaultColWidth="9.09765625" defaultRowHeight="22.8" x14ac:dyDescent="0.25"/>
  <cols>
    <col min="1" max="1" width="18.69921875" style="19" customWidth="1"/>
    <col min="2" max="2" width="50.69921875" style="19" customWidth="1"/>
    <col min="3" max="3" width="4" style="18" customWidth="1"/>
    <col min="4" max="4" width="50.69921875" style="18" customWidth="1"/>
    <col min="5" max="5" width="17.69921875" style="18" customWidth="1"/>
    <col min="6" max="7" width="9.09765625" style="18"/>
    <col min="8" max="8" width="62.19921875" style="18" customWidth="1"/>
    <col min="9" max="16384" width="9.09765625" style="18"/>
  </cols>
  <sheetData>
    <row r="1" spans="1:11" s="22" customFormat="1" ht="63.75" customHeight="1" x14ac:dyDescent="0.25">
      <c r="A1" s="110"/>
      <c r="B1" s="111"/>
      <c r="C1" s="111"/>
      <c r="D1" s="111"/>
      <c r="E1" s="111"/>
      <c r="F1" s="23"/>
      <c r="G1" s="23"/>
      <c r="H1" s="23"/>
    </row>
    <row r="2" spans="1:11" ht="45" customHeight="1" x14ac:dyDescent="0.25">
      <c r="A2" s="130" t="s">
        <v>19</v>
      </c>
      <c r="B2" s="130"/>
      <c r="C2" s="21"/>
      <c r="D2" s="129" t="s">
        <v>18</v>
      </c>
      <c r="E2" s="129"/>
      <c r="I2" s="21"/>
      <c r="J2" s="21"/>
      <c r="K2" s="21"/>
    </row>
    <row r="3" spans="1:11" ht="82.5" customHeight="1" x14ac:dyDescent="0.25">
      <c r="A3" s="126" t="s">
        <v>327</v>
      </c>
      <c r="B3" s="126"/>
      <c r="C3" s="21"/>
      <c r="D3" s="127" t="s">
        <v>328</v>
      </c>
      <c r="E3" s="127"/>
      <c r="I3" s="21"/>
      <c r="J3" s="21"/>
      <c r="K3" s="21"/>
    </row>
    <row r="4" spans="1:11" ht="21" x14ac:dyDescent="0.25">
      <c r="A4" s="123" t="s">
        <v>17</v>
      </c>
      <c r="B4" s="123"/>
      <c r="D4" s="121" t="s">
        <v>16</v>
      </c>
      <c r="E4" s="121"/>
    </row>
    <row r="5" spans="1:11" ht="57.75" customHeight="1" x14ac:dyDescent="0.25">
      <c r="A5" s="128" t="s">
        <v>207</v>
      </c>
      <c r="B5" s="128"/>
      <c r="D5" s="127" t="s">
        <v>208</v>
      </c>
      <c r="E5" s="127"/>
    </row>
    <row r="6" spans="1:11" ht="23.25" customHeight="1" x14ac:dyDescent="0.25">
      <c r="A6" s="123" t="s">
        <v>329</v>
      </c>
      <c r="B6" s="123"/>
      <c r="D6" s="121" t="s">
        <v>332</v>
      </c>
      <c r="E6" s="121"/>
    </row>
    <row r="7" spans="1:11" ht="44.25" customHeight="1" x14ac:dyDescent="0.25">
      <c r="A7" s="124" t="s">
        <v>15</v>
      </c>
      <c r="B7" s="124"/>
      <c r="D7" s="125" t="s">
        <v>84</v>
      </c>
      <c r="E7" s="125"/>
    </row>
    <row r="8" spans="1:11" ht="44.25" customHeight="1" x14ac:dyDescent="0.25">
      <c r="A8" s="123" t="s">
        <v>330</v>
      </c>
      <c r="B8" s="123"/>
      <c r="D8" s="121" t="s">
        <v>333</v>
      </c>
      <c r="E8" s="121"/>
    </row>
    <row r="9" spans="1:11" ht="105.75" customHeight="1" x14ac:dyDescent="0.25">
      <c r="A9" s="124" t="s">
        <v>344</v>
      </c>
      <c r="B9" s="124"/>
      <c r="D9" s="122" t="s">
        <v>331</v>
      </c>
      <c r="E9" s="122"/>
    </row>
    <row r="10" spans="1:11" x14ac:dyDescent="0.25">
      <c r="A10" s="20"/>
      <c r="B10" s="20"/>
      <c r="C10" s="19"/>
      <c r="D10" s="19"/>
    </row>
    <row r="11" spans="1:11" x14ac:dyDescent="0.25">
      <c r="D11" s="20"/>
      <c r="E11" s="20"/>
    </row>
    <row r="12" spans="1:11" x14ac:dyDescent="0.25">
      <c r="D12" s="20"/>
      <c r="E12" s="20"/>
    </row>
    <row r="13" spans="1:11" x14ac:dyDescent="0.25">
      <c r="D13" s="20"/>
      <c r="E13" s="20"/>
    </row>
  </sheetData>
  <mergeCells count="17">
    <mergeCell ref="A3:B3"/>
    <mergeCell ref="D3:E3"/>
    <mergeCell ref="A5:B5"/>
    <mergeCell ref="D5:E5"/>
    <mergeCell ref="A1:E1"/>
    <mergeCell ref="D2:E2"/>
    <mergeCell ref="A2:B2"/>
    <mergeCell ref="A4:B4"/>
    <mergeCell ref="D4:E4"/>
    <mergeCell ref="D8:E8"/>
    <mergeCell ref="D9:E9"/>
    <mergeCell ref="A8:B8"/>
    <mergeCell ref="A9:B9"/>
    <mergeCell ref="A6:B6"/>
    <mergeCell ref="A7:B7"/>
    <mergeCell ref="D6:E6"/>
    <mergeCell ref="D7:E7"/>
  </mergeCells>
  <printOptions horizontalCentered="1"/>
  <pageMargins left="0" right="0" top="0.78740157480314965" bottom="0" header="0.31496062992125984" footer="0.31496062992125984"/>
  <pageSetup paperSize="9" scale="90" orientation="landscape"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H35"/>
  <sheetViews>
    <sheetView rightToLeft="1" view="pageBreakPreview" topLeftCell="A31" zoomScaleNormal="100" zoomScaleSheetLayoutView="100" workbookViewId="0">
      <selection activeCell="A4" sqref="A4:B4"/>
    </sheetView>
  </sheetViews>
  <sheetFormatPr defaultColWidth="9.09765625" defaultRowHeight="22.8" x14ac:dyDescent="0.25"/>
  <cols>
    <col min="1" max="1" width="18.69921875" style="19" customWidth="1"/>
    <col min="2" max="2" width="45.69921875" style="19" customWidth="1"/>
    <col min="3" max="3" width="4.69921875" style="18" customWidth="1"/>
    <col min="4" max="4" width="45.69921875" style="18" customWidth="1"/>
    <col min="5" max="5" width="17.69921875" style="18" customWidth="1"/>
    <col min="6" max="7" width="9.09765625" style="18"/>
    <col min="8" max="8" width="62.19921875" style="18" customWidth="1"/>
    <col min="9" max="16384" width="9.09765625" style="18"/>
  </cols>
  <sheetData>
    <row r="1" spans="1:8" s="22" customFormat="1" ht="63" customHeight="1" x14ac:dyDescent="0.25">
      <c r="A1" s="110"/>
      <c r="B1" s="111"/>
      <c r="C1" s="111"/>
      <c r="D1" s="111"/>
      <c r="E1" s="111"/>
      <c r="F1" s="23"/>
      <c r="G1" s="23"/>
      <c r="H1" s="23"/>
    </row>
    <row r="2" spans="1:8" x14ac:dyDescent="0.25">
      <c r="A2" s="145" t="s">
        <v>77</v>
      </c>
      <c r="B2" s="145"/>
      <c r="C2" s="24"/>
      <c r="D2" s="144" t="s">
        <v>76</v>
      </c>
      <c r="E2" s="144"/>
    </row>
    <row r="3" spans="1:8" ht="17.399999999999999" x14ac:dyDescent="0.25">
      <c r="A3" s="146" t="s">
        <v>75</v>
      </c>
      <c r="B3" s="146"/>
      <c r="C3" s="24"/>
      <c r="D3" s="134" t="s">
        <v>74</v>
      </c>
      <c r="E3" s="134"/>
    </row>
    <row r="4" spans="1:8" ht="37.200000000000003" customHeight="1" x14ac:dyDescent="0.25">
      <c r="A4" s="131" t="s">
        <v>73</v>
      </c>
      <c r="B4" s="131"/>
      <c r="C4" s="24"/>
      <c r="D4" s="147" t="s">
        <v>72</v>
      </c>
      <c r="E4" s="147"/>
    </row>
    <row r="5" spans="1:8" ht="23.25" customHeight="1" x14ac:dyDescent="0.25">
      <c r="A5" s="133" t="s">
        <v>71</v>
      </c>
      <c r="B5" s="133"/>
      <c r="C5" s="24"/>
      <c r="D5" s="134" t="s">
        <v>70</v>
      </c>
      <c r="E5" s="134"/>
    </row>
    <row r="6" spans="1:8" ht="23.25" customHeight="1" x14ac:dyDescent="0.25">
      <c r="A6" s="135" t="s">
        <v>69</v>
      </c>
      <c r="B6" s="135"/>
      <c r="C6" s="24"/>
      <c r="D6" s="141" t="s">
        <v>68</v>
      </c>
      <c r="E6" s="141"/>
    </row>
    <row r="7" spans="1:8" ht="16.8" x14ac:dyDescent="0.25">
      <c r="A7" s="137" t="s">
        <v>67</v>
      </c>
      <c r="B7" s="137"/>
      <c r="C7" s="24"/>
      <c r="D7" s="148" t="s">
        <v>66</v>
      </c>
      <c r="E7" s="148"/>
    </row>
    <row r="8" spans="1:8" ht="23.25" customHeight="1" x14ac:dyDescent="0.25">
      <c r="A8" s="135" t="s">
        <v>65</v>
      </c>
      <c r="B8" s="135"/>
      <c r="C8" s="24"/>
      <c r="D8" s="141" t="s">
        <v>64</v>
      </c>
      <c r="E8" s="141"/>
    </row>
    <row r="9" spans="1:8" ht="39.6" customHeight="1" x14ac:dyDescent="0.25">
      <c r="A9" s="137" t="s">
        <v>63</v>
      </c>
      <c r="B9" s="137"/>
      <c r="C9" s="24"/>
      <c r="D9" s="148" t="s">
        <v>62</v>
      </c>
      <c r="E9" s="148"/>
    </row>
    <row r="10" spans="1:8" ht="23.25" customHeight="1" x14ac:dyDescent="0.25">
      <c r="A10" s="135" t="s">
        <v>61</v>
      </c>
      <c r="B10" s="135"/>
      <c r="C10" s="24"/>
      <c r="D10" s="141" t="s">
        <v>60</v>
      </c>
      <c r="E10" s="141"/>
    </row>
    <row r="11" spans="1:8" ht="30" customHeight="1" x14ac:dyDescent="0.25">
      <c r="A11" s="137" t="s">
        <v>59</v>
      </c>
      <c r="B11" s="137"/>
      <c r="C11" s="24"/>
      <c r="D11" s="148" t="s">
        <v>58</v>
      </c>
      <c r="E11" s="148"/>
    </row>
    <row r="12" spans="1:8" ht="23.25" customHeight="1" x14ac:dyDescent="0.25">
      <c r="A12" s="133" t="s">
        <v>79</v>
      </c>
      <c r="B12" s="133"/>
      <c r="C12" s="24"/>
      <c r="D12" s="134" t="s">
        <v>80</v>
      </c>
      <c r="E12" s="134"/>
    </row>
    <row r="13" spans="1:8" ht="39" customHeight="1" x14ac:dyDescent="0.25">
      <c r="A13" s="131" t="s">
        <v>82</v>
      </c>
      <c r="B13" s="131"/>
      <c r="C13" s="24"/>
      <c r="D13" s="132" t="s">
        <v>57</v>
      </c>
      <c r="E13" s="132"/>
    </row>
    <row r="14" spans="1:8" ht="23.25" customHeight="1" x14ac:dyDescent="0.25">
      <c r="A14" s="133" t="s">
        <v>336</v>
      </c>
      <c r="B14" s="133"/>
      <c r="C14" s="24"/>
      <c r="D14" s="134" t="s">
        <v>338</v>
      </c>
      <c r="E14" s="134"/>
    </row>
    <row r="15" spans="1:8" ht="38.4" customHeight="1" x14ac:dyDescent="0.25">
      <c r="A15" s="131" t="s">
        <v>334</v>
      </c>
      <c r="B15" s="131"/>
      <c r="C15" s="24"/>
      <c r="D15" s="132" t="s">
        <v>339</v>
      </c>
      <c r="E15" s="132"/>
    </row>
    <row r="16" spans="1:8" ht="23.25" customHeight="1" x14ac:dyDescent="0.25">
      <c r="A16" s="133" t="s">
        <v>335</v>
      </c>
      <c r="B16" s="133"/>
      <c r="C16" s="24"/>
      <c r="D16" s="134" t="s">
        <v>337</v>
      </c>
      <c r="E16" s="134"/>
    </row>
    <row r="17" spans="1:5" ht="24" customHeight="1" x14ac:dyDescent="0.25">
      <c r="A17" s="131" t="s">
        <v>56</v>
      </c>
      <c r="B17" s="131"/>
      <c r="C17" s="24"/>
      <c r="D17" s="132" t="s">
        <v>55</v>
      </c>
      <c r="E17" s="132"/>
    </row>
    <row r="18" spans="1:5" ht="23.25" customHeight="1" x14ac:dyDescent="0.25">
      <c r="A18" s="135" t="s">
        <v>54</v>
      </c>
      <c r="B18" s="135"/>
      <c r="C18" s="24"/>
      <c r="D18" s="136" t="s">
        <v>53</v>
      </c>
      <c r="E18" s="136"/>
    </row>
    <row r="19" spans="1:5" ht="17.399999999999999" customHeight="1" x14ac:dyDescent="0.25">
      <c r="A19" s="25" t="s">
        <v>52</v>
      </c>
      <c r="B19" s="25"/>
      <c r="C19" s="24"/>
      <c r="D19" s="26"/>
      <c r="E19" s="26" t="s">
        <v>51</v>
      </c>
    </row>
    <row r="20" spans="1:5" ht="60" customHeight="1" x14ac:dyDescent="0.25">
      <c r="A20" s="137" t="s">
        <v>50</v>
      </c>
      <c r="B20" s="137"/>
      <c r="C20" s="24"/>
      <c r="D20" s="138" t="s">
        <v>49</v>
      </c>
      <c r="E20" s="138"/>
    </row>
    <row r="21" spans="1:5" ht="89.4" customHeight="1" x14ac:dyDescent="0.3">
      <c r="A21" s="143" t="s">
        <v>48</v>
      </c>
      <c r="B21" s="143"/>
      <c r="C21" s="24"/>
      <c r="D21" s="142" t="s">
        <v>47</v>
      </c>
      <c r="E21" s="142"/>
    </row>
    <row r="22" spans="1:5" ht="39.6" customHeight="1" x14ac:dyDescent="0.25">
      <c r="A22" s="137" t="s">
        <v>46</v>
      </c>
      <c r="B22" s="137"/>
      <c r="C22" s="24"/>
      <c r="D22" s="138" t="s">
        <v>45</v>
      </c>
      <c r="E22" s="138"/>
    </row>
    <row r="23" spans="1:5" ht="16.95" customHeight="1" x14ac:dyDescent="0.25">
      <c r="A23" s="135" t="s">
        <v>44</v>
      </c>
      <c r="B23" s="135"/>
      <c r="C23" s="24"/>
      <c r="D23" s="136" t="s">
        <v>43</v>
      </c>
      <c r="E23" s="136"/>
    </row>
    <row r="24" spans="1:5" ht="66" customHeight="1" x14ac:dyDescent="0.25">
      <c r="A24" s="137" t="s">
        <v>42</v>
      </c>
      <c r="B24" s="137"/>
      <c r="C24" s="24"/>
      <c r="D24" s="138" t="s">
        <v>41</v>
      </c>
      <c r="E24" s="138"/>
    </row>
    <row r="25" spans="1:5" ht="23.25" customHeight="1" x14ac:dyDescent="0.25">
      <c r="A25" s="139" t="s">
        <v>40</v>
      </c>
      <c r="B25" s="139"/>
      <c r="C25" s="24"/>
      <c r="D25" s="140" t="s">
        <v>39</v>
      </c>
      <c r="E25" s="140"/>
    </row>
    <row r="26" spans="1:5" ht="49.5" customHeight="1" x14ac:dyDescent="0.25">
      <c r="A26" s="137" t="s">
        <v>38</v>
      </c>
      <c r="B26" s="137"/>
      <c r="C26" s="24"/>
      <c r="D26" s="138" t="s">
        <v>37</v>
      </c>
      <c r="E26" s="138"/>
    </row>
    <row r="27" spans="1:5" ht="23.25" customHeight="1" x14ac:dyDescent="0.25">
      <c r="A27" s="135" t="s">
        <v>36</v>
      </c>
      <c r="B27" s="135"/>
      <c r="C27" s="24"/>
      <c r="D27" s="136" t="s">
        <v>35</v>
      </c>
      <c r="E27" s="136"/>
    </row>
    <row r="28" spans="1:5" ht="23.25" customHeight="1" x14ac:dyDescent="0.25">
      <c r="A28" s="135" t="s">
        <v>34</v>
      </c>
      <c r="B28" s="135"/>
      <c r="C28" s="24"/>
      <c r="D28" s="136" t="s">
        <v>33</v>
      </c>
      <c r="E28" s="136"/>
    </row>
    <row r="29" spans="1:5" ht="43.5" customHeight="1" x14ac:dyDescent="0.25">
      <c r="A29" s="137" t="s">
        <v>32</v>
      </c>
      <c r="B29" s="137"/>
      <c r="C29" s="24"/>
      <c r="D29" s="138" t="s">
        <v>83</v>
      </c>
      <c r="E29" s="138"/>
    </row>
    <row r="30" spans="1:5" ht="23.25" customHeight="1" x14ac:dyDescent="0.25">
      <c r="A30" s="135" t="s">
        <v>31</v>
      </c>
      <c r="B30" s="135"/>
      <c r="C30" s="24"/>
      <c r="D30" s="136" t="s">
        <v>30</v>
      </c>
      <c r="E30" s="136"/>
    </row>
    <row r="31" spans="1:5" ht="29.25" customHeight="1" x14ac:dyDescent="0.25">
      <c r="A31" s="137" t="s">
        <v>29</v>
      </c>
      <c r="B31" s="137"/>
      <c r="C31" s="24"/>
      <c r="D31" s="138" t="s">
        <v>28</v>
      </c>
      <c r="E31" s="138"/>
    </row>
    <row r="32" spans="1:5" ht="23.25" customHeight="1" x14ac:dyDescent="0.25">
      <c r="A32" s="135" t="s">
        <v>27</v>
      </c>
      <c r="B32" s="135"/>
      <c r="C32" s="24"/>
      <c r="D32" s="136" t="s">
        <v>26</v>
      </c>
      <c r="E32" s="136"/>
    </row>
    <row r="33" spans="1:5" ht="25.5" customHeight="1" x14ac:dyDescent="0.25">
      <c r="A33" s="137" t="s">
        <v>25</v>
      </c>
      <c r="B33" s="137"/>
      <c r="C33" s="24"/>
      <c r="D33" s="138" t="s">
        <v>24</v>
      </c>
      <c r="E33" s="138"/>
    </row>
    <row r="34" spans="1:5" ht="23.25" customHeight="1" x14ac:dyDescent="0.25">
      <c r="A34" s="135" t="s">
        <v>23</v>
      </c>
      <c r="B34" s="135"/>
      <c r="C34" s="24"/>
      <c r="D34" s="136" t="s">
        <v>22</v>
      </c>
      <c r="E34" s="136"/>
    </row>
    <row r="35" spans="1:5" ht="45.75" customHeight="1" x14ac:dyDescent="0.25">
      <c r="A35" s="137" t="s">
        <v>21</v>
      </c>
      <c r="B35" s="137"/>
      <c r="C35" s="24"/>
      <c r="D35" s="138" t="s">
        <v>20</v>
      </c>
      <c r="E35" s="138"/>
    </row>
  </sheetData>
  <mergeCells count="67">
    <mergeCell ref="A1:E1"/>
    <mergeCell ref="A23:B23"/>
    <mergeCell ref="D23:E23"/>
    <mergeCell ref="D6:E6"/>
    <mergeCell ref="A6:B6"/>
    <mergeCell ref="D7:E7"/>
    <mergeCell ref="A7:B7"/>
    <mergeCell ref="D8:E8"/>
    <mergeCell ref="D11:E11"/>
    <mergeCell ref="A11:B11"/>
    <mergeCell ref="D22:E22"/>
    <mergeCell ref="D13:E13"/>
    <mergeCell ref="D5:E5"/>
    <mergeCell ref="A5:B5"/>
    <mergeCell ref="A8:B8"/>
    <mergeCell ref="D9:E9"/>
    <mergeCell ref="A9:B9"/>
    <mergeCell ref="D2:E2"/>
    <mergeCell ref="A2:B2"/>
    <mergeCell ref="D3:E3"/>
    <mergeCell ref="A3:B3"/>
    <mergeCell ref="D4:E4"/>
    <mergeCell ref="A4:B4"/>
    <mergeCell ref="A24:B24"/>
    <mergeCell ref="D24:E24"/>
    <mergeCell ref="A25:B25"/>
    <mergeCell ref="D25:E25"/>
    <mergeCell ref="D10:E10"/>
    <mergeCell ref="A10:B10"/>
    <mergeCell ref="A12:B12"/>
    <mergeCell ref="A13:B13"/>
    <mergeCell ref="D12:E12"/>
    <mergeCell ref="D20:E20"/>
    <mergeCell ref="A20:B20"/>
    <mergeCell ref="D21:E21"/>
    <mergeCell ref="A21:B21"/>
    <mergeCell ref="A22:B22"/>
    <mergeCell ref="D16:E16"/>
    <mergeCell ref="A16:B16"/>
    <mergeCell ref="D35:E35"/>
    <mergeCell ref="D27:E27"/>
    <mergeCell ref="A35:B35"/>
    <mergeCell ref="A28:B28"/>
    <mergeCell ref="A34:B34"/>
    <mergeCell ref="D34:E34"/>
    <mergeCell ref="D28:E28"/>
    <mergeCell ref="A31:B31"/>
    <mergeCell ref="A33:B33"/>
    <mergeCell ref="D33:E33"/>
    <mergeCell ref="D30:E30"/>
    <mergeCell ref="D31:E31"/>
    <mergeCell ref="A15:B15"/>
    <mergeCell ref="D15:E15"/>
    <mergeCell ref="A14:B14"/>
    <mergeCell ref="D14:E14"/>
    <mergeCell ref="A32:B32"/>
    <mergeCell ref="D32:E32"/>
    <mergeCell ref="A27:B27"/>
    <mergeCell ref="A26:B26"/>
    <mergeCell ref="D26:E26"/>
    <mergeCell ref="A29:B29"/>
    <mergeCell ref="D29:E29"/>
    <mergeCell ref="A30:B30"/>
    <mergeCell ref="D18:E18"/>
    <mergeCell ref="A18:B18"/>
    <mergeCell ref="A17:B17"/>
    <mergeCell ref="D17:E17"/>
  </mergeCells>
  <printOptions horizontalCentered="1"/>
  <pageMargins left="0" right="0" top="0.39370078740157483" bottom="0" header="0.31496062992125984" footer="0.31496062992125984"/>
  <pageSetup paperSize="9" scale="90" orientation="landscape" r:id="rId1"/>
  <rowBreaks count="2" manualBreakCount="2">
    <brk id="20" max="4" man="1"/>
    <brk id="35" max="4" man="1"/>
  </row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B2"/>
  <sheetViews>
    <sheetView rightToLeft="1" view="pageBreakPreview" zoomScale="70" zoomScaleNormal="100" zoomScaleSheetLayoutView="70" workbookViewId="0">
      <selection activeCell="E2" sqref="E2"/>
    </sheetView>
  </sheetViews>
  <sheetFormatPr defaultRowHeight="13.8" x14ac:dyDescent="0.25"/>
  <cols>
    <col min="1" max="1" width="130.09765625" customWidth="1"/>
    <col min="2" max="2" width="9.765625E-2" customWidth="1"/>
  </cols>
  <sheetData>
    <row r="1" spans="1:2" ht="270" customHeight="1" x14ac:dyDescent="0.25">
      <c r="A1" s="149"/>
      <c r="B1" s="149"/>
    </row>
    <row r="2" spans="1:2" ht="270" customHeight="1" x14ac:dyDescent="0.25">
      <c r="A2" s="149"/>
      <c r="B2" s="149"/>
    </row>
  </sheetData>
  <mergeCells count="1">
    <mergeCell ref="A1:B2"/>
  </mergeCells>
  <printOptions horizontalCentered="1" verticalCentered="1"/>
  <pageMargins left="0" right="0" top="0" bottom="0" header="0.31496062992125984" footer="0.31496062992125984"/>
  <pageSetup paperSize="9" orientation="landscape" r:id="rId1"/>
  <rowBreaks count="1" manualBreakCount="1">
    <brk id="2" max="1" man="1"/>
  </row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H21"/>
  <sheetViews>
    <sheetView rightToLeft="1" view="pageBreakPreview" zoomScaleNormal="100" zoomScaleSheetLayoutView="100" workbookViewId="0">
      <selection activeCell="A4" sqref="A4:F4"/>
    </sheetView>
  </sheetViews>
  <sheetFormatPr defaultColWidth="9.09765625" defaultRowHeight="13.8" x14ac:dyDescent="0.25"/>
  <cols>
    <col min="1" max="1" width="25.69921875" style="29" customWidth="1"/>
    <col min="2" max="5" width="10.69921875" style="29" customWidth="1"/>
    <col min="6" max="6" width="25.69921875" style="29" customWidth="1"/>
    <col min="7" max="16384" width="9.09765625" style="29"/>
  </cols>
  <sheetData>
    <row r="1" spans="1:8" ht="34.950000000000003" customHeight="1" x14ac:dyDescent="0.25">
      <c r="A1" s="151"/>
      <c r="B1" s="152"/>
      <c r="C1" s="152"/>
      <c r="D1" s="152"/>
      <c r="E1" s="152"/>
      <c r="F1" s="152"/>
    </row>
    <row r="2" spans="1:8" ht="21" x14ac:dyDescent="0.25">
      <c r="A2" s="153" t="s">
        <v>91</v>
      </c>
      <c r="B2" s="153"/>
      <c r="C2" s="153"/>
      <c r="D2" s="153"/>
      <c r="E2" s="153"/>
      <c r="F2" s="153"/>
    </row>
    <row r="3" spans="1:8" ht="18" x14ac:dyDescent="0.25">
      <c r="A3" s="154" t="s">
        <v>92</v>
      </c>
      <c r="B3" s="154"/>
      <c r="C3" s="154"/>
      <c r="D3" s="154"/>
      <c r="E3" s="154"/>
      <c r="F3" s="154"/>
    </row>
    <row r="4" spans="1:8" ht="15" customHeight="1" x14ac:dyDescent="0.25">
      <c r="A4" s="155">
        <v>2020</v>
      </c>
      <c r="B4" s="155"/>
      <c r="C4" s="155"/>
      <c r="D4" s="155"/>
      <c r="E4" s="155"/>
      <c r="F4" s="155"/>
    </row>
    <row r="5" spans="1:8" ht="15.6" x14ac:dyDescent="0.25">
      <c r="A5" s="30" t="s">
        <v>93</v>
      </c>
      <c r="B5" s="31"/>
      <c r="C5" s="32"/>
      <c r="D5" s="32"/>
      <c r="E5" s="32"/>
      <c r="F5" s="33" t="s">
        <v>94</v>
      </c>
    </row>
    <row r="6" spans="1:8" ht="30" customHeight="1" thickBot="1" x14ac:dyDescent="0.3">
      <c r="A6" s="156" t="s">
        <v>95</v>
      </c>
      <c r="B6" s="158" t="s">
        <v>96</v>
      </c>
      <c r="C6" s="159"/>
      <c r="D6" s="159"/>
      <c r="E6" s="159"/>
      <c r="F6" s="160" t="s">
        <v>97</v>
      </c>
    </row>
    <row r="7" spans="1:8" ht="30" customHeight="1" x14ac:dyDescent="0.25">
      <c r="A7" s="157"/>
      <c r="B7" s="69" t="s">
        <v>98</v>
      </c>
      <c r="C7" s="69" t="s">
        <v>99</v>
      </c>
      <c r="D7" s="69" t="s">
        <v>100</v>
      </c>
      <c r="E7" s="69" t="s">
        <v>101</v>
      </c>
      <c r="F7" s="161"/>
    </row>
    <row r="8" spans="1:8" ht="22.5" customHeight="1" x14ac:dyDescent="0.25">
      <c r="A8" s="34" t="s">
        <v>102</v>
      </c>
      <c r="B8" s="35">
        <f>SUM('2'!B8+'3'!B8+'4'!B8+'5'!B8+'6'!B8+'7'!B8+'8'!B8+'9'!B8)</f>
        <v>363</v>
      </c>
      <c r="C8" s="35">
        <f>SUM('2'!C8+'3'!C8+'4'!C8+'5'!C8+'6'!C8+'7'!C8+'8'!C8+'9'!C8)</f>
        <v>316</v>
      </c>
      <c r="D8" s="35">
        <f>SUM('2'!D8+'3'!D8+'4'!D8+'5'!D8+'6'!D8+'7'!D8+'8'!D8+'9'!D8)</f>
        <v>17</v>
      </c>
      <c r="E8" s="34">
        <f>SUM('2'!E8+'3'!E8+'4'!E8+'5'!E8+'6'!E8+'7'!E8+'8'!E8+'9'!E8)</f>
        <v>696</v>
      </c>
      <c r="F8" s="36" t="s">
        <v>103</v>
      </c>
      <c r="H8" s="55" t="s">
        <v>234</v>
      </c>
    </row>
    <row r="9" spans="1:8" ht="22.5" customHeight="1" x14ac:dyDescent="0.25">
      <c r="A9" s="37" t="s">
        <v>104</v>
      </c>
      <c r="B9" s="38">
        <f>SUM('2'!B9+'3'!B9+'4'!B9+'5'!B9+'6'!B9+'7'!B9+'8'!B9+'9'!B9)</f>
        <v>364</v>
      </c>
      <c r="C9" s="38">
        <f>SUM('2'!C9+'3'!C9+'4'!C9+'5'!C9+'6'!C9+'7'!C9+'8'!C9+'9'!C9)</f>
        <v>283</v>
      </c>
      <c r="D9" s="38">
        <f>SUM('2'!D9+'3'!D9+'4'!D9+'5'!D9+'6'!D9+'7'!D9+'8'!D9+'9'!D9)</f>
        <v>17</v>
      </c>
      <c r="E9" s="37">
        <f>SUM('2'!E9+'3'!E9+'4'!E9+'5'!E9+'6'!E9+'7'!E9+'8'!E9+'9'!E9)</f>
        <v>664</v>
      </c>
      <c r="F9" s="39" t="s">
        <v>105</v>
      </c>
      <c r="H9" s="55" t="s">
        <v>235</v>
      </c>
    </row>
    <row r="10" spans="1:8" ht="22.5" customHeight="1" x14ac:dyDescent="0.25">
      <c r="A10" s="34" t="s">
        <v>106</v>
      </c>
      <c r="B10" s="35">
        <f>SUM('2'!B10+'3'!B10+'4'!B10+'5'!B10+'6'!B10+'7'!B10+'8'!B10+'9'!B10)</f>
        <v>334</v>
      </c>
      <c r="C10" s="35">
        <f>SUM('2'!C10+'3'!C10+'4'!C10+'5'!C10+'6'!C10+'7'!C10+'8'!C10+'9'!C10)</f>
        <v>280</v>
      </c>
      <c r="D10" s="35">
        <f>SUM('2'!D10+'3'!D10+'4'!D10+'5'!D10+'6'!D10+'7'!D10+'8'!D10+'9'!D10)</f>
        <v>23</v>
      </c>
      <c r="E10" s="34">
        <f>SUM('2'!E10+'3'!E10+'4'!E10+'5'!E10+'6'!E10+'7'!E10+'8'!E10+'9'!E10)</f>
        <v>637</v>
      </c>
      <c r="F10" s="36" t="s">
        <v>107</v>
      </c>
      <c r="H10" s="55" t="s">
        <v>236</v>
      </c>
    </row>
    <row r="11" spans="1:8" ht="22.5" customHeight="1" x14ac:dyDescent="0.25">
      <c r="A11" s="37" t="s">
        <v>108</v>
      </c>
      <c r="B11" s="38">
        <f>SUM('2'!B11+'3'!B11+'4'!B11+'5'!B11+'6'!B11+'7'!B11+'8'!B11+'9'!B11)</f>
        <v>244</v>
      </c>
      <c r="C11" s="38">
        <f>SUM('2'!C11+'3'!C11+'4'!C11+'5'!C11+'6'!C11+'7'!C11+'8'!C11+'9'!C11)</f>
        <v>225</v>
      </c>
      <c r="D11" s="38">
        <f>SUM('2'!D11+'3'!D11+'4'!D11+'5'!D11+'6'!D11+'7'!D11+'8'!D11+'9'!D11)</f>
        <v>14</v>
      </c>
      <c r="E11" s="37">
        <f>SUM('2'!E11+'3'!E11+'4'!E11+'5'!E11+'6'!E11+'7'!E11+'8'!E11+'9'!E11)</f>
        <v>483</v>
      </c>
      <c r="F11" s="39" t="s">
        <v>109</v>
      </c>
      <c r="H11" s="55" t="s">
        <v>237</v>
      </c>
    </row>
    <row r="12" spans="1:8" ht="22.5" customHeight="1" x14ac:dyDescent="0.25">
      <c r="A12" s="34" t="s">
        <v>110</v>
      </c>
      <c r="B12" s="35">
        <f>SUM('2'!B12+'3'!B12+'4'!B12+'5'!B12+'6'!B12+'7'!B12+'8'!B12+'9'!B12)</f>
        <v>154</v>
      </c>
      <c r="C12" s="35">
        <f>SUM('2'!C12+'3'!C12+'4'!C12+'5'!C12+'6'!C12+'7'!C12+'8'!C12+'9'!C12)</f>
        <v>115</v>
      </c>
      <c r="D12" s="35">
        <f>SUM('2'!D12+'3'!D12+'4'!D12+'5'!D12+'6'!D12+'7'!D12+'8'!D12+'9'!D12)</f>
        <v>2</v>
      </c>
      <c r="E12" s="34">
        <f>SUM('2'!E12+'3'!E12+'4'!E12+'5'!E12+'6'!E12+'7'!E12+'8'!E12+'9'!E12)</f>
        <v>271</v>
      </c>
      <c r="F12" s="36" t="s">
        <v>111</v>
      </c>
      <c r="H12" s="55" t="s">
        <v>238</v>
      </c>
    </row>
    <row r="13" spans="1:8" ht="22.5" customHeight="1" x14ac:dyDescent="0.25">
      <c r="A13" s="37" t="s">
        <v>112</v>
      </c>
      <c r="B13" s="38">
        <f>SUM('2'!B13+'3'!B13+'4'!B13+'5'!B13+'6'!B13+'7'!B13+'8'!B13+'9'!B13)</f>
        <v>282</v>
      </c>
      <c r="C13" s="38">
        <f>SUM('2'!C13+'3'!C13+'4'!C13+'5'!C13+'6'!C13+'7'!C13+'8'!C13+'9'!C13)</f>
        <v>271</v>
      </c>
      <c r="D13" s="38">
        <f>SUM('2'!D13+'3'!D13+'4'!D13+'5'!D13+'6'!D13+'7'!D13+'8'!D13+'9'!D13)</f>
        <v>19</v>
      </c>
      <c r="E13" s="37">
        <f>SUM('2'!E13+'3'!E13+'4'!E13+'5'!E13+'6'!E13+'7'!E13+'8'!E13+'9'!E13)</f>
        <v>572</v>
      </c>
      <c r="F13" s="39" t="s">
        <v>113</v>
      </c>
      <c r="H13" s="55" t="s">
        <v>239</v>
      </c>
    </row>
    <row r="14" spans="1:8" ht="22.5" customHeight="1" x14ac:dyDescent="0.25">
      <c r="A14" s="34" t="s">
        <v>114</v>
      </c>
      <c r="B14" s="35">
        <f>SUM('2'!B14+'3'!B14+'4'!B14+'5'!B14+'6'!B14+'7'!B14+'8'!B14+'9'!B14)</f>
        <v>336</v>
      </c>
      <c r="C14" s="35">
        <f>SUM('2'!C14+'3'!C14+'4'!C14+'5'!C14+'6'!C14+'7'!C14+'8'!C14+'9'!C14)</f>
        <v>320</v>
      </c>
      <c r="D14" s="35">
        <f>SUM('2'!D14+'3'!D14+'4'!D14+'5'!D14+'6'!D14+'7'!D14+'8'!D14+'9'!D14)</f>
        <v>28</v>
      </c>
      <c r="E14" s="34">
        <f>SUM('2'!E14+'3'!E14+'4'!E14+'5'!E14+'6'!E14+'7'!E14+'8'!E14+'9'!E14)</f>
        <v>684</v>
      </c>
      <c r="F14" s="36" t="s">
        <v>115</v>
      </c>
      <c r="H14" s="55" t="s">
        <v>240</v>
      </c>
    </row>
    <row r="15" spans="1:8" ht="22.5" customHeight="1" x14ac:dyDescent="0.25">
      <c r="A15" s="37" t="s">
        <v>116</v>
      </c>
      <c r="B15" s="38">
        <f>SUM('2'!B15+'3'!B15+'4'!B15+'5'!B15+'6'!B15+'7'!B15+'8'!B15+'9'!B15)</f>
        <v>256</v>
      </c>
      <c r="C15" s="38">
        <f>SUM('2'!C15+'3'!C15+'4'!C15+'5'!C15+'6'!C15+'7'!C15+'8'!C15+'9'!C15)</f>
        <v>303</v>
      </c>
      <c r="D15" s="38">
        <f>SUM('2'!D15+'3'!D15+'4'!D15+'5'!D15+'6'!D15+'7'!D15+'8'!D15+'9'!D15)</f>
        <v>18</v>
      </c>
      <c r="E15" s="37">
        <f>SUM('2'!E15+'3'!E15+'4'!E15+'5'!E15+'6'!E15+'7'!E15+'8'!E15+'9'!E15)</f>
        <v>577</v>
      </c>
      <c r="F15" s="39" t="s">
        <v>117</v>
      </c>
      <c r="H15" s="55" t="s">
        <v>241</v>
      </c>
    </row>
    <row r="16" spans="1:8" ht="22.5" customHeight="1" x14ac:dyDescent="0.25">
      <c r="A16" s="34" t="s">
        <v>118</v>
      </c>
      <c r="B16" s="35">
        <f>SUM('2'!B16+'3'!B16+'4'!B16+'5'!B16+'6'!B16+'7'!B16+'8'!B16+'9'!B16)</f>
        <v>327</v>
      </c>
      <c r="C16" s="35">
        <f>SUM('2'!C16+'3'!C16+'4'!C16+'5'!C16+'6'!C16+'7'!C16+'8'!C16+'9'!C16)</f>
        <v>392</v>
      </c>
      <c r="D16" s="35">
        <f>SUM('2'!D16+'3'!D16+'4'!D16+'5'!D16+'6'!D16+'7'!D16+'8'!D16+'9'!D16)</f>
        <v>38</v>
      </c>
      <c r="E16" s="34">
        <f>SUM('2'!E16+'3'!E16+'4'!E16+'5'!E16+'6'!E16+'7'!E16+'8'!E16+'9'!E16)</f>
        <v>757</v>
      </c>
      <c r="F16" s="36" t="s">
        <v>119</v>
      </c>
      <c r="H16" s="55" t="s">
        <v>242</v>
      </c>
    </row>
    <row r="17" spans="1:8" ht="22.5" customHeight="1" x14ac:dyDescent="0.25">
      <c r="A17" s="37" t="s">
        <v>120</v>
      </c>
      <c r="B17" s="38">
        <f>SUM('2'!B17+'3'!B17+'4'!B17+'5'!B17+'6'!B17+'7'!B17+'8'!B17+'9'!B17)</f>
        <v>342</v>
      </c>
      <c r="C17" s="38">
        <f>SUM('2'!C17+'3'!C17+'4'!C17+'5'!C17+'6'!C17+'7'!C17+'8'!C17+'9'!C17)</f>
        <v>368</v>
      </c>
      <c r="D17" s="38">
        <f>SUM('2'!D17+'3'!D17+'4'!D17+'5'!D17+'6'!D17+'7'!D17+'8'!D17+'9'!D17)</f>
        <v>21</v>
      </c>
      <c r="E17" s="37">
        <f>SUM('2'!E17+'3'!E17+'4'!E17+'5'!E17+'6'!E17+'7'!E17+'8'!E17+'9'!E17)</f>
        <v>731</v>
      </c>
      <c r="F17" s="39" t="s">
        <v>121</v>
      </c>
      <c r="H17" s="55" t="s">
        <v>243</v>
      </c>
    </row>
    <row r="18" spans="1:8" ht="22.5" customHeight="1" x14ac:dyDescent="0.25">
      <c r="A18" s="34" t="s">
        <v>122</v>
      </c>
      <c r="B18" s="35">
        <f>SUM('2'!B18+'3'!B18+'4'!B18+'5'!B18+'6'!B18+'7'!B18+'8'!B18+'9'!B18)</f>
        <v>383</v>
      </c>
      <c r="C18" s="35">
        <f>SUM('2'!C18+'3'!C18+'4'!C18+'5'!C18+'6'!C18+'7'!C18+'8'!C18+'9'!C18)</f>
        <v>343</v>
      </c>
      <c r="D18" s="35">
        <f>SUM('2'!D18+'3'!D18+'4'!D18+'5'!D18+'6'!D18+'7'!D18+'8'!D18+'9'!D18)</f>
        <v>36</v>
      </c>
      <c r="E18" s="34">
        <f>SUM('2'!E18+'3'!E18+'4'!E18+'5'!E18+'6'!E18+'7'!E18+'8'!E18+'9'!E18)</f>
        <v>762</v>
      </c>
      <c r="F18" s="36" t="s">
        <v>123</v>
      </c>
      <c r="H18" s="55" t="s">
        <v>244</v>
      </c>
    </row>
    <row r="19" spans="1:8" ht="22.5" customHeight="1" x14ac:dyDescent="0.25">
      <c r="A19" s="37" t="s">
        <v>124</v>
      </c>
      <c r="B19" s="38">
        <f>SUM('2'!B19+'3'!B19+'4'!B19+'5'!B19+'6'!B19+'7'!B19+'8'!B19+'9'!B19)</f>
        <v>507</v>
      </c>
      <c r="C19" s="38">
        <f>SUM('2'!C19+'3'!C19+'4'!C19+'5'!C19+'6'!C19+'7'!C19+'8'!C19+'9'!C19)</f>
        <v>429</v>
      </c>
      <c r="D19" s="38">
        <f>SUM('2'!D19+'3'!D19+'4'!D19+'5'!D19+'6'!D19+'7'!D19+'8'!D19+'9'!D19)</f>
        <v>36</v>
      </c>
      <c r="E19" s="37">
        <f>SUM('2'!E19+'3'!E19+'4'!E19+'5'!E19+'6'!E19+'7'!E19+'8'!E19+'9'!E19)</f>
        <v>972</v>
      </c>
      <c r="F19" s="39" t="s">
        <v>125</v>
      </c>
      <c r="H19" s="55" t="s">
        <v>245</v>
      </c>
    </row>
    <row r="20" spans="1:8" ht="36" customHeight="1" x14ac:dyDescent="0.25">
      <c r="A20" s="40" t="s">
        <v>126</v>
      </c>
      <c r="B20" s="41">
        <f>SUM(B8:B19)</f>
        <v>3892</v>
      </c>
      <c r="C20" s="41">
        <f t="shared" ref="C20:E20" si="0">SUM(C8:C19)</f>
        <v>3645</v>
      </c>
      <c r="D20" s="41">
        <f t="shared" si="0"/>
        <v>269</v>
      </c>
      <c r="E20" s="41">
        <f t="shared" si="0"/>
        <v>7806</v>
      </c>
      <c r="F20" s="42" t="s">
        <v>127</v>
      </c>
    </row>
    <row r="21" spans="1:8" ht="15" x14ac:dyDescent="0.25">
      <c r="A21" s="150" t="s">
        <v>128</v>
      </c>
      <c r="B21" s="150"/>
      <c r="C21" s="150"/>
      <c r="D21" s="150"/>
      <c r="E21" s="32"/>
      <c r="F21" s="43" t="s">
        <v>129</v>
      </c>
      <c r="G21" s="44"/>
      <c r="H21" s="44"/>
    </row>
  </sheetData>
  <mergeCells count="8">
    <mergeCell ref="A21:D21"/>
    <mergeCell ref="A1:F1"/>
    <mergeCell ref="A2:F2"/>
    <mergeCell ref="A3:F3"/>
    <mergeCell ref="A4:F4"/>
    <mergeCell ref="A6:A7"/>
    <mergeCell ref="B6:E6"/>
    <mergeCell ref="F6:F7"/>
  </mergeCells>
  <printOptions horizontalCentered="1" verticalCentered="1"/>
  <pageMargins left="0" right="0" top="0" bottom="0" header="0.31496062992125984" footer="0.31496062992125984"/>
  <pageSetup paperSize="9" orientation="landscape"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N34"/>
  <sheetViews>
    <sheetView rightToLeft="1" view="pageBreakPreview" zoomScaleNormal="100" zoomScaleSheetLayoutView="100" workbookViewId="0">
      <selection activeCell="A3" sqref="A3:M3"/>
    </sheetView>
  </sheetViews>
  <sheetFormatPr defaultRowHeight="13.8" x14ac:dyDescent="0.25"/>
  <sheetData>
    <row r="1" spans="1:14" s="29" customFormat="1" ht="21" customHeight="1" x14ac:dyDescent="0.25">
      <c r="A1" s="153" t="s">
        <v>247</v>
      </c>
      <c r="B1" s="153"/>
      <c r="C1" s="153"/>
      <c r="D1" s="153"/>
      <c r="E1" s="153"/>
      <c r="F1" s="153"/>
      <c r="G1" s="153"/>
      <c r="H1" s="153"/>
      <c r="I1" s="153"/>
      <c r="J1" s="153"/>
      <c r="K1" s="153"/>
      <c r="L1" s="153"/>
      <c r="M1" s="153"/>
      <c r="N1" s="46"/>
    </row>
    <row r="2" spans="1:14" s="29" customFormat="1" ht="15.6" x14ac:dyDescent="0.25">
      <c r="A2" s="154" t="s">
        <v>296</v>
      </c>
      <c r="B2" s="154"/>
      <c r="C2" s="154"/>
      <c r="D2" s="154"/>
      <c r="E2" s="154"/>
      <c r="F2" s="154"/>
      <c r="G2" s="154"/>
      <c r="H2" s="154"/>
      <c r="I2" s="154"/>
      <c r="J2" s="154"/>
      <c r="K2" s="154"/>
      <c r="L2" s="154"/>
      <c r="M2" s="154"/>
      <c r="N2" s="68"/>
    </row>
    <row r="3" spans="1:14" s="29" customFormat="1" ht="15" customHeight="1" x14ac:dyDescent="0.25">
      <c r="A3" s="155">
        <v>2020</v>
      </c>
      <c r="B3" s="155"/>
      <c r="C3" s="155"/>
      <c r="D3" s="155"/>
      <c r="E3" s="155"/>
      <c r="F3" s="155"/>
      <c r="G3" s="155"/>
      <c r="H3" s="155"/>
      <c r="I3" s="155"/>
      <c r="J3" s="155"/>
      <c r="K3" s="155"/>
      <c r="L3" s="155"/>
      <c r="M3" s="155"/>
      <c r="N3" s="47"/>
    </row>
    <row r="34" spans="1:14" x14ac:dyDescent="0.25">
      <c r="A34" s="162" t="s">
        <v>246</v>
      </c>
      <c r="B34" s="162"/>
      <c r="C34" s="162"/>
      <c r="D34" s="162"/>
      <c r="E34" s="162"/>
      <c r="F34" s="162"/>
      <c r="G34" s="162"/>
      <c r="H34" s="162"/>
      <c r="I34" s="162"/>
      <c r="J34" s="162"/>
      <c r="K34" s="162"/>
      <c r="L34" s="162"/>
      <c r="M34" s="162"/>
      <c r="N34" s="162"/>
    </row>
  </sheetData>
  <mergeCells count="4">
    <mergeCell ref="A34:N34"/>
    <mergeCell ref="A1:M1"/>
    <mergeCell ref="A2:M2"/>
    <mergeCell ref="A3:M3"/>
  </mergeCells>
  <printOptions horizontalCentered="1" verticalCentered="1"/>
  <pageMargins left="0" right="0" top="0" bottom="0" header="0.31496062992125984" footer="0.31496062992125984"/>
  <pageSetup paperSize="9" orientation="landscape"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Statistical Document" ma:contentTypeID="0x01010050FBC1E32FA8C5438369190EAFFED8CE008E9E875BE8CF634D9CBE11DB22534CB8" ma:contentTypeVersion="14" ma:contentTypeDescription="" ma:contentTypeScope="" ma:versionID="17a002555d79378b90fe5728b46b7d8e">
  <xsd:schema xmlns:xsd="http://www.w3.org/2001/XMLSchema" xmlns:xs="http://www.w3.org/2001/XMLSchema" xmlns:p="http://schemas.microsoft.com/office/2006/metadata/properties" xmlns:ns1="http://schemas.microsoft.com/sharepoint/v3" xmlns:ns2="1b323878-974e-4c19-bf08-965c80d4ad54" xmlns:ns3="http://schemas.microsoft.com/sharepoint.v3" targetNamespace="http://schemas.microsoft.com/office/2006/metadata/properties" ma:root="true" ma:fieldsID="f7a0ebd2d0adb9b11918aa894ed174ef" ns1:_="" ns2:_="" ns3:_="">
    <xsd:import namespace="http://schemas.microsoft.com/sharepoint/v3"/>
    <xsd:import namespace="1b323878-974e-4c19-bf08-965c80d4ad54"/>
    <xsd:import namespace="http://schemas.microsoft.com/sharepoint.v3"/>
    <xsd:element name="properties">
      <xsd:complexType>
        <xsd:sequence>
          <xsd:element name="documentManagement">
            <xsd:complexType>
              <xsd:all>
                <xsd:element ref="ns2:Title_Ar"/>
                <xsd:element ref="ns2:Description_Ar"/>
                <xsd:element ref="ns1:Language"/>
                <xsd:element ref="ns2:o322c83fb95240b8896db068e57a2bc9" minOccurs="0"/>
                <xsd:element ref="ns2:TaxCatchAll" minOccurs="0"/>
                <xsd:element ref="ns2:TaxCatchAllLabel" minOccurs="0"/>
                <xsd:element ref="ns2:Enabled" minOccurs="0"/>
                <xsd:element ref="ns2:PublishingDate"/>
                <xsd:element ref="ns3:CategoryDescription"/>
                <xsd:element ref="ns2: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Language" ma:index="10" ma:displayName="Language" ma:default="Both" ma:format="Dropdown" ma:internalName="Language">
      <xsd:simpleType>
        <xsd:union memberTypes="dms:Text">
          <xsd:simpleType>
            <xsd:restriction base="dms:Choice">
              <xsd:enumeration value="Arabic"/>
              <xsd:enumeration value="English"/>
              <xsd:enumeration value="Both"/>
            </xsd:restriction>
          </xsd:simpleType>
        </xsd:union>
      </xsd:simpleType>
    </xsd:element>
  </xsd:schema>
  <xsd:schema xmlns:xsd="http://www.w3.org/2001/XMLSchema" xmlns:xs="http://www.w3.org/2001/XMLSchema" xmlns:dms="http://schemas.microsoft.com/office/2006/documentManagement/types" xmlns:pc="http://schemas.microsoft.com/office/infopath/2007/PartnerControls" targetNamespace="1b323878-974e-4c19-bf08-965c80d4ad54" elementFormDefault="qualified">
    <xsd:import namespace="http://schemas.microsoft.com/office/2006/documentManagement/types"/>
    <xsd:import namespace="http://schemas.microsoft.com/office/infopath/2007/PartnerControls"/>
    <xsd:element name="Title_Ar" ma:index="8" ma:displayName="Title Arabic" ma:internalName="Title_Ar">
      <xsd:simpleType>
        <xsd:restriction base="dms:Text">
          <xsd:maxLength value="255"/>
        </xsd:restriction>
      </xsd:simpleType>
    </xsd:element>
    <xsd:element name="Description_Ar" ma:index="9" ma:displayName="Description Arabic" ma:internalName="Description_Ar">
      <xsd:simpleType>
        <xsd:restriction base="dms:Note"/>
      </xsd:simpleType>
    </xsd:element>
    <xsd:element name="o322c83fb95240b8896db068e57a2bc9" ma:index="11" ma:taxonomy="true" ma:internalName="o322c83fb95240b8896db068e57a2bc9" ma:taxonomyFieldName="Hashtags" ma:displayName="Hashtags" ma:readOnly="false" ma:default="" ma:fieldId="{8322c83f-b952-40b8-896d-b068e57a2bc9}" ma:taxonomyMulti="true" ma:sspId="34a39cc5-1caf-4cea-90b7-be21fbdce737" ma:termSetId="5d44732f-90c8-4b9f-86a4-ac5d66f274df" ma:anchorId="00000000-0000-0000-0000-000000000000" ma:open="false" ma:isKeyword="false">
      <xsd:complexType>
        <xsd:sequence>
          <xsd:element ref="pc:Terms" minOccurs="0" maxOccurs="1"/>
        </xsd:sequence>
      </xsd:complexType>
    </xsd:element>
    <xsd:element name="TaxCatchAll" ma:index="12" nillable="true" ma:displayName="Taxonomy Catch All Column" ma:hidden="true" ma:list="{64927028-7187-4dcd-a3e9-d5b72e20ea14}" ma:internalName="TaxCatchAll" ma:showField="CatchAllData" ma:web="1b323878-974e-4c19-bf08-965c80d4ad54">
      <xsd:complexType>
        <xsd:complexContent>
          <xsd:extension base="dms:MultiChoiceLookup">
            <xsd:sequence>
              <xsd:element name="Value" type="dms:Lookup" maxOccurs="unbounded" minOccurs="0" nillable="true"/>
            </xsd:sequence>
          </xsd:extension>
        </xsd:complexContent>
      </xsd:complexType>
    </xsd:element>
    <xsd:element name="TaxCatchAllLabel" ma:index="13" nillable="true" ma:displayName="Taxonomy Catch All Column1" ma:hidden="true" ma:list="{64927028-7187-4dcd-a3e9-d5b72e20ea14}" ma:internalName="TaxCatchAllLabel" ma:readOnly="true" ma:showField="CatchAllDataLabel" ma:web="1b323878-974e-4c19-bf08-965c80d4ad54">
      <xsd:complexType>
        <xsd:complexContent>
          <xsd:extension base="dms:MultiChoiceLookup">
            <xsd:sequence>
              <xsd:element name="Value" type="dms:Lookup" maxOccurs="unbounded" minOccurs="0" nillable="true"/>
            </xsd:sequence>
          </xsd:extension>
        </xsd:complexContent>
      </xsd:complexType>
    </xsd:element>
    <xsd:element name="Enabled" ma:index="15" nillable="true" ma:displayName="Enabled" ma:default="1" ma:internalName="Enabled">
      <xsd:simpleType>
        <xsd:restriction base="dms:Boolean"/>
      </xsd:simpleType>
    </xsd:element>
    <xsd:element name="PublishingDate" ma:index="17" ma:displayName="PublishingDate" ma:default="[today]" ma:format="DateOnly" ma:internalName="PublishingDate" ma:readOnly="false">
      <xsd:simpleType>
        <xsd:restriction base="dms:DateTime"/>
      </xsd:simpleType>
    </xsd:element>
    <xsd:element name="SharedWithUsers" ma:index="2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ategoryDescription" ma:index="20" ma:displayName="Description" ma:internalName="CategoryDescription">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1b323878-974e-4c19-bf08-965c80d4ad54">
      <Value>58</Value>
    </TaxCatchAll>
    <Title_Ar xmlns="1b323878-974e-4c19-bf08-965c80d4ad54">النشرة السنوية لإحصاءات رخص البناء 2020</Title_Ar>
    <Language xmlns="http://schemas.microsoft.com/sharepoint/v3">Both</Language>
    <o322c83fb95240b8896db068e57a2bc9 xmlns="1b323878-974e-4c19-bf08-965c80d4ad54">
      <Terms xmlns="http://schemas.microsoft.com/office/infopath/2007/PartnerControls">
        <TermInfo xmlns="http://schemas.microsoft.com/office/infopath/2007/PartnerControls">
          <TermName xmlns="http://schemas.microsoft.com/office/infopath/2007/PartnerControls">StatisticalAbstract</TermName>
          <TermId xmlns="http://schemas.microsoft.com/office/infopath/2007/PartnerControls">c2f418c2-a295-4bd1-af99-d5d586494613</TermId>
        </TermInfo>
      </Terms>
    </o322c83fb95240b8896db068e57a2bc9>
    <Description_Ar xmlns="1b323878-974e-4c19-bf08-965c80d4ad54">النشرة السنوية لإحصاءات رخص البناء 2020</Description_Ar>
    <Enabled xmlns="1b323878-974e-4c19-bf08-965c80d4ad54">true</Enabled>
    <PublishingDate xmlns="1b323878-974e-4c19-bf08-965c80d4ad54">2021-06-21T09:17:56+00:00</PublishingDate>
    <CategoryDescription xmlns="http://schemas.microsoft.com/sharepoint.v3">The Annual Bulletin of Building Permits Statistics 2020</CategoryDescription>
  </documentManagement>
</p:properties>
</file>

<file path=customXml/itemProps1.xml><?xml version="1.0" encoding="utf-8"?>
<ds:datastoreItem xmlns:ds="http://schemas.openxmlformats.org/officeDocument/2006/customXml" ds:itemID="{A121E6AB-54BA-44FE-AEF9-6084B247B3C8}">
  <ds:schemaRefs>
    <ds:schemaRef ds:uri="http://schemas.microsoft.com/sharepoint/v3/contenttype/forms"/>
  </ds:schemaRefs>
</ds:datastoreItem>
</file>

<file path=customXml/itemProps2.xml><?xml version="1.0" encoding="utf-8"?>
<ds:datastoreItem xmlns:ds="http://schemas.openxmlformats.org/officeDocument/2006/customXml" ds:itemID="{67EE8F57-1D5B-40DE-9DBB-362D0D3C3AA0}"/>
</file>

<file path=customXml/itemProps3.xml><?xml version="1.0" encoding="utf-8"?>
<ds:datastoreItem xmlns:ds="http://schemas.openxmlformats.org/officeDocument/2006/customXml" ds:itemID="{4FF60957-51A5-4D2D-BAC1-F90A1414379A}">
  <ds:schemaRefs>
    <ds:schemaRef ds:uri="http://schemas.microsoft.com/office/infopath/2007/PartnerControls"/>
    <ds:schemaRef ds:uri="http://schemas.microsoft.com/office/2006/documentManagement/types"/>
    <ds:schemaRef ds:uri="http://purl.org/dc/dcmitype/"/>
    <ds:schemaRef ds:uri="http://purl.org/dc/elements/1.1/"/>
    <ds:schemaRef ds:uri="http://purl.org/dc/terms/"/>
    <ds:schemaRef ds:uri="http://www.w3.org/XML/1998/namespace"/>
    <ds:schemaRef ds:uri="http://schemas.openxmlformats.org/package/2006/metadata/core-properties"/>
    <ds:schemaRef ds:uri="423524d6-f9d7-4b47-aadf-7b8f6888b7b0"/>
    <ds:schemaRef ds:uri="b1657202-86a7-46c3-ba71-02bb0da5a392"/>
    <ds:schemaRef ds:uri="http://schemas.microsoft.com/sharepoint/v3"/>
    <ds:schemaRef ds:uri="http://schemas.microsoft.com/office/2006/metadata/properties"/>
  </ds:schemaRefs>
</ds:datastoreItem>
</file>

<file path=docMetadata/LabelInfo.xml><?xml version="1.0" encoding="utf-8"?>
<clbl:labelList xmlns:clbl="http://schemas.microsoft.com/office/2020/mipLabelMetadata">
  <clbl:label id="{87ba5c36-b7cf-4793-bbc2-bd5b3a9f95ca}" enabled="1" method="Privileged" siteId="{72f988bf-86f1-41af-91ab-2d7cd011db47}"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34</vt:i4>
      </vt:variant>
      <vt:variant>
        <vt:lpstr>Named Ranges</vt:lpstr>
      </vt:variant>
      <vt:variant>
        <vt:i4>35</vt:i4>
      </vt:variant>
    </vt:vector>
  </HeadingPairs>
  <TitlesOfParts>
    <vt:vector size="69" baseType="lpstr">
      <vt:lpstr>Cover</vt:lpstr>
      <vt:lpstr>First</vt:lpstr>
      <vt:lpstr>Preface</vt:lpstr>
      <vt:lpstr>Indx</vt:lpstr>
      <vt:lpstr>Introduction</vt:lpstr>
      <vt:lpstr>Concepts</vt:lpstr>
      <vt:lpstr>الفصل الأول</vt:lpstr>
      <vt:lpstr>1</vt:lpstr>
      <vt:lpstr>GR_1</vt:lpstr>
      <vt:lpstr>2</vt:lpstr>
      <vt:lpstr>3</vt:lpstr>
      <vt:lpstr>4</vt:lpstr>
      <vt:lpstr>5</vt:lpstr>
      <vt:lpstr>6</vt:lpstr>
      <vt:lpstr>7</vt:lpstr>
      <vt:lpstr>8</vt:lpstr>
      <vt:lpstr>9</vt:lpstr>
      <vt:lpstr>10</vt:lpstr>
      <vt:lpstr>Gr_2</vt:lpstr>
      <vt:lpstr>Gr_3</vt:lpstr>
      <vt:lpstr>الفصل الثاني</vt:lpstr>
      <vt:lpstr>11</vt:lpstr>
      <vt:lpstr>GR_4</vt:lpstr>
      <vt:lpstr>12</vt:lpstr>
      <vt:lpstr>13</vt:lpstr>
      <vt:lpstr>14</vt:lpstr>
      <vt:lpstr>15</vt:lpstr>
      <vt:lpstr>16</vt:lpstr>
      <vt:lpstr>17</vt:lpstr>
      <vt:lpstr>18</vt:lpstr>
      <vt:lpstr>19</vt:lpstr>
      <vt:lpstr>20</vt:lpstr>
      <vt:lpstr>Gr_5</vt:lpstr>
      <vt:lpstr>Gr_6</vt:lpstr>
      <vt:lpstr>'1'!Print_Area</vt:lpstr>
      <vt:lpstr>'10'!Print_Area</vt:lpstr>
      <vt:lpstr>'11'!Print_Area</vt:lpstr>
      <vt:lpstr>'12'!Print_Area</vt:lpstr>
      <vt:lpstr>'13'!Print_Area</vt:lpstr>
      <vt:lpstr>'14'!Print_Area</vt:lpstr>
      <vt:lpstr>'15'!Print_Area</vt:lpstr>
      <vt:lpstr>'16'!Print_Area</vt:lpstr>
      <vt:lpstr>'17'!Print_Area</vt:lpstr>
      <vt:lpstr>'18'!Print_Area</vt:lpstr>
      <vt:lpstr>'19'!Print_Area</vt:lpstr>
      <vt:lpstr>'2'!Print_Area</vt:lpstr>
      <vt:lpstr>'3'!Print_Area</vt:lpstr>
      <vt:lpstr>'4'!Print_Area</vt:lpstr>
      <vt:lpstr>'5'!Print_Area</vt:lpstr>
      <vt:lpstr>'6'!Print_Area</vt:lpstr>
      <vt:lpstr>'7'!Print_Area</vt:lpstr>
      <vt:lpstr>'8'!Print_Area</vt:lpstr>
      <vt:lpstr>'9'!Print_Area</vt:lpstr>
      <vt:lpstr>Concepts!Print_Area</vt:lpstr>
      <vt:lpstr>Cover!Print_Area</vt:lpstr>
      <vt:lpstr>First!Print_Area</vt:lpstr>
      <vt:lpstr>GR_1!Print_Area</vt:lpstr>
      <vt:lpstr>Gr_2!Print_Area</vt:lpstr>
      <vt:lpstr>Gr_3!Print_Area</vt:lpstr>
      <vt:lpstr>GR_4!Print_Area</vt:lpstr>
      <vt:lpstr>Gr_5!Print_Area</vt:lpstr>
      <vt:lpstr>Gr_6!Print_Area</vt:lpstr>
      <vt:lpstr>Indx!Print_Area</vt:lpstr>
      <vt:lpstr>Introduction!Print_Area</vt:lpstr>
      <vt:lpstr>Preface!Print_Area</vt:lpstr>
      <vt:lpstr>'الفصل الأول'!Print_Area</vt:lpstr>
      <vt:lpstr>'الفصل الثاني'!Print_Area</vt:lpstr>
      <vt:lpstr>Indx!Print_Titles</vt:lpstr>
      <vt:lpstr>Introduction!Print_Titles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The Annual Bulletin of Building Permits Statistics 2020</dc:title>
  <dc:creator>Norah Jaber Al Ghufrani</dc:creator>
  <cp:keywords>Economic; Statistics; BuildingPermits</cp:keywords>
  <cp:lastModifiedBy>Saber Abd El_Zaher</cp:lastModifiedBy>
  <cp:lastPrinted>2021-06-20T08:54:53Z</cp:lastPrinted>
  <dcterms:created xsi:type="dcterms:W3CDTF">2017-08-17T09:02:17Z</dcterms:created>
  <dcterms:modified xsi:type="dcterms:W3CDTF">2021-06-20T08:55:07Z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0x01010050FBC1E32FA8C5438369190EAFFED8CE008E9E875BE8CF634D9CBE11DB22534CB8</vt:lpwstr>
  </property>
  <property fmtid="{D5CDD505-2E9C-101B-9397-08002B2CF9AE}" pid="3" name="TaxKeyword">
    <vt:lpwstr>640;#Statistics|43e67556-4a22-4c31-b67a-99a39b12edc5;#645;#Economic|d7e8a056-d6ab-482e-bf61-3a160944221a;#654;#BuildingPermits|8b66a85a-03c3-4077-944f-d0fb710d0607</vt:lpwstr>
  </property>
  <property fmtid="{D5CDD505-2E9C-101B-9397-08002B2CF9AE}" pid="4" name="CategoryDescription">
    <vt:lpwstr>The Annual Bulletin of Building Permits Statistics 2020</vt:lpwstr>
  </property>
  <property fmtid="{D5CDD505-2E9C-101B-9397-08002B2CF9AE}" pid="5" name="Hashtags">
    <vt:lpwstr>58;#StatisticalAbstract|c2f418c2-a295-4bd1-af99-d5d586494613</vt:lpwstr>
  </property>
</Properties>
</file>