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hD\phd-private\PhD_Funding\2020June-funding-report-v1\"/>
    </mc:Choice>
  </mc:AlternateContent>
  <xr:revisionPtr revIDLastSave="0" documentId="8_{9B0469A2-1085-4D13-991B-80C98B376D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Timeline" sheetId="1" r:id="rId1"/>
    <sheet name="Deferral_budget" sheetId="3" r:id="rId2"/>
    <sheet name="Totals" sheetId="6" r:id="rId3"/>
    <sheet name="Jan-July 2019" sheetId="4" r:id="rId4"/>
    <sheet name="PhD_budget" sheetId="2" r:id="rId5"/>
  </sheets>
  <externalReferences>
    <externalReference r:id="rId6"/>
  </externalReferences>
  <definedNames>
    <definedName name="NetMonthlyExpenses">'[1]Personal Budget'!$B$12</definedName>
    <definedName name="NetMonthlyIncome">'[1]Personal Budget'!$B$9</definedName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4" l="1"/>
  <c r="F42" i="4"/>
  <c r="F43" i="4"/>
  <c r="F44" i="4"/>
  <c r="F45" i="4"/>
  <c r="F41" i="4"/>
  <c r="F38" i="4"/>
  <c r="F39" i="4"/>
  <c r="F11" i="4"/>
  <c r="E24" i="4" l="1"/>
  <c r="F19" i="4"/>
  <c r="F18" i="4"/>
  <c r="F9" i="4"/>
  <c r="F10" i="4"/>
  <c r="F12" i="4"/>
  <c r="F13" i="4"/>
  <c r="F14" i="4"/>
  <c r="F15" i="4"/>
  <c r="F16" i="4"/>
  <c r="B5" i="6"/>
  <c r="D67" i="4"/>
  <c r="E67" i="4"/>
  <c r="F67" i="4"/>
  <c r="D73" i="4"/>
  <c r="F73" i="4"/>
  <c r="F33" i="4"/>
  <c r="F34" i="4"/>
  <c r="F35" i="4"/>
  <c r="F36" i="4"/>
  <c r="F37" i="4"/>
  <c r="G11" i="6"/>
  <c r="F11" i="6"/>
  <c r="B11" i="6"/>
  <c r="E10" i="6"/>
  <c r="E9" i="6"/>
  <c r="E8" i="6"/>
  <c r="E7" i="6"/>
  <c r="E6" i="6"/>
  <c r="E5" i="6"/>
  <c r="D3" i="4"/>
  <c r="F3" i="4" s="1"/>
  <c r="D4" i="4"/>
  <c r="E11" i="6" l="1"/>
  <c r="D86" i="4"/>
  <c r="E59" i="4"/>
  <c r="D59" i="4"/>
  <c r="F85" i="4"/>
  <c r="F84" i="4"/>
  <c r="F57" i="4"/>
  <c r="F83" i="4"/>
  <c r="F56" i="4"/>
  <c r="F55" i="4"/>
  <c r="E80" i="4"/>
  <c r="D80" i="4"/>
  <c r="F79" i="4"/>
  <c r="E53" i="4"/>
  <c r="D53" i="4"/>
  <c r="F78" i="4"/>
  <c r="F52" i="4"/>
  <c r="F77" i="4"/>
  <c r="F51" i="4"/>
  <c r="F76" i="4"/>
  <c r="F50" i="4"/>
  <c r="F75" i="4"/>
  <c r="F49" i="4"/>
  <c r="E40" i="4"/>
  <c r="D40" i="4"/>
  <c r="D47" i="4"/>
  <c r="E31" i="4"/>
  <c r="D31" i="4"/>
  <c r="F30" i="4"/>
  <c r="F29" i="4"/>
  <c r="F28" i="4"/>
  <c r="F21" i="4"/>
  <c r="D20" i="4"/>
  <c r="D24" i="4" s="1"/>
  <c r="F7" i="4"/>
  <c r="F6" i="4"/>
  <c r="F5" i="4"/>
  <c r="F4" i="4"/>
  <c r="F31" i="4" l="1"/>
  <c r="F40" i="4"/>
  <c r="F86" i="4"/>
  <c r="F53" i="4"/>
  <c r="F80" i="4"/>
  <c r="F59" i="4"/>
  <c r="F20" i="4"/>
  <c r="F24" i="4" s="1"/>
  <c r="G24" i="4" s="1"/>
  <c r="C2" i="1"/>
  <c r="C7" i="1" s="1"/>
  <c r="D7" i="1" s="1"/>
  <c r="AE18" i="1"/>
  <c r="AE22" i="1"/>
  <c r="AE23" i="1"/>
  <c r="AE24" i="1"/>
  <c r="AE25" i="1"/>
  <c r="AE26" i="1"/>
  <c r="AE28" i="1"/>
  <c r="AE30" i="1"/>
  <c r="AE31" i="1"/>
  <c r="AE38" i="1" s="1"/>
  <c r="AE39" i="1" s="1"/>
  <c r="AE32" i="1"/>
  <c r="AE33" i="1"/>
  <c r="AE34" i="1"/>
  <c r="AE35" i="1"/>
  <c r="AE36" i="1"/>
  <c r="AE37" i="1"/>
  <c r="B14" i="6" l="1"/>
  <c r="B13" i="6"/>
  <c r="D6" i="1"/>
  <c r="E7" i="1"/>
  <c r="D5" i="1"/>
  <c r="C6" i="1"/>
  <c r="C5" i="1"/>
  <c r="B15" i="6" l="1"/>
  <c r="E6" i="1"/>
  <c r="F7" i="1"/>
  <c r="E5" i="1"/>
  <c r="K5" i="3"/>
  <c r="K6" i="3"/>
  <c r="K11" i="3" s="1"/>
  <c r="D7" i="3"/>
  <c r="G7" i="3"/>
  <c r="K7" i="3"/>
  <c r="D8" i="3"/>
  <c r="K8" i="3"/>
  <c r="D9" i="3"/>
  <c r="K9" i="3"/>
  <c r="D10" i="3"/>
  <c r="K10" i="3"/>
  <c r="D11" i="3"/>
  <c r="L11" i="3"/>
  <c r="M11" i="3"/>
  <c r="D12" i="3"/>
  <c r="D13" i="3"/>
  <c r="G13" i="3"/>
  <c r="D14" i="3"/>
  <c r="D15" i="3"/>
  <c r="D16" i="3"/>
  <c r="D17" i="3"/>
  <c r="B18" i="3"/>
  <c r="C18" i="3"/>
  <c r="D21" i="3"/>
  <c r="I21" i="3"/>
  <c r="D22" i="3"/>
  <c r="I22" i="3"/>
  <c r="I27" i="3" s="1"/>
  <c r="D23" i="3"/>
  <c r="I23" i="3"/>
  <c r="B24" i="3"/>
  <c r="D24" i="3"/>
  <c r="D29" i="3" s="1"/>
  <c r="I24" i="3"/>
  <c r="D25" i="3"/>
  <c r="I25" i="3"/>
  <c r="D26" i="3"/>
  <c r="I26" i="3"/>
  <c r="D27" i="3"/>
  <c r="G27" i="3"/>
  <c r="H27" i="3"/>
  <c r="D28" i="3"/>
  <c r="B29" i="3"/>
  <c r="C29" i="3"/>
  <c r="I30" i="3"/>
  <c r="I31" i="3"/>
  <c r="D32" i="3"/>
  <c r="I32" i="3"/>
  <c r="D33" i="3"/>
  <c r="I33" i="3"/>
  <c r="B34" i="3"/>
  <c r="D34" i="3" s="1"/>
  <c r="D36" i="3" s="1"/>
  <c r="I34" i="3"/>
  <c r="D35" i="3"/>
  <c r="I35" i="3"/>
  <c r="C36" i="3"/>
  <c r="I36" i="3"/>
  <c r="H37" i="3"/>
  <c r="D39" i="3"/>
  <c r="D40" i="3"/>
  <c r="I40" i="3"/>
  <c r="D41" i="3"/>
  <c r="I41" i="3"/>
  <c r="B42" i="3"/>
  <c r="C42" i="3"/>
  <c r="I42" i="3"/>
  <c r="I43" i="3"/>
  <c r="G44" i="3"/>
  <c r="D45" i="3"/>
  <c r="D46" i="3"/>
  <c r="D47" i="3"/>
  <c r="I47" i="3"/>
  <c r="D48" i="3"/>
  <c r="I48" i="3"/>
  <c r="I54" i="3" s="1"/>
  <c r="D49" i="3"/>
  <c r="I49" i="3"/>
  <c r="D50" i="3"/>
  <c r="I50" i="3"/>
  <c r="D51" i="3"/>
  <c r="I51" i="3"/>
  <c r="D52" i="3"/>
  <c r="I52" i="3"/>
  <c r="D53" i="3"/>
  <c r="I53" i="3"/>
  <c r="B54" i="3"/>
  <c r="G54" i="3"/>
  <c r="H54" i="3"/>
  <c r="D57" i="3"/>
  <c r="I57" i="3"/>
  <c r="D58" i="3"/>
  <c r="I58" i="3"/>
  <c r="D59" i="3"/>
  <c r="I59" i="3"/>
  <c r="D60" i="3"/>
  <c r="I60" i="3"/>
  <c r="B61" i="3"/>
  <c r="C61" i="3"/>
  <c r="D61" i="3"/>
  <c r="I61" i="3"/>
  <c r="G62" i="3"/>
  <c r="H62" i="3"/>
  <c r="D64" i="3"/>
  <c r="D68" i="3" s="1"/>
  <c r="D65" i="3"/>
  <c r="I65" i="3"/>
  <c r="D66" i="3"/>
  <c r="I66" i="3"/>
  <c r="D67" i="3"/>
  <c r="I67" i="3"/>
  <c r="B68" i="3"/>
  <c r="C68" i="3"/>
  <c r="G68" i="3"/>
  <c r="D54" i="3" l="1"/>
  <c r="D42" i="3"/>
  <c r="B36" i="3"/>
  <c r="I37" i="3"/>
  <c r="D4" i="3" s="1"/>
  <c r="D18" i="3"/>
  <c r="I62" i="3"/>
  <c r="C4" i="3"/>
  <c r="G16" i="3" s="1"/>
  <c r="G17" i="3" s="1"/>
  <c r="I44" i="3"/>
  <c r="B4" i="3"/>
  <c r="G15" i="3" s="1"/>
  <c r="I68" i="3"/>
  <c r="F5" i="1"/>
  <c r="G7" i="1"/>
  <c r="F6" i="1"/>
  <c r="H7" i="1" l="1"/>
  <c r="G5" i="1"/>
  <c r="G6" i="1"/>
  <c r="S54" i="2"/>
  <c r="N54" i="2"/>
  <c r="H49" i="2"/>
  <c r="E49" i="2"/>
  <c r="H45" i="2"/>
  <c r="E45" i="2"/>
  <c r="G40" i="2"/>
  <c r="F40" i="2"/>
  <c r="E40" i="2"/>
  <c r="H36" i="2"/>
  <c r="E36" i="2"/>
  <c r="H35" i="2"/>
  <c r="H40" i="2" s="1"/>
  <c r="H34" i="2"/>
  <c r="E31" i="2"/>
  <c r="E34" i="2" s="1"/>
  <c r="E29" i="2"/>
  <c r="H27" i="2"/>
  <c r="H26" i="2"/>
  <c r="H29" i="2" s="1"/>
  <c r="H15" i="2"/>
  <c r="E15" i="2"/>
  <c r="T6" i="2"/>
  <c r="O6" i="2"/>
  <c r="N55" i="2" s="1"/>
  <c r="I6" i="2"/>
  <c r="S55" i="2" l="1"/>
  <c r="I7" i="1"/>
  <c r="H5" i="1"/>
  <c r="H6" i="1"/>
  <c r="H54" i="2"/>
  <c r="H55" i="2" s="1"/>
  <c r="I6" i="1" l="1"/>
  <c r="I5" i="1"/>
  <c r="J7" i="1"/>
  <c r="J5" i="1" l="1"/>
  <c r="J6" i="1"/>
  <c r="K7" i="1"/>
  <c r="L7" i="1" l="1"/>
  <c r="K5" i="1"/>
  <c r="K6" i="1"/>
  <c r="L6" i="1" l="1"/>
  <c r="M7" i="1"/>
  <c r="L5" i="1"/>
  <c r="M6" i="1" l="1"/>
  <c r="M5" i="1"/>
  <c r="N7" i="1"/>
  <c r="N5" i="1" l="1"/>
  <c r="O7" i="1"/>
  <c r="N6" i="1"/>
  <c r="P7" i="1" l="1"/>
  <c r="O5" i="1"/>
  <c r="O6" i="1"/>
  <c r="Q7" i="1" l="1"/>
  <c r="P6" i="1"/>
  <c r="P5" i="1"/>
  <c r="Q6" i="1" l="1"/>
  <c r="R7" i="1"/>
  <c r="Q5" i="1"/>
  <c r="R5" i="1" l="1"/>
  <c r="S7" i="1"/>
  <c r="R6" i="1"/>
  <c r="T7" i="1" l="1"/>
  <c r="S5" i="1"/>
  <c r="S6" i="1"/>
  <c r="U7" i="1" l="1"/>
  <c r="T5" i="1"/>
  <c r="T6" i="1"/>
  <c r="U6" i="1" l="1"/>
  <c r="U5" i="1"/>
  <c r="V7" i="1"/>
  <c r="V5" i="1" l="1"/>
  <c r="V6" i="1"/>
  <c r="W7" i="1"/>
  <c r="X7" i="1" l="1"/>
  <c r="W5" i="1"/>
  <c r="W6" i="1"/>
  <c r="X6" i="1" l="1"/>
  <c r="Y7" i="1"/>
  <c r="X5" i="1"/>
  <c r="Y6" i="1" l="1"/>
  <c r="Y5" i="1"/>
  <c r="Z7" i="1"/>
  <c r="Z5" i="1" l="1"/>
  <c r="Z6" i="1"/>
  <c r="AA7" i="1"/>
  <c r="AB7" i="1" l="1"/>
  <c r="AA5" i="1"/>
  <c r="AA6" i="1"/>
  <c r="AC7" i="1" l="1"/>
  <c r="AB5" i="1"/>
  <c r="AB6" i="1"/>
  <c r="AC6" i="1" l="1"/>
  <c r="AD7" i="1"/>
  <c r="AC5" i="1"/>
  <c r="AD5" i="1" l="1"/>
  <c r="AE7" i="1"/>
  <c r="AD6" i="1"/>
  <c r="AF7" i="1" l="1"/>
  <c r="AE5" i="1"/>
  <c r="AE6" i="1"/>
  <c r="AG7" i="1" l="1"/>
  <c r="AF6" i="1"/>
  <c r="AF5" i="1"/>
  <c r="AG6" i="1" l="1"/>
  <c r="AG5" i="1"/>
  <c r="AH7" i="1"/>
  <c r="AH5" i="1" l="1"/>
  <c r="AH6" i="1"/>
  <c r="AI7" i="1"/>
  <c r="AJ7" i="1" l="1"/>
  <c r="AI5" i="1"/>
  <c r="AI6" i="1"/>
  <c r="AJ6" i="1" l="1"/>
  <c r="AK7" i="1"/>
  <c r="AJ5" i="1"/>
  <c r="AK6" i="1" l="1"/>
  <c r="AK5" i="1"/>
  <c r="AL7" i="1"/>
  <c r="AL5" i="1" l="1"/>
  <c r="AL6" i="1"/>
  <c r="AM7" i="1"/>
  <c r="AN7" i="1" l="1"/>
  <c r="AM5" i="1"/>
  <c r="AM6" i="1"/>
  <c r="AO7" i="1" l="1"/>
  <c r="AN5" i="1"/>
  <c r="AN6" i="1"/>
  <c r="AO6" i="1" l="1"/>
  <c r="AP7" i="1"/>
  <c r="AO5" i="1"/>
  <c r="AP5" i="1" l="1"/>
  <c r="AQ7" i="1"/>
  <c r="AP6" i="1"/>
  <c r="AR7" i="1" l="1"/>
  <c r="AQ5" i="1"/>
  <c r="AQ6" i="1"/>
  <c r="AR6" i="1" l="1"/>
  <c r="AS7" i="1"/>
  <c r="AR5" i="1"/>
  <c r="AS6" i="1" l="1"/>
  <c r="AS5" i="1"/>
  <c r="AT7" i="1"/>
  <c r="AT5" i="1" l="1"/>
  <c r="AT6" i="1"/>
  <c r="AU7" i="1"/>
  <c r="AV7" i="1" l="1"/>
  <c r="AU5" i="1"/>
  <c r="AU6" i="1"/>
  <c r="AW7" i="1" l="1"/>
  <c r="AV6" i="1"/>
  <c r="AV5" i="1"/>
  <c r="AW6" i="1" l="1"/>
  <c r="AW5" i="1"/>
  <c r="AX7" i="1"/>
  <c r="AX5" i="1" l="1"/>
  <c r="AX6" i="1"/>
  <c r="AY7" i="1"/>
  <c r="AY5" i="1" l="1"/>
  <c r="AY6" i="1"/>
  <c r="AZ7" i="1"/>
  <c r="AZ6" i="1" l="1"/>
  <c r="AZ5" i="1"/>
  <c r="BA7" i="1"/>
  <c r="BA5" i="1" l="1"/>
  <c r="BA6" i="1"/>
  <c r="BB7" i="1"/>
  <c r="BB6" i="1" l="1"/>
  <c r="BC7" i="1"/>
  <c r="BB5" i="1"/>
  <c r="BC6" i="1" l="1"/>
  <c r="BD7" i="1"/>
  <c r="BC5" i="1"/>
  <c r="BE7" i="1" l="1"/>
  <c r="BD5" i="1"/>
  <c r="BD6" i="1"/>
  <c r="BE5" i="1" l="1"/>
  <c r="BE6" i="1"/>
  <c r="BF7" i="1"/>
  <c r="BG7" i="1" l="1"/>
  <c r="BF5" i="1"/>
  <c r="BF6" i="1"/>
  <c r="BH7" i="1" l="1"/>
  <c r="BG6" i="1"/>
  <c r="BG5" i="1"/>
  <c r="BI7" i="1" l="1"/>
  <c r="BH5" i="1"/>
  <c r="BH6" i="1"/>
  <c r="BI5" i="1" l="1"/>
  <c r="BI6" i="1"/>
  <c r="BJ7" i="1"/>
  <c r="BJ5" i="1" l="1"/>
  <c r="BJ6" i="1"/>
  <c r="BK7" i="1"/>
  <c r="BK5" i="1" l="1"/>
  <c r="BL7" i="1"/>
  <c r="BK6" i="1"/>
  <c r="BL6" i="1" l="1"/>
  <c r="BM7" i="1"/>
  <c r="BL5" i="1"/>
  <c r="BM5" i="1" l="1"/>
  <c r="BN7" i="1"/>
  <c r="BM6" i="1"/>
  <c r="BN6" i="1" l="1"/>
  <c r="BO7" i="1"/>
  <c r="BN5" i="1"/>
  <c r="BP7" i="1" l="1"/>
  <c r="BO5" i="1"/>
  <c r="BO6" i="1"/>
  <c r="BP6" i="1" l="1"/>
  <c r="BP5" i="1"/>
  <c r="BQ7" i="1"/>
  <c r="BQ5" i="1" l="1"/>
  <c r="BQ6" i="1"/>
  <c r="BR7" i="1"/>
  <c r="BR5" i="1" l="1"/>
  <c r="BR6" i="1"/>
  <c r="BS7" i="1"/>
  <c r="BT7" i="1" l="1"/>
  <c r="BS6" i="1"/>
  <c r="BS5" i="1"/>
  <c r="BU7" i="1" l="1"/>
  <c r="BT5" i="1"/>
  <c r="BT6" i="1"/>
  <c r="BU6" i="1" l="1"/>
  <c r="BV7" i="1"/>
  <c r="BU5" i="1"/>
  <c r="BV5" i="1" l="1"/>
  <c r="BV6" i="1"/>
  <c r="BW7" i="1"/>
  <c r="BW5" i="1" l="1"/>
  <c r="BW6" i="1"/>
  <c r="BX7" i="1"/>
  <c r="BX6" i="1" l="1"/>
  <c r="BY7" i="1"/>
  <c r="BX5" i="1"/>
  <c r="BY5" i="1" l="1"/>
  <c r="BY6" i="1"/>
  <c r="BZ7" i="1"/>
  <c r="BZ5" i="1" l="1"/>
  <c r="BZ6" i="1"/>
  <c r="CA7" i="1"/>
  <c r="CA5" i="1" l="1"/>
  <c r="CB7" i="1"/>
  <c r="CA6" i="1"/>
  <c r="CB5" i="1" l="1"/>
  <c r="CB6" i="1"/>
  <c r="CC7" i="1"/>
  <c r="CC5" i="1" l="1"/>
  <c r="CC6" i="1"/>
  <c r="CD7" i="1"/>
  <c r="CD5" i="1" l="1"/>
  <c r="CD6" i="1"/>
  <c r="CE7" i="1"/>
  <c r="CE5" i="1" l="1"/>
  <c r="CE6" i="1"/>
  <c r="CF7" i="1"/>
  <c r="CG7" i="1" l="1"/>
  <c r="CF6" i="1"/>
  <c r="CF5" i="1"/>
  <c r="CH7" i="1" l="1"/>
  <c r="CG5" i="1"/>
  <c r="CG6" i="1"/>
  <c r="CH5" i="1" l="1"/>
  <c r="CI7" i="1"/>
  <c r="CH6" i="1"/>
  <c r="CI5" i="1" l="1"/>
  <c r="CJ7" i="1"/>
  <c r="CI6" i="1"/>
  <c r="CJ6" i="1" l="1"/>
  <c r="CK7" i="1"/>
  <c r="CJ5" i="1"/>
  <c r="CK5" i="1" l="1"/>
  <c r="CL7" i="1"/>
  <c r="CK6" i="1"/>
  <c r="CL5" i="1" l="1"/>
  <c r="CL6" i="1"/>
  <c r="CM7" i="1"/>
  <c r="CN7" i="1" l="1"/>
  <c r="CM5" i="1"/>
  <c r="CM6" i="1"/>
  <c r="CN6" i="1" l="1"/>
  <c r="CN5" i="1"/>
  <c r="CO7" i="1"/>
  <c r="CO6" i="1" l="1"/>
  <c r="CO5" i="1"/>
  <c r="E55" i="2"/>
  <c r="E54" i="2"/>
  <c r="E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R Davidson</author>
  </authors>
  <commentList>
    <comment ref="B18" authorId="0" shapeId="0" xr:uid="{882C4D8B-D6AF-49E5-A5CF-CF50AD38C127}">
      <text>
        <r>
          <rPr>
            <sz val="9"/>
            <color indexed="81"/>
            <rFont val="Tahoma"/>
            <family val="2"/>
          </rPr>
          <t>KEY:
Green = repayment
Blue = time
Red = finacial support</t>
        </r>
      </text>
    </comment>
    <comment ref="B28" authorId="0" shapeId="0" xr:uid="{CE119C63-6098-45DE-9E87-149A75273552}">
      <text>
        <r>
          <rPr>
            <b/>
            <sz val="9"/>
            <color indexed="81"/>
            <rFont val="Tahoma"/>
            <family val="2"/>
          </rPr>
          <t>Anthony R Davidson:</t>
        </r>
        <r>
          <rPr>
            <sz val="9"/>
            <color indexed="81"/>
            <rFont val="Tahoma"/>
            <family val="2"/>
          </rPr>
          <t xml:space="preserve">
Final sum in converted to $ using my van's average mileage</t>
        </r>
      </text>
    </comment>
    <comment ref="B29" authorId="0" shapeId="0" xr:uid="{E0AD5068-AB89-49F0-A9A8-DAE83982899C}">
      <text>
        <r>
          <rPr>
            <b/>
            <sz val="9"/>
            <color indexed="81"/>
            <rFont val="Tahoma"/>
            <family val="2"/>
          </rPr>
          <t>Anthony R Davidson:</t>
        </r>
        <r>
          <rPr>
            <sz val="9"/>
            <color indexed="81"/>
            <rFont val="Tahoma"/>
            <family val="2"/>
          </rPr>
          <t xml:space="preserve">
This is $50 a week. Average in the van is much higher than this but I will find a way to reduce that.</t>
        </r>
      </text>
    </comment>
    <comment ref="B30" authorId="0" shapeId="0" xr:uid="{E98E548F-266B-4429-8350-E65DD5F02805}">
      <text>
        <r>
          <rPr>
            <b/>
            <sz val="9"/>
            <color indexed="81"/>
            <rFont val="Tahoma"/>
            <family val="2"/>
          </rPr>
          <t>Anthony R Davidson:</t>
        </r>
        <r>
          <rPr>
            <sz val="9"/>
            <color indexed="81"/>
            <rFont val="Tahoma"/>
            <family val="2"/>
          </rPr>
          <t xml:space="preserve">
Vitimans and bowel stuff</t>
        </r>
      </text>
    </comment>
    <comment ref="B31" authorId="0" shapeId="0" xr:uid="{793193EC-E21C-4CC0-BD6B-BD1CA8CE0EDC}">
      <text>
        <r>
          <rPr>
            <b/>
            <sz val="9"/>
            <color indexed="81"/>
            <rFont val="Tahoma"/>
            <family val="2"/>
          </rPr>
          <t>Anthony R Davidson:</t>
        </r>
        <r>
          <rPr>
            <sz val="9"/>
            <color indexed="81"/>
            <rFont val="Tahoma"/>
            <family val="2"/>
          </rPr>
          <t xml:space="preserve">
Seems high but on average it is $14 a load (wash and dry) but I often have more than one load per week</t>
        </r>
      </text>
    </comment>
    <comment ref="B32" authorId="0" shapeId="0" xr:uid="{F6ACE720-B28D-4536-A352-394C700D4A25}">
      <text>
        <r>
          <rPr>
            <b/>
            <sz val="9"/>
            <color indexed="81"/>
            <rFont val="Tahoma"/>
            <family val="2"/>
          </rPr>
          <t>Anthony R Davidson:</t>
        </r>
        <r>
          <rPr>
            <sz val="9"/>
            <color indexed="81"/>
            <rFont val="Tahoma"/>
            <family val="2"/>
          </rPr>
          <t xml:space="preserve">
This is a direct payment every 2 weeks and a $100 deposit</t>
        </r>
      </text>
    </comment>
    <comment ref="B34" authorId="0" shapeId="0" xr:uid="{7FC4D3A6-0901-46F0-9820-EE6347043B58}">
      <text>
        <r>
          <rPr>
            <b/>
            <sz val="9"/>
            <color indexed="81"/>
            <rFont val="Tahoma"/>
            <family val="2"/>
          </rPr>
          <t>Anthony R Davidson:</t>
        </r>
        <r>
          <rPr>
            <sz val="9"/>
            <color indexed="81"/>
            <rFont val="Tahoma"/>
            <family val="2"/>
          </rPr>
          <t xml:space="preserve">
This includes full cover for Getz, Van and my contents. Life insurance of $250 000 under my uni-super plan goes to Cherie.</t>
        </r>
      </text>
    </comment>
    <comment ref="B35" authorId="0" shapeId="0" xr:uid="{0E72D0C9-74A1-4B29-9221-2E67056DB4DB}">
      <text>
        <r>
          <rPr>
            <b/>
            <sz val="9"/>
            <color indexed="81"/>
            <rFont val="Tahoma"/>
            <family val="2"/>
          </rPr>
          <t>Anthony R Davidson:</t>
        </r>
        <r>
          <rPr>
            <sz val="9"/>
            <color indexed="81"/>
            <rFont val="Tahoma"/>
            <family val="2"/>
          </rPr>
          <t xml:space="preserve">
This pays for the dongle that my google mini app and lifeHACK (calander etc) run through</t>
        </r>
      </text>
    </comment>
  </commentList>
</comments>
</file>

<file path=xl/sharedStrings.xml><?xml version="1.0" encoding="utf-8"?>
<sst xmlns="http://schemas.openxmlformats.org/spreadsheetml/2006/main" count="616" uniqueCount="281">
  <si>
    <t>4 week project timeline</t>
  </si>
  <si>
    <t xml:space="preserve"> Start Date:</t>
  </si>
  <si>
    <t>week 1</t>
  </si>
  <si>
    <t>week 2</t>
  </si>
  <si>
    <t>week 3</t>
  </si>
  <si>
    <t>week 4</t>
  </si>
  <si>
    <t>in progress</t>
  </si>
  <si>
    <t>not started</t>
  </si>
  <si>
    <t>Status:</t>
  </si>
  <si>
    <t>Beech paper</t>
  </si>
  <si>
    <t>MPD paper</t>
  </si>
  <si>
    <t>DOC paper</t>
  </si>
  <si>
    <t>SRW paper</t>
  </si>
  <si>
    <t>Koala paper</t>
  </si>
  <si>
    <t>draft to richard</t>
  </si>
  <si>
    <t>Accommodation</t>
  </si>
  <si>
    <t>Desk setup in van</t>
  </si>
  <si>
    <t>Overall PhD</t>
  </si>
  <si>
    <t>meeting</t>
  </si>
  <si>
    <t>PhD Budget</t>
  </si>
  <si>
    <t>CC code</t>
  </si>
  <si>
    <t>PhD fund</t>
  </si>
  <si>
    <t>cc7858</t>
  </si>
  <si>
    <t>Additional funding</t>
  </si>
  <si>
    <t>Conference costs</t>
  </si>
  <si>
    <t>cc4431??</t>
  </si>
  <si>
    <t>Total budget</t>
  </si>
  <si>
    <t>Year 1 -March 2016 to March 2017</t>
  </si>
  <si>
    <t>Year 2 - March 2017-March 2018</t>
  </si>
  <si>
    <t>Year 3 - March 2018-March 2019</t>
  </si>
  <si>
    <t>Item</t>
  </si>
  <si>
    <t>Time</t>
  </si>
  <si>
    <t>Estimated cost</t>
  </si>
  <si>
    <t>Estimated cost2</t>
  </si>
  <si>
    <t>Estimated cost3</t>
  </si>
  <si>
    <t>Actual cost</t>
  </si>
  <si>
    <t>Reason</t>
  </si>
  <si>
    <t>item</t>
  </si>
  <si>
    <t>Resources</t>
  </si>
  <si>
    <t>Laptop</t>
  </si>
  <si>
    <t>Travel laptop</t>
  </si>
  <si>
    <t>Data storage (Dropbox)</t>
  </si>
  <si>
    <t>April 2016 to April 2017</t>
  </si>
  <si>
    <t>Syncing data between laptop and desktop</t>
  </si>
  <si>
    <t>Mendeley Storage</t>
  </si>
  <si>
    <t>Keeping pdfs accessable between institutes</t>
  </si>
  <si>
    <t>Books for PhD</t>
  </si>
  <si>
    <t>sub-total</t>
  </si>
  <si>
    <t>Trip 1</t>
  </si>
  <si>
    <t>Flights</t>
  </si>
  <si>
    <t>AUSSIE-NZ</t>
  </si>
  <si>
    <t>ACK/NP</t>
  </si>
  <si>
    <t>NP/Dunedin</t>
  </si>
  <si>
    <t>CHCH/Wellington return</t>
  </si>
  <si>
    <t>NZ-AUSSIE</t>
  </si>
  <si>
    <t>Hamilton Accomodation</t>
  </si>
  <si>
    <t>Gifts for accomo.</t>
  </si>
  <si>
    <t>Coffee shop</t>
  </si>
  <si>
    <t>Dinner for hosts</t>
  </si>
  <si>
    <t>Food</t>
  </si>
  <si>
    <t>21 April 2016 - 24 May 2016</t>
  </si>
  <si>
    <t>All sorted</t>
  </si>
  <si>
    <t>Rental car</t>
  </si>
  <si>
    <t>16th May 2016 - 24 May 2016</t>
  </si>
  <si>
    <t>Instead of accommodation</t>
  </si>
  <si>
    <t>Petrol</t>
  </si>
  <si>
    <t>For travel from hamilton and from chch to lincon</t>
  </si>
  <si>
    <t>Taxi</t>
  </si>
  <si>
    <t>Dunedin</t>
  </si>
  <si>
    <t>Bus to sydney</t>
  </si>
  <si>
    <t>Trip 2</t>
  </si>
  <si>
    <t>Doubled up for Nov-Dec trip</t>
  </si>
  <si>
    <t>Others</t>
  </si>
  <si>
    <t>Conference</t>
  </si>
  <si>
    <t>1/11/2016 (one week)</t>
  </si>
  <si>
    <t>NZES</t>
  </si>
  <si>
    <t>Car rental</t>
  </si>
  <si>
    <t>cc7859</t>
  </si>
  <si>
    <t>AWMS</t>
  </si>
  <si>
    <t>Registration costs</t>
  </si>
  <si>
    <t>1/2 cc4431 and 1/2 cc7858</t>
  </si>
  <si>
    <t>Trip 3</t>
  </si>
  <si>
    <t>1/02/2017 (one week)</t>
  </si>
  <si>
    <t>International Collaboration</t>
  </si>
  <si>
    <t>Travel</t>
  </si>
  <si>
    <t>Whenever fits</t>
  </si>
  <si>
    <t>Additional trip</t>
  </si>
  <si>
    <t>Spare money</t>
  </si>
  <si>
    <t>Total</t>
  </si>
  <si>
    <t>$3020.67 (budget report aug16)</t>
  </si>
  <si>
    <t>Amount left</t>
  </si>
  <si>
    <t xml:space="preserve">$0 </t>
  </si>
  <si>
    <t>Charity 3</t>
  </si>
  <si>
    <t>Other</t>
  </si>
  <si>
    <t>Charity 2</t>
  </si>
  <si>
    <t>College</t>
  </si>
  <si>
    <t>Charity 1</t>
  </si>
  <si>
    <t>Investment account</t>
  </si>
  <si>
    <t>Difference</t>
  </si>
  <si>
    <t>Actual Cost</t>
  </si>
  <si>
    <t>Projected Cost</t>
  </si>
  <si>
    <t>Gifts and Donations</t>
  </si>
  <si>
    <t>Retirement account</t>
  </si>
  <si>
    <t>Savings/Investments</t>
  </si>
  <si>
    <t>Toys</t>
  </si>
  <si>
    <t>Grooming</t>
  </si>
  <si>
    <t>Payments</t>
  </si>
  <si>
    <t>Medical</t>
  </si>
  <si>
    <t>Alimony</t>
  </si>
  <si>
    <t>Attorney</t>
  </si>
  <si>
    <t>Pets</t>
  </si>
  <si>
    <t>Legal</t>
  </si>
  <si>
    <t>Organization dues/fees</t>
  </si>
  <si>
    <t>Toys/games</t>
  </si>
  <si>
    <t>Health club</t>
  </si>
  <si>
    <t>Child care</t>
  </si>
  <si>
    <t>Dry cleaning</t>
  </si>
  <si>
    <t>Lunch money</t>
  </si>
  <si>
    <t>Clothing</t>
  </si>
  <si>
    <t>Organization dues or fees</t>
  </si>
  <si>
    <t>Hair/nails</t>
  </si>
  <si>
    <t>School supplies</t>
  </si>
  <si>
    <t>School tuition</t>
  </si>
  <si>
    <t>Personal Care</t>
  </si>
  <si>
    <t>Children</t>
  </si>
  <si>
    <t>Local</t>
  </si>
  <si>
    <t>State</t>
  </si>
  <si>
    <t>Federal</t>
  </si>
  <si>
    <t>Dining out</t>
  </si>
  <si>
    <t>Taxes</t>
  </si>
  <si>
    <t>Groceries</t>
  </si>
  <si>
    <t>Live theater</t>
  </si>
  <si>
    <t>Sporting events</t>
  </si>
  <si>
    <t>Life</t>
  </si>
  <si>
    <t>Concerts</t>
  </si>
  <si>
    <t>Health</t>
  </si>
  <si>
    <t>Movies</t>
  </si>
  <si>
    <t>Home</t>
  </si>
  <si>
    <t>CDs</t>
  </si>
  <si>
    <t>Insurance</t>
  </si>
  <si>
    <t>Video/DVD</t>
  </si>
  <si>
    <t>Entertainment</t>
  </si>
  <si>
    <t>Maintenance</t>
  </si>
  <si>
    <t>Fuel</t>
  </si>
  <si>
    <t>Credit card</t>
  </si>
  <si>
    <t>Licensing</t>
  </si>
  <si>
    <t>Bus/taxi fare</t>
  </si>
  <si>
    <t>Student</t>
  </si>
  <si>
    <t>Vehicle 2 payment</t>
  </si>
  <si>
    <t>Personal</t>
  </si>
  <si>
    <t>Vehicle 1 payment</t>
  </si>
  <si>
    <t>Loans</t>
  </si>
  <si>
    <t>Transportation</t>
  </si>
  <si>
    <t>Actual balance</t>
  </si>
  <si>
    <t>Supplies</t>
  </si>
  <si>
    <t xml:space="preserve">Projected balance
</t>
  </si>
  <si>
    <t>Maintenance or repairs</t>
  </si>
  <si>
    <t>Waste removal</t>
  </si>
  <si>
    <t>Total monthly income</t>
  </si>
  <si>
    <t>Cable</t>
  </si>
  <si>
    <t>Extra income</t>
  </si>
  <si>
    <t>Water and sewer</t>
  </si>
  <si>
    <t>SUM</t>
  </si>
  <si>
    <t>Income 2</t>
  </si>
  <si>
    <t>Gas</t>
  </si>
  <si>
    <t>Extra to reduce</t>
  </si>
  <si>
    <t>Income 1</t>
  </si>
  <si>
    <t>Electricity</t>
  </si>
  <si>
    <t>Doctors(Physio)</t>
  </si>
  <si>
    <t>Actual Monthly Income</t>
  </si>
  <si>
    <t>Phone</t>
  </si>
  <si>
    <t>Dog</t>
  </si>
  <si>
    <t>Debts</t>
  </si>
  <si>
    <t>Mortgage or rent</t>
  </si>
  <si>
    <t xml:space="preserve">Milk, bread, beef, </t>
  </si>
  <si>
    <t>Housing</t>
  </si>
  <si>
    <t xml:space="preserve">Spend so far </t>
  </si>
  <si>
    <t>Projected weekly outgoings MAX</t>
  </si>
  <si>
    <t>Projected Monthly Income</t>
  </si>
  <si>
    <t>Total Difference</t>
  </si>
  <si>
    <t>Total Actual Cost</t>
  </si>
  <si>
    <t>Total Projected Cost</t>
  </si>
  <si>
    <t>Monthly Deferral Budget</t>
  </si>
  <si>
    <t>Fishing</t>
  </si>
  <si>
    <t>Ross meeting</t>
  </si>
  <si>
    <t>Progress seminar</t>
  </si>
  <si>
    <t>Location</t>
  </si>
  <si>
    <t>Hackett</t>
  </si>
  <si>
    <t>Melbourne</t>
  </si>
  <si>
    <t>Canberra</t>
  </si>
  <si>
    <t>Cherie</t>
  </si>
  <si>
    <t>Matt</t>
  </si>
  <si>
    <t>Scholarship</t>
  </si>
  <si>
    <t>Tax</t>
  </si>
  <si>
    <t>?1025</t>
  </si>
  <si>
    <t>AA Awards</t>
  </si>
  <si>
    <t>?100</t>
  </si>
  <si>
    <t>TOTAL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</si>
  <si>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</si>
  <si>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</si>
  <si>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</si>
  <si>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</si>
  <si>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</si>
  <si>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</si>
  <si>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</si>
  <si>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</si>
  <si>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</si>
  <si>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Washing etc</t>
  </si>
  <si>
    <t>Carpark</t>
  </si>
  <si>
    <t>GoogleBox</t>
  </si>
  <si>
    <t>PhD progress meeting (UC)</t>
  </si>
  <si>
    <t>PhD progress meeting (Skype)</t>
  </si>
  <si>
    <t>Ross meeting (UC)</t>
  </si>
  <si>
    <t>Ross + advisors email update</t>
  </si>
  <si>
    <t>……. Aus_coast or NZ</t>
  </si>
  <si>
    <t>Redo analysis the state-space way</t>
  </si>
  <si>
    <t>85% (submitted by richard)</t>
  </si>
  <si>
    <t>"van = $230"</t>
  </si>
  <si>
    <t>"repay 500"</t>
  </si>
  <si>
    <t>Key  aspects to simplify life</t>
  </si>
  <si>
    <t>Van work at Andrews?</t>
  </si>
  <si>
    <t>Statistics network</t>
  </si>
  <si>
    <t>Small day and overnight missions from melbourne with Gus</t>
  </si>
  <si>
    <t>Beers with UC crew</t>
  </si>
  <si>
    <t>Per week</t>
  </si>
  <si>
    <t>Assess the situation…</t>
  </si>
  <si>
    <t>Budget through time…</t>
  </si>
  <si>
    <t>KMs (final total includes $$)</t>
  </si>
  <si>
    <t>Internet</t>
  </si>
  <si>
    <t>Date</t>
  </si>
  <si>
    <t>Day</t>
  </si>
  <si>
    <t>Month</t>
  </si>
  <si>
    <t>Child support</t>
  </si>
  <si>
    <t>Possible support from Cherie</t>
  </si>
  <si>
    <t>My possible income streams…</t>
  </si>
  <si>
    <t>Model discussion</t>
  </si>
  <si>
    <t>Maps</t>
  </si>
  <si>
    <t>January-July Full Monthly Budget</t>
  </si>
  <si>
    <t>Rent</t>
  </si>
  <si>
    <t>Utilies</t>
  </si>
  <si>
    <t>Public transport</t>
  </si>
  <si>
    <t>Uber</t>
  </si>
  <si>
    <t>rego</t>
  </si>
  <si>
    <t>Life (nz)</t>
  </si>
  <si>
    <t>Coffee</t>
  </si>
  <si>
    <t>Student loan</t>
  </si>
  <si>
    <t>Aussie overdraft</t>
  </si>
  <si>
    <t>NZ overdraft</t>
  </si>
  <si>
    <t>NZ credit card</t>
  </si>
  <si>
    <t>Projected costs</t>
  </si>
  <si>
    <t>Meds</t>
  </si>
  <si>
    <t>vitimans etc</t>
  </si>
  <si>
    <t>Gym membership</t>
  </si>
  <si>
    <t>Climbing</t>
  </si>
  <si>
    <t>Squash</t>
  </si>
  <si>
    <t>Gigs</t>
  </si>
  <si>
    <t>Possible Monthly Income</t>
  </si>
  <si>
    <t>SSN</t>
  </si>
  <si>
    <t>Stepind</t>
  </si>
  <si>
    <t xml:space="preserve">Overall Total
</t>
  </si>
  <si>
    <t>Garden</t>
  </si>
  <si>
    <t>Home entertainment</t>
  </si>
  <si>
    <t>Transport</t>
  </si>
  <si>
    <t>Costs</t>
  </si>
  <si>
    <t>Saving</t>
  </si>
  <si>
    <t>Gifts</t>
  </si>
  <si>
    <t>Personal amendites</t>
  </si>
  <si>
    <t>Base costs</t>
  </si>
  <si>
    <t>Insurance 1</t>
  </si>
  <si>
    <t>Insurance 2</t>
  </si>
  <si>
    <t>Projected cost</t>
  </si>
  <si>
    <t>Group</t>
  </si>
  <si>
    <t>Importance</t>
  </si>
  <si>
    <t>Variable costs</t>
  </si>
  <si>
    <t>Best case</t>
  </si>
  <si>
    <t>Dayly costs</t>
  </si>
  <si>
    <t>Not applicable</t>
  </si>
  <si>
    <t>Law</t>
  </si>
  <si>
    <t>per week</t>
  </si>
  <si>
    <t xml:space="preserve"> </t>
  </si>
  <si>
    <t>Insurance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</si>
</sst>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"/>
    <numFmt numFmtId="165" formatCode="mmm"/>
    <numFmt numFmtId="166" formatCode="&quot;$&quot;#,##0.00"/>
    <numFmt numFmtId="167" formatCode="&quot;$&quot;#,##0_);[Red]\(&quot;$&quot;#,##0\)"/>
    <numFmt numFmtId="168" formatCode="&quot;$&quot;#,##0"/>
  </numFmts>
  <fonts count="44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sz val="4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u/>
      <sz val="12"/>
      <color theme="1"/>
      <name val="Arial"/>
      <family val="2"/>
      <scheme val="minor"/>
    </font>
    <font>
      <sz val="10"/>
      <name val="Arial"/>
      <family val="2"/>
    </font>
    <font>
      <b/>
      <i/>
      <sz val="12"/>
      <color theme="1"/>
      <name val="Arial"/>
      <family val="2"/>
      <scheme val="minor"/>
    </font>
    <font>
      <sz val="10"/>
      <name val="Arial"/>
      <family val="1"/>
      <scheme val="minor"/>
    </font>
    <font>
      <b/>
      <sz val="10"/>
      <name val="Arial"/>
      <family val="1"/>
      <scheme val="minor"/>
    </font>
    <font>
      <b/>
      <i/>
      <sz val="10"/>
      <name val="Arial"/>
      <family val="1"/>
      <scheme val="minor"/>
    </font>
    <font>
      <sz val="10"/>
      <color theme="1"/>
      <name val="Arial"/>
      <family val="1"/>
      <scheme val="minor"/>
    </font>
    <font>
      <sz val="10"/>
      <name val="Arial"/>
      <family val="2"/>
      <scheme val="minor"/>
    </font>
    <font>
      <b/>
      <sz val="8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1"/>
      <scheme val="minor"/>
    </font>
    <font>
      <sz val="18"/>
      <color theme="3"/>
      <name val="Arial"/>
      <family val="2"/>
      <scheme val="major"/>
    </font>
    <font>
      <b/>
      <sz val="12"/>
      <name val="Arial"/>
      <family val="2"/>
      <scheme val="major"/>
    </font>
    <font>
      <sz val="16"/>
      <name val="Arial"/>
      <family val="2"/>
      <scheme val="major"/>
    </font>
    <font>
      <sz val="11"/>
      <name val="Arial"/>
      <family val="2"/>
      <scheme val="minor"/>
    </font>
    <font>
      <sz val="20"/>
      <color theme="1" tint="0.24994659260841701"/>
      <name val="Arial"/>
      <family val="2"/>
      <scheme val="minor"/>
    </font>
    <font>
      <sz val="14"/>
      <color theme="1" tint="0.24994659260841701"/>
      <name val="Arial"/>
      <family val="2"/>
      <scheme val="minor"/>
    </font>
    <font>
      <sz val="18"/>
      <color theme="1" tint="0.24994659260841701"/>
      <name val="Arial"/>
      <family val="2"/>
      <scheme val="minor"/>
    </font>
    <font>
      <b/>
      <sz val="11"/>
      <color theme="1" tint="0.24994659260841701"/>
      <name val="Arial"/>
      <family val="2"/>
      <scheme val="minor"/>
    </font>
    <font>
      <b/>
      <sz val="24"/>
      <color theme="1" tint="4.9989318521683403E-2"/>
      <name val="Arial"/>
      <family val="2"/>
      <scheme val="minor"/>
    </font>
    <font>
      <b/>
      <i/>
      <sz val="20"/>
      <color theme="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 Black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/>
        <bgColor theme="5"/>
      </patternFill>
    </fill>
    <fill>
      <patternFill patternType="solid">
        <f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 style="mediumDashed">
        <color rgb="FFFFFF0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Dashed">
        <color rgb="FFFFFF00"/>
      </bottom>
      <diagonal/>
    </border>
    <border>
      <left/>
      <right/>
      <top/>
      <bottom style="mediumDashed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theme="0" tint="-0.14996795556505021"/>
      </bottom>
      <diagonal/>
    </border>
    <border>
      <left/>
      <right style="medium">
        <color rgb="FFFFFF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FF00"/>
      </right>
      <top style="thin">
        <color theme="0" tint="-0.14996795556505021"/>
      </top>
      <bottom style="medium">
        <color rgb="FFFFFF00"/>
      </bottom>
      <diagonal/>
    </border>
    <border>
      <left/>
      <right style="mediumDashed">
        <color rgb="FFFFFF00"/>
      </right>
      <top style="mediumDashed">
        <color rgb="FFFFFF00"/>
      </top>
      <bottom style="thin">
        <color theme="0" tint="-0.24994659260841701"/>
      </bottom>
      <diagonal/>
    </border>
    <border>
      <left/>
      <right style="mediumDashed">
        <color rgb="FFFFFF00"/>
      </right>
      <top/>
      <bottom style="thin">
        <color theme="0" tint="-0.24994659260841701"/>
      </bottom>
      <diagonal/>
    </border>
    <border>
      <left/>
      <right style="mediumDashed">
        <color rgb="FFFFFF00"/>
      </right>
      <top/>
      <bottom style="mediumDashed">
        <color rgb="FFFFFF00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7" borderId="0" applyNumberFormat="0" applyAlignment="0" applyProtection="0"/>
    <xf numFmtId="0" fontId="3" fillId="8" borderId="0" applyNumberFormat="0" applyAlignment="0" applyProtection="0"/>
    <xf numFmtId="0" fontId="6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165" fontId="5" fillId="0" borderId="0" applyBorder="0">
      <alignment horizontal="left" vertical="center"/>
    </xf>
    <xf numFmtId="164" fontId="5" fillId="0" borderId="3">
      <alignment horizontal="left" vertical="center"/>
    </xf>
    <xf numFmtId="165" fontId="4" fillId="0" borderId="0">
      <alignment horizontal="left" vertical="center"/>
    </xf>
    <xf numFmtId="0" fontId="6" fillId="2" borderId="5">
      <alignment horizontal="left" wrapText="1" indent="1"/>
    </xf>
    <xf numFmtId="0" fontId="9" fillId="0" borderId="0"/>
    <xf numFmtId="44" fontId="13" fillId="0" borderId="0" applyFont="0" applyFill="0" applyBorder="0" applyAlignment="0" applyProtection="0"/>
    <xf numFmtId="0" fontId="13" fillId="0" borderId="0"/>
    <xf numFmtId="0" fontId="1" fillId="0" borderId="0"/>
    <xf numFmtId="0" fontId="24" fillId="0" borderId="0" applyNumberFormat="0" applyFill="0" applyBorder="0" applyAlignment="0" applyProtection="0"/>
  </cellStyleXfs>
  <cellXfs count="226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3" borderId="0" xfId="0" applyFill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2" fillId="0" borderId="0" xfId="2" applyAlignment="1">
      <alignment horizontal="left"/>
    </xf>
    <xf numFmtId="165" fontId="5" fillId="3" borderId="0" xfId="7" applyFill="1">
      <alignment horizontal="left" vertical="center"/>
    </xf>
    <xf numFmtId="164" fontId="5" fillId="3" borderId="3" xfId="8" applyFill="1">
      <alignment horizontal="left" vertical="center"/>
    </xf>
    <xf numFmtId="165" fontId="4" fillId="3" borderId="0" xfId="9" applyFill="1">
      <alignment horizontal="left" vertical="center"/>
    </xf>
    <xf numFmtId="165" fontId="4" fillId="4" borderId="0" xfId="9" applyFill="1">
      <alignment horizontal="left" vertical="center"/>
    </xf>
    <xf numFmtId="165" fontId="5" fillId="4" borderId="0" xfId="7" applyFill="1">
      <alignment horizontal="left" vertical="center"/>
    </xf>
    <xf numFmtId="164" fontId="5" fillId="4" borderId="3" xfId="8" applyFill="1">
      <alignment horizontal="left" vertical="center"/>
    </xf>
    <xf numFmtId="0" fontId="0" fillId="2" borderId="5" xfId="5" applyFont="1">
      <alignment horizontal="right" wrapText="1" indent="1"/>
    </xf>
    <xf numFmtId="0" fontId="6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0" fillId="13" borderId="2" xfId="0" applyFill="1" applyBorder="1" applyAlignment="1">
      <alignment horizontal="left" vertical="center" indent="1"/>
    </xf>
    <xf numFmtId="0" fontId="9" fillId="0" borderId="0" xfId="11"/>
    <xf numFmtId="0" fontId="11" fillId="0" borderId="0" xfId="11" applyFont="1"/>
    <xf numFmtId="0" fontId="9" fillId="14" borderId="0" xfId="11" applyFill="1"/>
    <xf numFmtId="166" fontId="9" fillId="0" borderId="0" xfId="11" applyNumberFormat="1"/>
    <xf numFmtId="0" fontId="9" fillId="0" borderId="0" xfId="11" applyAlignment="1">
      <alignment wrapText="1"/>
    </xf>
    <xf numFmtId="0" fontId="9" fillId="14" borderId="0" xfId="11" applyFill="1" applyAlignment="1">
      <alignment horizontal="center"/>
    </xf>
    <xf numFmtId="0" fontId="11" fillId="14" borderId="0" xfId="11" applyFont="1" applyFill="1"/>
    <xf numFmtId="17" fontId="9" fillId="0" borderId="0" xfId="11" applyNumberFormat="1" applyAlignment="1">
      <alignment wrapText="1"/>
    </xf>
    <xf numFmtId="14" fontId="13" fillId="0" borderId="0" xfId="12" applyNumberFormat="1" applyAlignment="1">
      <alignment horizontal="center"/>
    </xf>
    <xf numFmtId="4" fontId="13" fillId="0" borderId="0" xfId="13" applyNumberFormat="1" applyAlignment="1">
      <alignment wrapText="1"/>
    </xf>
    <xf numFmtId="0" fontId="13" fillId="0" borderId="0" xfId="13" applyAlignment="1">
      <alignment horizontal="left"/>
    </xf>
    <xf numFmtId="0" fontId="9" fillId="6" borderId="0" xfId="11" applyFill="1"/>
    <xf numFmtId="0" fontId="9" fillId="6" borderId="0" xfId="11" applyFill="1" applyAlignment="1">
      <alignment wrapText="1"/>
    </xf>
    <xf numFmtId="166" fontId="9" fillId="6" borderId="0" xfId="11" applyNumberFormat="1" applyFill="1"/>
    <xf numFmtId="15" fontId="9" fillId="0" borderId="0" xfId="11" applyNumberFormat="1" applyAlignment="1">
      <alignment wrapText="1"/>
    </xf>
    <xf numFmtId="8" fontId="9" fillId="0" borderId="0" xfId="11" applyNumberFormat="1"/>
    <xf numFmtId="44" fontId="13" fillId="0" borderId="0" xfId="12" applyAlignment="1">
      <alignment horizontal="center"/>
    </xf>
    <xf numFmtId="0" fontId="9" fillId="0" borderId="0" xfId="11" applyAlignment="1">
      <alignment horizontal="center" wrapText="1"/>
    </xf>
    <xf numFmtId="166" fontId="14" fillId="0" borderId="0" xfId="11" applyNumberFormat="1" applyFont="1"/>
    <xf numFmtId="44" fontId="0" fillId="0" borderId="0" xfId="12" applyFont="1"/>
    <xf numFmtId="4" fontId="13" fillId="0" borderId="0" xfId="13" applyNumberFormat="1" applyAlignment="1">
      <alignment horizontal="right" wrapText="1"/>
    </xf>
    <xf numFmtId="0" fontId="1" fillId="0" borderId="0" xfId="14"/>
    <xf numFmtId="167" fontId="1" fillId="0" borderId="0" xfId="14" applyNumberFormat="1" applyAlignment="1">
      <alignment vertical="center" wrapText="1"/>
    </xf>
    <xf numFmtId="0" fontId="1" fillId="0" borderId="0" xfId="14" applyAlignment="1">
      <alignment vertical="center" wrapText="1"/>
    </xf>
    <xf numFmtId="0" fontId="15" fillId="0" borderId="0" xfId="14" applyFont="1" applyAlignment="1">
      <alignment vertical="center" wrapText="1"/>
    </xf>
    <xf numFmtId="168" fontId="15" fillId="0" borderId="0" xfId="14" applyNumberFormat="1" applyFont="1" applyAlignment="1">
      <alignment vertical="center" wrapText="1"/>
    </xf>
    <xf numFmtId="0" fontId="16" fillId="0" borderId="0" xfId="14" applyFont="1" applyAlignment="1">
      <alignment horizontal="center" vertical="center" wrapText="1"/>
    </xf>
    <xf numFmtId="0" fontId="16" fillId="0" borderId="0" xfId="14" applyFont="1" applyAlignment="1">
      <alignment vertical="center" wrapText="1"/>
    </xf>
    <xf numFmtId="0" fontId="18" fillId="0" borderId="0" xfId="14" applyFont="1" applyAlignment="1">
      <alignment vertical="center" wrapText="1"/>
    </xf>
    <xf numFmtId="168" fontId="15" fillId="10" borderId="0" xfId="14" applyNumberFormat="1" applyFont="1" applyFill="1" applyAlignment="1">
      <alignment vertical="center" wrapText="1"/>
    </xf>
    <xf numFmtId="0" fontId="15" fillId="10" borderId="0" xfId="14" applyFont="1" applyFill="1" applyAlignment="1">
      <alignment vertical="center" wrapText="1"/>
    </xf>
    <xf numFmtId="0" fontId="16" fillId="0" borderId="0" xfId="14" applyFont="1" applyAlignment="1">
      <alignment horizontal="left" vertical="center" wrapText="1"/>
    </xf>
    <xf numFmtId="168" fontId="15" fillId="15" borderId="0" xfId="14" applyNumberFormat="1" applyFont="1" applyFill="1" applyAlignment="1">
      <alignment vertical="center" wrapText="1"/>
    </xf>
    <xf numFmtId="0" fontId="15" fillId="0" borderId="0" xfId="14" applyFont="1" applyAlignment="1">
      <alignment horizontal="center" vertical="center" wrapText="1"/>
    </xf>
    <xf numFmtId="0" fontId="1" fillId="0" borderId="0" xfId="14" applyAlignment="1">
      <alignment vertical="center"/>
    </xf>
    <xf numFmtId="167" fontId="20" fillId="9" borderId="6" xfId="14" applyNumberFormat="1" applyFont="1" applyFill="1" applyBorder="1" applyAlignment="1">
      <alignment vertical="center" wrapText="1"/>
    </xf>
    <xf numFmtId="0" fontId="21" fillId="16" borderId="7" xfId="14" applyFont="1" applyFill="1" applyBorder="1" applyAlignment="1">
      <alignment horizontal="left" vertical="center" wrapText="1"/>
    </xf>
    <xf numFmtId="167" fontId="20" fillId="9" borderId="8" xfId="14" applyNumberFormat="1" applyFont="1" applyFill="1" applyBorder="1" applyAlignment="1">
      <alignment vertical="center" wrapText="1"/>
    </xf>
    <xf numFmtId="0" fontId="21" fillId="16" borderId="9" xfId="14" applyFont="1" applyFill="1" applyBorder="1" applyAlignment="1">
      <alignment horizontal="left" vertical="center" wrapText="1"/>
    </xf>
    <xf numFmtId="167" fontId="20" fillId="9" borderId="10" xfId="14" applyNumberFormat="1" applyFont="1" applyFill="1" applyBorder="1" applyAlignment="1">
      <alignment vertical="center" wrapText="1"/>
    </xf>
    <xf numFmtId="0" fontId="21" fillId="16" borderId="11" xfId="14" applyFont="1" applyFill="1" applyBorder="1" applyAlignment="1">
      <alignment horizontal="left" vertical="center" wrapText="1"/>
    </xf>
    <xf numFmtId="0" fontId="22" fillId="0" borderId="0" xfId="14" applyFont="1" applyAlignment="1">
      <alignment vertical="center" wrapText="1"/>
    </xf>
    <xf numFmtId="167" fontId="22" fillId="9" borderId="6" xfId="14" applyNumberFormat="1" applyFont="1" applyFill="1" applyBorder="1" applyAlignment="1">
      <alignment vertical="center" wrapText="1"/>
    </xf>
    <xf numFmtId="0" fontId="20" fillId="9" borderId="7" xfId="14" applyFont="1" applyFill="1" applyBorder="1" applyAlignment="1">
      <alignment horizontal="left" vertical="center" wrapText="1"/>
    </xf>
    <xf numFmtId="167" fontId="22" fillId="9" borderId="8" xfId="14" applyNumberFormat="1" applyFont="1" applyFill="1" applyBorder="1" applyAlignment="1">
      <alignment vertical="center" wrapText="1"/>
    </xf>
    <xf numFmtId="0" fontId="20" fillId="9" borderId="9" xfId="14" applyFont="1" applyFill="1" applyBorder="1" applyAlignment="1">
      <alignment horizontal="left" vertical="center" wrapText="1"/>
    </xf>
    <xf numFmtId="6" fontId="1" fillId="0" borderId="0" xfId="14" applyNumberFormat="1"/>
    <xf numFmtId="167" fontId="1" fillId="0" borderId="0" xfId="14" applyNumberFormat="1"/>
    <xf numFmtId="0" fontId="20" fillId="9" borderId="12" xfId="14" applyFont="1" applyFill="1" applyBorder="1" applyAlignment="1">
      <alignment horizontal="left" vertical="center" wrapText="1"/>
    </xf>
    <xf numFmtId="167" fontId="22" fillId="15" borderId="8" xfId="14" applyNumberFormat="1" applyFont="1" applyFill="1" applyBorder="1" applyAlignment="1">
      <alignment vertical="center" wrapText="1"/>
    </xf>
    <xf numFmtId="168" fontId="23" fillId="10" borderId="0" xfId="14" applyNumberFormat="1" applyFont="1" applyFill="1" applyAlignment="1">
      <alignment vertical="center" wrapText="1"/>
    </xf>
    <xf numFmtId="0" fontId="22" fillId="0" borderId="0" xfId="14" applyFont="1" applyAlignment="1">
      <alignment horizontal="left" vertical="center" wrapText="1"/>
    </xf>
    <xf numFmtId="0" fontId="23" fillId="0" borderId="0" xfId="14" applyFont="1" applyAlignment="1">
      <alignment vertical="center" wrapText="1"/>
    </xf>
    <xf numFmtId="167" fontId="20" fillId="9" borderId="13" xfId="14" applyNumberFormat="1" applyFont="1" applyFill="1" applyBorder="1" applyAlignment="1">
      <alignment vertical="center" wrapText="1"/>
    </xf>
    <xf numFmtId="0" fontId="20" fillId="9" borderId="7" xfId="14" applyFont="1" applyFill="1" applyBorder="1" applyAlignment="1">
      <alignment vertical="center" wrapText="1"/>
    </xf>
    <xf numFmtId="0" fontId="21" fillId="16" borderId="10" xfId="14" applyFont="1" applyFill="1" applyBorder="1" applyAlignment="1">
      <alignment horizontal="right" vertical="center" wrapText="1"/>
    </xf>
    <xf numFmtId="0" fontId="21" fillId="16" borderId="14" xfId="14" applyFont="1" applyFill="1" applyBorder="1" applyAlignment="1">
      <alignment horizontal="right" vertical="center" wrapText="1"/>
    </xf>
    <xf numFmtId="0" fontId="25" fillId="17" borderId="0" xfId="15" applyFont="1" applyFill="1" applyAlignment="1">
      <alignment horizontal="left" wrapText="1"/>
    </xf>
    <xf numFmtId="0" fontId="0" fillId="19" borderId="2" xfId="0" applyFill="1" applyBorder="1" applyAlignment="1">
      <alignment horizontal="left" vertical="center" indent="1"/>
    </xf>
    <xf numFmtId="0" fontId="0" fillId="3" borderId="16" xfId="0" applyFill="1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13" borderId="16" xfId="0" applyFill="1" applyBorder="1" applyAlignment="1">
      <alignment horizontal="left" vertical="center" indent="1"/>
    </xf>
    <xf numFmtId="0" fontId="0" fillId="3" borderId="17" xfId="0" applyFill="1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18" borderId="16" xfId="0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0" fillId="1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5" borderId="0" xfId="0" applyFill="1" applyAlignment="1">
      <alignment horizontal="center" vertical="center"/>
    </xf>
    <xf numFmtId="0" fontId="8" fillId="13" borderId="2" xfId="0" applyFont="1" applyFill="1" applyBorder="1" applyAlignment="1">
      <alignment horizontal="left" vertical="center" indent="1"/>
    </xf>
    <xf numFmtId="0" fontId="0" fillId="13" borderId="17" xfId="0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0" fillId="13" borderId="16" xfId="0" applyFill="1" applyBorder="1" applyAlignment="1">
      <alignment horizontal="left" vertical="center" wrapText="1" indent="1"/>
    </xf>
    <xf numFmtId="0" fontId="0" fillId="0" borderId="16" xfId="0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28" fillId="5" borderId="19" xfId="0" applyFont="1" applyFill="1" applyBorder="1" applyAlignment="1">
      <alignment vertical="center"/>
    </xf>
    <xf numFmtId="0" fontId="28" fillId="5" borderId="19" xfId="0" applyFont="1" applyFill="1" applyBorder="1" applyAlignment="1">
      <alignment horizontal="center" vertical="center"/>
    </xf>
    <xf numFmtId="165" fontId="5" fillId="20" borderId="0" xfId="7" applyFill="1">
      <alignment horizontal="left" vertical="center"/>
    </xf>
    <xf numFmtId="164" fontId="5" fillId="20" borderId="3" xfId="8" applyFill="1">
      <alignment horizontal="left" vertical="center"/>
    </xf>
    <xf numFmtId="0" fontId="27" fillId="0" borderId="2" xfId="0" applyFont="1" applyBorder="1" applyAlignment="1">
      <alignment horizontal="left" vertical="center" indent="1"/>
    </xf>
    <xf numFmtId="0" fontId="0" fillId="2" borderId="0" xfId="5" applyFont="1" applyBorder="1">
      <alignment horizontal="right" wrapText="1" indent="1"/>
    </xf>
    <xf numFmtId="0" fontId="6" fillId="2" borderId="0" xfId="10" applyBorder="1">
      <alignment horizontal="left" wrapText="1" indent="1"/>
    </xf>
    <xf numFmtId="0" fontId="0" fillId="19" borderId="17" xfId="0" applyFill="1" applyBorder="1" applyAlignment="1">
      <alignment horizontal="left" vertical="center" indent="1"/>
    </xf>
    <xf numFmtId="0" fontId="0" fillId="3" borderId="27" xfId="0" applyFill="1" applyBorder="1" applyAlignment="1">
      <alignment horizontal="left" vertical="center" indent="1"/>
    </xf>
    <xf numFmtId="0" fontId="0" fillId="0" borderId="27" xfId="0" applyBorder="1" applyAlignment="1">
      <alignment horizontal="left" vertical="center" indent="1"/>
    </xf>
    <xf numFmtId="0" fontId="8" fillId="13" borderId="27" xfId="0" applyFont="1" applyFill="1" applyBorder="1" applyAlignment="1">
      <alignment horizontal="left" vertical="center" indent="1"/>
    </xf>
    <xf numFmtId="0" fontId="8" fillId="3" borderId="27" xfId="0" applyFont="1" applyFill="1" applyBorder="1" applyAlignment="1">
      <alignment horizontal="left" vertical="center" indent="1"/>
    </xf>
    <xf numFmtId="0" fontId="0" fillId="0" borderId="28" xfId="0" applyBorder="1" applyAlignment="1">
      <alignment horizontal="left" vertical="center" indent="1"/>
    </xf>
    <xf numFmtId="0" fontId="0" fillId="3" borderId="28" xfId="0" applyFill="1" applyBorder="1" applyAlignment="1">
      <alignment horizontal="left" vertical="center" indent="1"/>
    </xf>
    <xf numFmtId="0" fontId="27" fillId="0" borderId="28" xfId="0" applyFont="1" applyBorder="1" applyAlignment="1">
      <alignment horizontal="left" vertical="center" indent="1"/>
    </xf>
    <xf numFmtId="0" fontId="8" fillId="13" borderId="28" xfId="0" applyFont="1" applyFill="1" applyBorder="1" applyAlignment="1">
      <alignment horizontal="left" vertical="center" indent="1"/>
    </xf>
    <xf numFmtId="0" fontId="8" fillId="3" borderId="28" xfId="0" applyFont="1" applyFill="1" applyBorder="1" applyAlignment="1">
      <alignment horizontal="left" vertical="center" indent="1"/>
    </xf>
    <xf numFmtId="0" fontId="0" fillId="3" borderId="30" xfId="0" applyFill="1" applyBorder="1" applyAlignment="1">
      <alignment horizontal="left" vertical="center" indent="1"/>
    </xf>
    <xf numFmtId="0" fontId="0" fillId="3" borderId="31" xfId="0" applyFill="1" applyBorder="1" applyAlignment="1">
      <alignment horizontal="left" vertical="center" indent="1"/>
    </xf>
    <xf numFmtId="0" fontId="0" fillId="3" borderId="32" xfId="0" applyFill="1" applyBorder="1" applyAlignment="1">
      <alignment horizontal="left" vertical="center" indent="1"/>
    </xf>
    <xf numFmtId="0" fontId="6" fillId="2" borderId="33" xfId="10" applyBorder="1">
      <alignment horizontal="left" wrapText="1" indent="1"/>
    </xf>
    <xf numFmtId="0" fontId="6" fillId="2" borderId="34" xfId="10" applyBorder="1">
      <alignment horizontal="left" wrapText="1" indent="1"/>
    </xf>
    <xf numFmtId="0" fontId="6" fillId="2" borderId="35" xfId="10" applyBorder="1">
      <alignment horizontal="left" wrapText="1" indent="1"/>
    </xf>
    <xf numFmtId="0" fontId="0" fillId="21" borderId="36" xfId="0" applyFill="1" applyBorder="1" applyAlignment="1">
      <alignment horizontal="left" vertical="center" indent="1"/>
    </xf>
    <xf numFmtId="0" fontId="8" fillId="13" borderId="36" xfId="0" applyFont="1" applyFill="1" applyBorder="1" applyAlignment="1">
      <alignment horizontal="left" vertical="center" indent="1"/>
    </xf>
    <xf numFmtId="0" fontId="27" fillId="19" borderId="36" xfId="0" applyFont="1" applyFill="1" applyBorder="1" applyAlignment="1">
      <alignment horizontal="left" vertical="center" indent="1"/>
    </xf>
    <xf numFmtId="0" fontId="0" fillId="13" borderId="36" xfId="0" applyFill="1" applyBorder="1" applyAlignment="1">
      <alignment horizontal="left" vertical="center" indent="1"/>
    </xf>
    <xf numFmtId="0" fontId="8" fillId="0" borderId="29" xfId="0" applyFont="1" applyBorder="1" applyAlignment="1">
      <alignment horizontal="left" vertical="center" indent="1"/>
    </xf>
    <xf numFmtId="0" fontId="8" fillId="13" borderId="37" xfId="0" applyFont="1" applyFill="1" applyBorder="1" applyAlignment="1">
      <alignment horizontal="left" vertical="center" indent="1"/>
    </xf>
    <xf numFmtId="0" fontId="0" fillId="21" borderId="36" xfId="0" applyFill="1" applyBorder="1" applyAlignment="1">
      <alignment horizontal="center" vertical="center"/>
    </xf>
    <xf numFmtId="0" fontId="8" fillId="4" borderId="17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29" fillId="0" borderId="36" xfId="0" applyFont="1" applyBorder="1" applyAlignment="1">
      <alignment horizontal="left" vertical="center" indent="1"/>
    </xf>
    <xf numFmtId="0" fontId="29" fillId="0" borderId="36" xfId="0" applyFont="1" applyBorder="1">
      <alignment vertical="center" wrapText="1"/>
    </xf>
    <xf numFmtId="0" fontId="30" fillId="2" borderId="36" xfId="10" applyFont="1" applyBorder="1">
      <alignment horizontal="left" wrapText="1" indent="1"/>
    </xf>
    <xf numFmtId="0" fontId="30" fillId="2" borderId="37" xfId="10" applyFont="1" applyBorder="1">
      <alignment horizontal="left" wrapText="1" indent="1"/>
    </xf>
    <xf numFmtId="0" fontId="28" fillId="5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31" fillId="0" borderId="21" xfId="0" applyFont="1" applyBorder="1">
      <alignment vertical="center" wrapText="1"/>
    </xf>
    <xf numFmtId="14" fontId="31" fillId="2" borderId="21" xfId="0" applyNumberFormat="1" applyFont="1" applyFill="1" applyBorder="1" applyAlignment="1">
      <alignment horizontal="center" vertical="center"/>
    </xf>
    <xf numFmtId="0" fontId="28" fillId="11" borderId="15" xfId="0" applyFont="1" applyFill="1" applyBorder="1" applyAlignment="1">
      <alignment vertical="center"/>
    </xf>
    <xf numFmtId="0" fontId="29" fillId="23" borderId="0" xfId="0" applyFont="1" applyFill="1" applyAlignment="1">
      <alignment horizontal="center" vertical="center" wrapText="1"/>
    </xf>
    <xf numFmtId="0" fontId="29" fillId="23" borderId="5" xfId="5" applyFont="1" applyFill="1">
      <alignment horizontal="right" wrapText="1" indent="1"/>
    </xf>
    <xf numFmtId="0" fontId="0" fillId="0" borderId="44" xfId="0" applyBorder="1" applyAlignment="1">
      <alignment horizontal="left" vertical="center" indent="1"/>
    </xf>
    <xf numFmtId="0" fontId="0" fillId="3" borderId="44" xfId="0" applyFill="1" applyBorder="1" applyAlignment="1">
      <alignment horizontal="left" vertical="center" indent="1"/>
    </xf>
    <xf numFmtId="0" fontId="0" fillId="13" borderId="15" xfId="0" applyFill="1" applyBorder="1" applyAlignment="1">
      <alignment horizontal="left" vertical="center" indent="1"/>
    </xf>
    <xf numFmtId="0" fontId="33" fillId="0" borderId="0" xfId="5" applyFont="1" applyFill="1" applyBorder="1" applyAlignment="1">
      <alignment vertical="center" wrapText="1"/>
    </xf>
    <xf numFmtId="0" fontId="33" fillId="0" borderId="5" xfId="5" applyFont="1" applyFill="1" applyAlignment="1">
      <alignment vertical="center" wrapText="1"/>
    </xf>
    <xf numFmtId="0" fontId="0" fillId="24" borderId="0" xfId="0" applyFill="1" applyAlignment="1">
      <alignment horizontal="center" wrapText="1"/>
    </xf>
    <xf numFmtId="0" fontId="31" fillId="13" borderId="2" xfId="0" applyFont="1" applyFill="1" applyBorder="1" applyAlignment="1">
      <alignment horizontal="left" vertical="center" wrapText="1" indent="1"/>
    </xf>
    <xf numFmtId="164" fontId="5" fillId="20" borderId="0" xfId="8" applyFill="1" applyBorder="1">
      <alignment horizontal="left" vertical="center"/>
    </xf>
    <xf numFmtId="0" fontId="0" fillId="13" borderId="0" xfId="0" applyFill="1" applyAlignment="1">
      <alignment horizontal="left" vertical="center" wrapText="1" indent="1"/>
    </xf>
    <xf numFmtId="9" fontId="0" fillId="3" borderId="36" xfId="0" applyNumberFormat="1" applyFill="1" applyBorder="1" applyAlignment="1">
      <alignment horizontal="left" vertical="center" indent="1"/>
    </xf>
    <xf numFmtId="0" fontId="36" fillId="9" borderId="9" xfId="14" applyFont="1" applyFill="1" applyBorder="1" applyAlignment="1">
      <alignment horizontal="left" vertical="center" wrapText="1"/>
    </xf>
    <xf numFmtId="167" fontId="27" fillId="9" borderId="8" xfId="14" applyNumberFormat="1" applyFont="1" applyFill="1" applyBorder="1" applyAlignment="1">
      <alignment vertical="center" wrapText="1"/>
    </xf>
    <xf numFmtId="0" fontId="36" fillId="9" borderId="7" xfId="14" applyFont="1" applyFill="1" applyBorder="1" applyAlignment="1">
      <alignment horizontal="left" vertical="center" wrapText="1"/>
    </xf>
    <xf numFmtId="0" fontId="36" fillId="9" borderId="12" xfId="14" applyFont="1" applyFill="1" applyBorder="1" applyAlignment="1">
      <alignment horizontal="left" vertical="center" wrapText="1"/>
    </xf>
    <xf numFmtId="0" fontId="38" fillId="9" borderId="9" xfId="14" applyFont="1" applyFill="1" applyBorder="1" applyAlignment="1">
      <alignment horizontal="left" vertical="center" wrapText="1"/>
    </xf>
    <xf numFmtId="167" fontId="39" fillId="9" borderId="8" xfId="14" applyNumberFormat="1" applyFont="1" applyFill="1" applyBorder="1" applyAlignment="1">
      <alignment vertical="center" wrapText="1"/>
    </xf>
    <xf numFmtId="0" fontId="38" fillId="9" borderId="7" xfId="14" applyFont="1" applyFill="1" applyBorder="1" applyAlignment="1">
      <alignment horizontal="left" vertical="center" wrapText="1"/>
    </xf>
    <xf numFmtId="167" fontId="39" fillId="9" borderId="6" xfId="14" applyNumberFormat="1" applyFont="1" applyFill="1" applyBorder="1" applyAlignment="1">
      <alignment vertical="center" wrapText="1"/>
    </xf>
    <xf numFmtId="0" fontId="39" fillId="0" borderId="0" xfId="14" applyFont="1" applyAlignment="1">
      <alignment horizontal="left" vertical="center" wrapText="1"/>
    </xf>
    <xf numFmtId="0" fontId="39" fillId="0" borderId="0" xfId="14" applyFont="1" applyAlignment="1">
      <alignment vertical="center" wrapText="1"/>
    </xf>
    <xf numFmtId="167" fontId="39" fillId="15" borderId="8" xfId="14" applyNumberFormat="1" applyFont="1" applyFill="1" applyBorder="1" applyAlignment="1">
      <alignment vertical="center" wrapText="1"/>
    </xf>
    <xf numFmtId="167" fontId="38" fillId="9" borderId="10" xfId="14" applyNumberFormat="1" applyFont="1" applyFill="1" applyBorder="1" applyAlignment="1">
      <alignment vertical="center" wrapText="1"/>
    </xf>
    <xf numFmtId="0" fontId="37" fillId="16" borderId="9" xfId="14" applyFont="1" applyFill="1" applyBorder="1" applyAlignment="1">
      <alignment horizontal="left" vertical="center" wrapText="1"/>
    </xf>
    <xf numFmtId="167" fontId="38" fillId="9" borderId="8" xfId="14" applyNumberFormat="1" applyFont="1" applyFill="1" applyBorder="1" applyAlignment="1">
      <alignment vertical="center" wrapText="1"/>
    </xf>
    <xf numFmtId="0" fontId="37" fillId="16" borderId="7" xfId="14" applyFont="1" applyFill="1" applyBorder="1" applyAlignment="1">
      <alignment horizontal="left" vertical="center" wrapText="1"/>
    </xf>
    <xf numFmtId="167" fontId="38" fillId="9" borderId="6" xfId="14" applyNumberFormat="1" applyFont="1" applyFill="1" applyBorder="1" applyAlignment="1">
      <alignment vertical="center" wrapText="1"/>
    </xf>
    <xf numFmtId="0" fontId="40" fillId="16" borderId="11" xfId="14" applyFont="1" applyFill="1" applyBorder="1" applyAlignment="1">
      <alignment horizontal="left" vertical="center" wrapText="1"/>
    </xf>
    <xf numFmtId="44" fontId="41" fillId="0" borderId="0" xfId="14" applyNumberFormat="1" applyFont="1" applyAlignment="1">
      <alignment wrapText="1"/>
    </xf>
    <xf numFmtId="44" fontId="42" fillId="0" borderId="0" xfId="14" applyNumberFormat="1" applyFont="1" applyAlignment="1">
      <alignment wrapText="1"/>
    </xf>
    <xf numFmtId="44" fontId="41" fillId="0" borderId="0" xfId="0" applyNumberFormat="1" applyFont="1" applyAlignment="1">
      <alignment wrapText="1"/>
    </xf>
    <xf numFmtId="44" fontId="41" fillId="0" borderId="48" xfId="14" applyNumberFormat="1" applyFont="1" applyBorder="1" applyAlignment="1">
      <alignment wrapText="1"/>
    </xf>
    <xf numFmtId="44" fontId="41" fillId="0" borderId="49" xfId="14" applyNumberFormat="1" applyFont="1" applyBorder="1" applyAlignment="1">
      <alignment wrapText="1"/>
    </xf>
    <xf numFmtId="44" fontId="42" fillId="0" borderId="45" xfId="14" applyNumberFormat="1" applyFont="1" applyBorder="1" applyAlignment="1">
      <alignment wrapText="1"/>
    </xf>
    <xf numFmtId="44" fontId="42" fillId="0" borderId="46" xfId="14" applyNumberFormat="1" applyFont="1" applyBorder="1" applyAlignment="1">
      <alignment wrapText="1"/>
    </xf>
    <xf numFmtId="44" fontId="42" fillId="0" borderId="47" xfId="14" applyNumberFormat="1" applyFont="1" applyBorder="1" applyAlignment="1">
      <alignment wrapTex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7" fillId="0" borderId="0" xfId="1" applyAlignment="1">
      <alignment horizontal="left" indent="1"/>
    </xf>
    <xf numFmtId="0" fontId="32" fillId="22" borderId="23" xfId="4" applyFont="1" applyFill="1" applyBorder="1" applyAlignment="1">
      <alignment horizontal="center" vertical="center"/>
    </xf>
    <xf numFmtId="0" fontId="32" fillId="22" borderId="24" xfId="4" applyFont="1" applyFill="1" applyBorder="1" applyAlignment="1">
      <alignment horizontal="center" vertical="center"/>
    </xf>
    <xf numFmtId="0" fontId="32" fillId="22" borderId="25" xfId="4" applyFont="1" applyFill="1" applyBorder="1" applyAlignment="1">
      <alignment horizontal="center" vertical="center"/>
    </xf>
    <xf numFmtId="14" fontId="2" fillId="0" borderId="1" xfId="6">
      <alignment horizontal="center"/>
    </xf>
    <xf numFmtId="0" fontId="32" fillId="22" borderId="23" xfId="3" applyFont="1" applyFill="1" applyBorder="1" applyAlignment="1">
      <alignment horizontal="center" vertical="center"/>
    </xf>
    <xf numFmtId="0" fontId="32" fillId="22" borderId="24" xfId="3" applyFont="1" applyFill="1" applyBorder="1" applyAlignment="1">
      <alignment horizontal="center" vertical="center"/>
    </xf>
    <xf numFmtId="0" fontId="32" fillId="22" borderId="25" xfId="3" applyFont="1" applyFill="1" applyBorder="1" applyAlignment="1">
      <alignment horizontal="center" vertical="center"/>
    </xf>
    <xf numFmtId="0" fontId="32" fillId="22" borderId="21" xfId="4" applyFont="1" applyFill="1" applyBorder="1" applyAlignment="1">
      <alignment horizontal="center" vertical="center"/>
    </xf>
    <xf numFmtId="0" fontId="32" fillId="22" borderId="21" xfId="3" applyFont="1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0" fontId="28" fillId="11" borderId="20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28" fillId="23" borderId="18" xfId="0" applyFont="1" applyFill="1" applyBorder="1" applyAlignment="1">
      <alignment horizontal="center" vertical="center"/>
    </xf>
    <xf numFmtId="0" fontId="28" fillId="23" borderId="19" xfId="0" applyFont="1" applyFill="1" applyBorder="1" applyAlignment="1">
      <alignment horizontal="center" vertical="center"/>
    </xf>
    <xf numFmtId="0" fontId="28" fillId="23" borderId="20" xfId="0" applyFont="1" applyFill="1" applyBorder="1" applyAlignment="1">
      <alignment horizontal="center" vertical="center"/>
    </xf>
    <xf numFmtId="0" fontId="33" fillId="14" borderId="0" xfId="5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1" fillId="13" borderId="26" xfId="0" applyFont="1" applyFill="1" applyBorder="1" applyAlignment="1">
      <alignment horizontal="center" vertical="center" wrapText="1"/>
    </xf>
    <xf numFmtId="0" fontId="0" fillId="10" borderId="38" xfId="5" applyFont="1" applyFill="1" applyBorder="1" applyAlignment="1">
      <alignment horizontal="center" vertical="center" wrapText="1"/>
    </xf>
    <xf numFmtId="0" fontId="0" fillId="10" borderId="39" xfId="5" applyFont="1" applyFill="1" applyBorder="1" applyAlignment="1">
      <alignment horizontal="center" vertical="center" wrapText="1"/>
    </xf>
    <xf numFmtId="0" fontId="0" fillId="10" borderId="40" xfId="5" applyFont="1" applyFill="1" applyBorder="1" applyAlignment="1">
      <alignment horizontal="center" vertical="center" wrapText="1"/>
    </xf>
    <xf numFmtId="0" fontId="17" fillId="0" borderId="0" xfId="14" applyFont="1" applyAlignment="1">
      <alignment vertical="center" wrapText="1"/>
    </xf>
    <xf numFmtId="0" fontId="19" fillId="0" borderId="0" xfId="14" applyFont="1" applyAlignment="1">
      <alignment vertical="center" wrapText="1"/>
    </xf>
    <xf numFmtId="0" fontId="1" fillId="0" borderId="0" xfId="14" applyAlignment="1">
      <alignment vertical="center" wrapText="1"/>
    </xf>
    <xf numFmtId="0" fontId="26" fillId="17" borderId="0" xfId="15" applyFont="1" applyFill="1" applyAlignment="1">
      <alignment horizontal="left"/>
    </xf>
    <xf numFmtId="0" fontId="21" fillId="16" borderId="11" xfId="14" applyFont="1" applyFill="1" applyBorder="1" applyAlignment="1">
      <alignment horizontal="right" vertical="center" wrapText="1"/>
    </xf>
    <xf numFmtId="0" fontId="21" fillId="16" borderId="14" xfId="14" applyFont="1" applyFill="1" applyBorder="1" applyAlignment="1">
      <alignment horizontal="right" vertical="center" wrapText="1"/>
    </xf>
    <xf numFmtId="0" fontId="21" fillId="16" borderId="11" xfId="14" applyFont="1" applyFill="1" applyBorder="1" applyAlignment="1">
      <alignment horizontal="left" vertical="center" wrapText="1"/>
    </xf>
    <xf numFmtId="0" fontId="21" fillId="16" borderId="10" xfId="14" applyFont="1" applyFill="1" applyBorder="1" applyAlignment="1">
      <alignment horizontal="left" vertical="center" wrapText="1"/>
    </xf>
    <xf numFmtId="0" fontId="37" fillId="16" borderId="11" xfId="14" applyFont="1" applyFill="1" applyBorder="1" applyAlignment="1">
      <alignment horizontal="left" vertical="center" wrapText="1"/>
    </xf>
    <xf numFmtId="0" fontId="37" fillId="16" borderId="10" xfId="14" applyFont="1" applyFill="1" applyBorder="1" applyAlignment="1">
      <alignment horizontal="left" vertical="center" wrapText="1"/>
    </xf>
    <xf numFmtId="44" fontId="43" fillId="0" borderId="0" xfId="14" applyNumberFormat="1" applyFont="1" applyAlignment="1">
      <alignment horizontal="center" wrapText="1"/>
    </xf>
    <xf numFmtId="0" fontId="10" fillId="0" borderId="0" xfId="11" applyFont="1" applyAlignment="1">
      <alignment horizontal="center"/>
    </xf>
    <xf numFmtId="0" fontId="12" fillId="0" borderId="0" xfId="11" applyFont="1" applyAlignment="1">
      <alignment horizontal="center"/>
    </xf>
  </cellXfs>
  <cellStyles count="16">
    <cellStyle name="Currency 2" xfId="12" xr:uid="{CC3A9FC5-06C7-4E88-B6F6-6783D26BDEA4}"/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Normal 2" xfId="11" xr:uid="{D9D03684-9578-4131-909E-258DC7C78441}"/>
    <cellStyle name="Normal 3" xfId="13" xr:uid="{0C5AE331-0F3C-4ABB-9B08-BE3606E50966}"/>
    <cellStyle name="Normal 4" xfId="14" xr:uid="{6EAEE3AD-195E-400C-B235-33B26AE0B751}"/>
    <cellStyle name="Status" xfId="10" xr:uid="{00000000-0005-0000-0000-000008000000}"/>
    <cellStyle name="Title" xfId="1" builtinId="15" customBuiltin="1"/>
    <cellStyle name="Title 2" xfId="15" xr:uid="{9DA6C541-7E2A-4220-B6FA-20B2140C5555}"/>
    <cellStyle name="Weekday" xfId="7" xr:uid="{00000000-0005-0000-0000-00000A000000}"/>
  </cellStyles>
  <dxfs count="2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fill>
        <patternFill patternType="solid">
          <fgColor indexed="64"/>
          <bgColor theme="9" tint="0.3999755851924192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70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70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70" formatCode="\$#,##0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70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70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70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70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0" formatCode="General"/>
      <alignment vertical="center" textRotation="0" wrapText="0" relativeIndent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u val="none"/>
        <vertAlign val="baseline"/>
        <sz val="1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color auto="1"/>
        <name val="Arial"/>
        <scheme val="minor"/>
      </font>
      <alignment horizontal="general" vertical="center" textRotation="0" wrapText="0" relativeIndent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70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70" formatCode="\$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168" formatCode="&quot;$&quot;#,##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justifyLastLine="0" shrinkToFit="0" readingOrder="0"/>
    </dxf>
    <dxf>
      <numFmt numFmtId="169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Arial"/>
        <scheme val="minor"/>
      </font>
      <numFmt numFmtId="169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u val="none"/>
        <vertAlign val="baseline"/>
        <sz val="10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295"/>
      <tableStyleElement type="headerRow" dxfId="294"/>
      <tableStyleElement type="totalRow" dxfId="293"/>
      <tableStyleElement type="firstRowStripe" dxfId="292"/>
    </tableStyle>
  </tableStyles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fffiles.win.canberra.edu.au\Homes$\Users\s435389\Dropbox\Personal\Personal%20working%20computer%20files\Life%20dropbox%20sty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 grand plan"/>
      <sheetName val="Thesis Structure and task list"/>
      <sheetName val="Personal Budget"/>
      <sheetName val="Weekly plan"/>
      <sheetName val="Other work to do"/>
      <sheetName val="gym"/>
      <sheetName val="Sheet1"/>
    </sheetNames>
    <sheetDataSet>
      <sheetData sheetId="0"/>
      <sheetData sheetId="1"/>
      <sheetData sheetId="2">
        <row r="9">
          <cell r="B9">
            <v>1250</v>
          </cell>
        </row>
        <row r="12">
          <cell r="B12">
            <v>1050</v>
          </cell>
        </row>
      </sheetData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5E175-1398-40E7-BBE8-34C17D46C4BF}" name="Housing" displayName="Housing" ref="A6:D18" totalsRowCount="1" headerRowDxfId="290" dataDxfId="289" totalsRowDxfId="288">
  <autoFilter ref="A6:D17" xr:uid="{FF147557-5CA5-464B-90F0-8A6EDF15AD6F}"/>
  <tableColumns count="4">
    <tableColumn id="1" xr3:uid="{1EDD7174-684C-4D64-9E66-FED2D435026F}" name="Housing" totalsRowLabel="Total" dataDxfId="287" totalsRowDxfId="286"/>
    <tableColumn id="2" xr3:uid="{96A24A92-687E-429E-8D94-0F3D5E28A1A5}" name="Projected Cost" totalsRowFunction="sum" dataDxfId="285" totalsRowDxfId="284"/>
    <tableColumn id="3" xr3:uid="{EBB89560-1C97-4C84-A554-3175EACFB372}" name="Actual Cost" totalsRowFunction="sum" dataDxfId="283" totalsRowDxfId="282"/>
    <tableColumn id="4" xr3:uid="{432F3AA2-4814-4205-9050-78941E5AD717}" name="Difference" totalsRowFunction="sum" dataDxfId="281" totalsRowDxfId="280">
      <calculatedColumnFormula>Housing[Projected Cost]-Housing[Actual Cost]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471617-9CEB-4D9C-89F2-CF2983849A1C}" name="Taxes" displayName="Taxes" ref="F39:I44" totalsRowCount="1" headerRowDxfId="191" dataDxfId="190" totalsRowDxfId="189">
  <autoFilter ref="F39:I43" xr:uid="{778C4924-1FEE-48A3-A167-5E4BA4E527CF}"/>
  <tableColumns count="4">
    <tableColumn id="1" xr3:uid="{3306AE40-00F6-463B-B554-7153981F3A8C}" name="Taxes" totalsRowLabel="Total" dataDxfId="188" totalsRowDxfId="187"/>
    <tableColumn id="2" xr3:uid="{D865ADC1-5133-4441-AD8B-94991AED3374}" name="Projected Cost" totalsRowFunction="sum" dataDxfId="186" totalsRowDxfId="185"/>
    <tableColumn id="3" xr3:uid="{00796894-84FC-4EFB-91DB-0D4C624C4EFB}" name="Actual Cost" totalsRowLabel="$0 " dataDxfId="184" totalsRowDxfId="183"/>
    <tableColumn id="4" xr3:uid="{109CFDB2-87ED-4964-9CD8-3B5E4FE35142}" name="Difference" totalsRowFunction="sum" dataDxfId="182" totalsRowDxfId="181">
      <calculatedColumnFormula>Taxes[Projected Cost]-Taxes[Actual Cost]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E4772A4-D1F9-4971-A13A-32B879D20E12}" name="Savings" displayName="Savings" ref="A63:D68" totalsRowCount="1" headerRowDxfId="180" dataDxfId="179" totalsRowDxfId="178">
  <autoFilter ref="A63:D67" xr:uid="{5E223DE8-2C62-48B2-9AC4-C27A73611303}"/>
  <tableColumns count="4">
    <tableColumn id="1" xr3:uid="{37791C7C-FC5A-4175-8A7E-C78913269668}" name="Savings/Investments" totalsRowLabel="Total" dataDxfId="177" totalsRowDxfId="176"/>
    <tableColumn id="2" xr3:uid="{4D13C1EF-DFD0-4B0B-AB20-C7FB3670FFB9}" name="Projected Cost" totalsRowFunction="sum" dataDxfId="175" totalsRowDxfId="174"/>
    <tableColumn id="3" xr3:uid="{F0D22DEA-D4B3-4B5F-BB74-FF3F52103810}" name="Actual Cost" totalsRowFunction="sum" dataDxfId="173" totalsRowDxfId="172"/>
    <tableColumn id="4" xr3:uid="{41311D21-0127-4C20-BF92-9970A6181200}" name="Difference" totalsRowFunction="sum" dataDxfId="171" totalsRowDxfId="170">
      <calculatedColumnFormula>Savings[Projected Cost]-Savings[Actual Cost]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6629CF-AF67-4D70-96BE-B1051A433150}" name="Gifts" displayName="Gifts" ref="F64:I68" totalsRowCount="1" headerRowDxfId="169" dataDxfId="168" totalsRowDxfId="167">
  <autoFilter ref="F64:I67" xr:uid="{34D6169A-7FF3-43FC-856F-BCB6220D45D8}"/>
  <tableColumns count="4">
    <tableColumn id="1" xr3:uid="{9527502B-4DF4-45EB-9191-97848E7D06FC}" name="Gifts and Donations" totalsRowLabel="Total" dataDxfId="166" totalsRowDxfId="165"/>
    <tableColumn id="2" xr3:uid="{10E4A0D3-A126-42D3-8CC3-44B459E54AF8}" name="Projected Cost" totalsRowFunction="sum" dataDxfId="164" totalsRowDxfId="163"/>
    <tableColumn id="3" xr3:uid="{D75BE866-54E8-4485-9DA2-1B1BCA15CA2B}" name="Actual Cost" totalsRowLabel="$0 " dataDxfId="162" totalsRowDxfId="161"/>
    <tableColumn id="4" xr3:uid="{70104940-8EE5-4D20-B58E-97AB84CEFED1}" name="Difference" totalsRowFunction="sum" dataDxfId="160" totalsRowDxfId="159">
      <calculatedColumnFormula>Gifts[Projected Cost]-Gifts[Actual Cost]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4127C6-9DDF-46DB-A27B-702B0B7A1BDB}" name="Legal" displayName="Legal" ref="A56:D61" totalsRowCount="1" headerRowDxfId="158" dataDxfId="157" totalsRowDxfId="156">
  <autoFilter ref="A56:D60" xr:uid="{352201E9-C1E4-48E9-8713-4638D0B77F0F}"/>
  <tableColumns count="4">
    <tableColumn id="1" xr3:uid="{7C520750-4DAC-4401-A40E-47FBDE04A890}" name="Legal" totalsRowLabel="Total" dataDxfId="155" totalsRowDxfId="154"/>
    <tableColumn id="2" xr3:uid="{1EE3FFCF-B186-4A78-AE7E-4C0EFD8E498F}" name="Projected Cost" totalsRowFunction="sum" dataDxfId="153" totalsRowDxfId="152"/>
    <tableColumn id="3" xr3:uid="{55A4249C-C81D-461F-8D0F-1A98ACFFEDC0}" name="Actual Cost" totalsRowFunction="sum" dataDxfId="151" totalsRowDxfId="150"/>
    <tableColumn id="4" xr3:uid="{69302E8B-1339-4CA7-95B2-949F0AD018C2}" name="Difference" totalsRowFunction="sum" dataDxfId="149" totalsRowDxfId="148">
      <calculatedColumnFormula>Legal[Projected Cost]-Legal[Actual Cost]</calculatedColumnFormula>
    </tableColumn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E3AD02-12B1-4405-A8A8-C6E6DC588FD9}" name="Housing15" displayName="Housing15" ref="C3:F7" headerRowCount="0" headerRowDxfId="147" dataDxfId="146" totalsRowDxfId="145" headerRowCellStyle="Normal 4" dataCellStyle="Normal 4" totalsRowCellStyle="Normal 4">
  <tableColumns count="4">
    <tableColumn id="1" xr3:uid="{57EB20FA-CEC0-44C9-857C-1CB8D64CC328}" name="Item" totalsRowLabel="Total" headerRowDxfId="144" dataDxfId="143" totalsRowDxfId="142" headerRowCellStyle="Normal 4" dataCellStyle="Normal 4" totalsRowCellStyle="Normal 4"/>
    <tableColumn id="2" xr3:uid="{B338E051-3D9C-4624-B56D-95BE2A8042C2}" name="Projected Cost" headerRowDxfId="141" dataDxfId="140" totalsRowDxfId="139" headerRowCellStyle="Normal 4" dataCellStyle="Normal 4" totalsRowCellStyle="Normal 4"/>
    <tableColumn id="3" xr3:uid="{0C20CE2F-AF5A-4A0E-9FDA-1B633606010F}" name="Actual Cost" totalsRowFunction="sum" headerRowDxfId="138" dataDxfId="137" totalsRowDxfId="136" headerRowCellStyle="Normal 4" dataCellStyle="Normal 4" totalsRowCellStyle="Normal 4"/>
    <tableColumn id="4" xr3:uid="{65B5EC3D-3231-4383-A3F8-03E2442670DE}" name="Difference" totalsRowFunction="custom" headerRowDxfId="135" dataDxfId="134" totalsRowDxfId="133" headerRowCellStyle="Normal 4" dataCellStyle="Normal 4" totalsRowCellStyle="Normal 4">
      <calculatedColumnFormula>Housing15[Projected Cost]-Housing15[Actual Cost]</calculatedColumnFormula>
      <totalsRowFormula>SUM(Housing15[Difference])</totalsRowFormula>
    </tableColumn>
  </tableColumns>
  <tableStyleInfo name="Table Style 1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5A615A-E7D9-485C-A7C4-DF78C28D3CCB}" name="Transportation16" displayName="Transportation16" ref="C9:F17" headerRowCount="0" totalsRowShown="0" headerRowDxfId="132" dataDxfId="131" totalsRowDxfId="130" headerRowCellStyle="Normal 4" dataCellStyle="Normal 4" totalsRowCellStyle="Normal 4">
  <tableColumns count="4">
    <tableColumn id="1" xr3:uid="{A4018FDB-69AB-4E14-86A9-C78390D4740E}" name="Item" headerRowDxfId="129" dataDxfId="128" totalsRowDxfId="127" dataCellStyle="Normal 4" totalsRowCellStyle="Normal 4"/>
    <tableColumn id="2" xr3:uid="{14589A40-55F0-4436-8EDA-F78A28A87486}" name="Projected Cost" headerRowDxfId="126" dataDxfId="125" totalsRowDxfId="124" dataCellStyle="Normal 4" totalsRowCellStyle="Normal 4"/>
    <tableColumn id="3" xr3:uid="{959654A0-9C14-46E3-BD36-31AE91A1F270}" name="Actual Cost" headerRowDxfId="123" dataDxfId="122" totalsRowDxfId="121" dataCellStyle="Normal 4" totalsRowCellStyle="Normal 4"/>
    <tableColumn id="4" xr3:uid="{D7F59E71-952E-4EE4-81DA-5F316A56EBB5}" name="Difference" headerRowDxfId="120" dataDxfId="119" totalsRowDxfId="118" dataCellStyle="Normal 4" totalsRowCellStyle="Normal 4">
      <calculatedColumnFormula>Transportation16[Projected Cost]-Transportation16[Actual Cost]</calculatedColumnFormula>
    </tableColumn>
  </tableColumns>
  <tableStyleInfo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65289E-5D89-455C-9F95-160690132C3F}" name="Insurance17" displayName="Insurance17" ref="C18:F21" headerRowCount="0" headerRowDxfId="117" dataDxfId="116" totalsRowDxfId="115" headerRowCellStyle="Normal 4" dataCellStyle="Normal 4" totalsRowCellStyle="Normal 4">
  <tableColumns count="4">
    <tableColumn id="1" xr3:uid="{DDA886F5-4342-4B49-9151-DEDFD9AA5568}" name="Item" totalsRowLabel="Total" headerRowDxfId="114" dataDxfId="113" totalsRowDxfId="112" headerRowCellStyle="Normal 4" dataCellStyle="Normal 4"/>
    <tableColumn id="2" xr3:uid="{2B0DC1A1-FDED-4D17-A3C7-54955B98E46A}" name="Projected Cost" totalsRowFunction="sum" headerRowDxfId="111" dataDxfId="110" totalsRowDxfId="109" headerRowCellStyle="Normal 4" dataCellStyle="Normal 4"/>
    <tableColumn id="3" xr3:uid="{EDFA5079-2A4E-429A-B537-0AC6CA1AFC6E}" name="Actual Cost" totalsRowFunction="sum" headerRowDxfId="108" dataDxfId="107" totalsRowDxfId="106" headerRowCellStyle="Normal 4" dataCellStyle="Normal 4"/>
    <tableColumn id="4" xr3:uid="{B7586B62-72FA-4118-819A-F5605D8FC848}" name="Difference" totalsRowFunction="sum" headerRowDxfId="105" dataDxfId="104" totalsRowDxfId="103" headerRowCellStyle="Normal 4" dataCellStyle="Normal 4">
      <calculatedColumnFormula>Insurance17[Projected Cost]-Insurance17[Actual Cost]</calculatedColumnFormula>
    </tableColumn>
  </tableColumns>
  <tableStyleInfo name="Table Style 1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48DD091-7FB8-4EAC-9636-A94B337D4090}" name="Food18" displayName="Food18" ref="C27:F31" totalsRowCount="1" headerRowDxfId="102" dataDxfId="101" totalsRowDxfId="100" headerRowCellStyle="Normal 4" dataCellStyle="Normal 4" totalsRowCellStyle="Normal 4">
  <autoFilter ref="C27:F30" xr:uid="{4203B16D-271C-45BF-AB82-0257C8081F18}"/>
  <tableColumns count="4">
    <tableColumn id="1" xr3:uid="{AB53E30C-2875-402F-AA24-1C2A33AB8D20}" name="Food" totalsRowLabel="Total" dataDxfId="99" totalsRowDxfId="98" dataCellStyle="Normal 4" totalsRowCellStyle="Normal 4"/>
    <tableColumn id="2" xr3:uid="{0F085854-4FA7-4CF4-86D9-362DEE6B9421}" name="Projected Cost" totalsRowFunction="sum" dataDxfId="97" totalsRowDxfId="96" dataCellStyle="Normal 4" totalsRowCellStyle="Normal 4"/>
    <tableColumn id="3" xr3:uid="{0EAA18E2-DCB6-4158-A7BB-7E9D58155FE6}" name="Actual Cost" totalsRowFunction="sum" dataDxfId="95" totalsRowDxfId="94" dataCellStyle="Normal 4" totalsRowCellStyle="Normal 4"/>
    <tableColumn id="4" xr3:uid="{5F26D4ED-D53F-4D5E-A3C1-5CF915856966}" name="Difference" totalsRowFunction="sum" dataDxfId="93" totalsRowDxfId="92" dataCellStyle="Normal 4" totalsRowCellStyle="Normal 4">
      <calculatedColumnFormula>Food18[Projected Cost]-Food18[Actual Cost]</calculatedColumnFormula>
    </tableColumn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BA7942-C651-40A0-BC57-4BF252D1D1CF}" name="Children19" displayName="Children19" ref="C41:F47" headerRowCount="0" totalsRowCount="1" headerRowDxfId="91" dataDxfId="90" totalsRowDxfId="89" headerRowCellStyle="Normal 4" dataCellStyle="Normal 4" totalsRowCellStyle="Normal 4">
  <tableColumns count="4">
    <tableColumn id="1" xr3:uid="{1BD6E002-F127-47DA-8BC7-7DD0A1FBE99E}" name="Surf" totalsRowLabel="Total" headerRowDxfId="88" dataDxfId="87" totalsRowDxfId="86" headerRowCellStyle="Normal 4" dataCellStyle="Normal 4"/>
    <tableColumn id="2" xr3:uid="{FCF9D78C-158E-4411-A592-D3965CC9A1DC}" name="100" totalsRowFunction="sum" headerRowDxfId="85" dataDxfId="84" totalsRowDxfId="83" headerRowCellStyle="Normal 4" dataCellStyle="Normal 4"/>
    <tableColumn id="3" xr3:uid="{AEF69780-03A8-4592-983A-02C10EB82AC3}" name="0" totalsRowLabel="$0 " headerRowDxfId="82" dataDxfId="81" totalsRowDxfId="80" headerRowCellStyle="Normal 4" dataCellStyle="Normal 4"/>
    <tableColumn id="4" xr3:uid="{80DEF081-D999-4875-92D0-C43745985665}" name="1002" totalsRowFunction="sum" headerRowDxfId="79" dataDxfId="78" totalsRowDxfId="77" headerRowCellStyle="Normal 4" dataCellStyle="Normal 4">
      <calculatedColumnFormula>Children19[100]-Children19[0]</calculatedColumnFormula>
    </tableColumn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3C60543-F580-4880-9CF2-A372BBB55A8F}" name="Pets20" displayName="Pets20" ref="C74:F80" totalsRowCount="1" headerRowDxfId="76" dataDxfId="75" totalsRowDxfId="74" headerRowCellStyle="Normal 4" dataCellStyle="Normal 4" totalsRowCellStyle="Normal 4">
  <autoFilter ref="C74:F79" xr:uid="{EC964D2D-C1CF-420F-B1DB-7AF6AB88BC02}"/>
  <tableColumns count="4">
    <tableColumn id="1" xr3:uid="{97D96D06-617D-437C-A6B2-115D59A1721A}" name="Pets" totalsRowLabel="Total" dataDxfId="73" totalsRowDxfId="72" dataCellStyle="Normal 4"/>
    <tableColumn id="2" xr3:uid="{82388AEE-E1BC-45DF-989E-18DDAC3B4445}" name="Projected Cost" totalsRowFunction="sum" dataDxfId="71" totalsRowDxfId="70" dataCellStyle="Normal 4"/>
    <tableColumn id="3" xr3:uid="{3D242032-66CA-4920-8DF8-BDEF9ACC1988}" name="Actual Cost" totalsRowFunction="sum" dataDxfId="69" totalsRowDxfId="68" dataCellStyle="Normal 4"/>
    <tableColumn id="4" xr3:uid="{52298578-0C4E-4DE7-B3F2-E5D2D252E07C}" name="Difference" totalsRowFunction="sum" dataDxfId="67" totalsRowDxfId="66" dataCellStyle="Normal 4">
      <calculatedColumnFormula>Pets20[Projected Cost]-Pets20[Actual Cost]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3A681-AE45-4D46-918C-19BA607E0A2A}" name="Transportation" displayName="Transportation" ref="A20:D29" totalsRowCount="1" headerRowDxfId="279" dataDxfId="278" totalsRowDxfId="277">
  <autoFilter ref="A20:D28" xr:uid="{A5445846-3CFA-40EB-B931-E360FC474A04}"/>
  <tableColumns count="4">
    <tableColumn id="1" xr3:uid="{A6FFCD5B-0191-4DDF-96DA-85B7435D9581}" name="Transportation" totalsRowLabel="Total" dataDxfId="276" totalsRowDxfId="275"/>
    <tableColumn id="2" xr3:uid="{1EE70C15-CBF6-4A14-9836-0FB2734DB58A}" name="Projected Cost" totalsRowFunction="sum" dataDxfId="274" totalsRowDxfId="273"/>
    <tableColumn id="3" xr3:uid="{CDD84B5E-DAF4-4BB4-9305-8D7F8DCA7911}" name="Actual Cost" totalsRowFunction="sum" dataDxfId="272" totalsRowDxfId="271"/>
    <tableColumn id="4" xr3:uid="{F9D5637C-67C4-46CB-8230-E5E44C9A657C}" name="Difference" totalsRowFunction="sum" dataDxfId="270" totalsRowDxfId="269">
      <calculatedColumnFormula>Transportation[Projected Cost]-Transportation[Actual Cost]</calculatedColumnFormula>
    </tableColumn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114A02B-6903-4301-B985-63E7996A5332}" name="PersonalCare21" displayName="PersonalCare21" ref="C32:F40" totalsRowCount="1" headerRowDxfId="65" dataDxfId="64" totalsRowDxfId="63" headerRowCellStyle="Normal 4" dataCellStyle="Normal 4" totalsRowCellStyle="Normal 4">
  <autoFilter ref="C32:F39" xr:uid="{4C5CBB7C-6549-42D6-A727-4241B7253FFB}"/>
  <tableColumns count="4">
    <tableColumn id="1" xr3:uid="{0E9A0B6E-0EC6-4B12-BB62-70F336A8BB43}" name="Personal Care" totalsRowLabel="Total" dataDxfId="62" totalsRowDxfId="61" dataCellStyle="Normal 4" totalsRowCellStyle="Normal 4"/>
    <tableColumn id="2" xr3:uid="{894439B4-33C5-4828-A65C-B911484322D0}" name="Projected Cost" totalsRowFunction="sum" dataDxfId="60" totalsRowDxfId="59" dataCellStyle="Normal 4" totalsRowCellStyle="Normal 4"/>
    <tableColumn id="3" xr3:uid="{7C1ACDBE-8959-40FC-902E-4A526097E6C2}" name="Actual Cost" totalsRowFunction="sum" dataDxfId="58" totalsRowDxfId="57" dataCellStyle="Normal 4" totalsRowCellStyle="Normal 4"/>
    <tableColumn id="4" xr3:uid="{633DDC40-0A2D-40C3-9F44-05AB764F578F}" name="Difference" totalsRowFunction="sum" dataDxfId="56" totalsRowDxfId="55" dataCellStyle="Normal 4" totalsRowCellStyle="Normal 4">
      <calculatedColumnFormula>PersonalCare21[Projected Cost]-PersonalCare21[Actual Cost]</calculatedColumnFormula>
    </tableColumn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DF140C7-26E3-406C-AB94-81E7F0697576}" name="Savings25" displayName="Savings25" ref="C54:F59" totalsRowCount="1" headerRowDxfId="54" dataDxfId="53" totalsRowDxfId="52" headerRowCellStyle="Normal 4" dataCellStyle="Normal 4" totalsRowCellStyle="Normal 4">
  <autoFilter ref="C54:F58" xr:uid="{5E223DE8-2C62-48B2-9AC4-C27A73611303}"/>
  <tableColumns count="4">
    <tableColumn id="1" xr3:uid="{E3F04B94-718C-4CCC-8183-EA07C0993B64}" name="Savings/Investments" totalsRowLabel="Total" dataDxfId="51" totalsRowDxfId="50" dataCellStyle="Normal 4" totalsRowCellStyle="Normal 4"/>
    <tableColumn id="2" xr3:uid="{37AF9595-85BD-4DB6-B19D-AFB63A97900C}" name="Projected Cost" totalsRowFunction="sum" dataDxfId="49" totalsRowDxfId="48" dataCellStyle="Normal 4" totalsRowCellStyle="Normal 4"/>
    <tableColumn id="3" xr3:uid="{97777B47-7F55-472D-9B8A-3273ED812595}" name="Actual Cost" totalsRowFunction="sum" dataDxfId="47" totalsRowDxfId="46" dataCellStyle="Normal 4" totalsRowCellStyle="Normal 4"/>
    <tableColumn id="4" xr3:uid="{757A9AB1-B97C-42BF-BEB6-B833019BBD8B}" name="Difference" totalsRowFunction="sum" dataDxfId="45" totalsRowDxfId="44" dataCellStyle="Normal 4" totalsRowCellStyle="Normal 4">
      <calculatedColumnFormula>Savings25[Projected Cost]-Savings25[Actual Cost]</calculatedColumnFormula>
    </tableColumn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98FC4E3-BF84-414E-B1DB-BF05ABD666F6}" name="Gifts26" displayName="Gifts26" ref="C82:F86" totalsRowCount="1" headerRowDxfId="43" dataDxfId="42" totalsRowDxfId="41" headerRowCellStyle="Normal 4" dataCellStyle="Normal 4" totalsRowCellStyle="Normal 4">
  <autoFilter ref="C82:F85" xr:uid="{34D6169A-7FF3-43FC-856F-BCB6220D45D8}"/>
  <tableColumns count="4">
    <tableColumn id="1" xr3:uid="{BA65F9F7-F665-4040-BAF1-8D2C6D9958A6}" name="Gifts and Donations" totalsRowLabel="Total" dataDxfId="40" totalsRowDxfId="39" dataCellStyle="Normal 4"/>
    <tableColumn id="2" xr3:uid="{8B9E4FCD-25DC-4308-B3B2-E9F682B1F237}" name="Projected Cost" totalsRowFunction="sum" dataDxfId="38" totalsRowDxfId="37" dataCellStyle="Normal 4"/>
    <tableColumn id="3" xr3:uid="{8CC0A2AA-B1F9-4222-8185-74F9E274431F}" name="Actual Cost" totalsRowLabel="$0 " dataDxfId="36" totalsRowDxfId="35" dataCellStyle="Normal 4"/>
    <tableColumn id="4" xr3:uid="{8AB0F12F-0149-4133-8A3A-8FFBB7B89B43}" name="Difference" totalsRowFunction="sum" dataDxfId="34" totalsRowDxfId="33" dataCellStyle="Normal 4">
      <calculatedColumnFormula>Gifts26[Projected Cost]-Gifts26[Actual Cost]</calculatedColumnFormula>
    </tableColumn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E50F0B8-0213-49EC-BB75-6F60029363DB}" name="Legal27" displayName="Legal27" ref="C48:F53" totalsRowCount="1" headerRowDxfId="32" dataDxfId="31" totalsRowDxfId="30" headerRowCellStyle="Normal 4" dataCellStyle="Normal 4" totalsRowCellStyle="Normal 4">
  <autoFilter ref="C48:F52" xr:uid="{352201E9-C1E4-48E9-8713-4638D0B77F0F}"/>
  <tableColumns count="4">
    <tableColumn id="1" xr3:uid="{123412FE-8683-4B94-946C-D78D28A78D52}" name="Legal" totalsRowLabel="Total" dataDxfId="29" totalsRowDxfId="28" dataCellStyle="Normal 4"/>
    <tableColumn id="2" xr3:uid="{B55972B8-D65E-456D-B18B-5020B2E332CA}" name="Projected Cost" totalsRowFunction="sum" dataDxfId="27" totalsRowDxfId="26" dataCellStyle="Normal 4"/>
    <tableColumn id="3" xr3:uid="{20D3F91D-E789-4006-9379-5120485D083A}" name="Actual Cost" totalsRowFunction="sum" dataDxfId="25" totalsRowDxfId="24" dataCellStyle="Normal 4"/>
    <tableColumn id="4" xr3:uid="{CB686401-8B59-4408-8A94-CABB5A15799F}" name="Difference" totalsRowFunction="sum" dataDxfId="23" totalsRowDxfId="22" dataCellStyle="Normal 4">
      <calculatedColumnFormula>Legal27[Projected Cost]-Legal27[Actual Cost]</calculatedColumnFormula>
    </tableColumn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C230010-3C8B-4194-A827-C8E875F6F0D0}" name="Loans23" displayName="Loans23" ref="C60:F67" totalsRowCount="1" headerRowDxfId="21" dataDxfId="20" totalsRowDxfId="19" headerRowCellStyle="Normal 4" dataCellStyle="Normal 4" totalsRowCellStyle="Normal 4">
  <autoFilter ref="C60:F66" xr:uid="{CBDACC82-2AE3-4D79-B9E0-525EAD85F62D}"/>
  <tableColumns count="4">
    <tableColumn id="1" xr3:uid="{5260CCDC-3B64-436E-A89F-395DD11DEFAC}" name="Costs" totalsRowLabel="Total" dataDxfId="18" totalsRowDxfId="17" dataCellStyle="Normal 4"/>
    <tableColumn id="2" xr3:uid="{4FF24A24-63BF-420F-A45F-DC79F7D6FF13}" name="Projected Cost" totalsRowFunction="custom" dataDxfId="16" totalsRowDxfId="15" dataCellStyle="Normal 4">
      <totalsRowFormula>SUM(SUBTOTAL(109,Loans23[Projected Cost])-D62)/6</totalsRowFormula>
    </tableColumn>
    <tableColumn id="3" xr3:uid="{AF91A7A2-4171-4717-A4AC-FDDFF71EECAC}" name="Actual Cost" totalsRowFunction="sum" dataDxfId="14" totalsRowDxfId="13" dataCellStyle="Normal 4"/>
    <tableColumn id="4" xr3:uid="{3EBB61F5-CAFB-40E5-8B70-FB4CA6D7F221}" name="Difference" totalsRowFunction="sum" dataDxfId="12" totalsRowDxfId="11" dataCellStyle="Normal 4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FA138CD-E6D0-43DA-9684-4BA542CB0538}" name="Taxes24" displayName="Taxes24" ref="C68:F73" totalsRowCount="1" headerRowDxfId="10" dataDxfId="9" totalsRowDxfId="8" headerRowCellStyle="Normal 4" dataCellStyle="Normal 4" totalsRowCellStyle="Normal 4">
  <autoFilter ref="C68:F72" xr:uid="{778C4924-1FEE-48A3-A167-5E4BA4E527CF}"/>
  <tableColumns count="4">
    <tableColumn id="1" xr3:uid="{17752400-0BC3-4A72-BD53-3D7381DEEEBE}" name="Taxes" totalsRowLabel="Total" dataDxfId="7" totalsRowDxfId="6" dataCellStyle="Normal 4" totalsRowCellStyle="Normal 4"/>
    <tableColumn id="2" xr3:uid="{EFB35DC0-EE16-4A4B-9590-59010268AFB1}" name="Projected Cost" totalsRowFunction="sum" dataDxfId="5" totalsRowDxfId="4" dataCellStyle="Normal 4" totalsRowCellStyle="Normal 4"/>
    <tableColumn id="3" xr3:uid="{BB6C0BF6-BAE1-447C-85D3-32B4142DFE60}" name="Actual Cost" totalsRowLabel="$0 " dataDxfId="3" totalsRowDxfId="2" dataCellStyle="Normal 4" totalsRowCellStyle="Normal 4"/>
    <tableColumn id="4" xr3:uid="{8594E63E-3B58-43CF-BEC8-534371442527}" name="Difference" totalsRowFunction="sum" dataDxfId="1" totalsRowDxfId="0" dataCellStyle="Normal 4" totalsRowCellStyle="Normal 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B52754-EFC2-415F-A12F-D4E0EF4CA53E}" name="Insurance" displayName="Insurance" ref="A31:D36" totalsRowCount="1" headerRowDxfId="268" dataDxfId="267" totalsRowDxfId="266">
  <autoFilter ref="A31:D35" xr:uid="{6D475A42-9AB9-461C-94A4-620F9AA49976}"/>
  <tableColumns count="4">
    <tableColumn id="1" xr3:uid="{95E2DE95-17BC-49AE-BB31-6C11C01F3ECD}" name="Insurance" totalsRowLabel="Total" dataDxfId="265" totalsRowDxfId="264"/>
    <tableColumn id="2" xr3:uid="{45593FC9-F8A7-472F-A0F9-A23D553ADB3B}" name="Projected Cost" totalsRowFunction="sum" dataDxfId="263" totalsRowDxfId="262">
      <calculatedColumnFormula>9.96*2</calculatedColumnFormula>
    </tableColumn>
    <tableColumn id="3" xr3:uid="{7472D735-24C9-4040-81C6-8BD5FF0870FB}" name="Actual Cost" totalsRowFunction="sum" dataDxfId="261" totalsRowDxfId="260"/>
    <tableColumn id="4" xr3:uid="{752E7410-3B72-4D6D-9E70-7F0B9742F3F0}" name="Difference" totalsRowFunction="sum" dataDxfId="259" totalsRowDxfId="258">
      <calculatedColumnFormula>Insurance[Projected Cost]-Insurance[Actual Cost]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33839F-BCF0-4E60-BA5F-30E326209970}" name="Food" displayName="Food" ref="A38:D42" totalsRowCount="1" headerRowDxfId="257" dataDxfId="256" totalsRowDxfId="255">
  <autoFilter ref="A38:D41" xr:uid="{4203B16D-271C-45BF-AB82-0257C8081F18}"/>
  <tableColumns count="4">
    <tableColumn id="1" xr3:uid="{C235E000-2B51-4652-A76B-1B6735FAE04B}" name="Food" totalsRowLabel="Total" dataDxfId="254" totalsRowDxfId="253"/>
    <tableColumn id="2" xr3:uid="{A3BB9A56-4773-42A0-921C-E139FD5FBCEE}" name="Projected Cost" totalsRowFunction="sum" dataDxfId="252" totalsRowDxfId="251"/>
    <tableColumn id="3" xr3:uid="{B08B615E-76FF-4A89-A459-AAA7DF9EA75D}" name="Actual Cost" totalsRowFunction="sum" dataDxfId="250" totalsRowDxfId="249"/>
    <tableColumn id="4" xr3:uid="{C47939B5-735A-466E-8DA4-C8D2736C57DC}" name="Difference" totalsRowFunction="sum" dataDxfId="248" totalsRowDxfId="247">
      <calculatedColumnFormula>Food[Projected Cost]-Food[Actual Cost]</calculatedColumnFormula>
    </tableColumn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27909A-093F-4793-BC6C-4F272478BD7A}" name="Children" displayName="Children" ref="A44:D54" totalsRowCount="1" headerRowDxfId="246" dataDxfId="245" totalsRowDxfId="244">
  <autoFilter ref="A44:D53" xr:uid="{C47A66C7-AC2A-490D-B84F-AAE15835CB5D}"/>
  <tableColumns count="4">
    <tableColumn id="1" xr3:uid="{BB5FA4EE-3E80-446B-A8B8-5B042639319B}" name="Children" totalsRowLabel="Total" dataDxfId="243" totalsRowDxfId="242"/>
    <tableColumn id="2" xr3:uid="{8C812DF5-3DA9-4AC7-A739-20E717AD0567}" name="Projected Cost" totalsRowFunction="sum" dataDxfId="241" totalsRowDxfId="240"/>
    <tableColumn id="3" xr3:uid="{407D2B01-151C-4C19-9B9A-C2D2879A969E}" name="Actual Cost" totalsRowLabel="$0 " dataDxfId="239" totalsRowDxfId="238"/>
    <tableColumn id="4" xr3:uid="{BF0A40FD-B991-45C8-825D-A9A5BEEAB613}" name="Difference" totalsRowFunction="sum" dataDxfId="237" totalsRowDxfId="236">
      <calculatedColumnFormula>Children[Projected Cost]-Children[Actual Cost]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D4BFAF-274B-4F52-B1C3-25D3146B9CC8}" name="Pets" displayName="Pets" ref="F56:I62" totalsRowCount="1" headerRowDxfId="235" dataDxfId="234" totalsRowDxfId="233">
  <autoFilter ref="F56:I61" xr:uid="{EC964D2D-C1CF-420F-B1DB-7AF6AB88BC02}"/>
  <tableColumns count="4">
    <tableColumn id="1" xr3:uid="{78EACD12-D713-45F6-BADB-3F5450FC7DB0}" name="Pets" totalsRowLabel="Total" dataDxfId="232" totalsRowDxfId="231"/>
    <tableColumn id="2" xr3:uid="{03983C0B-3741-415F-B02D-00BE9EB09C61}" name="Projected Cost" totalsRowFunction="sum" dataDxfId="230" totalsRowDxfId="229"/>
    <tableColumn id="3" xr3:uid="{F928C82F-C6A4-4FBD-845A-3DC27358F9F9}" name="Actual Cost" totalsRowFunction="sum" dataDxfId="228" totalsRowDxfId="227"/>
    <tableColumn id="4" xr3:uid="{D4ADFD43-9DB4-4697-B533-7F97D0B5701E}" name="Difference" totalsRowFunction="sum" dataDxfId="226" totalsRowDxfId="225">
      <calculatedColumnFormula>Pets[Projected Cost]-Pets[Actual Cost]</calculatedColumnFormula>
    </tableColumn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965780-A746-4FC2-AC4E-66E901A0927B}" name="PersonalCare" displayName="PersonalCare" ref="F46:I54" totalsRowCount="1" headerRowDxfId="224" dataDxfId="223" totalsRowDxfId="222">
  <autoFilter ref="F46:I53" xr:uid="{4C5CBB7C-6549-42D6-A727-4241B7253FFB}"/>
  <tableColumns count="4">
    <tableColumn id="1" xr3:uid="{C1E117C8-0380-4A40-86C6-A81861BE8783}" name="Personal Care" totalsRowLabel="Total" dataDxfId="221" totalsRowDxfId="220"/>
    <tableColumn id="2" xr3:uid="{68980120-B4C6-4213-B913-D77EE87E342D}" name="Projected Cost" totalsRowFunction="sum" dataDxfId="219" totalsRowDxfId="218"/>
    <tableColumn id="3" xr3:uid="{9DDDC3AE-7AC9-4891-9149-3404B3DC2853}" name="Actual Cost" totalsRowFunction="sum" dataDxfId="217" totalsRowDxfId="216"/>
    <tableColumn id="4" xr3:uid="{6760C587-E18C-43F5-9CD7-810E791CB814}" name="Difference" totalsRowFunction="sum" dataDxfId="215" totalsRowDxfId="214">
      <calculatedColumnFormula>PersonalCare[Projected Cost]-PersonalCare[Actual Cost]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CD99C5-7812-4F21-920C-72EEEBC55C40}" name="Entertainment" displayName="Entertainment" ref="F29:I37" totalsRowCount="1" headerRowDxfId="213" dataDxfId="212" totalsRowDxfId="211">
  <autoFilter ref="F29:I36" xr:uid="{05962701-CAB2-441A-ACA8-E1E1A3D96B99}"/>
  <tableColumns count="4">
    <tableColumn id="1" xr3:uid="{2ED1AF31-68DC-4399-84D0-5D5555597FF3}" name="Entertainment" totalsRowLabel="Total" dataDxfId="210" totalsRowDxfId="209"/>
    <tableColumn id="2" xr3:uid="{D9ADEC6B-F45D-42B4-BAF2-BD3876105E76}" name="Projected Cost" totalsRowLabel="$0 " dataDxfId="208" totalsRowDxfId="207"/>
    <tableColumn id="3" xr3:uid="{23098B0F-1FDB-45AC-BEF1-9709A87F5D1F}" name="Actual Cost" totalsRowFunction="sum" dataDxfId="206" totalsRowDxfId="205"/>
    <tableColumn id="4" xr3:uid="{BD692043-7051-4424-8CBE-0E3E269BD5F4}" name="Difference" totalsRowFunction="sum" dataDxfId="204" totalsRowDxfId="203">
      <calculatedColumnFormula>Entertainment[Projected Cost]-Entertainment[Actual Cost]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C7CF5D-432A-4890-89A1-456A3804D991}" name="Loans" displayName="Loans" ref="F20:I27" totalsRowCount="1" headerRowDxfId="202" dataDxfId="201" totalsRowDxfId="200">
  <autoFilter ref="F20:I26" xr:uid="{CBDACC82-2AE3-4D79-B9E0-525EAD85F62D}"/>
  <tableColumns count="4">
    <tableColumn id="1" xr3:uid="{6825143E-95E0-46D6-80CC-94269A286A26}" name="Loans" totalsRowLabel="Total" dataDxfId="199" totalsRowDxfId="198"/>
    <tableColumn id="2" xr3:uid="{9462619D-943B-4E6C-B8C6-65997B940BDC}" name="Projected Cost" totalsRowFunction="sum" dataDxfId="197" totalsRowDxfId="196"/>
    <tableColumn id="3" xr3:uid="{72E5943B-E2F1-48E7-8649-97329C480C0A}" name="Actual Cost" totalsRowFunction="sum" dataDxfId="195" totalsRowDxfId="194"/>
    <tableColumn id="4" xr3:uid="{D4480F86-AE94-46F0-9228-2E5637DBACC4}" name="Difference" totalsRowFunction="sum" dataDxfId="193" totalsRowDxfId="192">
      <calculatedColumnFormula>Loans[Projected Cost]-Loans[Actual Cost]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13" Type="http://schemas.openxmlformats.org/officeDocument/2006/relationships/table" Target="../tables/table25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DA51"/>
  <sheetViews>
    <sheetView tabSelected="1" topLeftCell="J1" zoomScale="40" zoomScaleNormal="40" workbookViewId="0">
      <selection activeCell="Q33" sqref="Q33"/>
    </sheetView>
  </sheetViews>
  <sheetFormatPr defaultColWidth="19.25" defaultRowHeight="14.25" x14ac:dyDescent="0.2"/>
  <cols>
    <col min="2" max="2" width="18.625" style="4" bestFit="1" customWidth="1"/>
    <col min="3" max="3" width="13.625" style="1" customWidth="1"/>
    <col min="4" max="4" width="18.125" style="1" bestFit="1" customWidth="1"/>
    <col min="5" max="5" width="3" style="1" bestFit="1" customWidth="1"/>
    <col min="6" max="6" width="5.875" style="1" bestFit="1" customWidth="1"/>
    <col min="7" max="7" width="4.25" style="1" bestFit="1" customWidth="1"/>
    <col min="8" max="8" width="19.125" style="1" customWidth="1"/>
    <col min="9" max="9" width="12.5" style="1" bestFit="1" customWidth="1"/>
    <col min="10" max="10" width="16.25" style="1" bestFit="1" customWidth="1"/>
    <col min="11" max="11" width="52.25" style="1" bestFit="1" customWidth="1"/>
    <col min="12" max="12" width="13.25" style="1" bestFit="1" customWidth="1"/>
    <col min="13" max="13" width="15.75" style="1" bestFit="1" customWidth="1"/>
    <col min="14" max="14" width="4.25" style="1" bestFit="1" customWidth="1"/>
    <col min="15" max="16" width="5.875" style="1" bestFit="1" customWidth="1"/>
    <col min="17" max="17" width="13.875" style="1" bestFit="1" customWidth="1"/>
    <col min="18" max="18" width="3.875" bestFit="1" customWidth="1"/>
    <col min="19" max="19" width="18.125" bestFit="1" customWidth="1"/>
    <col min="20" max="20" width="19.875" bestFit="1" customWidth="1"/>
    <col min="21" max="21" width="18.625" bestFit="1" customWidth="1"/>
    <col min="22" max="22" width="6.625" bestFit="1" customWidth="1"/>
    <col min="23" max="23" width="7.75" bestFit="1" customWidth="1"/>
    <col min="24" max="24" width="16.25" bestFit="1" customWidth="1"/>
    <col min="25" max="25" width="4.625" bestFit="1" customWidth="1"/>
    <col min="26" max="26" width="2.625" bestFit="1" customWidth="1"/>
    <col min="27" max="27" width="15.75" bestFit="1" customWidth="1"/>
    <col min="28" max="28" width="4.25" bestFit="1" customWidth="1"/>
    <col min="29" max="29" width="16.25" bestFit="1" customWidth="1"/>
    <col min="30" max="30" width="12.5" bestFit="1" customWidth="1"/>
    <col min="31" max="31" width="14.75" style="2" bestFit="1" customWidth="1"/>
    <col min="32" max="32" width="3.875" bestFit="1" customWidth="1"/>
    <col min="33" max="33" width="2.625" bestFit="1" customWidth="1"/>
    <col min="34" max="34" width="13.875" bestFit="1" customWidth="1"/>
    <col min="35" max="35" width="4.25" bestFit="1" customWidth="1"/>
    <col min="36" max="36" width="16.25" bestFit="1" customWidth="1"/>
    <col min="37" max="37" width="3.875" bestFit="1" customWidth="1"/>
    <col min="38" max="38" width="4.625" bestFit="1" customWidth="1"/>
    <col min="39" max="39" width="3.875" bestFit="1" customWidth="1"/>
    <col min="40" max="40" width="3" bestFit="1" customWidth="1"/>
    <col min="41" max="41" width="13.875" bestFit="1" customWidth="1"/>
    <col min="42" max="42" width="4.25" bestFit="1" customWidth="1"/>
    <col min="43" max="43" width="9.375" bestFit="1" customWidth="1"/>
    <col min="44" max="44" width="17.25" bestFit="1" customWidth="1"/>
    <col min="45" max="45" width="9.375" bestFit="1" customWidth="1"/>
    <col min="46" max="46" width="3.875" bestFit="1" customWidth="1"/>
    <col min="47" max="47" width="3.375" bestFit="1" customWidth="1"/>
    <col min="48" max="48" width="13.875" bestFit="1" customWidth="1"/>
    <col min="49" max="49" width="4.25" bestFit="1" customWidth="1"/>
    <col min="50" max="50" width="9.375" bestFit="1" customWidth="1"/>
    <col min="51" max="51" width="3.875" bestFit="1" customWidth="1"/>
    <col min="52" max="52" width="34.625" bestFit="1" customWidth="1"/>
    <col min="53" max="53" width="3.875" bestFit="1" customWidth="1"/>
    <col min="54" max="54" width="3.375" bestFit="1" customWidth="1"/>
    <col min="55" max="55" width="13.875" bestFit="1" customWidth="1"/>
    <col min="56" max="56" width="4.25" bestFit="1" customWidth="1"/>
    <col min="57" max="57" width="9.375" bestFit="1" customWidth="1"/>
    <col min="58" max="58" width="3.875" bestFit="1" customWidth="1"/>
    <col min="59" max="59" width="4.625" bestFit="1" customWidth="1"/>
    <col min="60" max="60" width="3.875" bestFit="1" customWidth="1"/>
    <col min="61" max="61" width="2.625" bestFit="1" customWidth="1"/>
    <col min="62" max="62" width="13.875" bestFit="1" customWidth="1"/>
    <col min="63" max="63" width="4.25" bestFit="1" customWidth="1"/>
    <col min="64" max="64" width="9.375" bestFit="1" customWidth="1"/>
    <col min="65" max="65" width="17.25" bestFit="1" customWidth="1"/>
    <col min="66" max="66" width="9.375" bestFit="1" customWidth="1"/>
    <col min="67" max="67" width="3.875" bestFit="1" customWidth="1"/>
    <col min="68" max="68" width="3" bestFit="1" customWidth="1"/>
    <col min="69" max="69" width="13.875" bestFit="1" customWidth="1"/>
    <col min="70" max="70" width="4.25" bestFit="1" customWidth="1"/>
    <col min="71" max="71" width="9.375" bestFit="1" customWidth="1"/>
    <col min="72" max="72" width="3.875" bestFit="1" customWidth="1"/>
    <col min="73" max="73" width="4.625" bestFit="1" customWidth="1"/>
    <col min="74" max="74" width="3.875" bestFit="1" customWidth="1"/>
    <col min="75" max="75" width="3" bestFit="1" customWidth="1"/>
    <col min="76" max="76" width="13.875" bestFit="1" customWidth="1"/>
    <col min="77" max="77" width="4.25" bestFit="1" customWidth="1"/>
    <col min="78" max="78" width="9.375" bestFit="1" customWidth="1"/>
    <col min="79" max="79" width="3.875" bestFit="1" customWidth="1"/>
    <col min="80" max="80" width="4.625" bestFit="1" customWidth="1"/>
    <col min="81" max="81" width="3.875" bestFit="1" customWidth="1"/>
    <col min="82" max="82" width="3.375" bestFit="1" customWidth="1"/>
    <col min="83" max="83" width="13.875" bestFit="1" customWidth="1"/>
    <col min="84" max="84" width="4.25" bestFit="1" customWidth="1"/>
    <col min="85" max="85" width="9.375" bestFit="1" customWidth="1"/>
    <col min="86" max="86" width="17.25" bestFit="1" customWidth="1"/>
    <col min="87" max="87" width="9.375" bestFit="1" customWidth="1"/>
    <col min="88" max="88" width="3.875" bestFit="1" customWidth="1"/>
    <col min="89" max="89" width="2.625" bestFit="1" customWidth="1"/>
    <col min="90" max="90" width="13.875" bestFit="1" customWidth="1"/>
    <col min="91" max="91" width="4.25" bestFit="1" customWidth="1"/>
    <col min="92" max="92" width="9.375" bestFit="1" customWidth="1"/>
    <col min="93" max="93" width="3.875" bestFit="1" customWidth="1"/>
    <col min="94" max="94" width="8.625" bestFit="1" customWidth="1"/>
  </cols>
  <sheetData>
    <row r="1" spans="2:94" ht="38.25" x14ac:dyDescent="0.5">
      <c r="B1" s="181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</row>
    <row r="2" spans="2:94" ht="18.75" thickBot="1" x14ac:dyDescent="0.3">
      <c r="B2" s="12" t="s">
        <v>1</v>
      </c>
      <c r="C2" s="185">
        <f ca="1">TODAY()</f>
        <v>44035</v>
      </c>
      <c r="D2" s="185"/>
      <c r="E2" s="185"/>
    </row>
    <row r="3" spans="2:94" x14ac:dyDescent="0.2">
      <c r="B3" s="3"/>
    </row>
    <row r="4" spans="2:94" s="139" customFormat="1" ht="30" x14ac:dyDescent="0.2">
      <c r="B4" s="140"/>
      <c r="C4" s="186" t="s">
        <v>2</v>
      </c>
      <c r="D4" s="187"/>
      <c r="E4" s="187"/>
      <c r="F4" s="187"/>
      <c r="G4" s="187"/>
      <c r="H4" s="187"/>
      <c r="I4" s="188"/>
      <c r="J4" s="182" t="s">
        <v>3</v>
      </c>
      <c r="K4" s="183"/>
      <c r="L4" s="183"/>
      <c r="M4" s="183"/>
      <c r="N4" s="183"/>
      <c r="O4" s="183"/>
      <c r="P4" s="184"/>
      <c r="Q4" s="186" t="s">
        <v>4</v>
      </c>
      <c r="R4" s="187"/>
      <c r="S4" s="187"/>
      <c r="T4" s="187"/>
      <c r="U4" s="187"/>
      <c r="V4" s="187"/>
      <c r="W4" s="188"/>
      <c r="X4" s="182" t="s">
        <v>5</v>
      </c>
      <c r="Y4" s="183"/>
      <c r="Z4" s="183"/>
      <c r="AA4" s="183"/>
      <c r="AB4" s="183"/>
      <c r="AC4" s="183"/>
      <c r="AD4" s="184"/>
      <c r="AE4" s="182" t="s">
        <v>198</v>
      </c>
      <c r="AF4" s="183"/>
      <c r="AG4" s="183"/>
      <c r="AH4" s="183"/>
      <c r="AI4" s="183"/>
      <c r="AJ4" s="183"/>
      <c r="AK4" s="184"/>
      <c r="AL4" s="186" t="s">
        <v>199</v>
      </c>
      <c r="AM4" s="187"/>
      <c r="AN4" s="187"/>
      <c r="AO4" s="187"/>
      <c r="AP4" s="187"/>
      <c r="AQ4" s="187"/>
      <c r="AR4" s="188"/>
      <c r="AS4" s="182" t="s">
        <v>200</v>
      </c>
      <c r="AT4" s="183"/>
      <c r="AU4" s="183"/>
      <c r="AV4" s="183"/>
      <c r="AW4" s="183"/>
      <c r="AX4" s="183"/>
      <c r="AY4" s="184"/>
      <c r="AZ4" s="189" t="s">
        <v>201</v>
      </c>
      <c r="BA4" s="189"/>
      <c r="BB4" s="189"/>
      <c r="BC4" s="189"/>
      <c r="BD4" s="189"/>
      <c r="BE4" s="189"/>
      <c r="BF4" s="189"/>
      <c r="BG4" s="190" t="s">
        <v>202</v>
      </c>
      <c r="BH4" s="190"/>
      <c r="BI4" s="190"/>
      <c r="BJ4" s="190"/>
      <c r="BK4" s="190"/>
      <c r="BL4" s="190"/>
      <c r="BM4" s="190"/>
      <c r="BN4" s="189" t="s">
        <v>203</v>
      </c>
      <c r="BO4" s="189"/>
      <c r="BP4" s="189"/>
      <c r="BQ4" s="189"/>
      <c r="BR4" s="189"/>
      <c r="BS4" s="189"/>
      <c r="BT4" s="189"/>
      <c r="BU4" s="189" t="s">
        <v>204</v>
      </c>
      <c r="BV4" s="189"/>
      <c r="BW4" s="189"/>
      <c r="BX4" s="189"/>
      <c r="BY4" s="189"/>
      <c r="BZ4" s="189"/>
      <c r="CA4" s="189"/>
      <c r="CB4" s="190" t="s">
        <v>205</v>
      </c>
      <c r="CC4" s="190"/>
      <c r="CD4" s="190"/>
      <c r="CE4" s="190"/>
      <c r="CF4" s="190"/>
      <c r="CG4" s="190"/>
      <c r="CH4" s="190"/>
      <c r="CI4" s="189" t="s">
        <v>206</v>
      </c>
      <c r="CJ4" s="189"/>
      <c r="CK4" s="189"/>
      <c r="CL4" s="189"/>
      <c r="CM4" s="189"/>
      <c r="CN4" s="189"/>
      <c r="CO4" s="189"/>
      <c r="CP4" s="179" t="s">
        <v>8</v>
      </c>
    </row>
    <row r="5" spans="2:94" ht="15" x14ac:dyDescent="0.2">
      <c r="B5" s="10" t="s">
        <v>231</v>
      </c>
      <c r="C5" s="15" t="str">
        <f ca="1">LOWER(TEXT(C7,"mmm"))</f>
        <v>jul</v>
      </c>
      <c r="D5" s="15" t="str">
        <f ca="1">IF(TEXT(D7,"mmm")=TEXT(C7,"mmm"),"",LOWER(TEXT(D7,"mmm")))</f>
        <v/>
      </c>
      <c r="E5" s="15" t="str">
        <f t="shared" ref="E5:AD5" ca="1" si="0">IF(TEXT(E7,"mmm")=TEXT(D7,"mmm"),"",LOWER(TEXT(E7,"mmm")))</f>
        <v/>
      </c>
      <c r="F5" s="15" t="str">
        <f t="shared" ca="1" si="0"/>
        <v/>
      </c>
      <c r="G5" s="15" t="str">
        <f t="shared" ca="1" si="0"/>
        <v/>
      </c>
      <c r="H5" s="15" t="str">
        <f t="shared" ca="1" si="0"/>
        <v/>
      </c>
      <c r="I5" s="15" t="str">
        <f t="shared" ca="1" si="0"/>
        <v/>
      </c>
      <c r="J5" s="16" t="str">
        <f ca="1">LOWER(TEXT(J7,"mmm"))</f>
        <v>jul</v>
      </c>
      <c r="K5" s="16" t="str">
        <f t="shared" ca="1" si="0"/>
        <v/>
      </c>
      <c r="L5" s="16" t="str">
        <f t="shared" ca="1" si="0"/>
        <v>aug</v>
      </c>
      <c r="M5" s="16" t="str">
        <f t="shared" ca="1" si="0"/>
        <v/>
      </c>
      <c r="N5" s="16" t="str">
        <f t="shared" ca="1" si="0"/>
        <v/>
      </c>
      <c r="O5" s="16" t="str">
        <f t="shared" ca="1" si="0"/>
        <v/>
      </c>
      <c r="P5" s="16" t="str">
        <f t="shared" ca="1" si="0"/>
        <v/>
      </c>
      <c r="Q5" s="15" t="str">
        <f ca="1">LOWER(TEXT(Q7,"mmm"))</f>
        <v>aug</v>
      </c>
      <c r="R5" s="15" t="str">
        <f t="shared" ca="1" si="0"/>
        <v/>
      </c>
      <c r="S5" s="15" t="str">
        <f t="shared" ca="1" si="0"/>
        <v/>
      </c>
      <c r="T5" s="15" t="str">
        <f t="shared" ca="1" si="0"/>
        <v/>
      </c>
      <c r="U5" s="15" t="str">
        <f t="shared" ca="1" si="0"/>
        <v/>
      </c>
      <c r="V5" s="15" t="str">
        <f t="shared" ca="1" si="0"/>
        <v/>
      </c>
      <c r="W5" s="15" t="str">
        <f t="shared" ca="1" si="0"/>
        <v/>
      </c>
      <c r="X5" s="16" t="str">
        <f ca="1">LOWER(TEXT(X7,"mmm"))</f>
        <v>aug</v>
      </c>
      <c r="Y5" s="16" t="str">
        <f t="shared" ca="1" si="0"/>
        <v/>
      </c>
      <c r="Z5" s="16" t="str">
        <f t="shared" ca="1" si="0"/>
        <v/>
      </c>
      <c r="AA5" s="16" t="str">
        <f t="shared" ca="1" si="0"/>
        <v/>
      </c>
      <c r="AB5" s="16" t="str">
        <f t="shared" ca="1" si="0"/>
        <v/>
      </c>
      <c r="AC5" s="16" t="str">
        <f t="shared" ca="1" si="0"/>
        <v/>
      </c>
      <c r="AD5" s="16" t="str">
        <f t="shared" ca="1" si="0"/>
        <v/>
      </c>
      <c r="AE5" s="16" t="str">
        <f ca="1">LOWER(TEXT(AE7,"mmm"))</f>
        <v>aug</v>
      </c>
      <c r="AF5" s="16" t="str">
        <f t="shared" ref="AF5" ca="1" si="1">IF(TEXT(AF7,"mmm")=TEXT(AE7,"mmm"),"",LOWER(TEXT(AF7,"mmm")))</f>
        <v/>
      </c>
      <c r="AG5" s="16" t="str">
        <f t="shared" ref="AG5" ca="1" si="2">IF(TEXT(AG7,"mmm")=TEXT(AF7,"mmm"),"",LOWER(TEXT(AG7,"mmm")))</f>
        <v/>
      </c>
      <c r="AH5" s="16" t="str">
        <f t="shared" ref="AH5" ca="1" si="3">IF(TEXT(AH7,"mmm")=TEXT(AG7,"mmm"),"",LOWER(TEXT(AH7,"mmm")))</f>
        <v/>
      </c>
      <c r="AI5" s="16" t="str">
        <f t="shared" ref="AI5" ca="1" si="4">IF(TEXT(AI7,"mmm")=TEXT(AH7,"mmm"),"",LOWER(TEXT(AI7,"mmm")))</f>
        <v/>
      </c>
      <c r="AJ5" s="16" t="str">
        <f t="shared" ref="AJ5" ca="1" si="5">IF(TEXT(AJ7,"mmm")=TEXT(AI7,"mmm"),"",LOWER(TEXT(AJ7,"mmm")))</f>
        <v/>
      </c>
      <c r="AK5" s="16" t="str">
        <f t="shared" ref="AK5" ca="1" si="6">IF(TEXT(AK7,"mmm")=TEXT(AJ7,"mmm"),"",LOWER(TEXT(AK7,"mmm")))</f>
        <v/>
      </c>
      <c r="AL5" s="15" t="str">
        <f ca="1">LOWER(TEXT(AL7,"mmm"))</f>
        <v>aug</v>
      </c>
      <c r="AM5" s="15" t="str">
        <f t="shared" ref="AM5" ca="1" si="7">IF(TEXT(AM7,"mmm")=TEXT(AL7,"mmm"),"",LOWER(TEXT(AM7,"mmm")))</f>
        <v/>
      </c>
      <c r="AN5" s="15" t="str">
        <f t="shared" ref="AN5" ca="1" si="8">IF(TEXT(AN7,"mmm")=TEXT(AM7,"mmm"),"",LOWER(TEXT(AN7,"mmm")))</f>
        <v/>
      </c>
      <c r="AO5" s="15" t="str">
        <f t="shared" ref="AO5" ca="1" si="9">IF(TEXT(AO7,"mmm")=TEXT(AN7,"mmm"),"",LOWER(TEXT(AO7,"mmm")))</f>
        <v/>
      </c>
      <c r="AP5" s="15" t="str">
        <f t="shared" ref="AP5" ca="1" si="10">IF(TEXT(AP7,"mmm")=TEXT(AO7,"mmm"),"",LOWER(TEXT(AP7,"mmm")))</f>
        <v/>
      </c>
      <c r="AQ5" s="15" t="str">
        <f t="shared" ref="AQ5" ca="1" si="11">IF(TEXT(AQ7,"mmm")=TEXT(AP7,"mmm"),"",LOWER(TEXT(AQ7,"mmm")))</f>
        <v>sep</v>
      </c>
      <c r="AR5" s="15" t="str">
        <f t="shared" ref="AR5" ca="1" si="12">IF(TEXT(AR7,"mmm")=TEXT(AQ7,"mmm"),"",LOWER(TEXT(AR7,"mmm")))</f>
        <v/>
      </c>
      <c r="AS5" s="16" t="str">
        <f ca="1">LOWER(TEXT(AS7,"mmm"))</f>
        <v>sep</v>
      </c>
      <c r="AT5" s="16" t="str">
        <f t="shared" ref="AT5" ca="1" si="13">IF(TEXT(AT7,"mmm")=TEXT(AS7,"mmm"),"",LOWER(TEXT(AT7,"mmm")))</f>
        <v/>
      </c>
      <c r="AU5" s="16" t="str">
        <f t="shared" ref="AU5" ca="1" si="14">IF(TEXT(AU7,"mmm")=TEXT(AT7,"mmm"),"",LOWER(TEXT(AU7,"mmm")))</f>
        <v/>
      </c>
      <c r="AV5" s="16" t="str">
        <f t="shared" ref="AV5" ca="1" si="15">IF(TEXT(AV7,"mmm")=TEXT(AU7,"mmm"),"",LOWER(TEXT(AV7,"mmm")))</f>
        <v/>
      </c>
      <c r="AW5" s="16" t="str">
        <f t="shared" ref="AW5" ca="1" si="16">IF(TEXT(AW7,"mmm")=TEXT(AV7,"mmm"),"",LOWER(TEXT(AW7,"mmm")))</f>
        <v/>
      </c>
      <c r="AX5" s="16" t="str">
        <f t="shared" ref="AX5" ca="1" si="17">IF(TEXT(AX7,"mmm")=TEXT(AW7,"mmm"),"",LOWER(TEXT(AX7,"mmm")))</f>
        <v/>
      </c>
      <c r="AY5" s="16" t="str">
        <f t="shared" ref="AY5" ca="1" si="18">IF(TEXT(AY7,"mmm")=TEXT(AX7,"mmm"),"",LOWER(TEXT(AY7,"mmm")))</f>
        <v/>
      </c>
      <c r="AZ5" s="16" t="str">
        <f ca="1">LOWER(TEXT(AZ7,"mmm"))</f>
        <v>sep</v>
      </c>
      <c r="BA5" s="16" t="str">
        <f t="shared" ref="BA5" ca="1" si="19">IF(TEXT(BA7,"mmm")=TEXT(AZ7,"mmm"),"",LOWER(TEXT(BA7,"mmm")))</f>
        <v/>
      </c>
      <c r="BB5" s="16" t="str">
        <f t="shared" ref="BB5" ca="1" si="20">IF(TEXT(BB7,"mmm")=TEXT(BA7,"mmm"),"",LOWER(TEXT(BB7,"mmm")))</f>
        <v/>
      </c>
      <c r="BC5" s="16" t="str">
        <f t="shared" ref="BC5" ca="1" si="21">IF(TEXT(BC7,"mmm")=TEXT(BB7,"mmm"),"",LOWER(TEXT(BC7,"mmm")))</f>
        <v/>
      </c>
      <c r="BD5" s="16" t="str">
        <f t="shared" ref="BD5" ca="1" si="22">IF(TEXT(BD7,"mmm")=TEXT(BC7,"mmm"),"",LOWER(TEXT(BD7,"mmm")))</f>
        <v/>
      </c>
      <c r="BE5" s="16" t="str">
        <f t="shared" ref="BE5" ca="1" si="23">IF(TEXT(BE7,"mmm")=TEXT(BD7,"mmm"),"",LOWER(TEXT(BE7,"mmm")))</f>
        <v/>
      </c>
      <c r="BF5" s="16" t="str">
        <f t="shared" ref="BF5" ca="1" si="24">IF(TEXT(BF7,"mmm")=TEXT(BE7,"mmm"),"",LOWER(TEXT(BF7,"mmm")))</f>
        <v/>
      </c>
      <c r="BG5" s="15" t="str">
        <f ca="1">LOWER(TEXT(BG7,"mmm"))</f>
        <v>sep</v>
      </c>
      <c r="BH5" s="15" t="str">
        <f t="shared" ref="BH5" ca="1" si="25">IF(TEXT(BH7,"mmm")=TEXT(BG7,"mmm"),"",LOWER(TEXT(BH7,"mmm")))</f>
        <v/>
      </c>
      <c r="BI5" s="15" t="str">
        <f t="shared" ref="BI5" ca="1" si="26">IF(TEXT(BI7,"mmm")=TEXT(BH7,"mmm"),"",LOWER(TEXT(BI7,"mmm")))</f>
        <v/>
      </c>
      <c r="BJ5" s="15" t="str">
        <f t="shared" ref="BJ5" ca="1" si="27">IF(TEXT(BJ7,"mmm")=TEXT(BI7,"mmm"),"",LOWER(TEXT(BJ7,"mmm")))</f>
        <v/>
      </c>
      <c r="BK5" s="15" t="str">
        <f t="shared" ref="BK5" ca="1" si="28">IF(TEXT(BK7,"mmm")=TEXT(BJ7,"mmm"),"",LOWER(TEXT(BK7,"mmm")))</f>
        <v/>
      </c>
      <c r="BL5" s="15" t="str">
        <f t="shared" ref="BL5" ca="1" si="29">IF(TEXT(BL7,"mmm")=TEXT(BK7,"mmm"),"",LOWER(TEXT(BL7,"mmm")))</f>
        <v/>
      </c>
      <c r="BM5" s="15" t="str">
        <f t="shared" ref="BM5" ca="1" si="30">IF(TEXT(BM7,"mmm")=TEXT(BL7,"mmm"),"",LOWER(TEXT(BM7,"mmm")))</f>
        <v/>
      </c>
      <c r="BN5" s="16" t="str">
        <f ca="1">LOWER(TEXT(BN7,"mmm"))</f>
        <v>sep</v>
      </c>
      <c r="BO5" s="16" t="str">
        <f t="shared" ref="BO5" ca="1" si="31">IF(TEXT(BO7,"mmm")=TEXT(BN7,"mmm"),"",LOWER(TEXT(BO7,"mmm")))</f>
        <v/>
      </c>
      <c r="BP5" s="16" t="str">
        <f t="shared" ref="BP5" ca="1" si="32">IF(TEXT(BP7,"mmm")=TEXT(BO7,"mmm"),"",LOWER(TEXT(BP7,"mmm")))</f>
        <v/>
      </c>
      <c r="BQ5" s="16" t="str">
        <f t="shared" ref="BQ5" ca="1" si="33">IF(TEXT(BQ7,"mmm")=TEXT(BP7,"mmm"),"",LOWER(TEXT(BQ7,"mmm")))</f>
        <v/>
      </c>
      <c r="BR5" s="16" t="str">
        <f t="shared" ref="BR5" ca="1" si="34">IF(TEXT(BR7,"mmm")=TEXT(BQ7,"mmm"),"",LOWER(TEXT(BR7,"mmm")))</f>
        <v/>
      </c>
      <c r="BS5" s="16" t="str">
        <f t="shared" ref="BS5" ca="1" si="35">IF(TEXT(BS7,"mmm")=TEXT(BR7,"mmm"),"",LOWER(TEXT(BS7,"mmm")))</f>
        <v/>
      </c>
      <c r="BT5" s="16" t="str">
        <f t="shared" ref="BT5" ca="1" si="36">IF(TEXT(BT7,"mmm")=TEXT(BS7,"mmm"),"",LOWER(TEXT(BT7,"mmm")))</f>
        <v/>
      </c>
      <c r="BU5" s="16" t="str">
        <f ca="1">LOWER(TEXT(BU7,"mmm"))</f>
        <v>oct</v>
      </c>
      <c r="BV5" s="16" t="str">
        <f t="shared" ref="BV5" ca="1" si="37">IF(TEXT(BV7,"mmm")=TEXT(BU7,"mmm"),"",LOWER(TEXT(BV7,"mmm")))</f>
        <v/>
      </c>
      <c r="BW5" s="16" t="str">
        <f t="shared" ref="BW5" ca="1" si="38">IF(TEXT(BW7,"mmm")=TEXT(BV7,"mmm"),"",LOWER(TEXT(BW7,"mmm")))</f>
        <v/>
      </c>
      <c r="BX5" s="16" t="str">
        <f t="shared" ref="BX5" ca="1" si="39">IF(TEXT(BX7,"mmm")=TEXT(BW7,"mmm"),"",LOWER(TEXT(BX7,"mmm")))</f>
        <v/>
      </c>
      <c r="BY5" s="16" t="str">
        <f t="shared" ref="BY5" ca="1" si="40">IF(TEXT(BY7,"mmm")=TEXT(BX7,"mmm"),"",LOWER(TEXT(BY7,"mmm")))</f>
        <v/>
      </c>
      <c r="BZ5" s="16" t="str">
        <f t="shared" ref="BZ5" ca="1" si="41">IF(TEXT(BZ7,"mmm")=TEXT(BY7,"mmm"),"",LOWER(TEXT(BZ7,"mmm")))</f>
        <v/>
      </c>
      <c r="CA5" s="16" t="str">
        <f t="shared" ref="CA5" ca="1" si="42">IF(TEXT(CA7,"mmm")=TEXT(BZ7,"mmm"),"",LOWER(TEXT(CA7,"mmm")))</f>
        <v/>
      </c>
      <c r="CB5" s="15" t="str">
        <f ca="1">LOWER(TEXT(CB7,"mmm"))</f>
        <v>oct</v>
      </c>
      <c r="CC5" s="15" t="str">
        <f t="shared" ref="CC5" ca="1" si="43">IF(TEXT(CC7,"mmm")=TEXT(CB7,"mmm"),"",LOWER(TEXT(CC7,"mmm")))</f>
        <v/>
      </c>
      <c r="CD5" s="15" t="str">
        <f t="shared" ref="CD5" ca="1" si="44">IF(TEXT(CD7,"mmm")=TEXT(CC7,"mmm"),"",LOWER(TEXT(CD7,"mmm")))</f>
        <v/>
      </c>
      <c r="CE5" s="15" t="str">
        <f t="shared" ref="CE5" ca="1" si="45">IF(TEXT(CE7,"mmm")=TEXT(CD7,"mmm"),"",LOWER(TEXT(CE7,"mmm")))</f>
        <v/>
      </c>
      <c r="CF5" s="15" t="str">
        <f t="shared" ref="CF5" ca="1" si="46">IF(TEXT(CF7,"mmm")=TEXT(CE7,"mmm"),"",LOWER(TEXT(CF7,"mmm")))</f>
        <v/>
      </c>
      <c r="CG5" s="15" t="str">
        <f t="shared" ref="CG5" ca="1" si="47">IF(TEXT(CG7,"mmm")=TEXT(CF7,"mmm"),"",LOWER(TEXT(CG7,"mmm")))</f>
        <v/>
      </c>
      <c r="CH5" s="15" t="str">
        <f t="shared" ref="CH5" ca="1" si="48">IF(TEXT(CH7,"mmm")=TEXT(CG7,"mmm"),"",LOWER(TEXT(CH7,"mmm")))</f>
        <v/>
      </c>
      <c r="CI5" s="16" t="str">
        <f ca="1">LOWER(TEXT(CI7,"mmm"))</f>
        <v>oct</v>
      </c>
      <c r="CJ5" s="16" t="str">
        <f t="shared" ref="CJ5" ca="1" si="49">IF(TEXT(CJ7,"mmm")=TEXT(CI7,"mmm"),"",LOWER(TEXT(CJ7,"mmm")))</f>
        <v/>
      </c>
      <c r="CK5" s="16" t="str">
        <f t="shared" ref="CK5" ca="1" si="50">IF(TEXT(CK7,"mmm")=TEXT(CJ7,"mmm"),"",LOWER(TEXT(CK7,"mmm")))</f>
        <v/>
      </c>
      <c r="CL5" s="16" t="str">
        <f t="shared" ref="CL5" ca="1" si="51">IF(TEXT(CL7,"mmm")=TEXT(CK7,"mmm"),"",LOWER(TEXT(CL7,"mmm")))</f>
        <v/>
      </c>
      <c r="CM5" s="16" t="str">
        <f t="shared" ref="CM5" ca="1" si="52">IF(TEXT(CM7,"mmm")=TEXT(CL7,"mmm"),"",LOWER(TEXT(CM7,"mmm")))</f>
        <v/>
      </c>
      <c r="CN5" s="16" t="str">
        <f t="shared" ref="CN5" ca="1" si="53">IF(TEXT(CN7,"mmm")=TEXT(CM7,"mmm"),"",LOWER(TEXT(CN7,"mmm")))</f>
        <v/>
      </c>
      <c r="CO5" s="16" t="str">
        <f t="shared" ref="CO5" ca="1" si="54">IF(TEXT(CO7,"mmm")=TEXT(CN7,"mmm"),"",LOWER(TEXT(CO7,"mmm")))</f>
        <v/>
      </c>
      <c r="CP5" s="179"/>
    </row>
    <row r="6" spans="2:94" x14ac:dyDescent="0.2">
      <c r="B6" s="10" t="s">
        <v>230</v>
      </c>
      <c r="C6" s="102" t="str">
        <f ca="1">LOWER(TEXT(C7,"aaa"))</f>
        <v>thu</v>
      </c>
      <c r="D6" s="13" t="str">
        <f t="shared" ref="D6:BO6" ca="1" si="55">LOWER(TEXT(D7,"aaa"))</f>
        <v>fri</v>
      </c>
      <c r="E6" s="13" t="str">
        <f t="shared" ca="1" si="55"/>
        <v>sat</v>
      </c>
      <c r="F6" s="13" t="str">
        <f t="shared" ca="1" si="55"/>
        <v>sun</v>
      </c>
      <c r="G6" s="13" t="str">
        <f t="shared" ca="1" si="55"/>
        <v>mon</v>
      </c>
      <c r="H6" s="13" t="str">
        <f t="shared" ca="1" si="55"/>
        <v>tue</v>
      </c>
      <c r="I6" s="13" t="str">
        <f t="shared" ca="1" si="55"/>
        <v>wed</v>
      </c>
      <c r="J6" s="102" t="str">
        <f t="shared" ca="1" si="55"/>
        <v>thu</v>
      </c>
      <c r="K6" s="17" t="str">
        <f t="shared" ca="1" si="55"/>
        <v>fri</v>
      </c>
      <c r="L6" s="17" t="str">
        <f t="shared" ca="1" si="55"/>
        <v>sat</v>
      </c>
      <c r="M6" s="17" t="str">
        <f t="shared" ca="1" si="55"/>
        <v>sun</v>
      </c>
      <c r="N6" s="17" t="str">
        <f t="shared" ca="1" si="55"/>
        <v>mon</v>
      </c>
      <c r="O6" s="17" t="str">
        <f t="shared" ca="1" si="55"/>
        <v>tue</v>
      </c>
      <c r="P6" s="17" t="str">
        <f t="shared" ca="1" si="55"/>
        <v>wed</v>
      </c>
      <c r="Q6" s="102" t="str">
        <f t="shared" ca="1" si="55"/>
        <v>thu</v>
      </c>
      <c r="R6" s="13" t="str">
        <f t="shared" ca="1" si="55"/>
        <v>fri</v>
      </c>
      <c r="S6" s="13" t="str">
        <f t="shared" ca="1" si="55"/>
        <v>sat</v>
      </c>
      <c r="T6" s="13" t="str">
        <f t="shared" ca="1" si="55"/>
        <v>sun</v>
      </c>
      <c r="U6" s="13" t="str">
        <f t="shared" ca="1" si="55"/>
        <v>mon</v>
      </c>
      <c r="V6" s="13" t="str">
        <f t="shared" ca="1" si="55"/>
        <v>tue</v>
      </c>
      <c r="W6" s="13" t="str">
        <f t="shared" ca="1" si="55"/>
        <v>wed</v>
      </c>
      <c r="X6" s="102" t="str">
        <f t="shared" ca="1" si="55"/>
        <v>thu</v>
      </c>
      <c r="Y6" s="17" t="str">
        <f t="shared" ca="1" si="55"/>
        <v>fri</v>
      </c>
      <c r="Z6" s="17" t="str">
        <f t="shared" ca="1" si="55"/>
        <v>sat</v>
      </c>
      <c r="AA6" s="17" t="str">
        <f t="shared" ca="1" si="55"/>
        <v>sun</v>
      </c>
      <c r="AB6" s="17" t="str">
        <f t="shared" ca="1" si="55"/>
        <v>mon</v>
      </c>
      <c r="AC6" s="17" t="str">
        <f t="shared" ca="1" si="55"/>
        <v>tue</v>
      </c>
      <c r="AD6" s="17" t="str">
        <f t="shared" ca="1" si="55"/>
        <v>wed</v>
      </c>
      <c r="AE6" s="102" t="str">
        <f t="shared" ca="1" si="55"/>
        <v>thu</v>
      </c>
      <c r="AF6" s="17" t="str">
        <f t="shared" ca="1" si="55"/>
        <v>fri</v>
      </c>
      <c r="AG6" s="17" t="str">
        <f t="shared" ca="1" si="55"/>
        <v>sat</v>
      </c>
      <c r="AH6" s="17" t="str">
        <f t="shared" ca="1" si="55"/>
        <v>sun</v>
      </c>
      <c r="AI6" s="17" t="str">
        <f t="shared" ca="1" si="55"/>
        <v>mon</v>
      </c>
      <c r="AJ6" s="17" t="str">
        <f t="shared" ca="1" si="55"/>
        <v>tue</v>
      </c>
      <c r="AK6" s="17" t="str">
        <f t="shared" ca="1" si="55"/>
        <v>wed</v>
      </c>
      <c r="AL6" s="102" t="str">
        <f t="shared" ca="1" si="55"/>
        <v>thu</v>
      </c>
      <c r="AM6" s="13" t="str">
        <f t="shared" ca="1" si="55"/>
        <v>fri</v>
      </c>
      <c r="AN6" s="13" t="str">
        <f t="shared" ca="1" si="55"/>
        <v>sat</v>
      </c>
      <c r="AO6" s="13" t="str">
        <f t="shared" ca="1" si="55"/>
        <v>sun</v>
      </c>
      <c r="AP6" s="13" t="str">
        <f t="shared" ca="1" si="55"/>
        <v>mon</v>
      </c>
      <c r="AQ6" s="13" t="str">
        <f t="shared" ca="1" si="55"/>
        <v>tue</v>
      </c>
      <c r="AR6" s="13" t="str">
        <f t="shared" ca="1" si="55"/>
        <v>wed</v>
      </c>
      <c r="AS6" s="102" t="str">
        <f t="shared" ca="1" si="55"/>
        <v>thu</v>
      </c>
      <c r="AT6" s="17" t="str">
        <f t="shared" ca="1" si="55"/>
        <v>fri</v>
      </c>
      <c r="AU6" s="17" t="str">
        <f t="shared" ca="1" si="55"/>
        <v>sat</v>
      </c>
      <c r="AV6" s="17" t="str">
        <f t="shared" ca="1" si="55"/>
        <v>sun</v>
      </c>
      <c r="AW6" s="17" t="str">
        <f t="shared" ca="1" si="55"/>
        <v>mon</v>
      </c>
      <c r="AX6" s="17" t="str">
        <f t="shared" ca="1" si="55"/>
        <v>tue</v>
      </c>
      <c r="AY6" s="17" t="str">
        <f t="shared" ca="1" si="55"/>
        <v>wed</v>
      </c>
      <c r="AZ6" s="102" t="str">
        <f t="shared" ca="1" si="55"/>
        <v>thu</v>
      </c>
      <c r="BA6" s="17" t="str">
        <f t="shared" ca="1" si="55"/>
        <v>fri</v>
      </c>
      <c r="BB6" s="17" t="str">
        <f t="shared" ca="1" si="55"/>
        <v>sat</v>
      </c>
      <c r="BC6" s="17" t="str">
        <f t="shared" ca="1" si="55"/>
        <v>sun</v>
      </c>
      <c r="BD6" s="17" t="str">
        <f t="shared" ca="1" si="55"/>
        <v>mon</v>
      </c>
      <c r="BE6" s="17" t="str">
        <f t="shared" ca="1" si="55"/>
        <v>tue</v>
      </c>
      <c r="BF6" s="17" t="str">
        <f t="shared" ca="1" si="55"/>
        <v>wed</v>
      </c>
      <c r="BG6" s="102" t="str">
        <f t="shared" ca="1" si="55"/>
        <v>thu</v>
      </c>
      <c r="BH6" s="13" t="str">
        <f t="shared" ca="1" si="55"/>
        <v>fri</v>
      </c>
      <c r="BI6" s="13" t="str">
        <f t="shared" ca="1" si="55"/>
        <v>sat</v>
      </c>
      <c r="BJ6" s="13" t="str">
        <f t="shared" ca="1" si="55"/>
        <v>sun</v>
      </c>
      <c r="BK6" s="13" t="str">
        <f t="shared" ca="1" si="55"/>
        <v>mon</v>
      </c>
      <c r="BL6" s="13" t="str">
        <f t="shared" ca="1" si="55"/>
        <v>tue</v>
      </c>
      <c r="BM6" s="13" t="str">
        <f t="shared" ca="1" si="55"/>
        <v>wed</v>
      </c>
      <c r="BN6" s="102" t="str">
        <f t="shared" ca="1" si="55"/>
        <v>thu</v>
      </c>
      <c r="BO6" s="17" t="str">
        <f t="shared" ca="1" si="55"/>
        <v>fri</v>
      </c>
      <c r="BP6" s="17" t="str">
        <f t="shared" ref="BP6:CO6" ca="1" si="56">LOWER(TEXT(BP7,"aaa"))</f>
        <v>sat</v>
      </c>
      <c r="BQ6" s="17" t="str">
        <f t="shared" ca="1" si="56"/>
        <v>sun</v>
      </c>
      <c r="BR6" s="17" t="str">
        <f t="shared" ca="1" si="56"/>
        <v>mon</v>
      </c>
      <c r="BS6" s="17" t="str">
        <f t="shared" ca="1" si="56"/>
        <v>tue</v>
      </c>
      <c r="BT6" s="17" t="str">
        <f t="shared" ca="1" si="56"/>
        <v>wed</v>
      </c>
      <c r="BU6" s="17" t="str">
        <f t="shared" ca="1" si="56"/>
        <v>thu</v>
      </c>
      <c r="BV6" s="17" t="str">
        <f t="shared" ca="1" si="56"/>
        <v>fri</v>
      </c>
      <c r="BW6" s="17" t="str">
        <f t="shared" ca="1" si="56"/>
        <v>sat</v>
      </c>
      <c r="BX6" s="17" t="str">
        <f t="shared" ca="1" si="56"/>
        <v>sun</v>
      </c>
      <c r="BY6" s="17" t="str">
        <f t="shared" ca="1" si="56"/>
        <v>mon</v>
      </c>
      <c r="BZ6" s="17" t="str">
        <f t="shared" ca="1" si="56"/>
        <v>tue</v>
      </c>
      <c r="CA6" s="17" t="str">
        <f t="shared" ca="1" si="56"/>
        <v>wed</v>
      </c>
      <c r="CB6" s="13" t="str">
        <f t="shared" ca="1" si="56"/>
        <v>thu</v>
      </c>
      <c r="CC6" s="13" t="str">
        <f t="shared" ca="1" si="56"/>
        <v>fri</v>
      </c>
      <c r="CD6" s="13" t="str">
        <f t="shared" ca="1" si="56"/>
        <v>sat</v>
      </c>
      <c r="CE6" s="13" t="str">
        <f t="shared" ca="1" si="56"/>
        <v>sun</v>
      </c>
      <c r="CF6" s="13" t="str">
        <f t="shared" ca="1" si="56"/>
        <v>mon</v>
      </c>
      <c r="CG6" s="13" t="str">
        <f t="shared" ca="1" si="56"/>
        <v>tue</v>
      </c>
      <c r="CH6" s="13" t="str">
        <f t="shared" ca="1" si="56"/>
        <v>wed</v>
      </c>
      <c r="CI6" s="17" t="str">
        <f t="shared" ca="1" si="56"/>
        <v>thu</v>
      </c>
      <c r="CJ6" s="17" t="str">
        <f t="shared" ca="1" si="56"/>
        <v>fri</v>
      </c>
      <c r="CK6" s="17" t="str">
        <f t="shared" ca="1" si="56"/>
        <v>sat</v>
      </c>
      <c r="CL6" s="17" t="str">
        <f t="shared" ca="1" si="56"/>
        <v>sun</v>
      </c>
      <c r="CM6" s="17" t="str">
        <f t="shared" ca="1" si="56"/>
        <v>mon</v>
      </c>
      <c r="CN6" s="17" t="str">
        <f t="shared" ca="1" si="56"/>
        <v>tue</v>
      </c>
      <c r="CO6" s="17" t="str">
        <f t="shared" ca="1" si="56"/>
        <v>wed</v>
      </c>
      <c r="CP6" s="179"/>
    </row>
    <row r="7" spans="2:94" ht="15" thickBot="1" x14ac:dyDescent="0.25">
      <c r="B7" s="11" t="s">
        <v>229</v>
      </c>
      <c r="C7" s="151">
        <f ca="1">C2</f>
        <v>44035</v>
      </c>
      <c r="D7" s="14">
        <f ca="1">C7+1</f>
        <v>44036</v>
      </c>
      <c r="E7" s="14">
        <f t="shared" ref="E7:Q7" ca="1" si="57">D7+1</f>
        <v>44037</v>
      </c>
      <c r="F7" s="14">
        <f t="shared" ca="1" si="57"/>
        <v>44038</v>
      </c>
      <c r="G7" s="14">
        <f t="shared" ca="1" si="57"/>
        <v>44039</v>
      </c>
      <c r="H7" s="14">
        <f t="shared" ca="1" si="57"/>
        <v>44040</v>
      </c>
      <c r="I7" s="14">
        <f t="shared" ca="1" si="57"/>
        <v>44041</v>
      </c>
      <c r="J7" s="103">
        <f t="shared" ca="1" si="57"/>
        <v>44042</v>
      </c>
      <c r="K7" s="18">
        <f t="shared" ca="1" si="57"/>
        <v>44043</v>
      </c>
      <c r="L7" s="18">
        <f t="shared" ca="1" si="57"/>
        <v>44044</v>
      </c>
      <c r="M7" s="18">
        <f t="shared" ca="1" si="57"/>
        <v>44045</v>
      </c>
      <c r="N7" s="18">
        <f t="shared" ca="1" si="57"/>
        <v>44046</v>
      </c>
      <c r="O7" s="18">
        <f t="shared" ca="1" si="57"/>
        <v>44047</v>
      </c>
      <c r="P7" s="18">
        <f t="shared" ca="1" si="57"/>
        <v>44048</v>
      </c>
      <c r="Q7" s="103">
        <f t="shared" ca="1" si="57"/>
        <v>44049</v>
      </c>
      <c r="R7" s="14">
        <f t="shared" ref="R7:X7" ca="1" si="58">Q7+1</f>
        <v>44050</v>
      </c>
      <c r="S7" s="14">
        <f t="shared" ca="1" si="58"/>
        <v>44051</v>
      </c>
      <c r="T7" s="14">
        <f t="shared" ca="1" si="58"/>
        <v>44052</v>
      </c>
      <c r="U7" s="14">
        <f t="shared" ca="1" si="58"/>
        <v>44053</v>
      </c>
      <c r="V7" s="14">
        <f t="shared" ca="1" si="58"/>
        <v>44054</v>
      </c>
      <c r="W7" s="14">
        <f t="shared" ca="1" si="58"/>
        <v>44055</v>
      </c>
      <c r="X7" s="103">
        <f t="shared" ca="1" si="58"/>
        <v>44056</v>
      </c>
      <c r="Y7" s="18">
        <f t="shared" ref="Y7:AC7" ca="1" si="59">X7+1</f>
        <v>44057</v>
      </c>
      <c r="Z7" s="18">
        <f t="shared" ca="1" si="59"/>
        <v>44058</v>
      </c>
      <c r="AA7" s="18">
        <f t="shared" ca="1" si="59"/>
        <v>44059</v>
      </c>
      <c r="AB7" s="18">
        <f t="shared" ca="1" si="59"/>
        <v>44060</v>
      </c>
      <c r="AC7" s="18">
        <f t="shared" ca="1" si="59"/>
        <v>44061</v>
      </c>
      <c r="AD7" s="18">
        <f t="shared" ref="AD7" ca="1" si="60">AC7+1</f>
        <v>44062</v>
      </c>
      <c r="AE7" s="103">
        <f t="shared" ref="AE7" ca="1" si="61">AD7+1</f>
        <v>44063</v>
      </c>
      <c r="AF7" s="18">
        <f t="shared" ref="AF7" ca="1" si="62">AE7+1</f>
        <v>44064</v>
      </c>
      <c r="AG7" s="18">
        <f t="shared" ref="AG7" ca="1" si="63">AF7+1</f>
        <v>44065</v>
      </c>
      <c r="AH7" s="18">
        <f t="shared" ref="AH7" ca="1" si="64">AG7+1</f>
        <v>44066</v>
      </c>
      <c r="AI7" s="18">
        <f t="shared" ref="AI7" ca="1" si="65">AH7+1</f>
        <v>44067</v>
      </c>
      <c r="AJ7" s="18">
        <f t="shared" ref="AJ7" ca="1" si="66">AI7+1</f>
        <v>44068</v>
      </c>
      <c r="AK7" s="18">
        <f t="shared" ref="AK7" ca="1" si="67">AJ7+1</f>
        <v>44069</v>
      </c>
      <c r="AL7" s="103">
        <f t="shared" ref="AL7" ca="1" si="68">AK7+1</f>
        <v>44070</v>
      </c>
      <c r="AM7" s="14">
        <f t="shared" ref="AM7" ca="1" si="69">AL7+1</f>
        <v>44071</v>
      </c>
      <c r="AN7" s="14">
        <f t="shared" ref="AN7" ca="1" si="70">AM7+1</f>
        <v>44072</v>
      </c>
      <c r="AO7" s="14">
        <f t="shared" ref="AO7" ca="1" si="71">AN7+1</f>
        <v>44073</v>
      </c>
      <c r="AP7" s="14">
        <f t="shared" ref="AP7" ca="1" si="72">AO7+1</f>
        <v>44074</v>
      </c>
      <c r="AQ7" s="14">
        <f t="shared" ref="AQ7" ca="1" si="73">AP7+1</f>
        <v>44075</v>
      </c>
      <c r="AR7" s="14">
        <f t="shared" ref="AR7" ca="1" si="74">AQ7+1</f>
        <v>44076</v>
      </c>
      <c r="AS7" s="103">
        <f t="shared" ref="AS7" ca="1" si="75">AR7+1</f>
        <v>44077</v>
      </c>
      <c r="AT7" s="18">
        <f t="shared" ref="AT7" ca="1" si="76">AS7+1</f>
        <v>44078</v>
      </c>
      <c r="AU7" s="18">
        <f t="shared" ref="AU7" ca="1" si="77">AT7+1</f>
        <v>44079</v>
      </c>
      <c r="AV7" s="18">
        <f t="shared" ref="AV7" ca="1" si="78">AU7+1</f>
        <v>44080</v>
      </c>
      <c r="AW7" s="18">
        <f t="shared" ref="AW7" ca="1" si="79">AV7+1</f>
        <v>44081</v>
      </c>
      <c r="AX7" s="18">
        <f t="shared" ref="AX7" ca="1" si="80">AW7+1</f>
        <v>44082</v>
      </c>
      <c r="AY7" s="18">
        <f t="shared" ref="AY7" ca="1" si="81">AX7+1</f>
        <v>44083</v>
      </c>
      <c r="AZ7" s="103">
        <f t="shared" ref="AZ7" ca="1" si="82">AY7+1</f>
        <v>44084</v>
      </c>
      <c r="BA7" s="18">
        <f t="shared" ref="BA7" ca="1" si="83">AZ7+1</f>
        <v>44085</v>
      </c>
      <c r="BB7" s="18">
        <f t="shared" ref="BB7" ca="1" si="84">BA7+1</f>
        <v>44086</v>
      </c>
      <c r="BC7" s="18">
        <f t="shared" ref="BC7" ca="1" si="85">BB7+1</f>
        <v>44087</v>
      </c>
      <c r="BD7" s="18">
        <f t="shared" ref="BD7" ca="1" si="86">BC7+1</f>
        <v>44088</v>
      </c>
      <c r="BE7" s="18">
        <f t="shared" ref="BE7" ca="1" si="87">BD7+1</f>
        <v>44089</v>
      </c>
      <c r="BF7" s="18">
        <f t="shared" ref="BF7" ca="1" si="88">BE7+1</f>
        <v>44090</v>
      </c>
      <c r="BG7" s="103">
        <f t="shared" ref="BG7" ca="1" si="89">BF7+1</f>
        <v>44091</v>
      </c>
      <c r="BH7" s="14">
        <f t="shared" ref="BH7" ca="1" si="90">BG7+1</f>
        <v>44092</v>
      </c>
      <c r="BI7" s="14">
        <f t="shared" ref="BI7" ca="1" si="91">BH7+1</f>
        <v>44093</v>
      </c>
      <c r="BJ7" s="14">
        <f t="shared" ref="BJ7" ca="1" si="92">BI7+1</f>
        <v>44094</v>
      </c>
      <c r="BK7" s="14">
        <f t="shared" ref="BK7" ca="1" si="93">BJ7+1</f>
        <v>44095</v>
      </c>
      <c r="BL7" s="14">
        <f t="shared" ref="BL7" ca="1" si="94">BK7+1</f>
        <v>44096</v>
      </c>
      <c r="BM7" s="14">
        <f t="shared" ref="BM7" ca="1" si="95">BL7+1</f>
        <v>44097</v>
      </c>
      <c r="BN7" s="103">
        <f t="shared" ref="BN7" ca="1" si="96">BM7+1</f>
        <v>44098</v>
      </c>
      <c r="BO7" s="18">
        <f t="shared" ref="BO7" ca="1" si="97">BN7+1</f>
        <v>44099</v>
      </c>
      <c r="BP7" s="18">
        <f t="shared" ref="BP7" ca="1" si="98">BO7+1</f>
        <v>44100</v>
      </c>
      <c r="BQ7" s="18">
        <f t="shared" ref="BQ7" ca="1" si="99">BP7+1</f>
        <v>44101</v>
      </c>
      <c r="BR7" s="18">
        <f t="shared" ref="BR7" ca="1" si="100">BQ7+1</f>
        <v>44102</v>
      </c>
      <c r="BS7" s="18">
        <f t="shared" ref="BS7" ca="1" si="101">BR7+1</f>
        <v>44103</v>
      </c>
      <c r="BT7" s="18">
        <f t="shared" ref="BT7" ca="1" si="102">BS7+1</f>
        <v>44104</v>
      </c>
      <c r="BU7" s="18">
        <f t="shared" ref="BU7" ca="1" si="103">BT7+1</f>
        <v>44105</v>
      </c>
      <c r="BV7" s="18">
        <f t="shared" ref="BV7" ca="1" si="104">BU7+1</f>
        <v>44106</v>
      </c>
      <c r="BW7" s="18">
        <f t="shared" ref="BW7" ca="1" si="105">BV7+1</f>
        <v>44107</v>
      </c>
      <c r="BX7" s="18">
        <f t="shared" ref="BX7" ca="1" si="106">BW7+1</f>
        <v>44108</v>
      </c>
      <c r="BY7" s="18">
        <f t="shared" ref="BY7" ca="1" si="107">BX7+1</f>
        <v>44109</v>
      </c>
      <c r="BZ7" s="18">
        <f t="shared" ref="BZ7" ca="1" si="108">BY7+1</f>
        <v>44110</v>
      </c>
      <c r="CA7" s="18">
        <f t="shared" ref="CA7" ca="1" si="109">BZ7+1</f>
        <v>44111</v>
      </c>
      <c r="CB7" s="14">
        <f t="shared" ref="CB7" ca="1" si="110">CA7+1</f>
        <v>44112</v>
      </c>
      <c r="CC7" s="14">
        <f t="shared" ref="CC7" ca="1" si="111">CB7+1</f>
        <v>44113</v>
      </c>
      <c r="CD7" s="14">
        <f t="shared" ref="CD7" ca="1" si="112">CC7+1</f>
        <v>44114</v>
      </c>
      <c r="CE7" s="14">
        <f t="shared" ref="CE7" ca="1" si="113">CD7+1</f>
        <v>44115</v>
      </c>
      <c r="CF7" s="14">
        <f t="shared" ref="CF7" ca="1" si="114">CE7+1</f>
        <v>44116</v>
      </c>
      <c r="CG7" s="14">
        <f t="shared" ref="CG7" ca="1" si="115">CF7+1</f>
        <v>44117</v>
      </c>
      <c r="CH7" s="14">
        <f t="shared" ref="CH7" ca="1" si="116">CG7+1</f>
        <v>44118</v>
      </c>
      <c r="CI7" s="18">
        <f t="shared" ref="CI7" ca="1" si="117">CH7+1</f>
        <v>44119</v>
      </c>
      <c r="CJ7" s="18">
        <f t="shared" ref="CJ7" ca="1" si="118">CI7+1</f>
        <v>44120</v>
      </c>
      <c r="CK7" s="18">
        <f t="shared" ref="CK7" ca="1" si="119">CJ7+1</f>
        <v>44121</v>
      </c>
      <c r="CL7" s="18">
        <f t="shared" ref="CL7" ca="1" si="120">CK7+1</f>
        <v>44122</v>
      </c>
      <c r="CM7" s="18">
        <f t="shared" ref="CM7" ca="1" si="121">CL7+1</f>
        <v>44123</v>
      </c>
      <c r="CN7" s="18">
        <f t="shared" ref="CN7" ca="1" si="122">CM7+1</f>
        <v>44124</v>
      </c>
      <c r="CO7" s="18">
        <f t="shared" ref="CO7" ca="1" si="123">CN7+1</f>
        <v>44125</v>
      </c>
      <c r="CP7" s="180"/>
    </row>
    <row r="8" spans="2:94" ht="15.75" thickBot="1" x14ac:dyDescent="0.25">
      <c r="B8" s="19" t="s">
        <v>9</v>
      </c>
      <c r="C8" s="153">
        <v>0.7</v>
      </c>
      <c r="D8" s="150" t="s">
        <v>236</v>
      </c>
      <c r="E8" s="209" t="s">
        <v>215</v>
      </c>
      <c r="F8" s="209"/>
      <c r="G8" s="209"/>
      <c r="H8" s="209"/>
      <c r="I8" s="209"/>
      <c r="J8" s="209"/>
      <c r="K8" s="6"/>
      <c r="L8" s="149" t="s">
        <v>14</v>
      </c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21" t="s">
        <v>6</v>
      </c>
      <c r="AF8" s="6"/>
      <c r="AG8" s="5"/>
      <c r="AH8" s="6"/>
      <c r="AI8" s="5"/>
      <c r="AJ8" s="6"/>
      <c r="AK8" s="5"/>
      <c r="AL8" s="6"/>
      <c r="AM8" s="5"/>
      <c r="AN8" s="6"/>
      <c r="AO8" s="5"/>
      <c r="AP8" s="6"/>
      <c r="AQ8" s="5"/>
      <c r="AR8" s="6"/>
      <c r="AS8" s="5"/>
      <c r="AT8" s="6"/>
      <c r="AU8" s="5"/>
      <c r="AV8" s="6"/>
      <c r="AW8" s="5"/>
      <c r="AX8" s="6"/>
      <c r="AY8" s="5"/>
      <c r="AZ8" s="5"/>
      <c r="BA8" s="6"/>
      <c r="BB8" s="5"/>
      <c r="BC8" s="6"/>
      <c r="BD8" s="5"/>
      <c r="BE8" s="6"/>
      <c r="BF8" s="5"/>
      <c r="BG8" s="6"/>
      <c r="BH8" s="5"/>
      <c r="BI8" s="6"/>
      <c r="BJ8" s="5"/>
      <c r="BK8" s="6"/>
      <c r="BL8" s="5"/>
      <c r="BM8" s="6"/>
      <c r="BN8" s="5"/>
      <c r="BO8" s="6"/>
      <c r="BP8" s="5"/>
      <c r="BQ8" s="6"/>
      <c r="BR8" s="5"/>
      <c r="BS8" s="6"/>
      <c r="BT8" s="5"/>
      <c r="BU8" s="5"/>
      <c r="BV8" s="6"/>
      <c r="BW8" s="5"/>
      <c r="BX8" s="6"/>
      <c r="BY8" s="5"/>
      <c r="BZ8" s="6"/>
      <c r="CA8" s="5"/>
      <c r="CB8" s="6"/>
      <c r="CC8" s="5"/>
      <c r="CD8" s="6"/>
      <c r="CE8" s="5"/>
      <c r="CF8" s="6"/>
      <c r="CG8" s="5"/>
      <c r="CH8" s="6"/>
      <c r="CI8" s="5"/>
      <c r="CJ8" s="6"/>
      <c r="CK8" s="5"/>
      <c r="CL8" s="6"/>
      <c r="CM8" s="5"/>
      <c r="CN8" s="6"/>
      <c r="CO8" s="5"/>
    </row>
    <row r="9" spans="2:94" ht="15.75" thickBot="1" x14ac:dyDescent="0.25">
      <c r="B9" s="19" t="s">
        <v>10</v>
      </c>
      <c r="C9" s="153">
        <v>0.05</v>
      </c>
      <c r="D9" s="5"/>
      <c r="E9" s="9"/>
      <c r="F9" s="5"/>
      <c r="G9" s="9"/>
      <c r="H9" s="150" t="s">
        <v>235</v>
      </c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20" t="s">
        <v>7</v>
      </c>
      <c r="AF9" s="6"/>
      <c r="AG9" s="5"/>
      <c r="AH9" s="6"/>
      <c r="AI9" s="5"/>
      <c r="AJ9" s="6"/>
      <c r="AK9" s="5"/>
      <c r="AL9" s="6"/>
      <c r="AM9" s="5"/>
      <c r="AN9" s="6"/>
      <c r="AO9" s="5"/>
      <c r="AP9" s="6"/>
      <c r="AQ9" s="5"/>
      <c r="AR9" s="6"/>
      <c r="AS9" s="5"/>
      <c r="AT9" s="6"/>
      <c r="AU9" s="5"/>
      <c r="AV9" s="6"/>
      <c r="AW9" s="5"/>
      <c r="AX9" s="6"/>
      <c r="AY9" s="5"/>
      <c r="AZ9" s="5"/>
      <c r="BA9" s="6"/>
      <c r="BB9" s="5"/>
      <c r="BC9" s="6"/>
      <c r="BD9" s="5"/>
      <c r="BE9" s="6"/>
      <c r="BF9" s="5"/>
      <c r="BG9" s="6"/>
      <c r="BH9" s="5"/>
      <c r="BI9" s="6"/>
      <c r="BJ9" s="5"/>
      <c r="BK9" s="6"/>
      <c r="BL9" s="5"/>
      <c r="BM9" s="6"/>
      <c r="BN9" s="5"/>
      <c r="BO9" s="6"/>
      <c r="BP9" s="5"/>
      <c r="BQ9" s="6"/>
      <c r="BR9" s="5"/>
      <c r="BS9" s="6"/>
      <c r="BT9" s="5"/>
      <c r="BU9" s="5"/>
      <c r="BV9" s="6"/>
      <c r="BW9" s="5"/>
      <c r="BX9" s="6"/>
      <c r="BY9" s="5"/>
      <c r="BZ9" s="6"/>
      <c r="CA9" s="5"/>
      <c r="CB9" s="6"/>
      <c r="CC9" s="5"/>
      <c r="CD9" s="6"/>
      <c r="CE9" s="5"/>
      <c r="CF9" s="6"/>
      <c r="CG9" s="5"/>
      <c r="CH9" s="6"/>
      <c r="CI9" s="5"/>
      <c r="CJ9" s="6"/>
      <c r="CK9" s="5"/>
      <c r="CL9" s="6"/>
      <c r="CM9" s="5"/>
      <c r="CN9" s="6"/>
      <c r="CO9" s="5"/>
    </row>
    <row r="10" spans="2:94" ht="15" thickBot="1" x14ac:dyDescent="0.25">
      <c r="B10" s="19" t="s">
        <v>11</v>
      </c>
      <c r="C10" s="153">
        <v>0</v>
      </c>
      <c r="D10" s="5"/>
      <c r="E10" s="9"/>
      <c r="F10" s="5"/>
      <c r="G10" s="9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20" t="s">
        <v>7</v>
      </c>
      <c r="AF10" s="6"/>
      <c r="AG10" s="5"/>
      <c r="AH10" s="6"/>
      <c r="AI10" s="5"/>
      <c r="AJ10" s="6"/>
      <c r="AK10" s="5"/>
      <c r="AL10" s="6"/>
      <c r="AM10" s="5"/>
      <c r="AN10" s="6"/>
      <c r="AO10" s="5"/>
      <c r="AP10" s="6"/>
      <c r="AQ10" s="5"/>
      <c r="AR10" s="6"/>
      <c r="AS10" s="5"/>
      <c r="AT10" s="6"/>
      <c r="AU10" s="5"/>
      <c r="AV10" s="6"/>
      <c r="AW10" s="5"/>
      <c r="AX10" s="6"/>
      <c r="AY10" s="5"/>
      <c r="AZ10" s="5"/>
      <c r="BA10" s="6"/>
      <c r="BB10" s="5"/>
      <c r="BC10" s="6"/>
      <c r="BD10" s="5"/>
      <c r="BE10" s="6"/>
      <c r="BF10" s="5"/>
      <c r="BG10" s="6"/>
      <c r="BH10" s="5"/>
      <c r="BI10" s="6"/>
      <c r="BJ10" s="5"/>
      <c r="BK10" s="6"/>
      <c r="BL10" s="5"/>
      <c r="BM10" s="6"/>
      <c r="BN10" s="5"/>
      <c r="BO10" s="6"/>
      <c r="BP10" s="5"/>
      <c r="BQ10" s="6"/>
      <c r="BR10" s="5"/>
      <c r="BS10" s="6"/>
      <c r="BT10" s="5"/>
      <c r="BU10" s="5"/>
      <c r="BV10" s="6"/>
      <c r="BW10" s="5"/>
      <c r="BX10" s="6"/>
      <c r="BY10" s="5"/>
      <c r="BZ10" s="6"/>
      <c r="CA10" s="5"/>
      <c r="CB10" s="6"/>
      <c r="CC10" s="5"/>
      <c r="CD10" s="6"/>
      <c r="CE10" s="5"/>
      <c r="CF10" s="6"/>
      <c r="CG10" s="5"/>
      <c r="CH10" s="6"/>
      <c r="CI10" s="5"/>
      <c r="CJ10" s="6"/>
      <c r="CK10" s="5"/>
      <c r="CL10" s="6"/>
      <c r="CM10" s="5"/>
      <c r="CN10" s="6"/>
      <c r="CO10" s="5"/>
    </row>
    <row r="11" spans="2:94" ht="15" thickBot="1" x14ac:dyDescent="0.25">
      <c r="B11" s="19" t="s">
        <v>12</v>
      </c>
      <c r="C11" s="153">
        <v>0.7</v>
      </c>
      <c r="D11" s="5"/>
      <c r="E11" s="9"/>
      <c r="F11" s="5"/>
      <c r="G11" s="9"/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20" t="s">
        <v>7</v>
      </c>
      <c r="AF11" s="6"/>
      <c r="AG11" s="5"/>
      <c r="AH11" s="6"/>
      <c r="AI11" s="5"/>
      <c r="AJ11" s="6"/>
      <c r="AK11" s="5"/>
      <c r="AL11" s="6"/>
      <c r="AM11" s="5"/>
      <c r="AN11" s="6"/>
      <c r="AO11" s="5"/>
      <c r="AP11" s="6"/>
      <c r="AQ11" s="5"/>
      <c r="AR11" s="6"/>
      <c r="AS11" s="5"/>
      <c r="AT11" s="6"/>
      <c r="AU11" s="5"/>
      <c r="AV11" s="6"/>
      <c r="AW11" s="5"/>
      <c r="AX11" s="6"/>
      <c r="AY11" s="5"/>
      <c r="AZ11" s="5"/>
      <c r="BA11" s="6"/>
      <c r="BB11" s="5"/>
      <c r="BC11" s="6"/>
      <c r="BD11" s="5"/>
      <c r="BE11" s="6"/>
      <c r="BF11" s="5"/>
      <c r="BG11" s="6"/>
      <c r="BH11" s="5"/>
      <c r="BI11" s="6"/>
      <c r="BJ11" s="5"/>
      <c r="BK11" s="6"/>
      <c r="BL11" s="5"/>
      <c r="BM11" s="6"/>
      <c r="BN11" s="5"/>
      <c r="BO11" s="6"/>
      <c r="BP11" s="5"/>
      <c r="BQ11" s="6"/>
      <c r="BR11" s="5"/>
      <c r="BS11" s="6"/>
      <c r="BT11" s="5"/>
      <c r="BU11" s="5"/>
      <c r="BV11" s="6"/>
      <c r="BW11" s="5"/>
      <c r="BX11" s="6"/>
      <c r="BY11" s="5"/>
      <c r="BZ11" s="6"/>
      <c r="CA11" s="5"/>
      <c r="CB11" s="6"/>
      <c r="CC11" s="5"/>
      <c r="CD11" s="6"/>
      <c r="CE11" s="5"/>
      <c r="CF11" s="6"/>
      <c r="CG11" s="5"/>
      <c r="CH11" s="6"/>
      <c r="CI11" s="5"/>
      <c r="CJ11" s="6"/>
      <c r="CK11" s="5"/>
      <c r="CL11" s="6"/>
      <c r="CM11" s="5"/>
      <c r="CN11" s="6"/>
      <c r="CO11" s="5"/>
    </row>
    <row r="12" spans="2:94" ht="15" thickBot="1" x14ac:dyDescent="0.25">
      <c r="B12" s="19" t="s">
        <v>13</v>
      </c>
      <c r="C12" s="153" t="s">
        <v>216</v>
      </c>
      <c r="D12" s="5"/>
      <c r="E12" s="9"/>
      <c r="F12" s="5"/>
      <c r="G12" s="9"/>
      <c r="H12" s="5"/>
      <c r="I12" s="6"/>
      <c r="J12" s="5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20" t="s">
        <v>7</v>
      </c>
      <c r="AF12" s="6"/>
      <c r="AG12" s="5"/>
      <c r="AH12" s="6"/>
      <c r="AI12" s="5"/>
      <c r="AJ12" s="6"/>
      <c r="AK12" s="5"/>
      <c r="AL12" s="6"/>
      <c r="AM12" s="5"/>
      <c r="AN12" s="6"/>
      <c r="AO12" s="5"/>
      <c r="AP12" s="6"/>
      <c r="AQ12" s="5"/>
      <c r="AR12" s="6"/>
      <c r="AS12" s="5"/>
      <c r="AT12" s="6"/>
      <c r="AU12" s="5"/>
      <c r="AV12" s="6"/>
      <c r="AW12" s="5"/>
      <c r="AX12" s="6"/>
      <c r="AY12" s="5"/>
      <c r="AZ12" s="5"/>
      <c r="BA12" s="6"/>
      <c r="BB12" s="5"/>
      <c r="BC12" s="6"/>
      <c r="BD12" s="5"/>
      <c r="BE12" s="6"/>
      <c r="BF12" s="5"/>
      <c r="BG12" s="6"/>
      <c r="BH12" s="5"/>
      <c r="BI12" s="6"/>
      <c r="BJ12" s="5"/>
      <c r="BK12" s="6"/>
      <c r="BL12" s="5"/>
      <c r="BM12" s="6"/>
      <c r="BN12" s="5"/>
      <c r="BO12" s="6"/>
      <c r="BP12" s="5"/>
      <c r="BQ12" s="6"/>
      <c r="BR12" s="5"/>
      <c r="BS12" s="6"/>
      <c r="BT12" s="5"/>
      <c r="BU12" s="5"/>
      <c r="BV12" s="6"/>
      <c r="BW12" s="5"/>
      <c r="BX12" s="6"/>
      <c r="BY12" s="5"/>
      <c r="BZ12" s="6"/>
      <c r="CA12" s="5"/>
      <c r="CB12" s="6"/>
      <c r="CC12" s="5"/>
      <c r="CD12" s="6"/>
      <c r="CE12" s="5"/>
      <c r="CF12" s="6"/>
      <c r="CG12" s="5"/>
      <c r="CH12" s="6"/>
      <c r="CI12" s="5"/>
      <c r="CJ12" s="6"/>
      <c r="CK12" s="5"/>
      <c r="CL12" s="6"/>
      <c r="CM12" s="5"/>
      <c r="CN12" s="6"/>
      <c r="CO12" s="5"/>
    </row>
    <row r="13" spans="2:94" ht="15" thickBot="1" x14ac:dyDescent="0.25">
      <c r="B13" s="19" t="s">
        <v>17</v>
      </c>
      <c r="C13" s="153">
        <v>0.3</v>
      </c>
      <c r="D13" s="83"/>
      <c r="E13" s="9"/>
      <c r="F13" s="83"/>
      <c r="G13" s="9"/>
      <c r="H13" s="83"/>
      <c r="I13" s="82"/>
      <c r="J13" s="2"/>
      <c r="K13" s="82"/>
      <c r="L13" s="83"/>
      <c r="M13" s="82"/>
      <c r="N13" s="83"/>
      <c r="O13" s="82"/>
      <c r="P13" s="83"/>
      <c r="Q13" s="90"/>
      <c r="R13" s="83"/>
      <c r="S13" s="82"/>
      <c r="T13" s="83"/>
      <c r="U13" s="82"/>
      <c r="V13" s="83"/>
      <c r="W13" s="82"/>
      <c r="X13" s="83"/>
      <c r="Y13" s="82"/>
      <c r="Z13" s="83"/>
      <c r="AA13" s="82"/>
      <c r="AB13" s="83"/>
      <c r="AC13" s="82"/>
      <c r="AD13" s="83"/>
      <c r="AE13" s="20"/>
      <c r="AF13" s="6"/>
      <c r="AG13" s="83"/>
      <c r="AH13" s="82"/>
      <c r="AI13" s="83"/>
      <c r="AJ13" s="82"/>
      <c r="AK13" s="83"/>
      <c r="AL13" s="90"/>
      <c r="AM13" s="83"/>
      <c r="AN13" s="82"/>
      <c r="AO13" s="83"/>
      <c r="AP13" s="82"/>
      <c r="AQ13" s="83"/>
      <c r="AR13" s="82"/>
      <c r="AS13" s="83"/>
      <c r="AT13" s="82"/>
      <c r="AU13" s="83"/>
      <c r="AV13" s="82"/>
      <c r="AW13" s="83"/>
      <c r="AX13" s="82"/>
      <c r="AY13" s="83"/>
      <c r="AZ13" s="2"/>
      <c r="BA13" s="82"/>
      <c r="BB13" s="83"/>
      <c r="BC13" s="82"/>
      <c r="BD13" s="83"/>
      <c r="BE13" s="82"/>
      <c r="BF13" s="83"/>
      <c r="BG13" s="90"/>
      <c r="BH13" s="83"/>
      <c r="BI13" s="82"/>
      <c r="BJ13" s="83"/>
      <c r="BK13" s="82"/>
      <c r="BL13" s="83"/>
      <c r="BM13" s="82"/>
      <c r="BN13" s="83"/>
      <c r="BO13" s="82"/>
      <c r="BP13" s="83"/>
      <c r="BQ13" s="82"/>
      <c r="BR13" s="83"/>
      <c r="BS13" s="82"/>
      <c r="BT13" s="83"/>
      <c r="BU13" s="2"/>
      <c r="BV13" s="82"/>
      <c r="BW13" s="83"/>
      <c r="BX13" s="82"/>
      <c r="BY13" s="83"/>
      <c r="BZ13" s="82"/>
      <c r="CA13" s="83"/>
      <c r="CB13" s="90"/>
      <c r="CC13" s="83"/>
      <c r="CD13" s="82"/>
      <c r="CE13" s="83"/>
      <c r="CF13" s="82"/>
      <c r="CG13" s="83"/>
      <c r="CH13" s="82"/>
      <c r="CI13" s="83"/>
      <c r="CJ13" s="82"/>
      <c r="CK13" s="83"/>
      <c r="CL13" s="82"/>
      <c r="CM13" s="83"/>
      <c r="CN13" s="82"/>
      <c r="CO13" s="83"/>
    </row>
    <row r="14" spans="2:94" ht="43.5" thickBot="1" x14ac:dyDescent="0.25">
      <c r="C14" s="152" t="s">
        <v>210</v>
      </c>
      <c r="D14" s="98" t="s">
        <v>212</v>
      </c>
      <c r="E14" s="82"/>
      <c r="G14" s="82"/>
      <c r="I14" s="82"/>
      <c r="J14" s="97" t="s">
        <v>211</v>
      </c>
      <c r="K14" s="82"/>
      <c r="L14" s="83"/>
      <c r="M14" s="97" t="s">
        <v>213</v>
      </c>
      <c r="N14" s="83"/>
      <c r="O14" s="82"/>
      <c r="P14" s="83"/>
      <c r="Q14" s="97" t="s">
        <v>210</v>
      </c>
      <c r="R14" s="83"/>
      <c r="S14" s="97" t="s">
        <v>212</v>
      </c>
      <c r="U14" s="82"/>
      <c r="V14" s="83"/>
      <c r="W14" s="82"/>
      <c r="X14" s="97" t="s">
        <v>211</v>
      </c>
      <c r="Y14" s="82"/>
      <c r="Z14" s="83"/>
      <c r="AA14" s="97" t="s">
        <v>213</v>
      </c>
      <c r="AB14" s="83"/>
      <c r="AC14" s="97" t="s">
        <v>211</v>
      </c>
      <c r="AD14" s="83"/>
      <c r="AE14" s="106"/>
      <c r="AF14" s="82"/>
      <c r="AG14" s="83"/>
      <c r="AH14" s="83" t="s">
        <v>184</v>
      </c>
      <c r="AI14" s="83"/>
      <c r="AJ14" s="97" t="s">
        <v>211</v>
      </c>
      <c r="AK14" s="83"/>
      <c r="AL14" s="1"/>
      <c r="AM14" s="83"/>
      <c r="AN14" s="82"/>
      <c r="AO14" s="83" t="s">
        <v>184</v>
      </c>
      <c r="AP14" s="82"/>
      <c r="AQ14" s="84" t="s">
        <v>18</v>
      </c>
      <c r="AR14" s="87" t="s">
        <v>185</v>
      </c>
      <c r="AS14" s="84" t="s">
        <v>18</v>
      </c>
      <c r="AT14" s="82"/>
      <c r="AU14" s="83"/>
      <c r="AV14" s="83" t="s">
        <v>184</v>
      </c>
      <c r="AW14" s="83"/>
      <c r="AX14" s="84" t="s">
        <v>18</v>
      </c>
      <c r="AY14" s="83"/>
      <c r="AZ14" s="1"/>
      <c r="BA14" s="82"/>
      <c r="BB14" s="83"/>
      <c r="BC14" s="83" t="s">
        <v>184</v>
      </c>
      <c r="BD14" s="83"/>
      <c r="BE14" s="84" t="s">
        <v>18</v>
      </c>
      <c r="BF14" s="83"/>
      <c r="BG14" s="1"/>
      <c r="BH14" s="83"/>
      <c r="BI14" s="82"/>
      <c r="BJ14" s="83" t="s">
        <v>184</v>
      </c>
      <c r="BK14" s="82"/>
      <c r="BL14" s="84" t="s">
        <v>18</v>
      </c>
      <c r="BM14" s="87" t="s">
        <v>185</v>
      </c>
      <c r="BN14" s="84" t="s">
        <v>18</v>
      </c>
      <c r="BO14" s="82"/>
      <c r="BP14" s="83"/>
      <c r="BQ14" s="83" t="s">
        <v>184</v>
      </c>
      <c r="BR14" s="83"/>
      <c r="BS14" s="84" t="s">
        <v>18</v>
      </c>
      <c r="BT14" s="83"/>
      <c r="BU14" s="1"/>
      <c r="BV14" s="82"/>
      <c r="BW14" s="83"/>
      <c r="BX14" s="83" t="s">
        <v>184</v>
      </c>
      <c r="BY14" s="83"/>
      <c r="BZ14" s="84" t="s">
        <v>18</v>
      </c>
      <c r="CA14" s="83"/>
      <c r="CB14" s="1"/>
      <c r="CC14" s="83"/>
      <c r="CD14" s="82"/>
      <c r="CE14" s="83" t="s">
        <v>184</v>
      </c>
      <c r="CF14" s="82"/>
      <c r="CG14" s="84" t="s">
        <v>18</v>
      </c>
      <c r="CH14" s="87" t="s">
        <v>185</v>
      </c>
      <c r="CI14" s="84" t="s">
        <v>18</v>
      </c>
      <c r="CJ14" s="82"/>
      <c r="CK14" s="83"/>
      <c r="CL14" s="83" t="s">
        <v>184</v>
      </c>
      <c r="CM14" s="83"/>
      <c r="CN14" s="84" t="s">
        <v>18</v>
      </c>
      <c r="CO14" s="83"/>
    </row>
    <row r="15" spans="2:94" ht="26.25" thickBot="1" x14ac:dyDescent="0.25">
      <c r="B15" s="19" t="s">
        <v>186</v>
      </c>
      <c r="C15" s="141" t="s">
        <v>187</v>
      </c>
      <c r="D15" s="101" t="s">
        <v>189</v>
      </c>
      <c r="E15" s="197" t="s">
        <v>188</v>
      </c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9"/>
      <c r="Q15" s="200" t="s">
        <v>189</v>
      </c>
      <c r="R15" s="201"/>
      <c r="S15" s="201"/>
      <c r="T15" s="201"/>
      <c r="U15" s="202"/>
      <c r="V15" s="204" t="s">
        <v>214</v>
      </c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6"/>
      <c r="AZ15" s="136" t="s">
        <v>225</v>
      </c>
      <c r="BA15" s="100"/>
      <c r="BB15" s="100"/>
      <c r="BC15" s="100"/>
      <c r="BD15" s="100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8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</row>
    <row r="16" spans="2:94" ht="28.5" x14ac:dyDescent="0.2">
      <c r="B16" s="105" t="s">
        <v>219</v>
      </c>
      <c r="C16" s="90"/>
      <c r="D16" s="89" t="s">
        <v>183</v>
      </c>
      <c r="E16" s="90"/>
      <c r="F16" s="203" t="s">
        <v>16</v>
      </c>
      <c r="G16" s="203"/>
      <c r="H16" s="203"/>
      <c r="I16" s="90"/>
      <c r="J16" s="2"/>
      <c r="K16" s="89" t="s">
        <v>222</v>
      </c>
      <c r="L16" s="89"/>
      <c r="M16" s="89"/>
      <c r="N16" s="89"/>
      <c r="O16" s="89"/>
      <c r="P16" s="2"/>
      <c r="Q16" s="90"/>
      <c r="R16" s="2"/>
      <c r="S16" s="90"/>
      <c r="T16" s="2"/>
      <c r="U16" s="89" t="s">
        <v>223</v>
      </c>
      <c r="V16" s="2"/>
      <c r="W16" s="90"/>
      <c r="X16" s="2"/>
      <c r="Y16" s="90"/>
      <c r="Z16" s="2"/>
      <c r="AA16" s="90"/>
      <c r="AB16" s="2"/>
      <c r="AC16" s="90"/>
      <c r="AD16" s="2"/>
      <c r="AE16" s="106"/>
      <c r="AF16" s="90"/>
      <c r="AG16" s="9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</row>
    <row r="17" spans="1:105" ht="26.25" thickBot="1" x14ac:dyDescent="0.25">
      <c r="B17" s="207" t="s">
        <v>233</v>
      </c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91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</row>
    <row r="18" spans="1:105" ht="15" thickBot="1" x14ac:dyDescent="0.25">
      <c r="B18" s="210" t="s">
        <v>190</v>
      </c>
      <c r="C18" s="128" t="s">
        <v>217</v>
      </c>
      <c r="E18" s="108"/>
      <c r="F18" s="109"/>
      <c r="G18" s="108"/>
      <c r="I18" s="125" t="s">
        <v>218</v>
      </c>
      <c r="J18" s="126">
        <v>-500</v>
      </c>
      <c r="K18" s="108"/>
      <c r="L18" s="109"/>
      <c r="M18" s="124">
        <v>-100</v>
      </c>
      <c r="N18" s="109"/>
      <c r="O18" s="111"/>
      <c r="P18" s="109"/>
      <c r="Q18" s="108"/>
      <c r="R18" s="109"/>
      <c r="S18" s="108"/>
      <c r="T18" s="124">
        <v>-100</v>
      </c>
      <c r="U18" s="108"/>
      <c r="V18" s="109"/>
      <c r="W18" s="108"/>
      <c r="X18" s="109"/>
      <c r="Y18" s="108"/>
      <c r="Z18" s="109"/>
      <c r="AA18" s="110">
        <v>-100</v>
      </c>
      <c r="AB18" s="109"/>
      <c r="AC18" s="108"/>
      <c r="AD18" s="109"/>
      <c r="AE18" s="120">
        <f>SUM(C18:AD18)</f>
        <v>-800</v>
      </c>
      <c r="AF18" s="117"/>
      <c r="AG18" s="91"/>
      <c r="AH18" s="96"/>
      <c r="AI18" s="2"/>
      <c r="AJ18" s="96"/>
      <c r="AK18" s="2"/>
      <c r="AL18" s="2"/>
      <c r="AM18" s="2"/>
      <c r="AN18" s="2"/>
      <c r="AO18" s="96"/>
      <c r="AP18" s="2"/>
      <c r="AQ18" s="2"/>
      <c r="AR18" s="2"/>
      <c r="AS18" s="2"/>
      <c r="AT18" s="2"/>
      <c r="AU18" s="2"/>
      <c r="AV18" s="96"/>
      <c r="AW18" s="2"/>
      <c r="AX18" s="2"/>
      <c r="AY18" s="2"/>
      <c r="AZ18" s="2"/>
      <c r="BA18" s="2"/>
      <c r="BB18" s="2"/>
      <c r="BC18" s="96"/>
      <c r="BD18" s="2"/>
      <c r="BE18" s="96"/>
      <c r="BF18" s="2"/>
      <c r="BG18" s="2"/>
      <c r="BH18" s="2"/>
      <c r="BI18" s="2"/>
      <c r="BJ18" s="96"/>
      <c r="BK18" s="2"/>
      <c r="BL18" s="2"/>
      <c r="BM18" s="2"/>
      <c r="BN18" s="2"/>
      <c r="BO18" s="2"/>
      <c r="BP18" s="2"/>
      <c r="BQ18" s="96"/>
      <c r="BR18" s="2"/>
      <c r="BS18" s="2"/>
      <c r="BT18" s="2"/>
      <c r="BU18" s="2"/>
      <c r="BV18" s="2"/>
      <c r="BW18" s="2"/>
      <c r="BX18" s="96"/>
      <c r="BY18" s="2"/>
      <c r="BZ18" s="96"/>
      <c r="CA18" s="2"/>
      <c r="CB18" s="2"/>
      <c r="CC18" s="2"/>
      <c r="CD18" s="2"/>
      <c r="CE18" s="96"/>
      <c r="CF18" s="2"/>
      <c r="CG18" s="2"/>
      <c r="CH18" s="2"/>
      <c r="CI18" s="2"/>
      <c r="CJ18" s="2"/>
      <c r="CK18" s="2"/>
      <c r="CL18" s="96"/>
      <c r="CM18" s="2"/>
      <c r="CN18" s="2"/>
      <c r="CO18" s="2"/>
    </row>
    <row r="19" spans="1:105" ht="15" thickBot="1" x14ac:dyDescent="0.25">
      <c r="B19" s="211"/>
      <c r="C19" s="130"/>
      <c r="D19" s="123" t="s">
        <v>209</v>
      </c>
      <c r="E19" s="6"/>
      <c r="F19" s="5"/>
      <c r="G19" s="6"/>
      <c r="H19" s="104"/>
      <c r="I19" s="85"/>
      <c r="J19" s="86"/>
      <c r="K19" s="6"/>
      <c r="L19" s="5"/>
      <c r="M19" s="85"/>
      <c r="N19" s="5"/>
      <c r="O19" s="88"/>
      <c r="P19" s="5"/>
      <c r="Q19" s="6"/>
      <c r="R19" s="5"/>
      <c r="S19" s="6"/>
      <c r="T19" s="129" t="s">
        <v>220</v>
      </c>
      <c r="U19" s="6"/>
      <c r="V19" s="5"/>
      <c r="W19" s="6"/>
      <c r="X19" s="5"/>
      <c r="Y19" s="6"/>
      <c r="Z19" s="5"/>
      <c r="AA19" s="93"/>
      <c r="AB19" s="5"/>
      <c r="AC19" s="6"/>
      <c r="AD19" s="5"/>
      <c r="AE19" s="121"/>
      <c r="AF19" s="118"/>
      <c r="AG19" s="91"/>
      <c r="AH19" s="96"/>
      <c r="AI19" s="2"/>
      <c r="AJ19" s="96"/>
      <c r="AK19" s="2"/>
      <c r="AL19" s="2"/>
      <c r="AM19" s="2"/>
      <c r="AN19" s="2"/>
      <c r="AO19" s="96"/>
      <c r="AP19" s="2"/>
      <c r="AQ19" s="2"/>
      <c r="AR19" s="2"/>
      <c r="AS19" s="2"/>
      <c r="AT19" s="2"/>
      <c r="AU19" s="2"/>
      <c r="AV19" s="96"/>
      <c r="AW19" s="2"/>
      <c r="AX19" s="2"/>
      <c r="AY19" s="2"/>
      <c r="AZ19" s="2"/>
      <c r="BA19" s="2"/>
      <c r="BB19" s="2"/>
      <c r="BC19" s="96"/>
      <c r="BD19" s="2"/>
      <c r="BE19" s="96"/>
      <c r="BF19" s="2"/>
      <c r="BG19" s="2"/>
      <c r="BH19" s="2"/>
      <c r="BI19" s="2"/>
      <c r="BJ19" s="96"/>
      <c r="BK19" s="2"/>
      <c r="BL19" s="2"/>
      <c r="BM19" s="2"/>
      <c r="BN19" s="2"/>
      <c r="BO19" s="2"/>
      <c r="BP19" s="2"/>
      <c r="BQ19" s="96"/>
      <c r="BR19" s="2"/>
      <c r="BS19" s="2"/>
      <c r="BT19" s="2"/>
      <c r="BU19" s="2"/>
      <c r="BV19" s="2"/>
      <c r="BW19" s="2"/>
      <c r="BX19" s="96"/>
      <c r="BY19" s="2"/>
      <c r="BZ19" s="96"/>
      <c r="CA19" s="2"/>
      <c r="CB19" s="2"/>
      <c r="CC19" s="2"/>
      <c r="CD19" s="2"/>
      <c r="CE19" s="96"/>
      <c r="CF19" s="2"/>
      <c r="CG19" s="2"/>
      <c r="CH19" s="2"/>
      <c r="CI19" s="2"/>
      <c r="CJ19" s="2"/>
      <c r="CK19" s="2"/>
      <c r="CL19" s="96"/>
      <c r="CM19" s="2"/>
      <c r="CN19" s="2"/>
      <c r="CO19" s="2"/>
    </row>
    <row r="20" spans="1:105" ht="15" thickBot="1" x14ac:dyDescent="0.25">
      <c r="B20" s="212"/>
      <c r="C20" s="131"/>
      <c r="D20" s="112"/>
      <c r="E20" s="113"/>
      <c r="F20" s="112"/>
      <c r="G20" s="113"/>
      <c r="H20" s="114"/>
      <c r="I20" s="113"/>
      <c r="J20" s="112"/>
      <c r="K20" s="113"/>
      <c r="L20" s="112"/>
      <c r="M20" s="113"/>
      <c r="N20" s="112"/>
      <c r="O20" s="116"/>
      <c r="P20" s="112"/>
      <c r="Q20" s="113"/>
      <c r="R20" s="112"/>
      <c r="S20" s="113"/>
      <c r="T20" s="127"/>
      <c r="U20" s="113"/>
      <c r="V20" s="112"/>
      <c r="W20" s="113"/>
      <c r="X20" s="112"/>
      <c r="Y20" s="113"/>
      <c r="Z20" s="112"/>
      <c r="AA20" s="115"/>
      <c r="AB20" s="112"/>
      <c r="AC20" s="113"/>
      <c r="AD20" s="112"/>
      <c r="AE20" s="122"/>
      <c r="AF20" s="119"/>
      <c r="AG20" s="91"/>
      <c r="AH20" s="96"/>
      <c r="AI20" s="2"/>
      <c r="AJ20" s="96"/>
      <c r="AK20" s="2"/>
      <c r="AL20" s="2"/>
      <c r="AM20" s="2"/>
      <c r="AN20" s="2"/>
      <c r="AO20" s="96"/>
      <c r="AP20" s="2"/>
      <c r="AQ20" s="2"/>
      <c r="AR20" s="2"/>
      <c r="AS20" s="2"/>
      <c r="AT20" s="2"/>
      <c r="AU20" s="2"/>
      <c r="AV20" s="96"/>
      <c r="AW20" s="2"/>
      <c r="AX20" s="2"/>
      <c r="AY20" s="2"/>
      <c r="AZ20" s="2"/>
      <c r="BA20" s="2"/>
      <c r="BB20" s="2"/>
      <c r="BC20" s="96"/>
      <c r="BD20" s="2"/>
      <c r="BE20" s="96"/>
      <c r="BF20" s="2"/>
      <c r="BG20" s="2"/>
      <c r="BH20" s="2"/>
      <c r="BI20" s="2"/>
      <c r="BJ20" s="96"/>
      <c r="BK20" s="2"/>
      <c r="BL20" s="2"/>
      <c r="BM20" s="2"/>
      <c r="BN20" s="2"/>
      <c r="BO20" s="2"/>
      <c r="BP20" s="2"/>
      <c r="BQ20" s="96"/>
      <c r="BR20" s="2"/>
      <c r="BS20" s="2"/>
      <c r="BT20" s="2"/>
      <c r="BU20" s="2"/>
      <c r="BV20" s="2"/>
      <c r="BW20" s="2"/>
      <c r="BX20" s="96"/>
      <c r="BY20" s="2"/>
      <c r="BZ20" s="96"/>
      <c r="CA20" s="2"/>
      <c r="CB20" s="2"/>
      <c r="CC20" s="2"/>
      <c r="CD20" s="2"/>
      <c r="CE20" s="96"/>
      <c r="CF20" s="2"/>
      <c r="CG20" s="2"/>
      <c r="CH20" s="2"/>
      <c r="CI20" s="2"/>
      <c r="CJ20" s="2"/>
      <c r="CK20" s="2"/>
      <c r="CL20" s="96"/>
      <c r="CM20" s="2"/>
      <c r="CN20" s="2"/>
      <c r="CO20" s="2"/>
    </row>
    <row r="21" spans="1:105" s="148" customFormat="1" ht="25.5" x14ac:dyDescent="0.2">
      <c r="A21"/>
      <c r="B21" s="207" t="s">
        <v>234</v>
      </c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  <c r="CT21" s="147"/>
      <c r="CU21" s="147"/>
      <c r="CV21" s="147"/>
      <c r="CW21" s="147"/>
      <c r="CX21" s="147"/>
      <c r="CY21" s="147"/>
      <c r="CZ21" s="147"/>
      <c r="DA21" s="147"/>
    </row>
    <row r="22" spans="1:105" ht="18" x14ac:dyDescent="0.25">
      <c r="B22" s="143" t="s">
        <v>191</v>
      </c>
      <c r="C22" s="85"/>
      <c r="D22" s="107">
        <v>100</v>
      </c>
      <c r="E22" s="85"/>
      <c r="F22" s="86"/>
      <c r="G22" s="85"/>
      <c r="H22" s="107">
        <v>100</v>
      </c>
      <c r="I22" s="85"/>
      <c r="J22" s="86"/>
      <c r="K22" s="85"/>
      <c r="L22" s="86"/>
      <c r="M22" s="85"/>
      <c r="N22" s="86"/>
      <c r="O22" s="107">
        <v>100</v>
      </c>
      <c r="P22" s="86"/>
      <c r="Q22" s="85"/>
      <c r="R22" s="86"/>
      <c r="S22" s="85"/>
      <c r="T22" s="86"/>
      <c r="U22" s="85"/>
      <c r="V22" s="86"/>
      <c r="W22" s="85"/>
      <c r="X22" s="86"/>
      <c r="Y22" s="85"/>
      <c r="Z22" s="86"/>
      <c r="AA22" s="85"/>
      <c r="AB22" s="86"/>
      <c r="AC22" s="107">
        <v>100</v>
      </c>
      <c r="AD22" s="86"/>
      <c r="AE22" s="20">
        <f>SUM(C22:AD22)</f>
        <v>400</v>
      </c>
      <c r="AF22" s="85"/>
      <c r="AG22" s="9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</row>
    <row r="23" spans="1:105" ht="18" x14ac:dyDescent="0.25">
      <c r="B23" s="143" t="s">
        <v>192</v>
      </c>
      <c r="C23" s="6"/>
      <c r="D23" s="5"/>
      <c r="E23" s="6"/>
      <c r="F23" s="5"/>
      <c r="G23" s="6"/>
      <c r="H23" s="5"/>
      <c r="I23" s="22" t="s">
        <v>194</v>
      </c>
      <c r="J23" s="5"/>
      <c r="K23" s="6"/>
      <c r="L23" s="5"/>
      <c r="M23" s="6"/>
      <c r="N23" s="5"/>
      <c r="P23" s="5"/>
      <c r="Q23" s="6"/>
      <c r="R23" s="5"/>
      <c r="S23" s="6"/>
      <c r="T23" s="5"/>
      <c r="U23" s="6"/>
      <c r="V23" s="5"/>
      <c r="W23" s="22" t="s">
        <v>194</v>
      </c>
      <c r="Y23" s="6"/>
      <c r="Z23" s="5"/>
      <c r="AA23" s="6"/>
      <c r="AB23" s="5"/>
      <c r="AC23" s="22" t="s">
        <v>194</v>
      </c>
      <c r="AD23" s="5"/>
      <c r="AE23" s="20">
        <f>SUM(C23:AD23)</f>
        <v>0</v>
      </c>
      <c r="AF23" s="6"/>
      <c r="AG23" s="9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</row>
    <row r="24" spans="1:105" ht="18" x14ac:dyDescent="0.25">
      <c r="B24" s="143" t="s">
        <v>193</v>
      </c>
      <c r="C24" s="6"/>
      <c r="D24" s="5"/>
      <c r="E24" s="6"/>
      <c r="F24" s="5"/>
      <c r="G24" s="6"/>
      <c r="H24" s="5"/>
      <c r="I24" s="6"/>
      <c r="J24" s="5"/>
      <c r="K24" s="6"/>
      <c r="L24" s="5"/>
      <c r="M24" s="6"/>
      <c r="N24" s="5"/>
      <c r="O24" s="6"/>
      <c r="P24" s="5"/>
      <c r="Q24" s="6"/>
      <c r="R24" s="5"/>
      <c r="S24" s="6"/>
      <c r="T24" s="5"/>
      <c r="U24" s="6"/>
      <c r="V24" s="5"/>
      <c r="W24" s="81">
        <v>4000</v>
      </c>
      <c r="X24" s="5"/>
      <c r="Y24" s="6"/>
      <c r="Z24" s="5"/>
      <c r="AA24" s="6"/>
      <c r="AB24" s="5"/>
      <c r="AC24" s="22">
        <v>-2000</v>
      </c>
      <c r="AD24" s="5"/>
      <c r="AE24" s="20">
        <f>SUM(C24:AD24)</f>
        <v>2000</v>
      </c>
      <c r="AF24" s="6"/>
      <c r="AG24" s="9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</row>
    <row r="25" spans="1:105" ht="18" x14ac:dyDescent="0.25">
      <c r="B25" s="143" t="s">
        <v>195</v>
      </c>
      <c r="C25" s="6"/>
      <c r="D25" s="5"/>
      <c r="E25" s="6"/>
      <c r="F25" s="5"/>
      <c r="G25" s="6"/>
      <c r="H25" s="5"/>
      <c r="I25" s="6"/>
      <c r="J25" s="5"/>
      <c r="K25" s="6"/>
      <c r="L25" s="5"/>
      <c r="M25" s="6"/>
      <c r="N25" s="5"/>
      <c r="O25" s="6"/>
      <c r="P25" s="5"/>
      <c r="Q25" s="6"/>
      <c r="R25" s="5"/>
      <c r="S25" s="6"/>
      <c r="T25" s="5"/>
      <c r="U25" s="6"/>
      <c r="V25" s="5"/>
      <c r="W25" s="6"/>
      <c r="X25" s="5"/>
      <c r="Y25" s="6"/>
      <c r="Z25" s="5"/>
      <c r="AA25" s="6"/>
      <c r="AB25" s="5"/>
      <c r="AC25" s="81">
        <v>400</v>
      </c>
      <c r="AD25" s="5"/>
      <c r="AE25" s="20">
        <f>SUM(C25:AD25)</f>
        <v>400</v>
      </c>
      <c r="AF25" s="6"/>
      <c r="AG25" s="9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</row>
    <row r="26" spans="1:105" ht="36" x14ac:dyDescent="0.25">
      <c r="B26" s="143" t="s">
        <v>221</v>
      </c>
      <c r="C26" s="6"/>
      <c r="D26" s="5"/>
      <c r="E26" s="6"/>
      <c r="F26" s="5"/>
      <c r="G26" s="6"/>
      <c r="I26" s="6"/>
      <c r="J26" s="5"/>
      <c r="K26" s="6"/>
      <c r="L26" s="5"/>
      <c r="M26" s="6"/>
      <c r="N26" s="5"/>
      <c r="O26" s="6"/>
      <c r="P26" s="81">
        <v>600</v>
      </c>
      <c r="Q26" s="6"/>
      <c r="R26" s="5"/>
      <c r="S26" s="6"/>
      <c r="T26" s="5"/>
      <c r="U26" s="6"/>
      <c r="V26" s="22" t="s">
        <v>196</v>
      </c>
      <c r="W26" s="6"/>
      <c r="X26" s="5"/>
      <c r="Y26" s="6"/>
      <c r="Z26" s="5"/>
      <c r="AA26" s="6"/>
      <c r="AB26" s="5"/>
      <c r="AC26" s="6"/>
      <c r="AD26" s="5"/>
      <c r="AE26" s="20">
        <f>SUM(C26:AD26)</f>
        <v>600</v>
      </c>
      <c r="AF26" s="6"/>
      <c r="AG26" s="9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105" s="148" customFormat="1" ht="26.25" thickBot="1" x14ac:dyDescent="0.25">
      <c r="A27"/>
      <c r="B27" s="207" t="s">
        <v>226</v>
      </c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  <c r="CT27" s="147"/>
      <c r="CU27" s="147"/>
      <c r="CV27" s="147"/>
      <c r="CW27" s="147"/>
      <c r="CX27" s="147"/>
      <c r="CY27" s="147"/>
      <c r="CZ27" s="147"/>
      <c r="DA27" s="147"/>
    </row>
    <row r="28" spans="1:105" ht="38.25" thickBot="1" x14ac:dyDescent="0.4">
      <c r="B28" s="143" t="s">
        <v>227</v>
      </c>
      <c r="C28" s="191">
        <v>200</v>
      </c>
      <c r="D28" s="192"/>
      <c r="E28" s="191">
        <v>3000</v>
      </c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2"/>
      <c r="Q28" s="191">
        <v>200</v>
      </c>
      <c r="R28" s="193"/>
      <c r="S28" s="193"/>
      <c r="T28" s="193"/>
      <c r="U28" s="192"/>
      <c r="V28" s="194">
        <v>1000</v>
      </c>
      <c r="W28" s="195"/>
      <c r="X28" s="195"/>
      <c r="Y28" s="195"/>
      <c r="Z28" s="195"/>
      <c r="AA28" s="195"/>
      <c r="AB28" s="196"/>
      <c r="AC28" s="191">
        <v>300</v>
      </c>
      <c r="AD28" s="192"/>
      <c r="AE28" s="135">
        <f>-SUM(C28:AD28)/200*50</f>
        <v>-1175</v>
      </c>
      <c r="AF28" s="6"/>
      <c r="AG28" s="92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08"/>
      <c r="BS28" s="208"/>
      <c r="BT28" s="208"/>
      <c r="BU28" s="208"/>
      <c r="BV28" s="208"/>
      <c r="BW28" s="208"/>
      <c r="BX28" s="208"/>
      <c r="BY28" s="208"/>
      <c r="BZ28" s="208"/>
      <c r="CA28" s="208"/>
      <c r="CB28" s="208"/>
      <c r="CC28" s="208"/>
      <c r="CD28" s="208"/>
      <c r="CE28" s="208"/>
      <c r="CF28" s="208"/>
      <c r="CG28" s="208"/>
      <c r="CH28" s="208"/>
      <c r="CI28" s="208"/>
      <c r="CJ28" s="208"/>
      <c r="CK28" s="208"/>
      <c r="CL28" s="208"/>
      <c r="CM28" s="208"/>
      <c r="CN28" s="208"/>
      <c r="CO28" s="208"/>
    </row>
    <row r="29" spans="1:105" ht="24" thickBot="1" x14ac:dyDescent="0.4">
      <c r="B29" s="143" t="s">
        <v>59</v>
      </c>
      <c r="C29" s="191">
        <v>200</v>
      </c>
      <c r="D29" s="193"/>
      <c r="E29" s="193"/>
      <c r="F29" s="193"/>
      <c r="G29" s="193"/>
      <c r="H29" s="193"/>
      <c r="I29" s="192"/>
      <c r="J29" s="191">
        <v>200</v>
      </c>
      <c r="K29" s="193"/>
      <c r="L29" s="193"/>
      <c r="M29" s="193"/>
      <c r="N29" s="193"/>
      <c r="O29" s="193"/>
      <c r="P29" s="192"/>
      <c r="Q29" s="191">
        <v>200</v>
      </c>
      <c r="R29" s="193"/>
      <c r="S29" s="193"/>
      <c r="T29" s="193"/>
      <c r="U29" s="193"/>
      <c r="V29" s="193"/>
      <c r="W29" s="192"/>
      <c r="X29" s="191">
        <v>200</v>
      </c>
      <c r="Y29" s="193"/>
      <c r="Z29" s="193"/>
      <c r="AA29" s="193"/>
      <c r="AB29" s="193"/>
      <c r="AC29" s="193"/>
      <c r="AD29" s="192"/>
      <c r="AE29" s="135">
        <v>-800</v>
      </c>
      <c r="AF29" s="6"/>
      <c r="AG29" s="92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208"/>
      <c r="BA29" s="208"/>
      <c r="BB29" s="208"/>
      <c r="BC29" s="208"/>
      <c r="BD29" s="208"/>
      <c r="BE29" s="208"/>
      <c r="BF29" s="208"/>
      <c r="BG29" s="208"/>
      <c r="BH29" s="208"/>
      <c r="BI29" s="208"/>
      <c r="BJ29" s="208"/>
      <c r="BK29" s="208"/>
      <c r="BL29" s="208"/>
      <c r="BM29" s="208"/>
      <c r="BN29" s="208"/>
      <c r="BO29" s="208"/>
      <c r="BP29" s="208"/>
      <c r="BQ29" s="208"/>
      <c r="BR29" s="208"/>
      <c r="BS29" s="208"/>
      <c r="BT29" s="208"/>
      <c r="BU29" s="208"/>
      <c r="BV29" s="208"/>
      <c r="BW29" s="208"/>
      <c r="BX29" s="208"/>
      <c r="BY29" s="208"/>
      <c r="BZ29" s="208"/>
      <c r="CA29" s="208"/>
      <c r="CB29" s="208"/>
      <c r="CC29" s="208"/>
      <c r="CD29" s="208"/>
      <c r="CE29" s="208"/>
      <c r="CF29" s="208"/>
      <c r="CG29" s="208"/>
      <c r="CH29" s="208"/>
      <c r="CI29" s="208"/>
      <c r="CJ29" s="208"/>
      <c r="CK29" s="208"/>
      <c r="CL29" s="208"/>
      <c r="CM29" s="208"/>
      <c r="CN29" s="208"/>
      <c r="CO29" s="208"/>
    </row>
    <row r="30" spans="1:105" ht="24" thickBot="1" x14ac:dyDescent="0.4">
      <c r="B30" s="143" t="s">
        <v>135</v>
      </c>
      <c r="C30" s="85"/>
      <c r="D30" s="86"/>
      <c r="E30" s="85"/>
      <c r="G30" s="85"/>
      <c r="H30" s="94">
        <v>20</v>
      </c>
      <c r="I30" s="85"/>
      <c r="J30" s="86"/>
      <c r="K30" s="85"/>
      <c r="L30" s="86"/>
      <c r="M30" s="85"/>
      <c r="N30" s="86"/>
      <c r="O30" s="94">
        <v>20</v>
      </c>
      <c r="P30" s="86"/>
      <c r="Q30" s="85"/>
      <c r="R30" s="86"/>
      <c r="S30" s="85"/>
      <c r="T30" s="86"/>
      <c r="U30" s="85"/>
      <c r="V30" s="94">
        <v>20</v>
      </c>
      <c r="W30" s="85"/>
      <c r="X30" s="86"/>
      <c r="Y30" s="85"/>
      <c r="Z30" s="86"/>
      <c r="AA30" s="85"/>
      <c r="AB30" s="86"/>
      <c r="AC30" s="94">
        <v>20</v>
      </c>
      <c r="AE30" s="134">
        <f>-SUM(C30:AD30)</f>
        <v>-80</v>
      </c>
      <c r="AF30" s="6"/>
      <c r="AG30" s="9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</row>
    <row r="31" spans="1:105" ht="24" thickBot="1" x14ac:dyDescent="0.4">
      <c r="B31" s="143" t="s">
        <v>207</v>
      </c>
      <c r="C31" s="7"/>
      <c r="D31" s="8"/>
      <c r="E31" s="7"/>
      <c r="G31" s="7"/>
      <c r="H31" s="84">
        <v>20</v>
      </c>
      <c r="I31" s="7"/>
      <c r="J31" s="8"/>
      <c r="K31" s="7"/>
      <c r="L31" s="8"/>
      <c r="M31" s="7"/>
      <c r="N31" s="8"/>
      <c r="O31" s="84">
        <v>20</v>
      </c>
      <c r="P31" s="8"/>
      <c r="Q31" s="7"/>
      <c r="R31" s="8"/>
      <c r="S31" s="7"/>
      <c r="T31" s="8"/>
      <c r="U31" s="7"/>
      <c r="V31" s="84">
        <v>20</v>
      </c>
      <c r="W31" s="7"/>
      <c r="X31" s="8"/>
      <c r="Y31" s="7"/>
      <c r="Z31" s="8"/>
      <c r="AA31" s="7"/>
      <c r="AB31" s="8"/>
      <c r="AC31" s="84">
        <v>20</v>
      </c>
      <c r="AE31" s="134">
        <f t="shared" ref="AE31:AE33" si="124">-SUM(C31:AD31)</f>
        <v>-80</v>
      </c>
      <c r="AF31" s="6"/>
      <c r="AG31" s="9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</row>
    <row r="32" spans="1:105" ht="24" thickBot="1" x14ac:dyDescent="0.4">
      <c r="B32" s="143" t="s">
        <v>208</v>
      </c>
      <c r="C32" s="6"/>
      <c r="D32" s="83"/>
      <c r="E32" s="6"/>
      <c r="G32" s="6"/>
      <c r="H32" s="146">
        <v>20</v>
      </c>
      <c r="I32" s="6"/>
      <c r="J32" s="5"/>
      <c r="K32" s="6"/>
      <c r="L32" s="5"/>
      <c r="M32" s="6"/>
      <c r="N32" s="5"/>
      <c r="O32" s="146">
        <v>20</v>
      </c>
      <c r="P32" s="5"/>
      <c r="Q32" s="6"/>
      <c r="R32" s="5"/>
      <c r="S32" s="6"/>
      <c r="T32" s="5"/>
      <c r="U32" s="6"/>
      <c r="V32" s="146">
        <v>20</v>
      </c>
      <c r="W32" s="6"/>
      <c r="X32" s="5"/>
      <c r="Y32" s="6"/>
      <c r="Z32" s="5"/>
      <c r="AA32" s="6"/>
      <c r="AB32" s="5"/>
      <c r="AC32" s="146">
        <v>20</v>
      </c>
      <c r="AD32" s="83"/>
      <c r="AE32" s="134">
        <f t="shared" si="124"/>
        <v>-80</v>
      </c>
      <c r="AF32" s="6"/>
      <c r="AG32" s="91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2:90" ht="24" thickBot="1" x14ac:dyDescent="0.4">
      <c r="B33" s="143" t="s">
        <v>170</v>
      </c>
      <c r="C33" s="82"/>
      <c r="D33" s="146">
        <v>35</v>
      </c>
      <c r="E33" s="7"/>
      <c r="F33" s="8"/>
      <c r="G33" s="7"/>
      <c r="H33" s="144"/>
      <c r="I33" s="7"/>
      <c r="J33" s="8"/>
      <c r="K33" s="7"/>
      <c r="L33" s="8"/>
      <c r="M33" s="7"/>
      <c r="N33" s="8"/>
      <c r="O33" s="90"/>
      <c r="P33" s="8"/>
      <c r="Q33" s="7"/>
      <c r="R33" s="8"/>
      <c r="S33" s="7"/>
      <c r="T33" s="8"/>
      <c r="U33" s="7"/>
      <c r="V33" s="144"/>
      <c r="W33" s="7"/>
      <c r="X33" s="8"/>
      <c r="Y33" s="7"/>
      <c r="Z33" s="8"/>
      <c r="AA33" s="82"/>
      <c r="AB33" s="8"/>
      <c r="AC33" s="145"/>
      <c r="AD33" s="146">
        <v>35</v>
      </c>
      <c r="AE33" s="135">
        <f t="shared" si="124"/>
        <v>-70</v>
      </c>
      <c r="AF33" s="6"/>
      <c r="AG33" s="9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</row>
    <row r="34" spans="2:90" ht="24" thickBot="1" x14ac:dyDescent="0.4">
      <c r="B34" s="143" t="s">
        <v>139</v>
      </c>
      <c r="C34" s="146">
        <v>300</v>
      </c>
      <c r="D34" s="2"/>
      <c r="E34" s="6"/>
      <c r="G34" s="6"/>
      <c r="H34" s="5"/>
      <c r="I34" s="6"/>
      <c r="J34" s="5"/>
      <c r="K34" s="6"/>
      <c r="L34" s="5"/>
      <c r="M34" s="6"/>
      <c r="N34" s="5"/>
      <c r="O34" s="146">
        <v>60</v>
      </c>
      <c r="P34" s="5"/>
      <c r="Q34" s="6"/>
      <c r="R34" s="5"/>
      <c r="S34" s="6"/>
      <c r="T34" s="5"/>
      <c r="U34" s="6"/>
      <c r="V34" s="5"/>
      <c r="W34" s="6"/>
      <c r="X34" s="5"/>
      <c r="Y34" s="6"/>
      <c r="Z34" s="5"/>
      <c r="AA34" s="146">
        <v>60</v>
      </c>
      <c r="AB34" s="5"/>
      <c r="AC34" s="6"/>
      <c r="AE34" s="134">
        <f>-SUM(C34:AD34)</f>
        <v>-420</v>
      </c>
      <c r="AF34" s="6"/>
      <c r="AG34" s="91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</row>
    <row r="35" spans="2:90" ht="24" thickBot="1" x14ac:dyDescent="0.4">
      <c r="B35" s="142" t="s">
        <v>228</v>
      </c>
      <c r="C35" s="85"/>
      <c r="D35" s="146">
        <v>13</v>
      </c>
      <c r="E35" s="6"/>
      <c r="G35" s="6"/>
      <c r="H35" s="5"/>
      <c r="I35" s="6"/>
      <c r="J35" s="5"/>
      <c r="K35" s="6"/>
      <c r="L35" s="5"/>
      <c r="M35" s="6"/>
      <c r="N35" s="5"/>
      <c r="O35" s="85"/>
      <c r="P35" s="5"/>
      <c r="Q35" s="6"/>
      <c r="R35" s="5"/>
      <c r="S35" s="6"/>
      <c r="T35" s="5"/>
      <c r="U35" s="6"/>
      <c r="V35" s="5"/>
      <c r="W35" s="6"/>
      <c r="X35" s="5"/>
      <c r="Y35" s="6"/>
      <c r="Z35" s="5"/>
      <c r="AA35" s="85"/>
      <c r="AB35" s="5"/>
      <c r="AC35" s="6"/>
      <c r="AD35" s="146">
        <v>13</v>
      </c>
      <c r="AE35" s="134">
        <f t="shared" ref="AE35:AE37" si="125">-SUM(C35:AD35)</f>
        <v>-26</v>
      </c>
      <c r="AF35" s="5"/>
    </row>
    <row r="36" spans="2:90" ht="24" thickBot="1" x14ac:dyDescent="0.4">
      <c r="B36" s="143" t="s">
        <v>232</v>
      </c>
      <c r="C36" s="6"/>
      <c r="D36" s="86"/>
      <c r="E36" s="6"/>
      <c r="G36" s="6"/>
      <c r="H36" s="146">
        <v>74.94</v>
      </c>
      <c r="I36" s="6"/>
      <c r="J36" s="5"/>
      <c r="K36" s="6"/>
      <c r="L36" s="5"/>
      <c r="M36" s="6"/>
      <c r="N36" s="5"/>
      <c r="O36" s="6"/>
      <c r="P36" s="5"/>
      <c r="Q36" s="6"/>
      <c r="R36" s="5"/>
      <c r="S36" s="6"/>
      <c r="T36" s="5"/>
      <c r="U36" s="6"/>
      <c r="V36" s="5"/>
      <c r="W36" s="6"/>
      <c r="X36" s="5"/>
      <c r="Y36" s="6"/>
      <c r="Z36" s="5"/>
      <c r="AA36" s="6"/>
      <c r="AB36" s="5"/>
      <c r="AC36" s="6"/>
      <c r="AE36" s="134">
        <f t="shared" si="125"/>
        <v>-74.94</v>
      </c>
      <c r="AF36" s="5"/>
      <c r="AL36" s="2"/>
      <c r="AM36" s="146">
        <v>74.94</v>
      </c>
    </row>
    <row r="37" spans="2:90" ht="24" thickBot="1" x14ac:dyDescent="0.4">
      <c r="B37" s="143"/>
      <c r="C37" s="6"/>
      <c r="D37" s="5"/>
      <c r="E37" s="6"/>
      <c r="G37" s="6"/>
      <c r="H37" s="5"/>
      <c r="I37" s="6"/>
      <c r="J37" s="5"/>
      <c r="K37" s="6"/>
      <c r="L37" s="5"/>
      <c r="M37" s="6"/>
      <c r="N37" s="5"/>
      <c r="O37" s="6"/>
      <c r="P37" s="5"/>
      <c r="Q37" s="6"/>
      <c r="R37" s="5"/>
      <c r="S37" s="6"/>
      <c r="T37" s="5"/>
      <c r="U37" s="6"/>
      <c r="V37" s="5"/>
      <c r="W37" s="6"/>
      <c r="X37" s="5"/>
      <c r="Y37" s="6"/>
      <c r="Z37" s="5"/>
      <c r="AA37" s="6"/>
      <c r="AB37" s="5"/>
      <c r="AC37" s="6"/>
      <c r="AE37" s="134">
        <f t="shared" si="125"/>
        <v>0</v>
      </c>
      <c r="AF37" s="5"/>
      <c r="AL37" s="2"/>
    </row>
    <row r="38" spans="2:90" ht="18.75" thickBot="1" x14ac:dyDescent="0.25">
      <c r="AA38" s="2"/>
      <c r="AB38" s="2"/>
      <c r="AD38" s="132" t="s">
        <v>197</v>
      </c>
      <c r="AE38" s="132">
        <f>SUM(AE28:AE37)</f>
        <v>-2805.94</v>
      </c>
      <c r="AL38" s="2"/>
    </row>
    <row r="39" spans="2:90" ht="18.75" thickBot="1" x14ac:dyDescent="0.25">
      <c r="AA39" s="2"/>
      <c r="AB39" s="2"/>
      <c r="AD39" s="132" t="s">
        <v>224</v>
      </c>
      <c r="AE39" s="133">
        <f>SUM(AE38/31)*7</f>
        <v>-633.5993548387097</v>
      </c>
    </row>
    <row r="40" spans="2:90" x14ac:dyDescent="0.2">
      <c r="AE40"/>
    </row>
    <row r="41" spans="2:90" x14ac:dyDescent="0.2">
      <c r="AE41"/>
    </row>
    <row r="42" spans="2:90" x14ac:dyDescent="0.2">
      <c r="AE42"/>
    </row>
    <row r="43" spans="2:90" x14ac:dyDescent="0.2">
      <c r="AD43" s="2"/>
      <c r="AE43"/>
    </row>
    <row r="44" spans="2:90" x14ac:dyDescent="0.2">
      <c r="AD44" s="2"/>
      <c r="AE44"/>
    </row>
    <row r="45" spans="2:90" x14ac:dyDescent="0.2">
      <c r="AD45" s="2"/>
      <c r="AE45"/>
    </row>
    <row r="46" spans="2:90" x14ac:dyDescent="0.2">
      <c r="AE46"/>
    </row>
    <row r="47" spans="2:90" x14ac:dyDescent="0.2">
      <c r="AE47"/>
    </row>
    <row r="48" spans="2:90" x14ac:dyDescent="0.2">
      <c r="AE48"/>
    </row>
    <row r="49" spans="31:31" x14ac:dyDescent="0.2">
      <c r="AE49"/>
    </row>
    <row r="50" spans="31:31" x14ac:dyDescent="0.2">
      <c r="AE50"/>
    </row>
    <row r="51" spans="31:31" x14ac:dyDescent="0.2">
      <c r="AE51"/>
    </row>
  </sheetData>
  <mergeCells count="46">
    <mergeCell ref="CJ28:CO28"/>
    <mergeCell ref="BU29:CA29"/>
    <mergeCell ref="CB29:CH29"/>
    <mergeCell ref="CI29:CO29"/>
    <mergeCell ref="B18:B20"/>
    <mergeCell ref="AZ29:BF29"/>
    <mergeCell ref="BG29:BM29"/>
    <mergeCell ref="BN29:BT29"/>
    <mergeCell ref="AC28:AD28"/>
    <mergeCell ref="B27:AF27"/>
    <mergeCell ref="B21:AF21"/>
    <mergeCell ref="C29:I29"/>
    <mergeCell ref="J29:P29"/>
    <mergeCell ref="Q29:W29"/>
    <mergeCell ref="X29:AD29"/>
    <mergeCell ref="AZ28:BK28"/>
    <mergeCell ref="BL28:BN28"/>
    <mergeCell ref="BO28:BT28"/>
    <mergeCell ref="BU28:CF28"/>
    <mergeCell ref="CG28:CI28"/>
    <mergeCell ref="E8:J8"/>
    <mergeCell ref="E28:P28"/>
    <mergeCell ref="C28:D28"/>
    <mergeCell ref="Q28:U28"/>
    <mergeCell ref="V28:AB28"/>
    <mergeCell ref="E15:P15"/>
    <mergeCell ref="Q15:U15"/>
    <mergeCell ref="F16:H16"/>
    <mergeCell ref="V15:AY15"/>
    <mergeCell ref="B17:AF17"/>
    <mergeCell ref="CP4:CP7"/>
    <mergeCell ref="B1:AE1"/>
    <mergeCell ref="X4:AD4"/>
    <mergeCell ref="C2:E2"/>
    <mergeCell ref="C4:I4"/>
    <mergeCell ref="J4:P4"/>
    <mergeCell ref="Q4:W4"/>
    <mergeCell ref="AL4:AR4"/>
    <mergeCell ref="AS4:AY4"/>
    <mergeCell ref="AZ4:BF4"/>
    <mergeCell ref="BG4:BM4"/>
    <mergeCell ref="BN4:BT4"/>
    <mergeCell ref="CI4:CO4"/>
    <mergeCell ref="AE4:AK4"/>
    <mergeCell ref="BU4:CA4"/>
    <mergeCell ref="CB4:CH4"/>
  </mergeCells>
  <conditionalFormatting sqref="C6:CO7">
    <cfRule type="expression" dxfId="291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CP4:CP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 gridLines="1"/>
  <pageMargins left="0.23622047244094491" right="0.23622047244094491" top="0.19685039370078741" bottom="0.19685039370078741" header="0.31496062992125984" footer="0.31496062992125984"/>
  <pageSetup paperSize="9" scale="31" fitToWidth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BF5-0C90-45C2-B8B4-4515DFE652E9}">
  <dimension ref="A1:M68"/>
  <sheetViews>
    <sheetView zoomScale="70" zoomScaleNormal="70" workbookViewId="0">
      <selection activeCell="M28" sqref="M28"/>
    </sheetView>
  </sheetViews>
  <sheetFormatPr defaultColWidth="7.875" defaultRowHeight="14.25" x14ac:dyDescent="0.2"/>
  <cols>
    <col min="1" max="1" width="19.375" style="44" bestFit="1" customWidth="1"/>
    <col min="2" max="2" width="18.75" style="44" bestFit="1" customWidth="1"/>
    <col min="3" max="3" width="16.375" style="44" bestFit="1" customWidth="1"/>
    <col min="4" max="4" width="15.5" style="44" bestFit="1" customWidth="1"/>
    <col min="5" max="5" width="3.625" style="44" customWidth="1"/>
    <col min="6" max="6" width="19.75" style="44" bestFit="1" customWidth="1"/>
    <col min="7" max="7" width="18.75" style="44" bestFit="1" customWidth="1"/>
    <col min="8" max="8" width="16" style="44" bestFit="1" customWidth="1"/>
    <col min="9" max="9" width="15.125" style="44" bestFit="1" customWidth="1"/>
    <col min="10" max="10" width="13.5" style="44" bestFit="1" customWidth="1"/>
    <col min="11" max="11" width="5.5" style="44" bestFit="1" customWidth="1"/>
    <col min="12" max="13" width="12" style="44" bestFit="1" customWidth="1"/>
    <col min="14" max="16384" width="7.875" style="44"/>
  </cols>
  <sheetData>
    <row r="1" spans="1:13" ht="20.25" x14ac:dyDescent="0.3">
      <c r="A1" s="216" t="s">
        <v>182</v>
      </c>
      <c r="B1" s="216"/>
      <c r="C1" s="216"/>
      <c r="D1" s="216"/>
      <c r="E1" s="216"/>
      <c r="F1" s="216"/>
      <c r="G1" s="216"/>
      <c r="H1" s="80"/>
      <c r="I1" s="80"/>
    </row>
    <row r="2" spans="1:13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13" x14ac:dyDescent="0.2">
      <c r="A3" s="217" t="s">
        <v>181</v>
      </c>
      <c r="B3" s="218"/>
      <c r="C3" s="79" t="s">
        <v>180</v>
      </c>
      <c r="D3" s="78" t="s">
        <v>179</v>
      </c>
      <c r="E3" s="64"/>
      <c r="F3" s="219" t="s">
        <v>178</v>
      </c>
      <c r="G3" s="220"/>
      <c r="H3" s="64"/>
    </row>
    <row r="4" spans="1:13" x14ac:dyDescent="0.2">
      <c r="A4" s="77"/>
      <c r="B4" s="76">
        <f>Housing[[#Totals],[Projected Cost]]+Transportation[[#Totals],[Projected Cost]]+Insurance[[#Totals],[Projected Cost]]+Food[[#Totals],[Projected Cost]]+Children[[#Totals],[Projected Cost]]+Legal[[#Totals],[Projected Cost]]+Savings[[#Totals],[Projected Cost]]+Loans[[#Totals],[Projected Cost]]+Entertainment[[#Totals],[Projected Cost]]+Taxes[[#Totals],[Projected Cost]]+PersonalCare[[#Totals],[Projected Cost]]+Pets[[#Totals],[Projected Cost]]+Gifts[[#Totals],[Projected Cost]]</f>
        <v>1108.44</v>
      </c>
      <c r="C4" s="76">
        <f>Housing[[#Totals],[Actual Cost]]+Transportation[[#Totals],[Actual Cost]]+Insurance[[#Totals],[Actual Cost]]+Food[[#Totals],[Actual Cost]]+Children[[#Totals],[Actual Cost]]+Legal[[#Totals],[Actual Cost]]+Savings[[#Totals],[Actual Cost]]+Loans[[#Totals],[Actual Cost]]+Entertainment[[#Totals],[Actual Cost]]+Taxes[[#Totals],[Actual Cost]]+PersonalCare[[#Totals],[Actual Cost]]+Pets[[#Totals],[Actual Cost]]+Gifts[[#Totals],[Actual Cost]]</f>
        <v>412</v>
      </c>
      <c r="D4" s="76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796.44</v>
      </c>
      <c r="E4" s="64"/>
      <c r="F4" s="68" t="s">
        <v>166</v>
      </c>
      <c r="G4" s="67">
        <v>0</v>
      </c>
      <c r="H4" s="75"/>
      <c r="I4" s="64"/>
      <c r="J4" s="219" t="s">
        <v>177</v>
      </c>
      <c r="K4" s="220"/>
      <c r="L4" s="44" t="s">
        <v>176</v>
      </c>
      <c r="M4" s="44" t="s">
        <v>176</v>
      </c>
    </row>
    <row r="5" spans="1:13" x14ac:dyDescent="0.2">
      <c r="A5" s="47"/>
      <c r="B5" s="47"/>
      <c r="C5" s="47"/>
      <c r="D5" s="47"/>
      <c r="E5" s="47"/>
      <c r="F5" s="68" t="s">
        <v>163</v>
      </c>
      <c r="G5" s="67">
        <v>0</v>
      </c>
      <c r="H5" s="47"/>
      <c r="I5" s="47"/>
      <c r="J5" s="68" t="s">
        <v>143</v>
      </c>
      <c r="K5" s="67">
        <f>B26/4</f>
        <v>50</v>
      </c>
      <c r="L5" s="69">
        <v>40</v>
      </c>
      <c r="M5" s="69"/>
    </row>
    <row r="6" spans="1:13" x14ac:dyDescent="0.2">
      <c r="A6" s="54" t="s">
        <v>175</v>
      </c>
      <c r="B6" s="49" t="s">
        <v>100</v>
      </c>
      <c r="C6" s="49" t="s">
        <v>99</v>
      </c>
      <c r="D6" s="49" t="s">
        <v>98</v>
      </c>
      <c r="E6" s="47"/>
      <c r="F6" s="68" t="s">
        <v>160</v>
      </c>
      <c r="G6" s="67">
        <v>0</v>
      </c>
      <c r="H6" s="47"/>
      <c r="I6" s="68" t="s">
        <v>174</v>
      </c>
      <c r="J6" s="68" t="s">
        <v>59</v>
      </c>
      <c r="K6" s="67">
        <f>C39/4</f>
        <v>0</v>
      </c>
      <c r="L6" s="44">
        <v>30</v>
      </c>
    </row>
    <row r="7" spans="1:13" x14ac:dyDescent="0.2">
      <c r="A7" s="47" t="s">
        <v>173</v>
      </c>
      <c r="B7" s="48">
        <v>0</v>
      </c>
      <c r="C7" s="48">
        <v>0</v>
      </c>
      <c r="D7" s="48">
        <f>Housing[Projected Cost]-Housing[Actual Cost]</f>
        <v>0</v>
      </c>
      <c r="E7" s="47"/>
      <c r="F7" s="66" t="s">
        <v>158</v>
      </c>
      <c r="G7" s="65">
        <f>SUM(G4:G6)</f>
        <v>0</v>
      </c>
      <c r="H7" s="47"/>
      <c r="I7" s="47"/>
      <c r="J7" s="68" t="s">
        <v>128</v>
      </c>
      <c r="K7" s="67">
        <f>B40/4</f>
        <v>0</v>
      </c>
      <c r="L7" s="69">
        <v>50</v>
      </c>
      <c r="M7" s="69">
        <v>10</v>
      </c>
    </row>
    <row r="8" spans="1:13" x14ac:dyDescent="0.2">
      <c r="A8" s="46" t="s">
        <v>172</v>
      </c>
      <c r="B8" s="48">
        <v>0</v>
      </c>
      <c r="C8" s="48">
        <v>0</v>
      </c>
      <c r="D8" s="48">
        <f>Housing[Projected Cost]-Housing[Actual Cost]</f>
        <v>0</v>
      </c>
      <c r="E8" s="47"/>
      <c r="F8" s="74"/>
      <c r="G8" s="64"/>
      <c r="H8" s="46"/>
      <c r="I8" s="46"/>
      <c r="J8" s="66" t="s">
        <v>171</v>
      </c>
      <c r="K8" s="65">
        <f>G57/4</f>
        <v>0</v>
      </c>
      <c r="L8" s="44">
        <v>30</v>
      </c>
    </row>
    <row r="9" spans="1:13" x14ac:dyDescent="0.2">
      <c r="A9" s="53" t="s">
        <v>170</v>
      </c>
      <c r="B9" s="52">
        <v>40</v>
      </c>
      <c r="C9" s="52">
        <v>0</v>
      </c>
      <c r="D9" s="73">
        <f>Housing[Projected Cost]-Housing[Actual Cost]</f>
        <v>40</v>
      </c>
      <c r="E9" s="47"/>
      <c r="F9" s="219" t="s">
        <v>169</v>
      </c>
      <c r="G9" s="220"/>
      <c r="H9" s="47"/>
      <c r="I9" s="47"/>
      <c r="J9" s="66" t="s">
        <v>168</v>
      </c>
      <c r="K9" s="65">
        <f>G47/4</f>
        <v>10</v>
      </c>
      <c r="L9" s="69">
        <v>5</v>
      </c>
      <c r="M9" s="69"/>
    </row>
    <row r="10" spans="1:13" x14ac:dyDescent="0.2">
      <c r="A10" s="53" t="s">
        <v>167</v>
      </c>
      <c r="B10" s="52">
        <v>20</v>
      </c>
      <c r="C10" s="52">
        <v>0</v>
      </c>
      <c r="D10" s="52">
        <f>Housing[Projected Cost]-Housing[Actual Cost]</f>
        <v>20</v>
      </c>
      <c r="E10" s="47"/>
      <c r="F10" s="68" t="s">
        <v>166</v>
      </c>
      <c r="G10" s="67">
        <v>0</v>
      </c>
      <c r="H10" s="47"/>
      <c r="I10" s="47"/>
      <c r="J10" s="66" t="s">
        <v>165</v>
      </c>
      <c r="K10" s="65">
        <f>H36/4</f>
        <v>50</v>
      </c>
      <c r="L10" s="44">
        <v>75</v>
      </c>
      <c r="M10" s="44">
        <v>25</v>
      </c>
    </row>
    <row r="11" spans="1:13" x14ac:dyDescent="0.2">
      <c r="A11" s="47" t="s">
        <v>164</v>
      </c>
      <c r="B11" s="48">
        <v>10</v>
      </c>
      <c r="C11" s="48">
        <v>0</v>
      </c>
      <c r="D11" s="48">
        <f>Housing[Projected Cost]-Housing[Actual Cost]</f>
        <v>10</v>
      </c>
      <c r="E11" s="47"/>
      <c r="F11" s="68" t="s">
        <v>163</v>
      </c>
      <c r="G11" s="72"/>
      <c r="H11" s="47"/>
      <c r="I11" s="47"/>
      <c r="J11" s="71" t="s">
        <v>162</v>
      </c>
      <c r="K11" s="70">
        <f>SUM(K5:K10)</f>
        <v>110</v>
      </c>
      <c r="L11" s="69">
        <f>SUM(L5:L10)</f>
        <v>230</v>
      </c>
      <c r="M11" s="69">
        <f>SUM(M5:M10)</f>
        <v>35</v>
      </c>
    </row>
    <row r="12" spans="1:13" x14ac:dyDescent="0.2">
      <c r="A12" s="47" t="s">
        <v>161</v>
      </c>
      <c r="B12" s="48">
        <v>0</v>
      </c>
      <c r="C12" s="48">
        <v>0</v>
      </c>
      <c r="D12" s="48">
        <f>Housing[Projected Cost]-Housing[Actual Cost]</f>
        <v>0</v>
      </c>
      <c r="E12" s="47"/>
      <c r="F12" s="68" t="s">
        <v>160</v>
      </c>
      <c r="G12" s="67">
        <v>0</v>
      </c>
      <c r="H12" s="47"/>
      <c r="I12" s="47"/>
    </row>
    <row r="13" spans="1:13" x14ac:dyDescent="0.2">
      <c r="A13" s="47" t="s">
        <v>159</v>
      </c>
      <c r="B13" s="48">
        <v>0</v>
      </c>
      <c r="C13" s="48">
        <v>0</v>
      </c>
      <c r="D13" s="48">
        <f>Housing[Projected Cost]-Housing[Actual Cost]</f>
        <v>0</v>
      </c>
      <c r="E13" s="47"/>
      <c r="F13" s="66" t="s">
        <v>158</v>
      </c>
      <c r="G13" s="65">
        <f>SUM(G10:G12)</f>
        <v>0</v>
      </c>
      <c r="H13" s="47"/>
      <c r="I13" s="47"/>
    </row>
    <row r="14" spans="1:13" x14ac:dyDescent="0.2">
      <c r="A14" s="47" t="s">
        <v>157</v>
      </c>
      <c r="B14" s="48">
        <v>0</v>
      </c>
      <c r="C14" s="48">
        <v>0</v>
      </c>
      <c r="D14" s="48">
        <f>Housing[Projected Cost]-Housing[Actual Cost]</f>
        <v>0</v>
      </c>
      <c r="E14" s="47"/>
      <c r="F14" s="64"/>
      <c r="G14" s="64"/>
      <c r="H14" s="47"/>
      <c r="I14" s="47"/>
      <c r="K14" s="64"/>
    </row>
    <row r="15" spans="1:13" ht="24" x14ac:dyDescent="0.2">
      <c r="A15" s="47" t="s">
        <v>156</v>
      </c>
      <c r="B15" s="48">
        <v>20</v>
      </c>
      <c r="C15" s="48">
        <v>0</v>
      </c>
      <c r="D15" s="48">
        <f>Housing[Projected Cost]-Housing[Actual Cost]</f>
        <v>20</v>
      </c>
      <c r="E15" s="47"/>
      <c r="F15" s="63" t="s">
        <v>155</v>
      </c>
      <c r="G15" s="62">
        <f>SUM(G7-B4)</f>
        <v>-1108.44</v>
      </c>
      <c r="H15" s="47"/>
      <c r="I15" s="47"/>
    </row>
    <row r="16" spans="1:13" x14ac:dyDescent="0.2">
      <c r="A16" s="47" t="s">
        <v>154</v>
      </c>
      <c r="B16" s="48">
        <v>0</v>
      </c>
      <c r="C16" s="48">
        <v>0</v>
      </c>
      <c r="D16" s="48">
        <f>Housing[Projected Cost]-Housing[Actual Cost]</f>
        <v>0</v>
      </c>
      <c r="E16" s="47"/>
      <c r="F16" s="61" t="s">
        <v>153</v>
      </c>
      <c r="G16" s="60">
        <f>SUM(G13-C4)</f>
        <v>-412</v>
      </c>
      <c r="H16" s="47"/>
      <c r="I16" s="47"/>
    </row>
    <row r="17" spans="1:9" x14ac:dyDescent="0.2">
      <c r="A17" s="47" t="s">
        <v>93</v>
      </c>
      <c r="B17" s="48">
        <v>0</v>
      </c>
      <c r="C17" s="48">
        <v>0</v>
      </c>
      <c r="D17" s="48">
        <f>Housing[Projected Cost]-Housing[Actual Cost]</f>
        <v>0</v>
      </c>
      <c r="E17" s="47"/>
      <c r="F17" s="59" t="s">
        <v>98</v>
      </c>
      <c r="G17" s="58">
        <f>SUM(G16-G15)</f>
        <v>696.44</v>
      </c>
      <c r="H17" s="47"/>
      <c r="I17" s="47"/>
    </row>
    <row r="18" spans="1:9" x14ac:dyDescent="0.2">
      <c r="A18" s="46" t="s">
        <v>88</v>
      </c>
      <c r="B18" s="45">
        <f>SUBTOTAL(109,Housing[Projected Cost])</f>
        <v>90</v>
      </c>
      <c r="C18" s="45">
        <f>SUBTOTAL(109,Housing[Actual Cost])</f>
        <v>0</v>
      </c>
      <c r="D18" s="45">
        <f>SUBTOTAL(109,Housing[Difference])</f>
        <v>90</v>
      </c>
      <c r="E18" s="47"/>
      <c r="F18" s="47"/>
      <c r="G18" s="47"/>
      <c r="H18" s="47"/>
      <c r="I18" s="47"/>
    </row>
    <row r="19" spans="1:9" x14ac:dyDescent="0.2">
      <c r="A19" s="213"/>
      <c r="B19" s="213"/>
      <c r="C19" s="213"/>
      <c r="D19" s="213"/>
      <c r="E19" s="47"/>
      <c r="F19" s="46"/>
      <c r="G19" s="46"/>
      <c r="H19" s="46"/>
      <c r="I19" s="46"/>
    </row>
    <row r="20" spans="1:9" x14ac:dyDescent="0.2">
      <c r="A20" s="57" t="s">
        <v>152</v>
      </c>
      <c r="B20" s="56" t="s">
        <v>100</v>
      </c>
      <c r="C20" s="56" t="s">
        <v>99</v>
      </c>
      <c r="D20" s="56" t="s">
        <v>98</v>
      </c>
      <c r="E20" s="47"/>
      <c r="F20" s="50" t="s">
        <v>151</v>
      </c>
      <c r="G20" s="49" t="s">
        <v>100</v>
      </c>
      <c r="H20" s="49" t="s">
        <v>99</v>
      </c>
      <c r="I20" s="49" t="s">
        <v>98</v>
      </c>
    </row>
    <row r="21" spans="1:9" x14ac:dyDescent="0.2">
      <c r="A21" s="47" t="s">
        <v>150</v>
      </c>
      <c r="B21" s="48">
        <v>0</v>
      </c>
      <c r="C21" s="48">
        <v>0</v>
      </c>
      <c r="D21" s="48">
        <f>Transportation[Projected Cost]-Transportation[Actual Cost]</f>
        <v>0</v>
      </c>
      <c r="E21" s="47"/>
      <c r="F21" s="53" t="s">
        <v>149</v>
      </c>
      <c r="G21" s="52">
        <v>40</v>
      </c>
      <c r="H21" s="52">
        <v>10</v>
      </c>
      <c r="I21" s="52">
        <f>Loans[Projected Cost]-Loans[Actual Cost]</f>
        <v>30</v>
      </c>
    </row>
    <row r="22" spans="1:9" x14ac:dyDescent="0.2">
      <c r="A22" s="47" t="s">
        <v>148</v>
      </c>
      <c r="B22" s="48">
        <v>0</v>
      </c>
      <c r="C22" s="48">
        <v>0</v>
      </c>
      <c r="D22" s="48">
        <f>Transportation[Projected Cost]-Transportation[Actual Cost]</f>
        <v>0</v>
      </c>
      <c r="E22" s="47"/>
      <c r="F22" s="47" t="s">
        <v>147</v>
      </c>
      <c r="G22" s="48">
        <v>0</v>
      </c>
      <c r="H22" s="48">
        <v>0</v>
      </c>
      <c r="I22" s="48">
        <f>Loans[Projected Cost]-Loans[Actual Cost]</f>
        <v>0</v>
      </c>
    </row>
    <row r="23" spans="1:9" x14ac:dyDescent="0.2">
      <c r="A23" s="47" t="s">
        <v>146</v>
      </c>
      <c r="B23" s="48">
        <v>0</v>
      </c>
      <c r="C23" s="48">
        <v>0</v>
      </c>
      <c r="D23" s="48">
        <f>Transportation[Projected Cost]-Transportation[Actual Cost]</f>
        <v>0</v>
      </c>
      <c r="E23" s="47"/>
      <c r="F23" s="53" t="s">
        <v>144</v>
      </c>
      <c r="G23" s="52">
        <v>115</v>
      </c>
      <c r="H23" s="52"/>
      <c r="I23" s="52">
        <f>Loans[Projected Cost]-Loans[Actual Cost]</f>
        <v>115</v>
      </c>
    </row>
    <row r="24" spans="1:9" x14ac:dyDescent="0.2">
      <c r="A24" s="53" t="s">
        <v>139</v>
      </c>
      <c r="B24" s="52">
        <f>19.26*2</f>
        <v>38.520000000000003</v>
      </c>
      <c r="C24" s="52">
        <v>39</v>
      </c>
      <c r="D24" s="52">
        <f>Transportation[Projected Cost]-Transportation[Actual Cost]</f>
        <v>-0.47999999999999687</v>
      </c>
      <c r="E24" s="47"/>
      <c r="F24" s="53" t="s">
        <v>144</v>
      </c>
      <c r="G24" s="52">
        <v>120</v>
      </c>
      <c r="H24" s="52">
        <v>120</v>
      </c>
      <c r="I24" s="52">
        <f>Loans[Projected Cost]-Loans[Actual Cost]</f>
        <v>0</v>
      </c>
    </row>
    <row r="25" spans="1:9" x14ac:dyDescent="0.2">
      <c r="A25" s="53" t="s">
        <v>145</v>
      </c>
      <c r="B25" s="52">
        <v>125</v>
      </c>
      <c r="C25" s="52">
        <v>23</v>
      </c>
      <c r="D25" s="52">
        <f>Transportation[Projected Cost]-Transportation[Actual Cost]</f>
        <v>102</v>
      </c>
      <c r="E25" s="47"/>
      <c r="F25" s="47" t="s">
        <v>144</v>
      </c>
      <c r="G25" s="48">
        <v>0</v>
      </c>
      <c r="H25" s="48">
        <v>0</v>
      </c>
      <c r="I25" s="48">
        <f>Loans[Projected Cost]-Loans[Actual Cost]</f>
        <v>0</v>
      </c>
    </row>
    <row r="26" spans="1:9" x14ac:dyDescent="0.2">
      <c r="A26" s="53" t="s">
        <v>143</v>
      </c>
      <c r="B26" s="52">
        <v>200</v>
      </c>
      <c r="C26" s="55"/>
      <c r="D26" s="52">
        <f>Transportation[Projected Cost]-Transportation[Actual Cost]</f>
        <v>200</v>
      </c>
      <c r="E26" s="47"/>
      <c r="F26" s="47" t="s">
        <v>93</v>
      </c>
      <c r="G26" s="48">
        <v>0</v>
      </c>
      <c r="H26" s="48">
        <v>0</v>
      </c>
      <c r="I26" s="48">
        <f>Loans[Projected Cost]-Loans[Actual Cost]</f>
        <v>0</v>
      </c>
    </row>
    <row r="27" spans="1:9" x14ac:dyDescent="0.2">
      <c r="A27" s="47" t="s">
        <v>142</v>
      </c>
      <c r="B27" s="48">
        <v>20</v>
      </c>
      <c r="C27" s="48">
        <v>0</v>
      </c>
      <c r="D27" s="48">
        <f>Transportation[Projected Cost]-Transportation[Actual Cost]</f>
        <v>20</v>
      </c>
      <c r="E27" s="47"/>
      <c r="F27" s="46" t="s">
        <v>88</v>
      </c>
      <c r="G27" s="45">
        <f>SUBTOTAL(109,Loans[Projected Cost])</f>
        <v>275</v>
      </c>
      <c r="H27" s="45">
        <f>SUBTOTAL(109,Loans[Actual Cost])</f>
        <v>130</v>
      </c>
      <c r="I27" s="45">
        <f>SUBTOTAL(109,Loans[Difference])</f>
        <v>145</v>
      </c>
    </row>
    <row r="28" spans="1:9" x14ac:dyDescent="0.2">
      <c r="A28" s="47" t="s">
        <v>93</v>
      </c>
      <c r="B28" s="48"/>
      <c r="C28" s="48"/>
      <c r="D28" s="48">
        <f>Transportation[Projected Cost]-Transportation[Actual Cost]</f>
        <v>0</v>
      </c>
      <c r="E28" s="47"/>
      <c r="F28" s="215"/>
      <c r="G28" s="215"/>
      <c r="H28" s="215"/>
      <c r="I28" s="215"/>
    </row>
    <row r="29" spans="1:9" x14ac:dyDescent="0.2">
      <c r="A29" s="46" t="s">
        <v>88</v>
      </c>
      <c r="B29" s="45">
        <f>SUBTOTAL(109,Transportation[Projected Cost])</f>
        <v>383.52</v>
      </c>
      <c r="C29" s="45">
        <f>SUBTOTAL(109,Transportation[Actual Cost])</f>
        <v>62</v>
      </c>
      <c r="D29" s="45">
        <f>SUBTOTAL(109,Transportation[Difference])</f>
        <v>321.52</v>
      </c>
      <c r="E29" s="47"/>
      <c r="F29" s="47" t="s">
        <v>141</v>
      </c>
      <c r="G29" s="49" t="s">
        <v>100</v>
      </c>
      <c r="H29" s="49" t="s">
        <v>99</v>
      </c>
      <c r="I29" s="49" t="s">
        <v>98</v>
      </c>
    </row>
    <row r="30" spans="1:9" x14ac:dyDescent="0.2">
      <c r="A30" s="213"/>
      <c r="B30" s="213"/>
      <c r="C30" s="213"/>
      <c r="D30" s="213"/>
      <c r="E30" s="47"/>
      <c r="F30" s="47" t="s">
        <v>140</v>
      </c>
      <c r="G30" s="48">
        <v>0</v>
      </c>
      <c r="H30" s="48">
        <v>0</v>
      </c>
      <c r="I30" s="48">
        <f>Entertainment[Projected Cost]-Entertainment[Actual Cost]</f>
        <v>0</v>
      </c>
    </row>
    <row r="31" spans="1:9" x14ac:dyDescent="0.2">
      <c r="A31" s="54" t="s">
        <v>139</v>
      </c>
      <c r="B31" s="49" t="s">
        <v>100</v>
      </c>
      <c r="C31" s="49" t="s">
        <v>99</v>
      </c>
      <c r="D31" s="49" t="s">
        <v>98</v>
      </c>
      <c r="E31" s="47"/>
      <c r="F31" s="47" t="s">
        <v>138</v>
      </c>
      <c r="G31" s="48">
        <v>0</v>
      </c>
      <c r="H31" s="48">
        <v>0</v>
      </c>
      <c r="I31" s="48">
        <f>Entertainment[Projected Cost]-Entertainment[Actual Cost]</f>
        <v>0</v>
      </c>
    </row>
    <row r="32" spans="1:9" x14ac:dyDescent="0.2">
      <c r="A32" s="47" t="s">
        <v>137</v>
      </c>
      <c r="B32" s="48">
        <v>100</v>
      </c>
      <c r="C32" s="48">
        <v>0</v>
      </c>
      <c r="D32" s="48">
        <f>Insurance[Projected Cost]-Insurance[Actual Cost]</f>
        <v>100</v>
      </c>
      <c r="E32" s="47"/>
      <c r="F32" s="47" t="s">
        <v>136</v>
      </c>
      <c r="G32" s="48">
        <v>0</v>
      </c>
      <c r="H32" s="48">
        <v>0</v>
      </c>
      <c r="I32" s="48">
        <f>Entertainment[Projected Cost]-Entertainment[Actual Cost]</f>
        <v>0</v>
      </c>
    </row>
    <row r="33" spans="1:9" x14ac:dyDescent="0.2">
      <c r="A33" s="47" t="s">
        <v>135</v>
      </c>
      <c r="B33" s="48">
        <v>0</v>
      </c>
      <c r="C33" s="48">
        <v>0</v>
      </c>
      <c r="D33" s="48">
        <f>Insurance[Projected Cost]-Insurance[Actual Cost]</f>
        <v>0</v>
      </c>
      <c r="E33" s="47"/>
      <c r="F33" s="47" t="s">
        <v>134</v>
      </c>
      <c r="G33" s="48">
        <v>0</v>
      </c>
      <c r="H33" s="48">
        <v>0</v>
      </c>
      <c r="I33" s="48">
        <f>Entertainment[Projected Cost]-Entertainment[Actual Cost]</f>
        <v>0</v>
      </c>
    </row>
    <row r="34" spans="1:9" x14ac:dyDescent="0.2">
      <c r="A34" s="53" t="s">
        <v>133</v>
      </c>
      <c r="B34" s="52">
        <f>9.96*2</f>
        <v>19.920000000000002</v>
      </c>
      <c r="C34" s="52">
        <v>20</v>
      </c>
      <c r="D34" s="52">
        <f>Insurance[Projected Cost]-Insurance[Actual Cost]</f>
        <v>-7.9999999999998295E-2</v>
      </c>
      <c r="E34" s="47"/>
      <c r="F34" s="47" t="s">
        <v>132</v>
      </c>
      <c r="G34" s="48">
        <v>0</v>
      </c>
      <c r="H34" s="48">
        <v>0</v>
      </c>
      <c r="I34" s="48">
        <f>Entertainment[Projected Cost]-Entertainment[Actual Cost]</f>
        <v>0</v>
      </c>
    </row>
    <row r="35" spans="1:9" x14ac:dyDescent="0.2">
      <c r="A35" s="47" t="s">
        <v>93</v>
      </c>
      <c r="B35" s="48">
        <v>0</v>
      </c>
      <c r="C35" s="48">
        <v>0</v>
      </c>
      <c r="D35" s="48">
        <f>Insurance[Projected Cost]-Insurance[Actual Cost]</f>
        <v>0</v>
      </c>
      <c r="E35" s="47"/>
      <c r="F35" s="53" t="s">
        <v>131</v>
      </c>
      <c r="G35" s="52">
        <v>100</v>
      </c>
      <c r="H35" s="55"/>
      <c r="I35" s="52">
        <f>Entertainment[Projected Cost]-Entertainment[Actual Cost]</f>
        <v>100</v>
      </c>
    </row>
    <row r="36" spans="1:9" x14ac:dyDescent="0.2">
      <c r="A36" s="46" t="s">
        <v>88</v>
      </c>
      <c r="B36" s="45">
        <f>SUBTOTAL(109,Insurance[Projected Cost])</f>
        <v>119.92</v>
      </c>
      <c r="C36" s="45">
        <f>SUBTOTAL(109,Insurance[Actual Cost])</f>
        <v>20</v>
      </c>
      <c r="D36" s="45">
        <f>SUBTOTAL(109,Insurance[Difference])</f>
        <v>99.92</v>
      </c>
      <c r="E36" s="47"/>
      <c r="F36" s="47" t="s">
        <v>93</v>
      </c>
      <c r="G36" s="48">
        <v>0</v>
      </c>
      <c r="H36" s="55">
        <v>200</v>
      </c>
      <c r="I36" s="48">
        <f>Entertainment[Projected Cost]-Entertainment[Actual Cost]</f>
        <v>-200</v>
      </c>
    </row>
    <row r="37" spans="1:9" x14ac:dyDescent="0.2">
      <c r="A37" s="213"/>
      <c r="B37" s="213"/>
      <c r="C37" s="213"/>
      <c r="D37" s="213"/>
      <c r="E37" s="47"/>
      <c r="F37" s="46" t="s">
        <v>88</v>
      </c>
      <c r="G37" s="45" t="s">
        <v>91</v>
      </c>
      <c r="H37" s="45">
        <f>SUBTOTAL(109,Entertainment[Actual Cost])</f>
        <v>200</v>
      </c>
      <c r="I37" s="45">
        <f>SUBTOTAL(109,Entertainment[Difference])</f>
        <v>-100</v>
      </c>
    </row>
    <row r="38" spans="1:9" x14ac:dyDescent="0.2">
      <c r="A38" s="54" t="s">
        <v>59</v>
      </c>
      <c r="B38" s="49" t="s">
        <v>100</v>
      </c>
      <c r="C38" s="49" t="s">
        <v>99</v>
      </c>
      <c r="D38" s="49" t="s">
        <v>98</v>
      </c>
      <c r="E38" s="47"/>
      <c r="F38" s="213"/>
      <c r="G38" s="213"/>
      <c r="H38" s="213"/>
      <c r="I38" s="213"/>
    </row>
    <row r="39" spans="1:9" x14ac:dyDescent="0.2">
      <c r="A39" s="53" t="s">
        <v>130</v>
      </c>
      <c r="B39" s="52">
        <v>200</v>
      </c>
      <c r="C39" s="55"/>
      <c r="D39" s="52">
        <f>Food[Projected Cost]-Food[Actual Cost]</f>
        <v>200</v>
      </c>
      <c r="E39" s="47"/>
      <c r="F39" s="50" t="s">
        <v>129</v>
      </c>
      <c r="G39" s="49" t="s">
        <v>100</v>
      </c>
      <c r="H39" s="49" t="s">
        <v>99</v>
      </c>
      <c r="I39" s="49" t="s">
        <v>98</v>
      </c>
    </row>
    <row r="40" spans="1:9" x14ac:dyDescent="0.2">
      <c r="A40" s="53" t="s">
        <v>128</v>
      </c>
      <c r="B40" s="52">
        <v>0</v>
      </c>
      <c r="C40" s="55">
        <v>0</v>
      </c>
      <c r="D40" s="52">
        <f>Food[Projected Cost]-Food[Actual Cost]</f>
        <v>0</v>
      </c>
      <c r="E40" s="47"/>
      <c r="F40" s="47" t="s">
        <v>127</v>
      </c>
      <c r="G40" s="48">
        <v>0</v>
      </c>
      <c r="H40" s="48">
        <v>0</v>
      </c>
      <c r="I40" s="48">
        <f>Taxes[Projected Cost]-Taxes[Actual Cost]</f>
        <v>0</v>
      </c>
    </row>
    <row r="41" spans="1:9" x14ac:dyDescent="0.2">
      <c r="A41" s="47" t="s">
        <v>93</v>
      </c>
      <c r="B41" s="48"/>
      <c r="C41" s="48"/>
      <c r="D41" s="48">
        <f>Food[Projected Cost]-Food[Actual Cost]</f>
        <v>0</v>
      </c>
      <c r="E41" s="47"/>
      <c r="F41" s="47" t="s">
        <v>126</v>
      </c>
      <c r="G41" s="48">
        <v>0</v>
      </c>
      <c r="H41" s="48">
        <v>0</v>
      </c>
      <c r="I41" s="48">
        <f>Taxes[Projected Cost]-Taxes[Actual Cost]</f>
        <v>0</v>
      </c>
    </row>
    <row r="42" spans="1:9" x14ac:dyDescent="0.2">
      <c r="A42" s="46" t="s">
        <v>88</v>
      </c>
      <c r="B42" s="45">
        <f>SUBTOTAL(109,Food[Projected Cost])</f>
        <v>200</v>
      </c>
      <c r="C42" s="45">
        <f>SUBTOTAL(109,Food[Actual Cost])</f>
        <v>0</v>
      </c>
      <c r="D42" s="45">
        <f>SUBTOTAL(109,Food[Difference])</f>
        <v>200</v>
      </c>
      <c r="E42" s="47"/>
      <c r="F42" s="47" t="s">
        <v>125</v>
      </c>
      <c r="G42" s="48">
        <v>0</v>
      </c>
      <c r="H42" s="48">
        <v>0</v>
      </c>
      <c r="I42" s="48">
        <f>Taxes[Projected Cost]-Taxes[Actual Cost]</f>
        <v>0</v>
      </c>
    </row>
    <row r="43" spans="1:9" x14ac:dyDescent="0.2">
      <c r="A43" s="213"/>
      <c r="B43" s="213"/>
      <c r="C43" s="213"/>
      <c r="D43" s="213"/>
      <c r="E43" s="47"/>
      <c r="F43" s="47" t="s">
        <v>93</v>
      </c>
      <c r="G43" s="48">
        <v>0</v>
      </c>
      <c r="H43" s="48">
        <v>0</v>
      </c>
      <c r="I43" s="48">
        <f>Taxes[Projected Cost]-Taxes[Actual Cost]</f>
        <v>0</v>
      </c>
    </row>
    <row r="44" spans="1:9" x14ac:dyDescent="0.2">
      <c r="A44" s="54" t="s">
        <v>124</v>
      </c>
      <c r="B44" s="49" t="s">
        <v>100</v>
      </c>
      <c r="C44" s="49" t="s">
        <v>99</v>
      </c>
      <c r="D44" s="49" t="s">
        <v>98</v>
      </c>
      <c r="E44" s="47"/>
      <c r="F44" s="46" t="s">
        <v>88</v>
      </c>
      <c r="G44" s="45">
        <f>SUBTOTAL(109,Taxes[Projected Cost])</f>
        <v>0</v>
      </c>
      <c r="H44" s="45" t="s">
        <v>91</v>
      </c>
      <c r="I44" s="45">
        <f>SUBTOTAL(109,Taxes[Difference])</f>
        <v>0</v>
      </c>
    </row>
    <row r="45" spans="1:9" x14ac:dyDescent="0.2">
      <c r="A45" s="47" t="s">
        <v>107</v>
      </c>
      <c r="B45" s="48">
        <v>0</v>
      </c>
      <c r="C45" s="48">
        <v>0</v>
      </c>
      <c r="D45" s="48">
        <f>Children[Projected Cost]-Children[Actual Cost]</f>
        <v>0</v>
      </c>
      <c r="E45" s="47"/>
      <c r="F45" s="214"/>
      <c r="G45" s="214"/>
      <c r="H45" s="214"/>
      <c r="I45" s="214"/>
    </row>
    <row r="46" spans="1:9" x14ac:dyDescent="0.2">
      <c r="A46" s="47" t="s">
        <v>118</v>
      </c>
      <c r="B46" s="48">
        <v>0</v>
      </c>
      <c r="C46" s="48">
        <v>0</v>
      </c>
      <c r="D46" s="48">
        <f>Children[Projected Cost]-Children[Actual Cost]</f>
        <v>0</v>
      </c>
      <c r="E46" s="47"/>
      <c r="F46" s="54" t="s">
        <v>123</v>
      </c>
      <c r="G46" s="49" t="s">
        <v>100</v>
      </c>
      <c r="H46" s="49" t="s">
        <v>99</v>
      </c>
      <c r="I46" s="49" t="s">
        <v>98</v>
      </c>
    </row>
    <row r="47" spans="1:9" x14ac:dyDescent="0.2">
      <c r="A47" s="47" t="s">
        <v>122</v>
      </c>
      <c r="B47" s="48">
        <v>0</v>
      </c>
      <c r="C47" s="48">
        <v>0</v>
      </c>
      <c r="D47" s="48">
        <f>Children[Projected Cost]-Children[Actual Cost]</f>
        <v>0</v>
      </c>
      <c r="E47" s="47"/>
      <c r="F47" s="53" t="s">
        <v>107</v>
      </c>
      <c r="G47" s="52">
        <v>40</v>
      </c>
      <c r="H47" s="52">
        <v>0</v>
      </c>
      <c r="I47" s="52">
        <f>PersonalCare[Projected Cost]-PersonalCare[Actual Cost]</f>
        <v>40</v>
      </c>
    </row>
    <row r="48" spans="1:9" x14ac:dyDescent="0.2">
      <c r="A48" s="47" t="s">
        <v>121</v>
      </c>
      <c r="B48" s="48">
        <v>0</v>
      </c>
      <c r="C48" s="48">
        <v>0</v>
      </c>
      <c r="D48" s="48">
        <f>Children[Projected Cost]-Children[Actual Cost]</f>
        <v>0</v>
      </c>
      <c r="E48" s="47"/>
      <c r="F48" s="47" t="s">
        <v>120</v>
      </c>
      <c r="G48" s="48">
        <v>0</v>
      </c>
      <c r="H48" s="48">
        <v>0</v>
      </c>
      <c r="I48" s="48">
        <f>PersonalCare[Projected Cost]-PersonalCare[Actual Cost]</f>
        <v>0</v>
      </c>
    </row>
    <row r="49" spans="1:9" ht="25.5" x14ac:dyDescent="0.2">
      <c r="A49" s="47" t="s">
        <v>119</v>
      </c>
      <c r="B49" s="48">
        <v>0</v>
      </c>
      <c r="C49" s="48">
        <v>0</v>
      </c>
      <c r="D49" s="48">
        <f>Children[Projected Cost]-Children[Actual Cost]</f>
        <v>0</v>
      </c>
      <c r="E49" s="47"/>
      <c r="F49" s="47" t="s">
        <v>118</v>
      </c>
      <c r="G49" s="48">
        <v>0</v>
      </c>
      <c r="H49" s="48">
        <v>0</v>
      </c>
      <c r="I49" s="48">
        <f>PersonalCare[Projected Cost]-PersonalCare[Actual Cost]</f>
        <v>0</v>
      </c>
    </row>
    <row r="50" spans="1:9" x14ac:dyDescent="0.2">
      <c r="A50" s="47" t="s">
        <v>117</v>
      </c>
      <c r="B50" s="48">
        <v>0</v>
      </c>
      <c r="C50" s="48">
        <v>0</v>
      </c>
      <c r="D50" s="48">
        <f>Children[Projected Cost]-Children[Actual Cost]</f>
        <v>0</v>
      </c>
      <c r="E50" s="47"/>
      <c r="F50" s="47" t="s">
        <v>116</v>
      </c>
      <c r="G50" s="48">
        <v>0</v>
      </c>
      <c r="H50" s="48">
        <v>0</v>
      </c>
      <c r="I50" s="48">
        <f>PersonalCare[Projected Cost]-PersonalCare[Actual Cost]</f>
        <v>0</v>
      </c>
    </row>
    <row r="51" spans="1:9" x14ac:dyDescent="0.2">
      <c r="A51" s="47" t="s">
        <v>115</v>
      </c>
      <c r="B51" s="48">
        <v>0</v>
      </c>
      <c r="C51" s="48">
        <v>0</v>
      </c>
      <c r="D51" s="48">
        <f>Children[Projected Cost]-Children[Actual Cost]</f>
        <v>0</v>
      </c>
      <c r="E51" s="47"/>
      <c r="F51" s="47" t="s">
        <v>114</v>
      </c>
      <c r="G51" s="48">
        <v>0</v>
      </c>
      <c r="H51" s="48">
        <v>0</v>
      </c>
      <c r="I51" s="48">
        <f>PersonalCare[Projected Cost]-PersonalCare[Actual Cost]</f>
        <v>0</v>
      </c>
    </row>
    <row r="52" spans="1:9" x14ac:dyDescent="0.2">
      <c r="A52" s="47" t="s">
        <v>113</v>
      </c>
      <c r="B52" s="48">
        <v>0</v>
      </c>
      <c r="C52" s="48">
        <v>0</v>
      </c>
      <c r="D52" s="48">
        <f>Children[Projected Cost]-Children[Actual Cost]</f>
        <v>0</v>
      </c>
      <c r="E52" s="47"/>
      <c r="F52" s="47" t="s">
        <v>112</v>
      </c>
      <c r="G52" s="48">
        <v>0</v>
      </c>
      <c r="H52" s="48">
        <v>0</v>
      </c>
      <c r="I52" s="48">
        <f>PersonalCare[Projected Cost]-PersonalCare[Actual Cost]</f>
        <v>0</v>
      </c>
    </row>
    <row r="53" spans="1:9" x14ac:dyDescent="0.2">
      <c r="A53" s="47" t="s">
        <v>93</v>
      </c>
      <c r="B53" s="48">
        <v>0</v>
      </c>
      <c r="C53" s="48">
        <v>0</v>
      </c>
      <c r="D53" s="48">
        <f>Children[Projected Cost]-Children[Actual Cost]</f>
        <v>0</v>
      </c>
      <c r="E53" s="47"/>
      <c r="F53" s="47" t="s">
        <v>93</v>
      </c>
      <c r="G53" s="48">
        <v>0</v>
      </c>
      <c r="H53" s="48">
        <v>0</v>
      </c>
      <c r="I53" s="48">
        <f>PersonalCare[Projected Cost]-PersonalCare[Actual Cost]</f>
        <v>0</v>
      </c>
    </row>
    <row r="54" spans="1:9" x14ac:dyDescent="0.2">
      <c r="A54" s="46" t="s">
        <v>88</v>
      </c>
      <c r="B54" s="45">
        <f>SUBTOTAL(109,Children[Projected Cost])</f>
        <v>0</v>
      </c>
      <c r="C54" s="45" t="s">
        <v>91</v>
      </c>
      <c r="D54" s="45">
        <f>SUBTOTAL(109,Children[Difference])</f>
        <v>0</v>
      </c>
      <c r="E54" s="47"/>
      <c r="F54" s="46" t="s">
        <v>88</v>
      </c>
      <c r="G54" s="45">
        <f>SUBTOTAL(109,PersonalCare[Projected Cost])</f>
        <v>40</v>
      </c>
      <c r="H54" s="45">
        <f>SUBTOTAL(109,PersonalCare[Actual Cost])</f>
        <v>0</v>
      </c>
      <c r="I54" s="45">
        <f>SUBTOTAL(109,PersonalCare[Difference])</f>
        <v>40</v>
      </c>
    </row>
    <row r="55" spans="1:9" x14ac:dyDescent="0.2">
      <c r="A55" s="213"/>
      <c r="B55" s="213"/>
      <c r="C55" s="213"/>
      <c r="D55" s="213"/>
      <c r="E55" s="47"/>
      <c r="F55" s="214"/>
      <c r="G55" s="214"/>
      <c r="H55" s="214"/>
      <c r="I55" s="214"/>
    </row>
    <row r="56" spans="1:9" x14ac:dyDescent="0.2">
      <c r="A56" s="50" t="s">
        <v>111</v>
      </c>
      <c r="B56" s="49" t="s">
        <v>100</v>
      </c>
      <c r="C56" s="49" t="s">
        <v>99</v>
      </c>
      <c r="D56" s="49" t="s">
        <v>98</v>
      </c>
      <c r="E56" s="47"/>
      <c r="F56" s="54" t="s">
        <v>110</v>
      </c>
      <c r="G56" s="49" t="s">
        <v>100</v>
      </c>
      <c r="H56" s="49" t="s">
        <v>99</v>
      </c>
      <c r="I56" s="49" t="s">
        <v>98</v>
      </c>
    </row>
    <row r="57" spans="1:9" x14ac:dyDescent="0.2">
      <c r="A57" s="47" t="s">
        <v>109</v>
      </c>
      <c r="B57" s="48">
        <v>0</v>
      </c>
      <c r="C57" s="48"/>
      <c r="D57" s="48">
        <f>Legal[Projected Cost]-Legal[Actual Cost]</f>
        <v>0</v>
      </c>
      <c r="E57" s="47"/>
      <c r="F57" s="53" t="s">
        <v>59</v>
      </c>
      <c r="G57" s="52">
        <v>0</v>
      </c>
      <c r="H57" s="52">
        <v>0</v>
      </c>
      <c r="I57" s="52">
        <f>Pets[Projected Cost]-Pets[Actual Cost]</f>
        <v>0</v>
      </c>
    </row>
    <row r="58" spans="1:9" x14ac:dyDescent="0.2">
      <c r="A58" s="47" t="s">
        <v>108</v>
      </c>
      <c r="B58" s="48">
        <v>0</v>
      </c>
      <c r="C58" s="48"/>
      <c r="D58" s="48">
        <f>Legal[Projected Cost]-Legal[Actual Cost]</f>
        <v>0</v>
      </c>
      <c r="E58" s="47"/>
      <c r="F58" s="47" t="s">
        <v>107</v>
      </c>
      <c r="G58" s="48">
        <v>0</v>
      </c>
      <c r="H58" s="48">
        <v>0</v>
      </c>
      <c r="I58" s="48">
        <f>Pets[Projected Cost]-Pets[Actual Cost]</f>
        <v>0</v>
      </c>
    </row>
    <row r="59" spans="1:9" x14ac:dyDescent="0.2">
      <c r="A59" s="51" t="s">
        <v>106</v>
      </c>
      <c r="B59" s="48">
        <v>0</v>
      </c>
      <c r="C59" s="48"/>
      <c r="D59" s="48">
        <f>Legal[Projected Cost]-Legal[Actual Cost]</f>
        <v>0</v>
      </c>
      <c r="E59" s="47"/>
      <c r="F59" s="47" t="s">
        <v>105</v>
      </c>
      <c r="G59" s="48">
        <v>0</v>
      </c>
      <c r="H59" s="48">
        <v>0</v>
      </c>
      <c r="I59" s="48">
        <f>Pets[Projected Cost]-Pets[Actual Cost]</f>
        <v>0</v>
      </c>
    </row>
    <row r="60" spans="1:9" x14ac:dyDescent="0.2">
      <c r="A60" s="47" t="s">
        <v>93</v>
      </c>
      <c r="B60" s="48">
        <v>0</v>
      </c>
      <c r="C60" s="48"/>
      <c r="D60" s="48">
        <f>Legal[Projected Cost]-Legal[Actual Cost]</f>
        <v>0</v>
      </c>
      <c r="E60" s="47"/>
      <c r="F60" s="47" t="s">
        <v>104</v>
      </c>
      <c r="G60" s="48">
        <v>0</v>
      </c>
      <c r="H60" s="48">
        <v>0</v>
      </c>
      <c r="I60" s="48">
        <f>Pets[Projected Cost]-Pets[Actual Cost]</f>
        <v>0</v>
      </c>
    </row>
    <row r="61" spans="1:9" x14ac:dyDescent="0.2">
      <c r="A61" s="46" t="s">
        <v>88</v>
      </c>
      <c r="B61" s="45">
        <f>SUBTOTAL(109,Legal[Projected Cost])</f>
        <v>0</v>
      </c>
      <c r="C61" s="45">
        <f>SUBTOTAL(109,Legal[Actual Cost])</f>
        <v>0</v>
      </c>
      <c r="D61" s="45">
        <f>SUBTOTAL(109,Legal[Difference])</f>
        <v>0</v>
      </c>
      <c r="E61" s="47"/>
      <c r="F61" s="47" t="s">
        <v>93</v>
      </c>
      <c r="G61" s="48">
        <v>0</v>
      </c>
      <c r="H61" s="48">
        <v>0</v>
      </c>
      <c r="I61" s="48">
        <f>Pets[Projected Cost]-Pets[Actual Cost]</f>
        <v>0</v>
      </c>
    </row>
    <row r="62" spans="1:9" x14ac:dyDescent="0.2">
      <c r="A62" s="213"/>
      <c r="B62" s="213"/>
      <c r="C62" s="213"/>
      <c r="D62" s="213"/>
      <c r="E62" s="47"/>
      <c r="F62" s="46" t="s">
        <v>88</v>
      </c>
      <c r="G62" s="45">
        <f>SUBTOTAL(109,Pets[Projected Cost])</f>
        <v>0</v>
      </c>
      <c r="H62" s="45">
        <f>SUBTOTAL(109,Pets[Actual Cost])</f>
        <v>0</v>
      </c>
      <c r="I62" s="45">
        <f>SUBTOTAL(109,Pets[Difference])</f>
        <v>0</v>
      </c>
    </row>
    <row r="63" spans="1:9" x14ac:dyDescent="0.2">
      <c r="A63" s="46" t="s">
        <v>103</v>
      </c>
      <c r="B63" s="49" t="s">
        <v>100</v>
      </c>
      <c r="C63" s="49" t="s">
        <v>99</v>
      </c>
      <c r="D63" s="49" t="s">
        <v>98</v>
      </c>
      <c r="E63" s="47"/>
      <c r="F63" s="213"/>
      <c r="G63" s="213"/>
      <c r="H63" s="213"/>
      <c r="I63" s="213"/>
    </row>
    <row r="64" spans="1:9" x14ac:dyDescent="0.2">
      <c r="A64" s="47" t="s">
        <v>102</v>
      </c>
      <c r="B64" s="48">
        <v>0</v>
      </c>
      <c r="C64" s="48"/>
      <c r="D64" s="48">
        <f>Savings[Projected Cost]-Savings[Actual Cost]</f>
        <v>0</v>
      </c>
      <c r="E64" s="47"/>
      <c r="F64" s="50" t="s">
        <v>101</v>
      </c>
      <c r="G64" s="49" t="s">
        <v>100</v>
      </c>
      <c r="H64" s="49" t="s">
        <v>99</v>
      </c>
      <c r="I64" s="49" t="s">
        <v>98</v>
      </c>
    </row>
    <row r="65" spans="1:9" x14ac:dyDescent="0.2">
      <c r="A65" s="47" t="s">
        <v>97</v>
      </c>
      <c r="B65" s="48">
        <v>0</v>
      </c>
      <c r="C65" s="48"/>
      <c r="D65" s="48">
        <f>Savings[Projected Cost]-Savings[Actual Cost]</f>
        <v>0</v>
      </c>
      <c r="E65" s="47"/>
      <c r="F65" s="47" t="s">
        <v>96</v>
      </c>
      <c r="G65" s="48">
        <v>0</v>
      </c>
      <c r="H65" s="48">
        <v>0</v>
      </c>
      <c r="I65" s="48">
        <f>Gifts[Projected Cost]-Gifts[Actual Cost]</f>
        <v>0</v>
      </c>
    </row>
    <row r="66" spans="1:9" x14ac:dyDescent="0.2">
      <c r="A66" s="47" t="s">
        <v>95</v>
      </c>
      <c r="B66" s="48">
        <v>0</v>
      </c>
      <c r="C66" s="48"/>
      <c r="D66" s="48">
        <f>Savings[Projected Cost]-Savings[Actual Cost]</f>
        <v>0</v>
      </c>
      <c r="E66" s="47"/>
      <c r="F66" s="47" t="s">
        <v>94</v>
      </c>
      <c r="G66" s="48">
        <v>0</v>
      </c>
      <c r="H66" s="48">
        <v>0</v>
      </c>
      <c r="I66" s="48">
        <f>Gifts[Projected Cost]-Gifts[Actual Cost]</f>
        <v>0</v>
      </c>
    </row>
    <row r="67" spans="1:9" x14ac:dyDescent="0.2">
      <c r="A67" s="47" t="s">
        <v>93</v>
      </c>
      <c r="B67" s="48">
        <v>0</v>
      </c>
      <c r="C67" s="48"/>
      <c r="D67" s="48">
        <f>Savings[Projected Cost]-Savings[Actual Cost]</f>
        <v>0</v>
      </c>
      <c r="E67" s="47"/>
      <c r="F67" s="47" t="s">
        <v>92</v>
      </c>
      <c r="G67" s="48">
        <v>0</v>
      </c>
      <c r="H67" s="48">
        <v>0</v>
      </c>
      <c r="I67" s="48">
        <f>Gifts[Projected Cost]-Gifts[Actual Cost]</f>
        <v>0</v>
      </c>
    </row>
    <row r="68" spans="1:9" x14ac:dyDescent="0.2">
      <c r="A68" s="46" t="s">
        <v>88</v>
      </c>
      <c r="B68" s="45">
        <f>SUBTOTAL(109,Savings[Projected Cost])</f>
        <v>0</v>
      </c>
      <c r="C68" s="45">
        <f>SUBTOTAL(109,Savings[Actual Cost])</f>
        <v>0</v>
      </c>
      <c r="D68" s="45">
        <f>SUBTOTAL(109,Savings[Difference])</f>
        <v>0</v>
      </c>
      <c r="E68" s="47"/>
      <c r="F68" s="46" t="s">
        <v>88</v>
      </c>
      <c r="G68" s="45">
        <f>SUBTOTAL(109,Gifts[Projected Cost])</f>
        <v>0</v>
      </c>
      <c r="H68" s="45" t="s">
        <v>91</v>
      </c>
      <c r="I68" s="45">
        <f>SUBTOTAL(109,Gifts[Difference])</f>
        <v>0</v>
      </c>
    </row>
  </sheetData>
  <mergeCells count="16">
    <mergeCell ref="A1:G1"/>
    <mergeCell ref="A3:B3"/>
    <mergeCell ref="F3:G3"/>
    <mergeCell ref="J4:K4"/>
    <mergeCell ref="F9:G9"/>
    <mergeCell ref="A19:D19"/>
    <mergeCell ref="A55:D55"/>
    <mergeCell ref="F55:I55"/>
    <mergeCell ref="A62:D62"/>
    <mergeCell ref="F63:I63"/>
    <mergeCell ref="F28:I28"/>
    <mergeCell ref="A30:D30"/>
    <mergeCell ref="A37:D37"/>
    <mergeCell ref="F38:I38"/>
    <mergeCell ref="A43:D43"/>
    <mergeCell ref="F45:I45"/>
  </mergeCells>
  <conditionalFormatting sqref="D7:D17 I57:I61 I47:I53 I40:I43 I30:I36 D64:D67 D57:D60 D45:D53 D39:D41 D32:D35 D21:D28 G17 I21:I26 I65:I67">
    <cfRule type="iconSet" priority="1">
      <iconSet iconSet="3Arrows">
        <cfvo type="percentile" val="0"/>
        <cfvo type="num" val="-50"/>
        <cfvo type="num" val="50"/>
      </iconSet>
    </cfRule>
  </conditionalFormatting>
  <pageMargins left="0.7" right="0.7" top="0.75" bottom="0.75" header="0.3" footer="0.3"/>
  <pageSetup orientation="landscape" horizontalDpi="0" verticalDpi="0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CD25-8A52-4E13-81D1-7AA96EECD578}">
  <dimension ref="A1:H17"/>
  <sheetViews>
    <sheetView workbookViewId="0">
      <selection activeCell="B6" sqref="B6"/>
    </sheetView>
  </sheetViews>
  <sheetFormatPr defaultRowHeight="14.25" x14ac:dyDescent="0.2"/>
  <sheetData>
    <row r="1" spans="1:8" ht="15.75" x14ac:dyDescent="0.2">
      <c r="A1" s="221" t="s">
        <v>169</v>
      </c>
      <c r="B1" s="222"/>
      <c r="C1" s="64"/>
      <c r="D1" s="44"/>
      <c r="E1" s="44"/>
      <c r="F1" s="44"/>
      <c r="G1" s="44"/>
      <c r="H1" s="44"/>
    </row>
    <row r="2" spans="1:8" ht="15.75" x14ac:dyDescent="0.2">
      <c r="A2" s="158" t="s">
        <v>258</v>
      </c>
      <c r="B2" s="159">
        <v>1024</v>
      </c>
      <c r="C2" s="75"/>
      <c r="D2" s="64"/>
      <c r="E2" s="44"/>
      <c r="F2" s="44"/>
      <c r="G2" s="44"/>
      <c r="H2" s="44"/>
    </row>
    <row r="3" spans="1:8" ht="15.75" x14ac:dyDescent="0.2">
      <c r="A3" s="158"/>
      <c r="B3" s="159"/>
      <c r="C3" s="47"/>
      <c r="D3" s="47"/>
      <c r="E3" s="44"/>
      <c r="F3" s="44"/>
      <c r="G3" s="44"/>
      <c r="H3" s="44"/>
    </row>
    <row r="4" spans="1:8" ht="24" x14ac:dyDescent="0.2">
      <c r="A4" s="158"/>
      <c r="B4" s="159"/>
      <c r="C4" s="47"/>
      <c r="D4" s="219" t="s">
        <v>177</v>
      </c>
      <c r="E4" s="220"/>
      <c r="F4" s="63" t="s">
        <v>249</v>
      </c>
      <c r="G4" s="63" t="s">
        <v>176</v>
      </c>
      <c r="H4" s="44"/>
    </row>
    <row r="5" spans="1:8" ht="47.25" x14ac:dyDescent="0.2">
      <c r="A5" s="160" t="s">
        <v>158</v>
      </c>
      <c r="B5" s="161">
        <f>SUM(B2:B4)</f>
        <v>1024</v>
      </c>
      <c r="C5" s="47"/>
      <c r="D5" s="154" t="s">
        <v>143</v>
      </c>
      <c r="E5" s="155">
        <f>'Jan-July 2019'!D14/4</f>
        <v>50</v>
      </c>
      <c r="F5" s="155">
        <v>40</v>
      </c>
      <c r="G5" s="155"/>
      <c r="H5" s="44"/>
    </row>
    <row r="6" spans="1:8" ht="15" x14ac:dyDescent="0.2">
      <c r="A6" s="162"/>
      <c r="B6" s="163"/>
      <c r="C6" s="46"/>
      <c r="D6" s="154" t="s">
        <v>59</v>
      </c>
      <c r="E6" s="155">
        <f>'Jan-July 2019'!E28/4</f>
        <v>0</v>
      </c>
      <c r="F6" s="155">
        <v>30</v>
      </c>
      <c r="G6" s="155"/>
      <c r="H6" s="44"/>
    </row>
    <row r="7" spans="1:8" ht="30" x14ac:dyDescent="0.2">
      <c r="A7" s="221" t="s">
        <v>256</v>
      </c>
      <c r="B7" s="222"/>
      <c r="C7" s="47"/>
      <c r="D7" s="154" t="s">
        <v>128</v>
      </c>
      <c r="E7" s="155">
        <f>'Jan-July 2019'!D29/4</f>
        <v>50</v>
      </c>
      <c r="F7" s="155">
        <v>50</v>
      </c>
      <c r="G7" s="155">
        <v>10</v>
      </c>
      <c r="H7" s="44"/>
    </row>
    <row r="8" spans="1:8" ht="31.5" x14ac:dyDescent="0.2">
      <c r="A8" s="158" t="s">
        <v>166</v>
      </c>
      <c r="B8" s="159">
        <v>1024</v>
      </c>
      <c r="C8" s="47"/>
      <c r="D8" s="156" t="s">
        <v>171</v>
      </c>
      <c r="E8" s="155">
        <f>'Jan-July 2019'!D75/4</f>
        <v>0</v>
      </c>
      <c r="F8" s="155">
        <v>30</v>
      </c>
      <c r="G8" s="155"/>
      <c r="H8" s="44"/>
    </row>
    <row r="9" spans="1:8" ht="30" x14ac:dyDescent="0.2">
      <c r="A9" s="158" t="s">
        <v>257</v>
      </c>
      <c r="B9" s="164">
        <v>800</v>
      </c>
      <c r="C9" s="47"/>
      <c r="D9" s="156" t="s">
        <v>168</v>
      </c>
      <c r="E9" s="155">
        <f>'Jan-July 2019'!D33/4</f>
        <v>10</v>
      </c>
      <c r="F9" s="155">
        <v>5</v>
      </c>
      <c r="G9" s="155"/>
      <c r="H9" s="44"/>
    </row>
    <row r="10" spans="1:8" ht="31.5" x14ac:dyDescent="0.2">
      <c r="A10" s="158" t="s">
        <v>160</v>
      </c>
      <c r="B10" s="159">
        <v>0</v>
      </c>
      <c r="C10" s="47"/>
      <c r="D10" s="156" t="s">
        <v>165</v>
      </c>
      <c r="E10" s="155">
        <f>'Jan-July 2019'!E46/4</f>
        <v>50</v>
      </c>
      <c r="F10" s="155">
        <v>75</v>
      </c>
      <c r="G10" s="155">
        <v>25</v>
      </c>
      <c r="H10" s="44"/>
    </row>
    <row r="11" spans="1:8" ht="47.25" x14ac:dyDescent="0.2">
      <c r="A11" s="160" t="s">
        <v>158</v>
      </c>
      <c r="B11" s="161">
        <f>SUM(B8:B10)</f>
        <v>1824</v>
      </c>
      <c r="C11" s="47"/>
      <c r="D11" s="157" t="s">
        <v>162</v>
      </c>
      <c r="E11" s="155">
        <f>SUM(E5:E10)</f>
        <v>160</v>
      </c>
      <c r="F11" s="155">
        <f>SUM(F5:F10)</f>
        <v>230</v>
      </c>
      <c r="G11" s="155">
        <f>SUM(G5:G10)</f>
        <v>35</v>
      </c>
      <c r="H11" s="44"/>
    </row>
    <row r="12" spans="1:8" ht="45" x14ac:dyDescent="0.2">
      <c r="A12" s="163"/>
      <c r="B12" s="163"/>
      <c r="C12" s="47"/>
      <c r="D12" s="154" t="s">
        <v>174</v>
      </c>
      <c r="E12" s="155"/>
      <c r="F12" s="155"/>
      <c r="G12" s="155"/>
      <c r="H12" s="44"/>
    </row>
    <row r="13" spans="1:8" ht="58.5" x14ac:dyDescent="0.2">
      <c r="A13" s="170" t="s">
        <v>259</v>
      </c>
      <c r="B13" s="165">
        <f>SUM(B5-'Jan-July 2019'!D24)</f>
        <v>-1372.586666666667</v>
      </c>
      <c r="C13" s="47"/>
      <c r="D13" s="47"/>
      <c r="E13" s="44"/>
      <c r="F13" s="44"/>
      <c r="G13" s="44"/>
      <c r="H13" s="44"/>
    </row>
    <row r="14" spans="1:8" ht="31.5" x14ac:dyDescent="0.2">
      <c r="A14" s="166" t="s">
        <v>153</v>
      </c>
      <c r="B14" s="167">
        <f>SUM(B11-'Jan-July 2019'!D24)</f>
        <v>-572.58666666666704</v>
      </c>
      <c r="C14" s="47"/>
      <c r="D14" s="47"/>
      <c r="E14" s="44"/>
      <c r="F14" s="44"/>
      <c r="G14" s="44"/>
      <c r="H14" s="44"/>
    </row>
    <row r="15" spans="1:8" ht="31.5" x14ac:dyDescent="0.2">
      <c r="A15" s="168" t="s">
        <v>98</v>
      </c>
      <c r="B15" s="169">
        <f>SUM(B14-B13)</f>
        <v>800</v>
      </c>
      <c r="C15" s="47"/>
      <c r="D15" s="47"/>
      <c r="E15" s="44"/>
      <c r="F15" s="44"/>
      <c r="G15" s="44"/>
      <c r="H15" s="44"/>
    </row>
    <row r="16" spans="1:8" x14ac:dyDescent="0.2">
      <c r="A16" s="47"/>
      <c r="B16" s="47"/>
      <c r="C16" s="47"/>
      <c r="D16" s="47"/>
      <c r="E16" s="44"/>
      <c r="F16" s="44"/>
      <c r="G16" s="44"/>
      <c r="H16" s="44"/>
    </row>
    <row r="17" spans="1:8" x14ac:dyDescent="0.2">
      <c r="A17" s="46"/>
      <c r="B17" s="46"/>
      <c r="C17" s="46"/>
      <c r="D17" s="46"/>
      <c r="E17" s="44"/>
      <c r="F17" s="44"/>
      <c r="G17" s="44"/>
      <c r="H17" s="44"/>
    </row>
  </sheetData>
  <mergeCells count="3">
    <mergeCell ref="A1:B1"/>
    <mergeCell ref="D4:E4"/>
    <mergeCell ref="A7:B7"/>
  </mergeCells>
  <conditionalFormatting sqref="B15">
    <cfRule type="iconSet" priority="1">
      <iconSet iconSet="3Arrows">
        <cfvo type="percentile" val="0"/>
        <cfvo type="num" val="-50"/>
        <cfvo type="num" val="5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A283-BE9D-49CA-89D1-3935B776CD7E}">
  <dimension ref="A1:G86"/>
  <sheetViews>
    <sheetView zoomScale="70" zoomScaleNormal="70" workbookViewId="0">
      <selection activeCell="I47" sqref="I47"/>
    </sheetView>
  </sheetViews>
  <sheetFormatPr defaultColWidth="22.25" defaultRowHeight="15.75" x14ac:dyDescent="0.25"/>
  <cols>
    <col min="1" max="1" width="22.25" style="171"/>
    <col min="2" max="2" width="17.75" style="171" bestFit="1" customWidth="1"/>
    <col min="3" max="3" width="29.625" style="171" bestFit="1" customWidth="1"/>
    <col min="4" max="4" width="19.25" style="171" bestFit="1" customWidth="1"/>
    <col min="5" max="5" width="16.375" style="171" bestFit="1" customWidth="1"/>
    <col min="6" max="6" width="15.875" style="171" bestFit="1" customWidth="1"/>
    <col min="7" max="7" width="22.25" style="171"/>
    <col min="8" max="8" width="20.875" style="171" bestFit="1" customWidth="1"/>
    <col min="9" max="9" width="19.25" style="171" bestFit="1" customWidth="1"/>
    <col min="10" max="10" width="16.75" style="171" bestFit="1" customWidth="1"/>
    <col min="11" max="11" width="15.875" style="171" bestFit="1" customWidth="1"/>
    <col min="12" max="16384" width="22.25" style="171"/>
  </cols>
  <sheetData>
    <row r="1" spans="1:6" ht="28.35" customHeight="1" x14ac:dyDescent="0.35">
      <c r="A1" s="223" t="s">
        <v>237</v>
      </c>
      <c r="B1" s="223"/>
      <c r="C1" s="223"/>
      <c r="D1" s="223"/>
      <c r="E1" s="223"/>
      <c r="F1" s="223"/>
    </row>
    <row r="2" spans="1:6" x14ac:dyDescent="0.25">
      <c r="A2" s="172" t="s">
        <v>272</v>
      </c>
      <c r="B2" s="172" t="s">
        <v>271</v>
      </c>
      <c r="C2" s="172" t="s">
        <v>30</v>
      </c>
      <c r="D2" s="172" t="s">
        <v>270</v>
      </c>
      <c r="E2" s="172" t="s">
        <v>35</v>
      </c>
      <c r="F2" s="172" t="s">
        <v>98</v>
      </c>
    </row>
    <row r="3" spans="1:6" x14ac:dyDescent="0.25">
      <c r="A3" s="171" t="s">
        <v>267</v>
      </c>
      <c r="B3" s="171" t="s">
        <v>175</v>
      </c>
      <c r="C3" s="171" t="s">
        <v>238</v>
      </c>
      <c r="D3" s="171">
        <f>SUM(620+740)</f>
        <v>1360</v>
      </c>
      <c r="E3" s="171">
        <v>0</v>
      </c>
      <c r="F3" s="171">
        <f>Housing15[Projected Cost]-Housing15[Actual Cost]</f>
        <v>1360</v>
      </c>
    </row>
    <row r="4" spans="1:6" ht="14.1" customHeight="1" x14ac:dyDescent="0.25">
      <c r="C4" s="171" t="s">
        <v>239</v>
      </c>
      <c r="D4" s="171">
        <f>SUM(170/3+50+100)</f>
        <v>206.66666666666666</v>
      </c>
      <c r="E4" s="171">
        <v>0</v>
      </c>
      <c r="F4" s="171">
        <f>Housing15[Projected Cost]-Housing15[Actual Cost]</f>
        <v>206.66666666666666</v>
      </c>
    </row>
    <row r="5" spans="1:6" x14ac:dyDescent="0.25">
      <c r="C5" s="171" t="s">
        <v>156</v>
      </c>
      <c r="D5" s="171">
        <v>0</v>
      </c>
      <c r="E5" s="171">
        <v>0</v>
      </c>
      <c r="F5" s="171">
        <f>Housing15[Projected Cost]-Housing15[Actual Cost]</f>
        <v>0</v>
      </c>
    </row>
    <row r="6" spans="1:6" x14ac:dyDescent="0.25">
      <c r="C6" s="171" t="s">
        <v>154</v>
      </c>
      <c r="D6" s="171">
        <v>20</v>
      </c>
      <c r="E6" s="171">
        <v>0</v>
      </c>
      <c r="F6" s="171">
        <f>Housing15[Projected Cost]-Housing15[Actual Cost]</f>
        <v>20</v>
      </c>
    </row>
    <row r="7" spans="1:6" x14ac:dyDescent="0.25">
      <c r="C7" s="171" t="s">
        <v>208</v>
      </c>
      <c r="D7" s="171">
        <v>20</v>
      </c>
      <c r="E7" s="171">
        <v>0</v>
      </c>
      <c r="F7" s="171">
        <f>Housing15[Projected Cost]-Housing15[Actual Cost]</f>
        <v>20</v>
      </c>
    </row>
    <row r="8" spans="1:6" x14ac:dyDescent="0.25">
      <c r="F8" s="171" t="s">
        <v>279</v>
      </c>
    </row>
    <row r="9" spans="1:6" x14ac:dyDescent="0.25">
      <c r="A9" s="171" t="s">
        <v>267</v>
      </c>
      <c r="B9" s="171" t="s">
        <v>262</v>
      </c>
      <c r="C9" s="171" t="s">
        <v>268</v>
      </c>
      <c r="D9" s="171">
        <v>80</v>
      </c>
      <c r="F9" s="171">
        <f>Transportation16[Projected Cost]-Transportation16[Actual Cost]</f>
        <v>80</v>
      </c>
    </row>
    <row r="10" spans="1:6" x14ac:dyDescent="0.25">
      <c r="C10" s="171" t="s">
        <v>269</v>
      </c>
      <c r="D10" s="171">
        <v>80</v>
      </c>
      <c r="F10" s="171">
        <f>Transportation16[Projected Cost]-Transportation16[Actual Cost]</f>
        <v>80</v>
      </c>
    </row>
    <row r="11" spans="1:6" x14ac:dyDescent="0.25">
      <c r="C11" s="171" t="s">
        <v>280</v>
      </c>
      <c r="D11" s="171">
        <v>80</v>
      </c>
      <c r="F11" s="171">
        <f>Transportation16[Projected Cost]-Transportation16[Actual Cost]</f>
        <v>80</v>
      </c>
    </row>
    <row r="12" spans="1:6" x14ac:dyDescent="0.25">
      <c r="C12" s="171" t="s">
        <v>240</v>
      </c>
      <c r="D12" s="171">
        <v>40</v>
      </c>
      <c r="F12" s="171">
        <f>Transportation16[Projected Cost]-Transportation16[Actual Cost]</f>
        <v>40</v>
      </c>
    </row>
    <row r="13" spans="1:6" x14ac:dyDescent="0.25">
      <c r="C13" s="171" t="s">
        <v>241</v>
      </c>
      <c r="D13" s="171">
        <v>50</v>
      </c>
      <c r="F13" s="171">
        <f>Transportation16[Projected Cost]-Transportation16[Actual Cost]</f>
        <v>50</v>
      </c>
    </row>
    <row r="14" spans="1:6" x14ac:dyDescent="0.25">
      <c r="C14" s="171" t="s">
        <v>143</v>
      </c>
      <c r="D14" s="171">
        <v>200</v>
      </c>
      <c r="F14" s="171">
        <f>Transportation16[Projected Cost]-Transportation16[Actual Cost]</f>
        <v>200</v>
      </c>
    </row>
    <row r="15" spans="1:6" x14ac:dyDescent="0.25">
      <c r="C15" s="171" t="s">
        <v>242</v>
      </c>
      <c r="D15" s="171">
        <v>120</v>
      </c>
      <c r="F15" s="171">
        <f>Transportation16[Projected Cost]-Transportation16[Actual Cost]</f>
        <v>120</v>
      </c>
    </row>
    <row r="16" spans="1:6" x14ac:dyDescent="0.25">
      <c r="C16" s="171" t="s">
        <v>142</v>
      </c>
      <c r="D16" s="171">
        <v>20</v>
      </c>
      <c r="F16" s="171">
        <f>Transportation16[Projected Cost]-Transportation16[Actual Cost]</f>
        <v>20</v>
      </c>
    </row>
    <row r="17" spans="1:7" x14ac:dyDescent="0.25">
      <c r="C17" s="171" t="s">
        <v>93</v>
      </c>
    </row>
    <row r="18" spans="1:7" x14ac:dyDescent="0.25">
      <c r="A18" s="171" t="s">
        <v>267</v>
      </c>
      <c r="B18" s="171" t="s">
        <v>139</v>
      </c>
      <c r="C18" s="171" t="s">
        <v>137</v>
      </c>
      <c r="D18" s="171">
        <v>100</v>
      </c>
      <c r="F18" s="171">
        <f>Insurance17[Projected Cost]-Insurance17[Actual Cost]</f>
        <v>100</v>
      </c>
    </row>
    <row r="19" spans="1:7" x14ac:dyDescent="0.25">
      <c r="C19" s="171" t="s">
        <v>135</v>
      </c>
      <c r="D19" s="171">
        <v>0</v>
      </c>
      <c r="F19" s="171">
        <f>Insurance17[Projected Cost]-Insurance17[Actual Cost]</f>
        <v>0</v>
      </c>
    </row>
    <row r="20" spans="1:7" x14ac:dyDescent="0.25">
      <c r="C20" s="171" t="s">
        <v>243</v>
      </c>
      <c r="D20" s="171">
        <f>9.96*2</f>
        <v>19.920000000000002</v>
      </c>
      <c r="F20" s="171">
        <f>Insurance17[Projected Cost]-Insurance17[Actual Cost]</f>
        <v>19.920000000000002</v>
      </c>
    </row>
    <row r="21" spans="1:7" x14ac:dyDescent="0.25">
      <c r="C21" s="171" t="s">
        <v>93</v>
      </c>
      <c r="D21" s="171">
        <v>0</v>
      </c>
      <c r="F21" s="171">
        <f>Insurance17[Projected Cost]-Insurance17[Actual Cost]</f>
        <v>0</v>
      </c>
    </row>
    <row r="22" spans="1:7" ht="16.5" thickBot="1" x14ac:dyDescent="0.3"/>
    <row r="23" spans="1:7" ht="31.5" x14ac:dyDescent="0.25">
      <c r="C23" s="176" t="s">
        <v>267</v>
      </c>
      <c r="D23" s="172" t="s">
        <v>270</v>
      </c>
      <c r="E23" s="177" t="s">
        <v>180</v>
      </c>
      <c r="F23" s="178" t="s">
        <v>179</v>
      </c>
      <c r="G23" s="171" t="s">
        <v>278</v>
      </c>
    </row>
    <row r="24" spans="1:7" ht="16.5" thickBot="1" x14ac:dyDescent="0.3">
      <c r="C24" s="174"/>
      <c r="D24" s="175">
        <f>SUM(D3:D22)</f>
        <v>2396.586666666667</v>
      </c>
      <c r="E24" s="175">
        <f t="shared" ref="E24:F24" si="0">SUM(E3:E22)</f>
        <v>0</v>
      </c>
      <c r="F24" s="175">
        <f t="shared" si="0"/>
        <v>2396.586666666667</v>
      </c>
      <c r="G24" s="171">
        <f>SUM(F24/4)</f>
        <v>599.14666666666676</v>
      </c>
    </row>
    <row r="27" spans="1:7" x14ac:dyDescent="0.25">
      <c r="C27" s="171" t="s">
        <v>59</v>
      </c>
      <c r="D27" s="171" t="s">
        <v>100</v>
      </c>
      <c r="E27" s="171" t="s">
        <v>99</v>
      </c>
      <c r="F27" s="171" t="s">
        <v>98</v>
      </c>
    </row>
    <row r="28" spans="1:7" x14ac:dyDescent="0.25">
      <c r="A28" s="171" t="s">
        <v>273</v>
      </c>
      <c r="B28" s="171" t="s">
        <v>59</v>
      </c>
      <c r="C28" s="171" t="s">
        <v>130</v>
      </c>
      <c r="D28" s="171">
        <v>200</v>
      </c>
      <c r="F28" s="171">
        <f>Food18[Projected Cost]-Food18[Actual Cost]</f>
        <v>200</v>
      </c>
    </row>
    <row r="29" spans="1:7" x14ac:dyDescent="0.25">
      <c r="C29" s="171" t="s">
        <v>128</v>
      </c>
      <c r="D29" s="171">
        <v>200</v>
      </c>
      <c r="F29" s="171">
        <f>Food18[Projected Cost]-Food18[Actual Cost]</f>
        <v>200</v>
      </c>
    </row>
    <row r="30" spans="1:7" x14ac:dyDescent="0.25">
      <c r="C30" s="171" t="s">
        <v>244</v>
      </c>
      <c r="D30" s="171">
        <v>120</v>
      </c>
      <c r="F30" s="171">
        <f>Food18[Projected Cost]-Food18[Actual Cost]</f>
        <v>120</v>
      </c>
    </row>
    <row r="31" spans="1:7" x14ac:dyDescent="0.25">
      <c r="C31" s="171" t="s">
        <v>88</v>
      </c>
      <c r="D31" s="171">
        <f>SUBTOTAL(109,Food18[Projected Cost])</f>
        <v>520</v>
      </c>
      <c r="E31" s="171">
        <f>SUBTOTAL(109,Food18[Actual Cost])</f>
        <v>0</v>
      </c>
      <c r="F31" s="171">
        <f>SUBTOTAL(109,Food18[Difference])</f>
        <v>520</v>
      </c>
    </row>
    <row r="32" spans="1:7" x14ac:dyDescent="0.25">
      <c r="C32" s="171" t="s">
        <v>123</v>
      </c>
      <c r="D32" s="171" t="s">
        <v>100</v>
      </c>
      <c r="E32" s="171" t="s">
        <v>99</v>
      </c>
      <c r="F32" s="171" t="s">
        <v>98</v>
      </c>
    </row>
    <row r="33" spans="1:6" x14ac:dyDescent="0.25">
      <c r="A33" s="171" t="s">
        <v>275</v>
      </c>
      <c r="B33" s="171" t="s">
        <v>266</v>
      </c>
      <c r="C33" s="171" t="s">
        <v>250</v>
      </c>
      <c r="D33" s="171">
        <v>40</v>
      </c>
      <c r="E33" s="171">
        <v>0</v>
      </c>
      <c r="F33" s="171">
        <f>PersonalCare21[Projected Cost]-PersonalCare21[Actual Cost]</f>
        <v>40</v>
      </c>
    </row>
    <row r="34" spans="1:6" x14ac:dyDescent="0.25">
      <c r="C34" s="171" t="s">
        <v>251</v>
      </c>
      <c r="D34" s="171">
        <v>40</v>
      </c>
      <c r="E34" s="171">
        <v>0</v>
      </c>
      <c r="F34" s="171">
        <f>PersonalCare21[Projected Cost]-PersonalCare21[Actual Cost]</f>
        <v>40</v>
      </c>
    </row>
    <row r="35" spans="1:6" x14ac:dyDescent="0.25">
      <c r="C35" s="171" t="s">
        <v>118</v>
      </c>
      <c r="D35" s="171">
        <v>0</v>
      </c>
      <c r="E35" s="171">
        <v>0</v>
      </c>
      <c r="F35" s="171">
        <f>PersonalCare21[Projected Cost]-PersonalCare21[Actual Cost]</f>
        <v>0</v>
      </c>
    </row>
    <row r="36" spans="1:6" x14ac:dyDescent="0.25">
      <c r="C36" s="171" t="s">
        <v>116</v>
      </c>
      <c r="D36" s="171">
        <v>0</v>
      </c>
      <c r="E36" s="171">
        <v>0</v>
      </c>
      <c r="F36" s="171">
        <f>PersonalCare21[Projected Cost]-PersonalCare21[Actual Cost]</f>
        <v>0</v>
      </c>
    </row>
    <row r="37" spans="1:6" x14ac:dyDescent="0.25">
      <c r="C37" s="171" t="s">
        <v>252</v>
      </c>
      <c r="D37" s="171">
        <v>80</v>
      </c>
      <c r="E37" s="171">
        <v>0</v>
      </c>
      <c r="F37" s="171">
        <f>PersonalCare21[Projected Cost]-PersonalCare21[Actual Cost]</f>
        <v>80</v>
      </c>
    </row>
    <row r="38" spans="1:6" x14ac:dyDescent="0.25">
      <c r="C38" s="171" t="s">
        <v>112</v>
      </c>
      <c r="D38" s="171">
        <v>0</v>
      </c>
      <c r="E38" s="171">
        <v>0</v>
      </c>
      <c r="F38" s="171">
        <f>PersonalCare21[Projected Cost]-PersonalCare21[Actual Cost]</f>
        <v>0</v>
      </c>
    </row>
    <row r="39" spans="1:6" x14ac:dyDescent="0.25">
      <c r="C39" s="171" t="s">
        <v>93</v>
      </c>
      <c r="D39" s="171">
        <v>0</v>
      </c>
      <c r="E39" s="171">
        <v>0</v>
      </c>
      <c r="F39" s="171">
        <f>PersonalCare21[Projected Cost]-PersonalCare21[Actual Cost]</f>
        <v>0</v>
      </c>
    </row>
    <row r="40" spans="1:6" x14ac:dyDescent="0.25">
      <c r="C40" s="171" t="s">
        <v>88</v>
      </c>
      <c r="D40" s="171">
        <f>SUBTOTAL(109,PersonalCare21[Projected Cost])</f>
        <v>160</v>
      </c>
      <c r="E40" s="171">
        <f>SUBTOTAL(109,PersonalCare21[Actual Cost])</f>
        <v>0</v>
      </c>
      <c r="F40" s="171">
        <f>SUBTOTAL(109,PersonalCare21[Difference])</f>
        <v>160</v>
      </c>
    </row>
    <row r="41" spans="1:6" x14ac:dyDescent="0.25">
      <c r="A41" s="171" t="s">
        <v>275</v>
      </c>
      <c r="B41" s="171" t="s">
        <v>141</v>
      </c>
      <c r="C41" s="171" t="s">
        <v>253</v>
      </c>
      <c r="D41" s="171">
        <v>200</v>
      </c>
      <c r="E41" s="171">
        <v>0</v>
      </c>
      <c r="F41" s="171">
        <f>SUM(Children19[[#This Row],[100]]-Children19[[#This Row],[0]])</f>
        <v>200</v>
      </c>
    </row>
    <row r="42" spans="1:6" x14ac:dyDescent="0.25">
      <c r="C42" s="171" t="s">
        <v>254</v>
      </c>
      <c r="D42" s="171">
        <v>20</v>
      </c>
      <c r="E42" s="171">
        <v>0</v>
      </c>
      <c r="F42" s="171">
        <f>SUM(Children19[[#This Row],[100]]-Children19[[#This Row],[0]])</f>
        <v>20</v>
      </c>
    </row>
    <row r="43" spans="1:6" x14ac:dyDescent="0.25">
      <c r="C43" s="171" t="s">
        <v>255</v>
      </c>
      <c r="D43" s="171">
        <v>20</v>
      </c>
      <c r="E43" s="171">
        <v>0</v>
      </c>
      <c r="F43" s="171">
        <f>SUM(Children19[[#This Row],[100]]-Children19[[#This Row],[0]])</f>
        <v>20</v>
      </c>
    </row>
    <row r="44" spans="1:6" x14ac:dyDescent="0.25">
      <c r="C44" s="171" t="s">
        <v>260</v>
      </c>
      <c r="D44" s="171">
        <v>20</v>
      </c>
      <c r="E44" s="171">
        <v>0</v>
      </c>
      <c r="F44" s="171">
        <f>SUM(Children19[[#This Row],[100]]-Children19[[#This Row],[0]])</f>
        <v>20</v>
      </c>
    </row>
    <row r="45" spans="1:6" x14ac:dyDescent="0.25">
      <c r="C45" s="171" t="s">
        <v>261</v>
      </c>
      <c r="D45" s="171">
        <v>500</v>
      </c>
      <c r="F45" s="171">
        <f>SUM(Children19[[#This Row],[100]]-Children19[[#This Row],[0]])</f>
        <v>500</v>
      </c>
    </row>
    <row r="46" spans="1:6" x14ac:dyDescent="0.25">
      <c r="C46" s="171" t="s">
        <v>93</v>
      </c>
      <c r="E46" s="171">
        <v>200</v>
      </c>
      <c r="F46" s="171">
        <v>200</v>
      </c>
    </row>
    <row r="47" spans="1:6" x14ac:dyDescent="0.25">
      <c r="C47" s="173" t="s">
        <v>88</v>
      </c>
      <c r="D47" s="173">
        <f>SUBTOTAL(109,Children19[100])</f>
        <v>760</v>
      </c>
      <c r="E47" s="173" t="s">
        <v>91</v>
      </c>
      <c r="F47" s="173">
        <f>SUBTOTAL(109,Children19[1002])</f>
        <v>960</v>
      </c>
    </row>
    <row r="48" spans="1:6" x14ac:dyDescent="0.25">
      <c r="C48" s="171" t="s">
        <v>111</v>
      </c>
      <c r="D48" s="171" t="s">
        <v>100</v>
      </c>
      <c r="E48" s="171" t="s">
        <v>99</v>
      </c>
      <c r="F48" s="171" t="s">
        <v>98</v>
      </c>
    </row>
    <row r="49" spans="1:6" x14ac:dyDescent="0.25">
      <c r="C49" s="171" t="s">
        <v>109</v>
      </c>
      <c r="D49" s="171">
        <v>0</v>
      </c>
      <c r="F49" s="171">
        <f>Legal27[Projected Cost]-Legal27[Actual Cost]</f>
        <v>0</v>
      </c>
    </row>
    <row r="50" spans="1:6" x14ac:dyDescent="0.25">
      <c r="C50" s="171" t="s">
        <v>108</v>
      </c>
      <c r="D50" s="171">
        <v>0</v>
      </c>
      <c r="F50" s="171">
        <f>Legal27[Projected Cost]-Legal27[Actual Cost]</f>
        <v>0</v>
      </c>
    </row>
    <row r="51" spans="1:6" x14ac:dyDescent="0.25">
      <c r="A51" s="171" t="s">
        <v>277</v>
      </c>
      <c r="B51" s="171" t="s">
        <v>111</v>
      </c>
      <c r="C51" s="171" t="s">
        <v>106</v>
      </c>
      <c r="D51" s="171">
        <v>0</v>
      </c>
      <c r="F51" s="171">
        <f>Legal27[Projected Cost]-Legal27[Actual Cost]</f>
        <v>0</v>
      </c>
    </row>
    <row r="52" spans="1:6" x14ac:dyDescent="0.25">
      <c r="C52" s="171" t="s">
        <v>93</v>
      </c>
      <c r="D52" s="171">
        <v>0</v>
      </c>
      <c r="F52" s="171">
        <f>Legal27[Projected Cost]-Legal27[Actual Cost]</f>
        <v>0</v>
      </c>
    </row>
    <row r="53" spans="1:6" x14ac:dyDescent="0.25">
      <c r="C53" s="171" t="s">
        <v>88</v>
      </c>
      <c r="D53" s="171">
        <f>SUBTOTAL(109,Legal27[Projected Cost])</f>
        <v>0</v>
      </c>
      <c r="E53" s="171">
        <f>SUBTOTAL(109,Legal27[Actual Cost])</f>
        <v>0</v>
      </c>
      <c r="F53" s="171">
        <f>SUBTOTAL(109,Legal27[Difference])</f>
        <v>0</v>
      </c>
    </row>
    <row r="54" spans="1:6" x14ac:dyDescent="0.25">
      <c r="C54" s="171" t="s">
        <v>103</v>
      </c>
      <c r="D54" s="171" t="s">
        <v>100</v>
      </c>
      <c r="E54" s="171" t="s">
        <v>99</v>
      </c>
      <c r="F54" s="171" t="s">
        <v>98</v>
      </c>
    </row>
    <row r="55" spans="1:6" x14ac:dyDescent="0.25">
      <c r="C55" s="171" t="s">
        <v>124</v>
      </c>
      <c r="D55" s="171">
        <v>40</v>
      </c>
      <c r="F55" s="171">
        <f>Savings25[Projected Cost]-Savings25[Actual Cost]</f>
        <v>40</v>
      </c>
    </row>
    <row r="56" spans="1:6" x14ac:dyDescent="0.25">
      <c r="C56" s="171" t="s">
        <v>97</v>
      </c>
      <c r="D56" s="171">
        <v>0</v>
      </c>
      <c r="F56" s="171">
        <f>Savings25[Projected Cost]-Savings25[Actual Cost]</f>
        <v>0</v>
      </c>
    </row>
    <row r="57" spans="1:6" x14ac:dyDescent="0.25">
      <c r="A57" s="171" t="s">
        <v>274</v>
      </c>
      <c r="B57" s="171" t="s">
        <v>264</v>
      </c>
      <c r="C57" s="171" t="s">
        <v>95</v>
      </c>
      <c r="D57" s="171">
        <v>0</v>
      </c>
      <c r="F57" s="171">
        <f>Savings25[Projected Cost]-Savings25[Actual Cost]</f>
        <v>0</v>
      </c>
    </row>
    <row r="59" spans="1:6" x14ac:dyDescent="0.25">
      <c r="C59" s="171" t="s">
        <v>88</v>
      </c>
      <c r="D59" s="171">
        <f>SUBTOTAL(109,Savings25[Projected Cost])</f>
        <v>40</v>
      </c>
      <c r="E59" s="171">
        <f>SUBTOTAL(109,Savings25[Actual Cost])</f>
        <v>0</v>
      </c>
      <c r="F59" s="171">
        <f>SUBTOTAL(109,Savings25[Difference])</f>
        <v>40</v>
      </c>
    </row>
    <row r="60" spans="1:6" x14ac:dyDescent="0.25">
      <c r="C60" s="171" t="s">
        <v>263</v>
      </c>
      <c r="D60" s="171" t="s">
        <v>100</v>
      </c>
      <c r="E60" s="171" t="s">
        <v>99</v>
      </c>
      <c r="F60" s="171" t="s">
        <v>98</v>
      </c>
    </row>
    <row r="61" spans="1:6" x14ac:dyDescent="0.25">
      <c r="C61" s="171" t="s">
        <v>246</v>
      </c>
      <c r="E61" s="171">
        <v>500</v>
      </c>
    </row>
    <row r="62" spans="1:6" x14ac:dyDescent="0.25">
      <c r="C62" s="171" t="s">
        <v>232</v>
      </c>
      <c r="E62" s="171">
        <v>75</v>
      </c>
    </row>
    <row r="63" spans="1:6" x14ac:dyDescent="0.25">
      <c r="A63" s="171" t="s">
        <v>277</v>
      </c>
      <c r="B63" s="171" t="s">
        <v>151</v>
      </c>
      <c r="C63" s="171" t="s">
        <v>144</v>
      </c>
      <c r="E63" s="171">
        <v>500</v>
      </c>
    </row>
    <row r="64" spans="1:6" x14ac:dyDescent="0.25">
      <c r="C64" s="171" t="s">
        <v>247</v>
      </c>
      <c r="E64" s="171">
        <v>1000</v>
      </c>
    </row>
    <row r="65" spans="1:6" x14ac:dyDescent="0.25">
      <c r="C65" s="171" t="s">
        <v>248</v>
      </c>
      <c r="E65" s="171">
        <v>0</v>
      </c>
    </row>
    <row r="66" spans="1:6" x14ac:dyDescent="0.25">
      <c r="C66" s="171" t="s">
        <v>245</v>
      </c>
      <c r="E66" s="171">
        <v>86000</v>
      </c>
    </row>
    <row r="67" spans="1:6" x14ac:dyDescent="0.25">
      <c r="C67" s="171" t="s">
        <v>88</v>
      </c>
      <c r="D67" s="171">
        <f>SUM(SUBTOTAL(109,Loans23[Projected Cost])-D62)/6</f>
        <v>0</v>
      </c>
      <c r="E67" s="171">
        <f>SUBTOTAL(109,Loans23[Actual Cost])</f>
        <v>88075</v>
      </c>
      <c r="F67" s="171">
        <f>SUBTOTAL(109,Loans23[Difference])</f>
        <v>0</v>
      </c>
    </row>
    <row r="68" spans="1:6" x14ac:dyDescent="0.25">
      <c r="C68" s="171" t="s">
        <v>129</v>
      </c>
      <c r="D68" s="171" t="s">
        <v>100</v>
      </c>
      <c r="E68" s="171" t="s">
        <v>99</v>
      </c>
      <c r="F68" s="171" t="s">
        <v>98</v>
      </c>
    </row>
    <row r="69" spans="1:6" x14ac:dyDescent="0.25">
      <c r="C69" s="171" t="s">
        <v>127</v>
      </c>
    </row>
    <row r="70" spans="1:6" x14ac:dyDescent="0.25">
      <c r="C70" s="171" t="s">
        <v>126</v>
      </c>
    </row>
    <row r="71" spans="1:6" x14ac:dyDescent="0.25">
      <c r="A71" s="171" t="s">
        <v>274</v>
      </c>
      <c r="B71" s="171" t="s">
        <v>129</v>
      </c>
      <c r="C71" s="171" t="s">
        <v>125</v>
      </c>
    </row>
    <row r="72" spans="1:6" x14ac:dyDescent="0.25">
      <c r="C72" s="171" t="s">
        <v>93</v>
      </c>
    </row>
    <row r="73" spans="1:6" x14ac:dyDescent="0.25">
      <c r="C73" s="171" t="s">
        <v>88</v>
      </c>
      <c r="D73" s="171">
        <f>SUBTOTAL(109,Taxes24[Projected Cost])</f>
        <v>0</v>
      </c>
      <c r="E73" s="171" t="s">
        <v>91</v>
      </c>
      <c r="F73" s="171">
        <f>SUBTOTAL(109,Taxes24[Difference])</f>
        <v>0</v>
      </c>
    </row>
    <row r="74" spans="1:6" x14ac:dyDescent="0.25">
      <c r="C74" s="171" t="s">
        <v>110</v>
      </c>
      <c r="D74" s="171" t="s">
        <v>100</v>
      </c>
      <c r="E74" s="171" t="s">
        <v>99</v>
      </c>
      <c r="F74" s="171" t="s">
        <v>98</v>
      </c>
    </row>
    <row r="75" spans="1:6" x14ac:dyDescent="0.25">
      <c r="C75" s="171" t="s">
        <v>59</v>
      </c>
      <c r="D75" s="171">
        <v>0</v>
      </c>
      <c r="E75" s="171">
        <v>0</v>
      </c>
      <c r="F75" s="171">
        <f>Pets20[Projected Cost]-Pets20[Actual Cost]</f>
        <v>0</v>
      </c>
    </row>
    <row r="76" spans="1:6" x14ac:dyDescent="0.25">
      <c r="C76" s="171" t="s">
        <v>107</v>
      </c>
      <c r="D76" s="171">
        <v>0</v>
      </c>
      <c r="E76" s="171">
        <v>0</v>
      </c>
      <c r="F76" s="171">
        <f>Pets20[Projected Cost]-Pets20[Actual Cost]</f>
        <v>0</v>
      </c>
    </row>
    <row r="77" spans="1:6" x14ac:dyDescent="0.25">
      <c r="A77" s="171" t="s">
        <v>276</v>
      </c>
      <c r="B77" s="171" t="s">
        <v>110</v>
      </c>
      <c r="C77" s="171" t="s">
        <v>105</v>
      </c>
      <c r="D77" s="171">
        <v>0</v>
      </c>
      <c r="E77" s="171">
        <v>0</v>
      </c>
      <c r="F77" s="171">
        <f>Pets20[Projected Cost]-Pets20[Actual Cost]</f>
        <v>0</v>
      </c>
    </row>
    <row r="78" spans="1:6" x14ac:dyDescent="0.25">
      <c r="C78" s="171" t="s">
        <v>104</v>
      </c>
      <c r="D78" s="171">
        <v>0</v>
      </c>
      <c r="E78" s="171">
        <v>0</v>
      </c>
      <c r="F78" s="171">
        <f>Pets20[Projected Cost]-Pets20[Actual Cost]</f>
        <v>0</v>
      </c>
    </row>
    <row r="79" spans="1:6" x14ac:dyDescent="0.25">
      <c r="C79" s="171" t="s">
        <v>93</v>
      </c>
      <c r="D79" s="171">
        <v>0</v>
      </c>
      <c r="E79" s="171">
        <v>0</v>
      </c>
      <c r="F79" s="171">
        <f>Pets20[Projected Cost]-Pets20[Actual Cost]</f>
        <v>0</v>
      </c>
    </row>
    <row r="80" spans="1:6" x14ac:dyDescent="0.25">
      <c r="C80" s="171" t="s">
        <v>88</v>
      </c>
      <c r="D80" s="171">
        <f>SUBTOTAL(109,Pets20[Projected Cost])</f>
        <v>0</v>
      </c>
      <c r="E80" s="171">
        <f>SUBTOTAL(109,Pets20[Actual Cost])</f>
        <v>0</v>
      </c>
      <c r="F80" s="171">
        <f>SUBTOTAL(109,Pets20[Difference])</f>
        <v>0</v>
      </c>
    </row>
    <row r="82" spans="1:6" x14ac:dyDescent="0.25">
      <c r="C82" s="171" t="s">
        <v>101</v>
      </c>
      <c r="D82" s="171" t="s">
        <v>100</v>
      </c>
      <c r="E82" s="171" t="s">
        <v>99</v>
      </c>
      <c r="F82" s="171" t="s">
        <v>98</v>
      </c>
    </row>
    <row r="83" spans="1:6" x14ac:dyDescent="0.25">
      <c r="C83" s="171" t="s">
        <v>96</v>
      </c>
      <c r="D83" s="171">
        <v>0</v>
      </c>
      <c r="E83" s="171">
        <v>0</v>
      </c>
      <c r="F83" s="171">
        <f>Gifts26[Projected Cost]-Gifts26[Actual Cost]</f>
        <v>0</v>
      </c>
    </row>
    <row r="84" spans="1:6" x14ac:dyDescent="0.25">
      <c r="C84" s="171" t="s">
        <v>94</v>
      </c>
      <c r="D84" s="171">
        <v>0</v>
      </c>
      <c r="E84" s="171">
        <v>0</v>
      </c>
      <c r="F84" s="171">
        <f>Gifts26[Projected Cost]-Gifts26[Actual Cost]</f>
        <v>0</v>
      </c>
    </row>
    <row r="85" spans="1:6" x14ac:dyDescent="0.25">
      <c r="A85" s="171" t="s">
        <v>274</v>
      </c>
      <c r="B85" s="171" t="s">
        <v>265</v>
      </c>
      <c r="C85" s="171" t="s">
        <v>92</v>
      </c>
      <c r="D85" s="171">
        <v>0</v>
      </c>
      <c r="E85" s="171">
        <v>0</v>
      </c>
      <c r="F85" s="171">
        <f>Gifts26[Projected Cost]-Gifts26[Actual Cost]</f>
        <v>0</v>
      </c>
    </row>
    <row r="86" spans="1:6" x14ac:dyDescent="0.25">
      <c r="C86" s="171" t="s">
        <v>88</v>
      </c>
      <c r="D86" s="171">
        <f>SUBTOTAL(109,Gifts26[Projected Cost])</f>
        <v>0</v>
      </c>
      <c r="E86" s="171" t="s">
        <v>91</v>
      </c>
      <c r="F86" s="171">
        <f>SUBTOTAL(109,Gifts26[Difference])</f>
        <v>0</v>
      </c>
    </row>
  </sheetData>
  <mergeCells count="1">
    <mergeCell ref="A1:F1"/>
  </mergeCells>
  <conditionalFormatting sqref="F78:F79 F34:F39 F69:F72 F55:F58 F49:F52 F65:F66 F83:F85 F21 F17:F19 F5:F7 F41:F45">
    <cfRule type="iconSet" priority="16">
      <iconSet iconSet="3Arrows">
        <cfvo type="percentile" val="0"/>
        <cfvo type="num" val="-50"/>
        <cfvo type="num" val="50"/>
      </iconSet>
    </cfRule>
  </conditionalFormatting>
  <conditionalFormatting sqref="F33">
    <cfRule type="iconSet" priority="14">
      <iconSet iconSet="3Arrows">
        <cfvo type="percentile" val="0"/>
        <cfvo type="num" val="-50"/>
        <cfvo type="num" val="50"/>
      </iconSet>
    </cfRule>
  </conditionalFormatting>
  <conditionalFormatting sqref="F28:F30">
    <cfRule type="iconSet" priority="13">
      <iconSet iconSet="3Arrows">
        <cfvo type="percentile" val="0"/>
        <cfvo type="num" val="-50"/>
        <cfvo type="num" val="50"/>
      </iconSet>
    </cfRule>
  </conditionalFormatting>
  <conditionalFormatting sqref="F20">
    <cfRule type="iconSet" priority="12">
      <iconSet iconSet="3Arrows">
        <cfvo type="percentile" val="0"/>
        <cfvo type="num" val="-50"/>
        <cfvo type="num" val="50"/>
      </iconSet>
    </cfRule>
  </conditionalFormatting>
  <conditionalFormatting sqref="F13:F14">
    <cfRule type="iconSet" priority="11">
      <iconSet iconSet="3Arrows">
        <cfvo type="percentile" val="0"/>
        <cfvo type="num" val="-50"/>
        <cfvo type="num" val="50"/>
      </iconSet>
    </cfRule>
  </conditionalFormatting>
  <conditionalFormatting sqref="F15:F16 F9:F12">
    <cfRule type="iconSet" priority="10">
      <iconSet iconSet="3Arrows">
        <cfvo type="percentile" val="0"/>
        <cfvo type="num" val="-50"/>
        <cfvo type="num" val="50"/>
      </iconSet>
    </cfRule>
  </conditionalFormatting>
  <conditionalFormatting sqref="F3:F4">
    <cfRule type="iconSet" priority="9">
      <iconSet iconSet="3Arrows">
        <cfvo type="percentile" val="0"/>
        <cfvo type="num" val="-50"/>
        <cfvo type="num" val="50"/>
      </iconSet>
    </cfRule>
  </conditionalFormatting>
  <conditionalFormatting sqref="F61:F64">
    <cfRule type="iconSet" priority="8">
      <iconSet iconSet="3Arrows">
        <cfvo type="percentile" val="0"/>
        <cfvo type="num" val="-50"/>
        <cfvo type="num" val="50"/>
      </iconSet>
    </cfRule>
  </conditionalFormatting>
  <conditionalFormatting sqref="F75:F77">
    <cfRule type="iconSet" priority="6">
      <iconSet iconSet="3Arrows">
        <cfvo type="percentile" val="0"/>
        <cfvo type="num" val="-50"/>
        <cfvo type="num" val="50"/>
      </iconSet>
    </cfRule>
  </conditionalFormatting>
  <pageMargins left="0.7" right="0.7" top="0.75" bottom="0.75" header="0.3" footer="0.3"/>
  <pageSetup orientation="landscape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F9BC-F4DC-414E-A5A9-F97B4A15B4A9}">
  <dimension ref="A1:AA69"/>
  <sheetViews>
    <sheetView zoomScale="55" zoomScaleNormal="55" workbookViewId="0">
      <selection activeCell="D63" sqref="D63"/>
    </sheetView>
  </sheetViews>
  <sheetFormatPr defaultColWidth="11.25" defaultRowHeight="15" x14ac:dyDescent="0.2"/>
  <cols>
    <col min="1" max="1" width="13" style="23" customWidth="1"/>
    <col min="2" max="2" width="0.375" style="23" customWidth="1"/>
    <col min="3" max="3" width="14.375" style="23" bestFit="1" customWidth="1"/>
    <col min="4" max="4" width="13.875" style="23" customWidth="1"/>
    <col min="5" max="5" width="20.25" style="23" bestFit="1" customWidth="1"/>
    <col min="6" max="6" width="14.75" style="23" bestFit="1" customWidth="1"/>
    <col min="7" max="7" width="21.875" style="23" bestFit="1" customWidth="1"/>
    <col min="8" max="8" width="19.25" style="23" customWidth="1"/>
    <col min="9" max="9" width="23.25" style="23" customWidth="1"/>
    <col min="10" max="10" width="16.75" style="23" customWidth="1"/>
    <col min="11" max="11" width="0.375" style="23" customWidth="1"/>
    <col min="12" max="13" width="11.25" style="23"/>
    <col min="14" max="14" width="20.25" style="23" bestFit="1" customWidth="1"/>
    <col min="15" max="15" width="12.375" style="23" bestFit="1" customWidth="1"/>
    <col min="16" max="16" width="0.375" style="23" customWidth="1"/>
    <col min="17" max="18" width="11.25" style="23"/>
    <col min="19" max="19" width="20.25" style="23" bestFit="1" customWidth="1"/>
    <col min="20" max="20" width="11.75" style="23" customWidth="1"/>
    <col min="21" max="21" width="11.25" style="23" hidden="1" customWidth="1"/>
    <col min="22" max="16384" width="11.25" style="23"/>
  </cols>
  <sheetData>
    <row r="1" spans="1:27" ht="59.25" x14ac:dyDescent="0.75">
      <c r="A1" s="224" t="s">
        <v>19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</row>
    <row r="2" spans="1:27" ht="15.75" x14ac:dyDescent="0.25">
      <c r="J2" s="24" t="s">
        <v>20</v>
      </c>
    </row>
    <row r="3" spans="1:27" x14ac:dyDescent="0.2">
      <c r="B3" s="25"/>
      <c r="E3" s="23" t="s">
        <v>21</v>
      </c>
      <c r="I3" s="26">
        <v>10000</v>
      </c>
      <c r="J3" s="23" t="s">
        <v>22</v>
      </c>
      <c r="K3" s="25"/>
      <c r="N3" s="23" t="s">
        <v>21</v>
      </c>
      <c r="O3" s="26">
        <v>10000</v>
      </c>
      <c r="P3" s="25"/>
      <c r="S3" s="23" t="s">
        <v>21</v>
      </c>
      <c r="T3" s="26">
        <v>10000</v>
      </c>
      <c r="U3" s="25"/>
    </row>
    <row r="4" spans="1:27" x14ac:dyDescent="0.2">
      <c r="B4" s="25"/>
      <c r="E4" s="23" t="s">
        <v>23</v>
      </c>
      <c r="H4" s="23" t="s">
        <v>24</v>
      </c>
      <c r="I4" s="26">
        <v>2500</v>
      </c>
      <c r="J4" s="23" t="s">
        <v>25</v>
      </c>
      <c r="K4" s="25"/>
      <c r="O4" s="26"/>
      <c r="P4" s="25"/>
      <c r="T4" s="26"/>
      <c r="U4" s="25"/>
    </row>
    <row r="5" spans="1:27" x14ac:dyDescent="0.2">
      <c r="B5" s="25"/>
      <c r="I5" s="26"/>
      <c r="K5" s="25"/>
      <c r="N5" s="23" t="s">
        <v>23</v>
      </c>
      <c r="O5" s="26"/>
      <c r="P5" s="25"/>
      <c r="S5" s="23" t="s">
        <v>23</v>
      </c>
      <c r="T5" s="26"/>
      <c r="U5" s="25"/>
    </row>
    <row r="6" spans="1:27" x14ac:dyDescent="0.2">
      <c r="B6" s="25"/>
      <c r="E6" s="23" t="s">
        <v>26</v>
      </c>
      <c r="I6" s="26">
        <f>SUM(I3:I5)</f>
        <v>12500</v>
      </c>
      <c r="K6" s="25"/>
      <c r="N6" s="23" t="s">
        <v>26</v>
      </c>
      <c r="O6" s="26">
        <f>SUM(O3:O5)</f>
        <v>10000</v>
      </c>
      <c r="P6" s="25"/>
      <c r="S6" s="23" t="s">
        <v>26</v>
      </c>
      <c r="T6" s="26">
        <f>SUM(T3:U5)</f>
        <v>10000</v>
      </c>
      <c r="U6" s="25"/>
    </row>
    <row r="7" spans="1:27" x14ac:dyDescent="0.2">
      <c r="B7" s="25"/>
      <c r="C7" s="225" t="s">
        <v>27</v>
      </c>
      <c r="D7" s="225"/>
      <c r="E7" s="225"/>
      <c r="F7" s="225"/>
      <c r="G7" s="225"/>
      <c r="H7" s="225"/>
      <c r="I7" s="225"/>
      <c r="J7" s="27"/>
      <c r="K7" s="28"/>
      <c r="L7" s="225" t="s">
        <v>28</v>
      </c>
      <c r="M7" s="225"/>
      <c r="N7" s="225"/>
      <c r="O7" s="225"/>
      <c r="P7" s="25"/>
      <c r="Q7" s="225" t="s">
        <v>29</v>
      </c>
      <c r="R7" s="225"/>
      <c r="S7" s="225"/>
      <c r="T7" s="225"/>
      <c r="U7" s="25"/>
    </row>
    <row r="8" spans="1:27" ht="15.75" x14ac:dyDescent="0.25">
      <c r="B8" s="25"/>
      <c r="C8" s="24" t="s">
        <v>30</v>
      </c>
      <c r="D8" s="24" t="s">
        <v>31</v>
      </c>
      <c r="E8" s="24" t="s">
        <v>32</v>
      </c>
      <c r="F8" s="24" t="s">
        <v>33</v>
      </c>
      <c r="G8" s="24" t="s">
        <v>34</v>
      </c>
      <c r="H8" s="24" t="s">
        <v>35</v>
      </c>
      <c r="I8" s="24" t="s">
        <v>36</v>
      </c>
      <c r="J8" s="24" t="s">
        <v>20</v>
      </c>
      <c r="K8" s="29"/>
      <c r="L8" s="24" t="s">
        <v>31</v>
      </c>
      <c r="M8" s="24" t="s">
        <v>30</v>
      </c>
      <c r="N8" s="24" t="s">
        <v>32</v>
      </c>
      <c r="O8" s="24" t="s">
        <v>36</v>
      </c>
      <c r="P8" s="29"/>
      <c r="Q8" s="24" t="s">
        <v>31</v>
      </c>
      <c r="R8" s="24" t="s">
        <v>37</v>
      </c>
      <c r="S8" s="24" t="s">
        <v>32</v>
      </c>
      <c r="T8" s="24" t="s">
        <v>36</v>
      </c>
      <c r="U8" s="25"/>
    </row>
    <row r="9" spans="1:27" ht="6.75" customHeight="1" x14ac:dyDescent="0.25">
      <c r="A9" s="25"/>
      <c r="B9" s="25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5"/>
    </row>
    <row r="10" spans="1:27" x14ac:dyDescent="0.2">
      <c r="A10" s="23" t="s">
        <v>38</v>
      </c>
      <c r="B10" s="25"/>
      <c r="C10" s="23" t="s">
        <v>39</v>
      </c>
      <c r="D10" s="30">
        <v>42795</v>
      </c>
      <c r="E10" s="26">
        <v>1500</v>
      </c>
      <c r="F10" s="26"/>
      <c r="G10" s="26"/>
      <c r="H10" s="26"/>
      <c r="I10" s="23" t="s">
        <v>40</v>
      </c>
      <c r="K10" s="25"/>
      <c r="N10" s="26"/>
      <c r="P10" s="25"/>
      <c r="S10" s="26"/>
      <c r="U10" s="25"/>
    </row>
    <row r="11" spans="1:27" ht="45" x14ac:dyDescent="0.2">
      <c r="B11" s="25"/>
      <c r="C11" s="27" t="s">
        <v>41</v>
      </c>
      <c r="D11" s="30" t="s">
        <v>42</v>
      </c>
      <c r="E11" s="26">
        <v>139</v>
      </c>
      <c r="F11" s="26"/>
      <c r="G11" s="26"/>
      <c r="H11" s="26">
        <v>139</v>
      </c>
      <c r="I11" s="27" t="s">
        <v>43</v>
      </c>
      <c r="J11" s="23" t="s">
        <v>22</v>
      </c>
      <c r="K11" s="25"/>
      <c r="L11" s="27" t="s">
        <v>41</v>
      </c>
      <c r="M11" s="30" t="s">
        <v>42</v>
      </c>
      <c r="N11" s="26">
        <v>139</v>
      </c>
      <c r="P11" s="25"/>
      <c r="Q11" s="27" t="s">
        <v>41</v>
      </c>
      <c r="R11" s="30" t="s">
        <v>42</v>
      </c>
      <c r="S11" s="26">
        <v>139</v>
      </c>
      <c r="U11" s="25"/>
    </row>
    <row r="12" spans="1:27" ht="45" x14ac:dyDescent="0.2">
      <c r="B12" s="25"/>
      <c r="C12" s="27" t="s">
        <v>44</v>
      </c>
      <c r="D12" s="30" t="s">
        <v>42</v>
      </c>
      <c r="E12" s="26">
        <v>165</v>
      </c>
      <c r="F12" s="26"/>
      <c r="G12" s="26"/>
      <c r="H12" s="26"/>
      <c r="I12" s="27" t="s">
        <v>45</v>
      </c>
      <c r="K12" s="25"/>
      <c r="L12" s="27" t="s">
        <v>44</v>
      </c>
      <c r="M12" s="30" t="s">
        <v>42</v>
      </c>
      <c r="N12" s="26">
        <v>165</v>
      </c>
      <c r="P12" s="25"/>
      <c r="Q12" s="27" t="s">
        <v>44</v>
      </c>
      <c r="R12" s="30" t="s">
        <v>42</v>
      </c>
      <c r="S12" s="26">
        <v>165</v>
      </c>
      <c r="U12" s="25"/>
    </row>
    <row r="13" spans="1:27" ht="30" x14ac:dyDescent="0.2">
      <c r="B13" s="25"/>
      <c r="C13" s="27" t="s">
        <v>46</v>
      </c>
      <c r="D13" s="30"/>
      <c r="E13" s="26"/>
      <c r="F13" s="26"/>
      <c r="G13" s="26"/>
      <c r="H13" s="26">
        <v>189.61</v>
      </c>
      <c r="J13" s="23" t="s">
        <v>22</v>
      </c>
      <c r="K13" s="25"/>
      <c r="N13" s="26"/>
      <c r="P13" s="25"/>
      <c r="S13" s="26"/>
      <c r="U13" s="25"/>
    </row>
    <row r="14" spans="1:27" x14ac:dyDescent="0.2">
      <c r="B14" s="25"/>
      <c r="C14" s="27"/>
      <c r="D14" s="30"/>
      <c r="E14" s="26"/>
      <c r="F14" s="26"/>
      <c r="G14" s="26"/>
      <c r="H14" s="26"/>
      <c r="K14" s="25"/>
      <c r="N14" s="26"/>
      <c r="P14" s="25"/>
      <c r="S14" s="26"/>
      <c r="U14" s="25"/>
      <c r="W14" s="31"/>
      <c r="X14" s="32"/>
      <c r="Y14" s="32"/>
      <c r="Z14" s="33"/>
      <c r="AA14" s="33"/>
    </row>
    <row r="15" spans="1:27" x14ac:dyDescent="0.2">
      <c r="A15" s="34" t="s">
        <v>47</v>
      </c>
      <c r="B15" s="34"/>
      <c r="C15" s="34"/>
      <c r="D15" s="35"/>
      <c r="E15" s="36">
        <f>SUM(E10:E14)</f>
        <v>1804</v>
      </c>
      <c r="F15" s="36"/>
      <c r="G15" s="36"/>
      <c r="H15" s="36">
        <f>SUM(H11:H14)</f>
        <v>328.61</v>
      </c>
      <c r="I15" s="34"/>
      <c r="J15" s="34"/>
      <c r="K15" s="34"/>
      <c r="L15" s="34"/>
      <c r="M15" s="34"/>
      <c r="N15" s="36"/>
      <c r="O15" s="34"/>
      <c r="P15" s="34"/>
      <c r="Q15" s="34"/>
      <c r="R15" s="34"/>
      <c r="S15" s="36"/>
      <c r="T15" s="34"/>
      <c r="U15" s="25"/>
      <c r="W15" s="31"/>
      <c r="X15" s="32"/>
      <c r="Y15" s="32"/>
      <c r="Z15" s="33"/>
      <c r="AA15" s="33"/>
    </row>
    <row r="16" spans="1:27" x14ac:dyDescent="0.2">
      <c r="A16" s="23" t="s">
        <v>48</v>
      </c>
      <c r="B16" s="25"/>
      <c r="C16" s="23" t="s">
        <v>49</v>
      </c>
      <c r="D16" s="37">
        <v>42481</v>
      </c>
      <c r="E16" s="26">
        <v>600</v>
      </c>
      <c r="F16" s="26"/>
      <c r="G16" s="26"/>
      <c r="H16" s="26">
        <v>195</v>
      </c>
      <c r="I16" s="27" t="s">
        <v>50</v>
      </c>
      <c r="J16" s="23" t="s">
        <v>22</v>
      </c>
      <c r="K16" s="25"/>
      <c r="L16" s="23" t="s">
        <v>49</v>
      </c>
      <c r="M16" s="37"/>
      <c r="N16" s="26">
        <v>700</v>
      </c>
      <c r="P16" s="25"/>
      <c r="Q16" s="23" t="s">
        <v>49</v>
      </c>
      <c r="R16" s="37"/>
      <c r="S16" s="26">
        <v>700</v>
      </c>
      <c r="U16" s="25"/>
      <c r="W16" s="31"/>
      <c r="X16" s="32"/>
      <c r="Y16" s="32"/>
      <c r="Z16" s="33"/>
      <c r="AA16" s="33"/>
    </row>
    <row r="17" spans="1:27" x14ac:dyDescent="0.2">
      <c r="B17" s="25"/>
      <c r="D17" s="37">
        <v>42482</v>
      </c>
      <c r="E17" s="26"/>
      <c r="F17" s="26"/>
      <c r="G17" s="26"/>
      <c r="H17" s="26">
        <v>44</v>
      </c>
      <c r="I17" s="27" t="s">
        <v>51</v>
      </c>
      <c r="J17" s="23" t="s">
        <v>22</v>
      </c>
      <c r="K17" s="25"/>
      <c r="M17" s="37"/>
      <c r="N17" s="26"/>
      <c r="P17" s="25"/>
      <c r="R17" s="37"/>
      <c r="S17" s="26"/>
      <c r="U17" s="25"/>
      <c r="W17" s="31"/>
      <c r="X17" s="32"/>
      <c r="Y17" s="32"/>
      <c r="Z17" s="33"/>
      <c r="AA17" s="33"/>
    </row>
    <row r="18" spans="1:27" x14ac:dyDescent="0.2">
      <c r="B18" s="25"/>
      <c r="D18" s="37">
        <v>42489</v>
      </c>
      <c r="E18" s="26"/>
      <c r="F18" s="26"/>
      <c r="G18" s="26"/>
      <c r="H18" s="26">
        <v>183</v>
      </c>
      <c r="I18" s="27" t="s">
        <v>52</v>
      </c>
      <c r="J18" s="23" t="s">
        <v>22</v>
      </c>
      <c r="K18" s="25"/>
      <c r="M18" s="37"/>
      <c r="N18" s="26"/>
      <c r="P18" s="25"/>
      <c r="R18" s="37"/>
      <c r="S18" s="26"/>
      <c r="U18" s="25"/>
      <c r="W18" s="31"/>
      <c r="X18" s="32"/>
      <c r="Y18" s="32"/>
      <c r="Z18" s="33"/>
      <c r="AA18" s="33"/>
    </row>
    <row r="19" spans="1:27" x14ac:dyDescent="0.2">
      <c r="B19" s="25"/>
      <c r="D19" s="37">
        <v>42508</v>
      </c>
      <c r="E19" s="26"/>
      <c r="F19" s="26"/>
      <c r="G19" s="26"/>
      <c r="H19" s="26">
        <v>122.06</v>
      </c>
      <c r="I19" s="27" t="s">
        <v>53</v>
      </c>
      <c r="J19" s="23" t="s">
        <v>22</v>
      </c>
      <c r="K19" s="25"/>
      <c r="M19" s="37"/>
      <c r="N19" s="26"/>
      <c r="P19" s="25"/>
      <c r="R19" s="37"/>
      <c r="S19" s="26"/>
      <c r="U19" s="25"/>
      <c r="W19" s="31"/>
      <c r="X19" s="32"/>
      <c r="Y19" s="32"/>
      <c r="Z19" s="33"/>
      <c r="AA19" s="33"/>
    </row>
    <row r="20" spans="1:27" x14ac:dyDescent="0.2">
      <c r="B20" s="25"/>
      <c r="D20" s="37">
        <v>42514</v>
      </c>
      <c r="E20" s="26"/>
      <c r="F20" s="26"/>
      <c r="G20" s="26"/>
      <c r="H20" s="26">
        <v>200</v>
      </c>
      <c r="I20" s="27" t="s">
        <v>54</v>
      </c>
      <c r="J20" s="23" t="s">
        <v>22</v>
      </c>
      <c r="K20" s="25"/>
      <c r="M20" s="37"/>
      <c r="N20" s="26"/>
      <c r="P20" s="25"/>
      <c r="R20" s="37"/>
      <c r="S20" s="26"/>
      <c r="U20" s="25"/>
      <c r="W20" s="31"/>
      <c r="X20" s="32"/>
      <c r="Y20" s="32"/>
      <c r="Z20" s="33"/>
      <c r="AA20" s="33"/>
    </row>
    <row r="21" spans="1:27" x14ac:dyDescent="0.2">
      <c r="B21" s="25"/>
      <c r="C21" s="23" t="s">
        <v>15</v>
      </c>
      <c r="D21" s="37">
        <v>42487</v>
      </c>
      <c r="E21" s="26">
        <v>500</v>
      </c>
      <c r="F21" s="26"/>
      <c r="G21" s="26"/>
      <c r="H21" s="26">
        <v>80</v>
      </c>
      <c r="I21" s="27" t="s">
        <v>55</v>
      </c>
      <c r="J21" s="23" t="s">
        <v>22</v>
      </c>
      <c r="K21" s="25"/>
      <c r="L21" s="23" t="s">
        <v>15</v>
      </c>
      <c r="M21" s="37"/>
      <c r="N21" s="26">
        <v>1000</v>
      </c>
      <c r="P21" s="25"/>
      <c r="Q21" s="23" t="s">
        <v>15</v>
      </c>
      <c r="R21" s="37"/>
      <c r="S21" s="26">
        <v>1000</v>
      </c>
      <c r="U21" s="25"/>
      <c r="W21" s="31"/>
      <c r="X21" s="32"/>
      <c r="Y21" s="32"/>
      <c r="Z21" s="33"/>
      <c r="AA21" s="33"/>
    </row>
    <row r="22" spans="1:27" x14ac:dyDescent="0.2">
      <c r="B22" s="25"/>
      <c r="C22" s="23" t="s">
        <v>56</v>
      </c>
      <c r="D22" s="37">
        <v>42489</v>
      </c>
      <c r="H22" s="38">
        <v>22</v>
      </c>
      <c r="I22" s="27" t="s">
        <v>57</v>
      </c>
      <c r="J22" s="23" t="s">
        <v>22</v>
      </c>
      <c r="K22" s="25"/>
      <c r="M22" s="27"/>
      <c r="P22" s="25"/>
      <c r="R22" s="27"/>
      <c r="U22" s="25"/>
      <c r="W22" s="31"/>
      <c r="X22" s="32"/>
      <c r="Y22" s="32"/>
      <c r="Z22" s="33"/>
      <c r="AA22" s="33"/>
    </row>
    <row r="23" spans="1:27" x14ac:dyDescent="0.2">
      <c r="B23" s="25"/>
      <c r="C23" s="23" t="s">
        <v>56</v>
      </c>
      <c r="D23" s="37">
        <v>42482</v>
      </c>
      <c r="H23" s="38">
        <v>31.5</v>
      </c>
      <c r="I23" s="27" t="s">
        <v>58</v>
      </c>
      <c r="J23" s="23" t="s">
        <v>22</v>
      </c>
      <c r="K23" s="25"/>
      <c r="M23" s="27"/>
      <c r="P23" s="25"/>
      <c r="R23" s="27"/>
      <c r="U23" s="25"/>
      <c r="W23" s="39"/>
      <c r="X23" s="32"/>
      <c r="Y23" s="32"/>
      <c r="Z23" s="33"/>
      <c r="AA23" s="33"/>
    </row>
    <row r="24" spans="1:27" ht="45" x14ac:dyDescent="0.2">
      <c r="B24" s="25"/>
      <c r="C24" s="23" t="s">
        <v>59</v>
      </c>
      <c r="D24" s="27" t="s">
        <v>60</v>
      </c>
      <c r="E24" s="26">
        <v>1000</v>
      </c>
      <c r="F24" s="26"/>
      <c r="G24" s="26"/>
      <c r="H24" s="26">
        <v>1000</v>
      </c>
      <c r="I24" s="27" t="s">
        <v>61</v>
      </c>
      <c r="J24" s="23" t="s">
        <v>22</v>
      </c>
      <c r="K24" s="25"/>
      <c r="L24" s="23" t="s">
        <v>59</v>
      </c>
      <c r="M24" s="27"/>
      <c r="N24" s="26">
        <v>1000</v>
      </c>
      <c r="P24" s="25"/>
      <c r="Q24" s="23" t="s">
        <v>59</v>
      </c>
      <c r="R24" s="27"/>
      <c r="S24" s="26">
        <v>1000</v>
      </c>
      <c r="U24" s="25"/>
    </row>
    <row r="25" spans="1:27" ht="45" x14ac:dyDescent="0.2">
      <c r="B25" s="25"/>
      <c r="C25" s="23" t="s">
        <v>62</v>
      </c>
      <c r="D25" s="27" t="s">
        <v>63</v>
      </c>
      <c r="E25" s="26">
        <v>500</v>
      </c>
      <c r="F25" s="26"/>
      <c r="G25" s="26"/>
      <c r="H25" s="38">
        <v>331.5</v>
      </c>
      <c r="I25" s="27" t="s">
        <v>64</v>
      </c>
      <c r="J25" s="23" t="s">
        <v>22</v>
      </c>
      <c r="K25" s="25"/>
      <c r="L25" s="23" t="s">
        <v>62</v>
      </c>
      <c r="M25" s="27"/>
      <c r="N25" s="26">
        <v>700</v>
      </c>
      <c r="P25" s="25"/>
      <c r="Q25" s="23" t="s">
        <v>62</v>
      </c>
      <c r="R25" s="27"/>
      <c r="S25" s="26">
        <v>700</v>
      </c>
      <c r="U25" s="25"/>
    </row>
    <row r="26" spans="1:27" ht="45" x14ac:dyDescent="0.2">
      <c r="B26" s="25"/>
      <c r="C26" s="23" t="s">
        <v>65</v>
      </c>
      <c r="D26" s="27" t="s">
        <v>60</v>
      </c>
      <c r="E26" s="38">
        <v>230</v>
      </c>
      <c r="F26" s="38"/>
      <c r="G26" s="38"/>
      <c r="H26" s="38">
        <f>SUM(77.56+4+85+58.82+76.56)</f>
        <v>301.94</v>
      </c>
      <c r="I26" s="27" t="s">
        <v>66</v>
      </c>
      <c r="J26" s="23" t="s">
        <v>22</v>
      </c>
      <c r="K26" s="25"/>
      <c r="L26" s="23" t="s">
        <v>65</v>
      </c>
      <c r="M26" s="27"/>
      <c r="N26" s="38">
        <v>230</v>
      </c>
      <c r="P26" s="25"/>
      <c r="Q26" s="23" t="s">
        <v>65</v>
      </c>
      <c r="R26" s="27"/>
      <c r="S26" s="38">
        <v>230</v>
      </c>
      <c r="U26" s="25"/>
    </row>
    <row r="27" spans="1:27" ht="45" x14ac:dyDescent="0.2">
      <c r="B27" s="25"/>
      <c r="C27" s="23" t="s">
        <v>67</v>
      </c>
      <c r="D27" s="27" t="s">
        <v>60</v>
      </c>
      <c r="E27" s="38"/>
      <c r="F27" s="38"/>
      <c r="G27" s="38"/>
      <c r="H27" s="38">
        <f>SUM(10+12)</f>
        <v>22</v>
      </c>
      <c r="I27" s="27" t="s">
        <v>68</v>
      </c>
      <c r="J27" s="23" t="s">
        <v>22</v>
      </c>
      <c r="K27" s="25"/>
      <c r="L27" s="23" t="s">
        <v>67</v>
      </c>
      <c r="M27" s="27"/>
      <c r="N27" s="38">
        <v>30</v>
      </c>
      <c r="P27" s="25"/>
      <c r="Q27" s="23" t="s">
        <v>67</v>
      </c>
      <c r="R27" s="27"/>
      <c r="S27" s="38">
        <v>30</v>
      </c>
      <c r="U27" s="25"/>
    </row>
    <row r="28" spans="1:27" ht="45" x14ac:dyDescent="0.2">
      <c r="B28" s="25"/>
      <c r="C28" s="23" t="s">
        <v>69</v>
      </c>
      <c r="D28" s="27" t="s">
        <v>60</v>
      </c>
      <c r="H28" s="38">
        <v>62.91</v>
      </c>
      <c r="I28" s="27"/>
      <c r="J28" s="23" t="s">
        <v>22</v>
      </c>
      <c r="K28" s="25"/>
      <c r="L28" s="23" t="s">
        <v>69</v>
      </c>
      <c r="N28" s="38">
        <v>80</v>
      </c>
      <c r="P28" s="25"/>
      <c r="Q28" s="23" t="s">
        <v>69</v>
      </c>
      <c r="S28" s="38">
        <v>80</v>
      </c>
      <c r="U28" s="25"/>
    </row>
    <row r="29" spans="1:27" x14ac:dyDescent="0.2">
      <c r="A29" s="34" t="s">
        <v>47</v>
      </c>
      <c r="B29" s="34"/>
      <c r="C29" s="34"/>
      <c r="D29" s="35"/>
      <c r="E29" s="36">
        <f>SUM(E16:E28)</f>
        <v>2830</v>
      </c>
      <c r="F29" s="36"/>
      <c r="G29" s="36"/>
      <c r="H29" s="36">
        <f>SUM(H16:H28)</f>
        <v>2595.91</v>
      </c>
      <c r="I29" s="36"/>
      <c r="J29" s="34"/>
      <c r="K29" s="34"/>
      <c r="L29" s="34"/>
      <c r="M29" s="35"/>
      <c r="N29" s="36"/>
      <c r="O29" s="34"/>
      <c r="P29" s="34"/>
      <c r="Q29" s="34"/>
      <c r="R29" s="35"/>
      <c r="S29" s="36"/>
      <c r="T29" s="34"/>
      <c r="U29" s="25"/>
    </row>
    <row r="30" spans="1:27" ht="45" x14ac:dyDescent="0.2">
      <c r="A30" s="23" t="s">
        <v>70</v>
      </c>
      <c r="B30" s="25"/>
      <c r="C30" s="23" t="s">
        <v>49</v>
      </c>
      <c r="D30" s="30" t="s">
        <v>71</v>
      </c>
      <c r="E30" s="26">
        <v>700</v>
      </c>
      <c r="F30" s="26"/>
      <c r="G30" s="26"/>
      <c r="H30" s="26"/>
      <c r="K30" s="25"/>
      <c r="L30" s="23" t="s">
        <v>49</v>
      </c>
      <c r="M30" s="30"/>
      <c r="N30" s="26">
        <v>700</v>
      </c>
      <c r="P30" s="25"/>
      <c r="Q30" s="23" t="s">
        <v>49</v>
      </c>
      <c r="R30" s="30"/>
      <c r="S30" s="26">
        <v>700</v>
      </c>
      <c r="U30" s="25"/>
    </row>
    <row r="31" spans="1:27" x14ac:dyDescent="0.2">
      <c r="B31" s="25"/>
      <c r="C31" s="23" t="s">
        <v>15</v>
      </c>
      <c r="D31" s="27"/>
      <c r="E31" s="26">
        <f>SUM(5*100)</f>
        <v>500</v>
      </c>
      <c r="F31" s="26"/>
      <c r="G31" s="26"/>
      <c r="H31" s="26"/>
      <c r="K31" s="25"/>
      <c r="L31" s="23" t="s">
        <v>15</v>
      </c>
      <c r="M31" s="27"/>
      <c r="N31" s="26">
        <v>500</v>
      </c>
      <c r="P31" s="25"/>
      <c r="Q31" s="23" t="s">
        <v>15</v>
      </c>
      <c r="R31" s="27"/>
      <c r="S31" s="26">
        <v>500</v>
      </c>
      <c r="U31" s="25"/>
    </row>
    <row r="32" spans="1:27" x14ac:dyDescent="0.2">
      <c r="B32" s="25"/>
      <c r="C32" s="23" t="s">
        <v>59</v>
      </c>
      <c r="D32" s="27"/>
      <c r="E32" s="26">
        <v>500</v>
      </c>
      <c r="F32" s="26"/>
      <c r="G32" s="26"/>
      <c r="H32" s="26"/>
      <c r="K32" s="25"/>
      <c r="L32" s="23" t="s">
        <v>59</v>
      </c>
      <c r="M32" s="27"/>
      <c r="N32" s="26">
        <v>500</v>
      </c>
      <c r="P32" s="25"/>
      <c r="Q32" s="23" t="s">
        <v>59</v>
      </c>
      <c r="R32" s="27"/>
      <c r="S32" s="26">
        <v>500</v>
      </c>
      <c r="U32" s="25"/>
    </row>
    <row r="33" spans="1:21" x14ac:dyDescent="0.2">
      <c r="B33" s="25"/>
      <c r="D33" s="27"/>
      <c r="E33" s="26"/>
      <c r="F33" s="26"/>
      <c r="G33" s="26"/>
      <c r="H33" s="26"/>
      <c r="K33" s="25"/>
      <c r="L33" s="23" t="s">
        <v>72</v>
      </c>
      <c r="M33" s="27"/>
      <c r="N33" s="26">
        <v>1000</v>
      </c>
      <c r="P33" s="25"/>
      <c r="Q33" s="23" t="s">
        <v>72</v>
      </c>
      <c r="R33" s="27"/>
      <c r="S33" s="26">
        <v>1000</v>
      </c>
      <c r="U33" s="25"/>
    </row>
    <row r="34" spans="1:21" x14ac:dyDescent="0.2">
      <c r="A34" s="34" t="s">
        <v>47</v>
      </c>
      <c r="B34" s="34"/>
      <c r="C34" s="34"/>
      <c r="D34" s="35"/>
      <c r="E34" s="36">
        <f>SUM(E30:E33)</f>
        <v>1700</v>
      </c>
      <c r="F34" s="36"/>
      <c r="G34" s="36"/>
      <c r="H34" s="36">
        <f>SUM(H30:H33)</f>
        <v>0</v>
      </c>
      <c r="I34" s="34"/>
      <c r="J34" s="34"/>
      <c r="K34" s="34"/>
      <c r="L34" s="34"/>
      <c r="M34" s="35"/>
      <c r="N34" s="34"/>
      <c r="O34" s="34"/>
      <c r="P34" s="34"/>
      <c r="Q34" s="34"/>
      <c r="R34" s="35"/>
      <c r="S34" s="34"/>
      <c r="T34" s="34"/>
      <c r="U34" s="25"/>
    </row>
    <row r="35" spans="1:21" ht="30" x14ac:dyDescent="0.2">
      <c r="A35" s="23" t="s">
        <v>73</v>
      </c>
      <c r="B35" s="25"/>
      <c r="C35" s="23" t="s">
        <v>49</v>
      </c>
      <c r="D35" s="30" t="s">
        <v>74</v>
      </c>
      <c r="E35" s="26">
        <v>700</v>
      </c>
      <c r="F35" s="26">
        <v>700</v>
      </c>
      <c r="G35" s="26">
        <v>700</v>
      </c>
      <c r="H35" s="23">
        <f>247 + 143 + 300</f>
        <v>690</v>
      </c>
      <c r="J35" s="23" t="s">
        <v>22</v>
      </c>
      <c r="K35" s="25"/>
      <c r="P35" s="25"/>
      <c r="U35" s="25"/>
    </row>
    <row r="36" spans="1:21" x14ac:dyDescent="0.2">
      <c r="A36" s="23" t="s">
        <v>75</v>
      </c>
      <c r="B36" s="25"/>
      <c r="C36" s="23" t="s">
        <v>15</v>
      </c>
      <c r="D36" s="27"/>
      <c r="E36" s="26">
        <f>SUM(5*50)</f>
        <v>250</v>
      </c>
      <c r="F36" s="26">
        <v>1000</v>
      </c>
      <c r="G36" s="26">
        <v>1600</v>
      </c>
      <c r="H36" s="23">
        <f>530 + (4*128)</f>
        <v>1042</v>
      </c>
      <c r="J36" s="23" t="s">
        <v>22</v>
      </c>
      <c r="K36" s="25"/>
      <c r="P36" s="25"/>
      <c r="U36" s="25"/>
    </row>
    <row r="37" spans="1:21" x14ac:dyDescent="0.2">
      <c r="B37" s="25"/>
      <c r="C37" s="23" t="s">
        <v>59</v>
      </c>
      <c r="D37" s="27"/>
      <c r="E37" s="26">
        <v>500</v>
      </c>
      <c r="F37" s="26">
        <v>700</v>
      </c>
      <c r="G37" s="26">
        <v>700</v>
      </c>
      <c r="H37" s="26">
        <v>700</v>
      </c>
      <c r="J37" s="23" t="s">
        <v>22</v>
      </c>
      <c r="K37" s="25"/>
      <c r="P37" s="25"/>
      <c r="U37" s="25"/>
    </row>
    <row r="38" spans="1:21" x14ac:dyDescent="0.2">
      <c r="B38" s="25"/>
      <c r="C38" s="23" t="s">
        <v>76</v>
      </c>
      <c r="D38" s="27"/>
      <c r="E38" s="26"/>
      <c r="F38" s="26">
        <v>300</v>
      </c>
      <c r="G38" s="26">
        <v>800</v>
      </c>
      <c r="H38" s="23">
        <v>1600</v>
      </c>
      <c r="J38" s="23" t="s">
        <v>77</v>
      </c>
      <c r="K38" s="25"/>
      <c r="P38" s="25"/>
      <c r="U38" s="25"/>
    </row>
    <row r="39" spans="1:21" ht="30" x14ac:dyDescent="0.2">
      <c r="A39" s="23" t="s">
        <v>78</v>
      </c>
      <c r="B39" s="25"/>
      <c r="C39" s="23" t="s">
        <v>79</v>
      </c>
      <c r="D39" s="27"/>
      <c r="F39" s="26">
        <v>610</v>
      </c>
      <c r="H39" s="26">
        <v>580</v>
      </c>
      <c r="J39" s="27" t="s">
        <v>80</v>
      </c>
      <c r="K39" s="25"/>
      <c r="M39" s="27"/>
      <c r="N39" s="26"/>
      <c r="P39" s="25"/>
      <c r="R39" s="27"/>
      <c r="S39" s="26"/>
      <c r="U39" s="25"/>
    </row>
    <row r="40" spans="1:21" x14ac:dyDescent="0.2">
      <c r="A40" s="34" t="s">
        <v>47</v>
      </c>
      <c r="B40" s="34"/>
      <c r="C40" s="34"/>
      <c r="D40" s="35"/>
      <c r="E40" s="36">
        <f>SUM(E35:E39)</f>
        <v>1450</v>
      </c>
      <c r="F40" s="36">
        <f>SUM(F35:F39)</f>
        <v>3310</v>
      </c>
      <c r="G40" s="36">
        <f>SUM(G35:G39)</f>
        <v>3800</v>
      </c>
      <c r="H40" s="36">
        <f>SUM(H35:H39)</f>
        <v>4612</v>
      </c>
      <c r="I40" s="34"/>
      <c r="J40" s="34"/>
      <c r="K40" s="34"/>
      <c r="L40" s="34"/>
      <c r="M40" s="35"/>
      <c r="N40" s="34"/>
      <c r="O40" s="34"/>
      <c r="P40" s="34"/>
      <c r="Q40" s="34"/>
      <c r="R40" s="35"/>
      <c r="S40" s="34"/>
      <c r="T40" s="34"/>
      <c r="U40" s="25"/>
    </row>
    <row r="41" spans="1:21" ht="30" x14ac:dyDescent="0.2">
      <c r="A41" s="23" t="s">
        <v>81</v>
      </c>
      <c r="B41" s="25"/>
      <c r="C41" s="23" t="s">
        <v>49</v>
      </c>
      <c r="D41" s="30" t="s">
        <v>82</v>
      </c>
      <c r="E41" s="26">
        <v>700</v>
      </c>
      <c r="F41" s="26"/>
      <c r="G41" s="26"/>
      <c r="H41" s="26"/>
      <c r="K41" s="25"/>
      <c r="L41" s="23" t="s">
        <v>49</v>
      </c>
      <c r="M41" s="30"/>
      <c r="N41" s="26">
        <v>700</v>
      </c>
      <c r="P41" s="25"/>
      <c r="Q41" s="23" t="s">
        <v>49</v>
      </c>
      <c r="R41" s="30"/>
      <c r="S41" s="26">
        <v>700</v>
      </c>
      <c r="U41" s="25"/>
    </row>
    <row r="42" spans="1:21" x14ac:dyDescent="0.2">
      <c r="B42" s="25"/>
      <c r="C42" s="23" t="s">
        <v>15</v>
      </c>
      <c r="D42" s="30"/>
      <c r="E42" s="26">
        <v>500</v>
      </c>
      <c r="F42" s="26"/>
      <c r="G42" s="26"/>
      <c r="H42" s="26"/>
      <c r="K42" s="25"/>
      <c r="L42" s="23" t="s">
        <v>15</v>
      </c>
      <c r="M42" s="27"/>
      <c r="N42" s="26">
        <v>500</v>
      </c>
      <c r="P42" s="25"/>
      <c r="Q42" s="23" t="s">
        <v>15</v>
      </c>
      <c r="R42" s="27"/>
      <c r="S42" s="26">
        <v>500</v>
      </c>
      <c r="U42" s="25"/>
    </row>
    <row r="43" spans="1:21" x14ac:dyDescent="0.2">
      <c r="B43" s="25"/>
      <c r="C43" s="23" t="s">
        <v>59</v>
      </c>
      <c r="D43" s="30"/>
      <c r="E43" s="26">
        <v>500</v>
      </c>
      <c r="F43" s="26"/>
      <c r="G43" s="26"/>
      <c r="H43" s="26"/>
      <c r="K43" s="25"/>
      <c r="L43" s="23" t="s">
        <v>59</v>
      </c>
      <c r="M43" s="27"/>
      <c r="N43" s="26">
        <v>500</v>
      </c>
      <c r="P43" s="25"/>
      <c r="Q43" s="23" t="s">
        <v>59</v>
      </c>
      <c r="R43" s="27"/>
      <c r="S43" s="26">
        <v>500</v>
      </c>
      <c r="U43" s="25"/>
    </row>
    <row r="44" spans="1:21" x14ac:dyDescent="0.2">
      <c r="B44" s="25"/>
      <c r="D44" s="30"/>
      <c r="E44" s="26"/>
      <c r="F44" s="26"/>
      <c r="G44" s="26"/>
      <c r="H44" s="26"/>
      <c r="K44" s="25"/>
      <c r="L44" s="23" t="s">
        <v>72</v>
      </c>
      <c r="M44" s="27"/>
      <c r="N44" s="26">
        <v>1000</v>
      </c>
      <c r="P44" s="25"/>
      <c r="Q44" s="23" t="s">
        <v>72</v>
      </c>
      <c r="R44" s="27"/>
      <c r="S44" s="26">
        <v>1000</v>
      </c>
      <c r="U44" s="25"/>
    </row>
    <row r="45" spans="1:21" x14ac:dyDescent="0.2">
      <c r="A45" s="34" t="s">
        <v>47</v>
      </c>
      <c r="B45" s="34"/>
      <c r="C45" s="34"/>
      <c r="D45" s="35"/>
      <c r="E45" s="36">
        <f>SUM(E41:E44)</f>
        <v>1700</v>
      </c>
      <c r="F45" s="36"/>
      <c r="G45" s="36"/>
      <c r="H45" s="36">
        <f>SUM(H41:H44)</f>
        <v>0</v>
      </c>
      <c r="I45" s="34"/>
      <c r="J45" s="34"/>
      <c r="K45" s="34"/>
      <c r="L45" s="34"/>
      <c r="M45" s="35"/>
      <c r="N45" s="34"/>
      <c r="O45" s="34"/>
      <c r="P45" s="34"/>
      <c r="Q45" s="34"/>
      <c r="R45" s="35"/>
      <c r="S45" s="34"/>
      <c r="T45" s="34"/>
      <c r="U45" s="25"/>
    </row>
    <row r="46" spans="1:21" ht="45" x14ac:dyDescent="0.2">
      <c r="A46" s="40" t="s">
        <v>83</v>
      </c>
      <c r="B46" s="25"/>
      <c r="C46" s="23" t="s">
        <v>84</v>
      </c>
      <c r="D46" s="30" t="s">
        <v>85</v>
      </c>
      <c r="E46" s="26">
        <v>500</v>
      </c>
      <c r="F46" s="26"/>
      <c r="G46" s="26"/>
      <c r="H46" s="26"/>
      <c r="K46" s="25"/>
      <c r="L46" s="23" t="s">
        <v>84</v>
      </c>
      <c r="M46" s="30"/>
      <c r="N46" s="26">
        <v>500</v>
      </c>
      <c r="P46" s="25"/>
      <c r="Q46" s="23" t="s">
        <v>84</v>
      </c>
      <c r="R46" s="30"/>
      <c r="S46" s="26">
        <v>500</v>
      </c>
      <c r="U46" s="25"/>
    </row>
    <row r="47" spans="1:21" x14ac:dyDescent="0.2">
      <c r="B47" s="25"/>
      <c r="C47" s="23" t="s">
        <v>15</v>
      </c>
      <c r="D47" s="30"/>
      <c r="E47" s="26">
        <v>500</v>
      </c>
      <c r="F47" s="26"/>
      <c r="G47" s="26"/>
      <c r="H47" s="26"/>
      <c r="K47" s="25"/>
      <c r="L47" s="23" t="s">
        <v>15</v>
      </c>
      <c r="M47" s="30"/>
      <c r="N47" s="26">
        <v>500</v>
      </c>
      <c r="P47" s="25"/>
      <c r="Q47" s="23" t="s">
        <v>15</v>
      </c>
      <c r="R47" s="30"/>
      <c r="S47" s="26">
        <v>500</v>
      </c>
      <c r="U47" s="25"/>
    </row>
    <row r="48" spans="1:21" x14ac:dyDescent="0.2">
      <c r="B48" s="25"/>
      <c r="C48" s="23" t="s">
        <v>59</v>
      </c>
      <c r="D48" s="30"/>
      <c r="E48" s="26">
        <v>250</v>
      </c>
      <c r="F48" s="26"/>
      <c r="G48" s="26"/>
      <c r="H48" s="26"/>
      <c r="K48" s="25"/>
      <c r="L48" s="23" t="s">
        <v>59</v>
      </c>
      <c r="M48" s="30"/>
      <c r="N48" s="26">
        <v>250</v>
      </c>
      <c r="P48" s="25"/>
      <c r="Q48" s="23" t="s">
        <v>59</v>
      </c>
      <c r="R48" s="30"/>
      <c r="S48" s="26">
        <v>250</v>
      </c>
      <c r="U48" s="25"/>
    </row>
    <row r="49" spans="1:21" x14ac:dyDescent="0.2">
      <c r="A49" s="34" t="s">
        <v>47</v>
      </c>
      <c r="B49" s="34"/>
      <c r="C49" s="34"/>
      <c r="D49" s="35"/>
      <c r="E49" s="36">
        <f>SUM(E46:E48)</f>
        <v>1250</v>
      </c>
      <c r="F49" s="36"/>
      <c r="G49" s="36"/>
      <c r="H49" s="36">
        <f>SUM(H46:H48)</f>
        <v>0</v>
      </c>
      <c r="I49" s="34"/>
      <c r="J49" s="34"/>
      <c r="K49" s="34"/>
      <c r="L49" s="34"/>
      <c r="M49" s="35"/>
      <c r="N49" s="34"/>
      <c r="O49" s="34"/>
      <c r="P49" s="34"/>
      <c r="Q49" s="34"/>
      <c r="R49" s="35"/>
      <c r="S49" s="34"/>
      <c r="T49" s="34"/>
      <c r="U49" s="25"/>
    </row>
    <row r="50" spans="1:21" x14ac:dyDescent="0.2">
      <c r="A50" s="23" t="s">
        <v>86</v>
      </c>
      <c r="B50" s="25"/>
      <c r="C50" s="23" t="s">
        <v>84</v>
      </c>
      <c r="D50" s="30" t="s">
        <v>85</v>
      </c>
      <c r="E50" s="26"/>
      <c r="F50" s="26"/>
      <c r="G50" s="26"/>
      <c r="H50" s="26"/>
      <c r="I50" s="23" t="s">
        <v>87</v>
      </c>
      <c r="K50" s="25"/>
      <c r="M50" s="30"/>
      <c r="N50" s="26"/>
      <c r="P50" s="25"/>
      <c r="R50" s="30"/>
      <c r="S50" s="26"/>
      <c r="U50" s="25"/>
    </row>
    <row r="51" spans="1:21" x14ac:dyDescent="0.2">
      <c r="B51" s="25"/>
      <c r="C51" s="23" t="s">
        <v>15</v>
      </c>
      <c r="D51" s="27"/>
      <c r="E51" s="26"/>
      <c r="F51" s="26"/>
      <c r="G51" s="26"/>
      <c r="H51" s="26"/>
      <c r="K51" s="25"/>
      <c r="M51" s="27"/>
      <c r="N51" s="26"/>
      <c r="P51" s="25"/>
      <c r="R51" s="27"/>
      <c r="S51" s="26"/>
      <c r="U51" s="25"/>
    </row>
    <row r="52" spans="1:21" x14ac:dyDescent="0.2">
      <c r="B52" s="25"/>
      <c r="C52" s="23" t="s">
        <v>59</v>
      </c>
      <c r="D52" s="27"/>
      <c r="E52" s="26"/>
      <c r="F52" s="26"/>
      <c r="G52" s="26"/>
      <c r="H52" s="26"/>
      <c r="K52" s="25"/>
      <c r="M52" s="27"/>
      <c r="N52" s="26"/>
      <c r="P52" s="25"/>
      <c r="R52" s="27"/>
      <c r="S52" s="26"/>
      <c r="U52" s="25"/>
    </row>
    <row r="53" spans="1:21" x14ac:dyDescent="0.2">
      <c r="A53" s="34" t="s">
        <v>47</v>
      </c>
      <c r="B53" s="34"/>
      <c r="C53" s="34"/>
      <c r="D53" s="35"/>
      <c r="E53" s="36">
        <f ca="1">SUM(E50:E53)</f>
        <v>0</v>
      </c>
      <c r="F53" s="36"/>
      <c r="G53" s="36"/>
      <c r="H53" s="34"/>
      <c r="I53" s="34"/>
      <c r="J53" s="34"/>
      <c r="K53" s="34"/>
      <c r="L53" s="34"/>
      <c r="M53" s="34"/>
      <c r="N53" s="36"/>
      <c r="O53" s="34"/>
      <c r="P53" s="34"/>
      <c r="Q53" s="34"/>
      <c r="R53" s="34"/>
      <c r="S53" s="36"/>
      <c r="T53" s="34"/>
      <c r="U53" s="25"/>
    </row>
    <row r="54" spans="1:21" ht="15.75" x14ac:dyDescent="0.25">
      <c r="A54" s="24" t="s">
        <v>88</v>
      </c>
      <c r="B54" s="25"/>
      <c r="D54" s="27"/>
      <c r="E54" s="26">
        <f ca="1">SUM(E15+E29+E34+E40+E45+E49+E53)</f>
        <v>10734</v>
      </c>
      <c r="F54" s="26"/>
      <c r="G54" s="26"/>
      <c r="H54" s="26">
        <f>SUM(H49+H45+H40+H34+H29+H15)</f>
        <v>7536.5199999999995</v>
      </c>
      <c r="I54" s="41" t="s">
        <v>89</v>
      </c>
      <c r="K54" s="25"/>
      <c r="N54" s="26">
        <f>SUM(N10:N52)</f>
        <v>10694</v>
      </c>
      <c r="P54" s="25"/>
      <c r="S54" s="26">
        <f>SUM(S10:S52)</f>
        <v>10694</v>
      </c>
      <c r="U54" s="25"/>
    </row>
    <row r="55" spans="1:21" ht="15.75" x14ac:dyDescent="0.25">
      <c r="A55" s="24" t="s">
        <v>90</v>
      </c>
      <c r="B55" s="25"/>
      <c r="D55" s="27"/>
      <c r="E55" s="26">
        <f ca="1">SUM(I6-E54)</f>
        <v>-734</v>
      </c>
      <c r="F55" s="26"/>
      <c r="G55" s="26"/>
      <c r="H55" s="26">
        <f>SUM(I3-H54)</f>
        <v>2463.4800000000005</v>
      </c>
      <c r="K55" s="25"/>
      <c r="N55" s="26">
        <f>SUM(O6-N54)</f>
        <v>-694</v>
      </c>
      <c r="P55" s="25"/>
      <c r="S55" s="26">
        <f>SUM(T6-S54)</f>
        <v>-694</v>
      </c>
      <c r="U55" s="25"/>
    </row>
    <row r="56" spans="1:21" x14ac:dyDescent="0.2">
      <c r="B56" s="25"/>
      <c r="K56" s="25"/>
      <c r="N56" s="26"/>
      <c r="P56" s="25"/>
      <c r="S56" s="26"/>
      <c r="U56" s="25"/>
    </row>
    <row r="57" spans="1:21" x14ac:dyDescent="0.2">
      <c r="B57" s="25"/>
      <c r="K57" s="25"/>
      <c r="P57" s="25"/>
      <c r="U57" s="25"/>
    </row>
    <row r="69" spans="5:12" x14ac:dyDescent="0.2">
      <c r="E69" s="42"/>
      <c r="F69" s="42"/>
      <c r="G69" s="42"/>
      <c r="H69" s="43"/>
      <c r="I69" s="43"/>
      <c r="J69" s="33"/>
      <c r="K69" s="33"/>
      <c r="L69" s="33"/>
    </row>
  </sheetData>
  <mergeCells count="4">
    <mergeCell ref="A1:T1"/>
    <mergeCell ref="C7:I7"/>
    <mergeCell ref="L7:O7"/>
    <mergeCell ref="Q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 Timeline</vt:lpstr>
      <vt:lpstr>Deferral_budget</vt:lpstr>
      <vt:lpstr>Totals</vt:lpstr>
      <vt:lpstr>Jan-July 2019</vt:lpstr>
      <vt:lpstr>PhD_budget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Anthony.Davidson</dc:creator>
  <cp:lastModifiedBy>Anthony.Davidson</cp:lastModifiedBy>
  <cp:lastPrinted>2018-10-10T00:50:59Z</cp:lastPrinted>
  <dcterms:created xsi:type="dcterms:W3CDTF">2017-12-20T12:36:32Z</dcterms:created>
  <dcterms:modified xsi:type="dcterms:W3CDTF">2020-07-23T02:46:16Z</dcterms:modified>
</cp:coreProperties>
</file>