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7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8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9.xml" ContentType="application/vnd.openxmlformats-officedocument.drawing+xml"/>
  <Override PartName="/xl/charts/chart5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67.xml" ContentType="application/vnd.openxmlformats-officedocument.drawingml.chart+xml"/>
  <Override PartName="/xl/drawings/drawing11.xml" ContentType="application/vnd.openxmlformats-officedocument.drawing+xml"/>
  <Override PartName="/xl/charts/chart6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6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7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8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8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0976" windowHeight="8400" firstSheet="4" activeTab="5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x_Turnx_ESCx_Gxb_Txa" sheetId="16" r:id="rId8"/>
    <sheet name="CalPhotonTurnigy" sheetId="4" r:id="rId9"/>
    <sheet name="TauPhotonTurnigy" sheetId="5" r:id="rId10"/>
    <sheet name="CalArduinoTurnigy" sheetId="3" r:id="rId11"/>
    <sheet name="CalArduinoHiTec" sheetId="1" r:id="rId12"/>
    <sheet name="CalPhotonHiTec" sheetId="2" r:id="rId13"/>
  </sheets>
  <definedNames>
    <definedName name="Meas_TauT__s" localSheetId="2">Ard0_Turn0_ESC0_G0b_T0a!$K$38:$K$43</definedName>
    <definedName name="Meas_TauT__s" localSheetId="3">Ard1_Turn1x_ESC1_G1b_T1a!$K$38:$K$43</definedName>
    <definedName name="Meas_TauT__s" localSheetId="4">Ard2_Turn2_ESC2_G2b_T2a!$K$38:$K$43</definedName>
    <definedName name="Meas_TauT__s" localSheetId="5">Ard3_Turn3_ESC3_G3b_T3a!$K$39:$K$44</definedName>
    <definedName name="Meas_TauT__s" localSheetId="6">Ard4_Turn4_ESC4_G4b_T4a!$K$37:$K$42</definedName>
    <definedName name="Meas_TauT__s" localSheetId="7">Ardx_Turnx_ESCx_Gxb_Txa!$K$39:$K$44</definedName>
    <definedName name="Meas_TauT__s">#REF!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7">Ardx_Turnx_ESCx_Gxb_Txa!$I$39:$I$44</definedName>
    <definedName name="MeasNt">#REF!</definedName>
    <definedName name="MeasTauT" localSheetId="2">Ard0_Turn0_ESC0_G0b_T0a!$K$38:$K$43</definedName>
    <definedName name="MeasTauT" localSheetId="3">Ard1_Turn1x_ESC1_G1b_T1a!$K$38:$K$43</definedName>
    <definedName name="MeasTauT" localSheetId="4">Ard2_Turn2_ESC2_G2b_T2a!$K$38:$K$43</definedName>
    <definedName name="MeasTauT" localSheetId="5">Ard3_Turn3_ESC3_G3b_T3a!$K$39:$K$44</definedName>
    <definedName name="MeasTauT" localSheetId="6">Ard4_Turn4_ESC4_G4b_T4a!$K$37:$K$42</definedName>
    <definedName name="MeasTauT" localSheetId="7">Ardx_Turnx_ESCx_Gxb_Txa!$K$39:$K$44</definedName>
    <definedName name="MeasTauT">#REF!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7">Ardx_Turnx_ESCx_Gxb_Txa!$I$39:$I$44</definedName>
    <definedName name="Nt">#REF!</definedName>
  </definedNames>
  <calcPr calcId="152511"/>
</workbook>
</file>

<file path=xl/calcChain.xml><?xml version="1.0" encoding="utf-8"?>
<calcChain xmlns="http://schemas.openxmlformats.org/spreadsheetml/2006/main">
  <c r="Q43" i="9" l="1"/>
  <c r="R41" i="9"/>
  <c r="V57" i="16" l="1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AA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AH11" i="16"/>
  <c r="AI11" i="16" s="1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U5" i="16"/>
  <c r="O5" i="16"/>
  <c r="Q5" i="16" s="1"/>
  <c r="AE5" i="16" s="1"/>
  <c r="N5" i="16"/>
  <c r="P5" i="16" s="1"/>
  <c r="R5" i="16" s="1"/>
  <c r="L5" i="16"/>
  <c r="M5" i="16" s="1"/>
  <c r="K5" i="16"/>
  <c r="C5" i="16"/>
  <c r="T4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T5" i="16" l="1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R41" i="16"/>
  <c r="S41" i="16"/>
  <c r="Q41" i="16"/>
  <c r="S5" i="16"/>
  <c r="Q44" i="16"/>
  <c r="J36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/>
  <c r="K13" i="15"/>
  <c r="N13" i="15" s="1"/>
  <c r="Z6" i="15"/>
  <c r="AC6" i="15" s="1"/>
  <c r="Z7" i="15"/>
  <c r="AC7" i="15" s="1"/>
  <c r="Z8" i="15"/>
  <c r="AC8" i="15" s="1"/>
  <c r="Z9" i="15"/>
  <c r="Z10" i="15"/>
  <c r="AC10" i="15"/>
  <c r="Z11" i="15"/>
  <c r="AC11" i="15" s="1"/>
  <c r="Z12" i="15"/>
  <c r="AC12" i="15" s="1"/>
  <c r="AD11" i="15" l="1"/>
  <c r="O13" i="15"/>
  <c r="BC42" i="16"/>
  <c r="AF14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Z12" i="16"/>
  <c r="Z6" i="16"/>
  <c r="Z2" i="16"/>
  <c r="Z9" i="16"/>
  <c r="Z5" i="16"/>
  <c r="Z11" i="16"/>
  <c r="Z4" i="16"/>
  <c r="Z8" i="16"/>
  <c r="Z3" i="16"/>
  <c r="Z13" i="16"/>
  <c r="Z10" i="16"/>
  <c r="Z7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D10" i="15" l="1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F10" i="16"/>
  <c r="AP7" i="16"/>
  <c r="AR8" i="16"/>
  <c r="AS8" i="16" s="1"/>
  <c r="AD11" i="16"/>
  <c r="AF11" i="16"/>
  <c r="AO10" i="16"/>
  <c r="AN10" i="16" s="1"/>
  <c r="AD8" i="16"/>
  <c r="AF8" i="16"/>
  <c r="AD5" i="16"/>
  <c r="AF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F3" i="16"/>
  <c r="AR5" i="16"/>
  <c r="AS5" i="16" s="1"/>
  <c r="L2" i="16"/>
  <c r="C2" i="16"/>
  <c r="AH2" i="16"/>
  <c r="AI2" i="16" s="1"/>
  <c r="AR9" i="16"/>
  <c r="AS9" i="16" s="1"/>
  <c r="AD9" i="16"/>
  <c r="AF9" i="16"/>
  <c r="AG9" i="16" s="1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F6" i="16"/>
  <c r="AP11" i="16"/>
  <c r="AQ11" i="16" s="1"/>
  <c r="AD13" i="16"/>
  <c r="AF13" i="16"/>
  <c r="AR7" i="16"/>
  <c r="AS7" i="16" s="1"/>
  <c r="AO6" i="16"/>
  <c r="AN6" i="16" s="1"/>
  <c r="AD7" i="16"/>
  <c r="AF7" i="16"/>
  <c r="AQ3" i="16"/>
  <c r="AO3" i="16"/>
  <c r="AD12" i="16"/>
  <c r="AF12" i="16"/>
  <c r="AF2" i="16"/>
  <c r="AD2" i="16"/>
  <c r="AQ13" i="16"/>
  <c r="AO13" i="16"/>
  <c r="AN13" i="16" s="1"/>
  <c r="AO8" i="16"/>
  <c r="AN8" i="16" s="1"/>
  <c r="AO14" i="16"/>
  <c r="AN14" i="16" s="1"/>
  <c r="AD4" i="16"/>
  <c r="AF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Y5" i="15" s="1"/>
  <c r="X7" i="15"/>
  <c r="X9" i="15"/>
  <c r="Y9" i="15" s="1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J8" i="15" s="1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T6" i="15" l="1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Q40" i="14"/>
  <c r="R11" i="14"/>
  <c r="R6" i="14"/>
  <c r="G6" i="15"/>
  <c r="M3" i="14"/>
  <c r="H5" i="15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R40" i="14"/>
  <c r="S40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Y12" i="14" l="1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L41" i="14"/>
  <c r="M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R40" i="13"/>
  <c r="Q40" i="13"/>
  <c r="S40" i="13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R42" i="13"/>
  <c r="Q42" i="13"/>
  <c r="V6" i="13"/>
  <c r="W6" i="13"/>
  <c r="X6" i="13" s="1"/>
  <c r="AE6" i="13"/>
  <c r="S6" i="13"/>
  <c r="R43" i="13"/>
  <c r="Q43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Z12" i="13" s="1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AF13" i="13" l="1"/>
  <c r="M13" i="15"/>
  <c r="M12" i="15"/>
  <c r="AF5" i="15"/>
  <c r="R41" i="13"/>
  <c r="Q41" i="13"/>
  <c r="AF31" i="15"/>
  <c r="AF38" i="15"/>
  <c r="Q35" i="13"/>
  <c r="J35" i="13"/>
  <c r="AA12" i="13"/>
  <c r="AB12" i="13" s="1"/>
  <c r="AC12" i="13"/>
  <c r="AF12" i="13" s="1"/>
  <c r="Y12" i="13"/>
  <c r="AD6" i="4"/>
  <c r="J44" i="13"/>
  <c r="J40" i="13"/>
  <c r="Y11" i="13"/>
  <c r="Y6" i="13"/>
  <c r="Y10" i="13"/>
  <c r="Y5" i="13"/>
  <c r="Y9" i="13"/>
  <c r="Y8" i="13"/>
  <c r="Y13" i="13"/>
  <c r="Y4" i="13"/>
  <c r="J39" i="13"/>
  <c r="J42" i="13"/>
  <c r="J43" i="13"/>
  <c r="J41" i="13"/>
  <c r="Y7" i="13"/>
  <c r="Z6" i="13"/>
  <c r="AC6" i="13" s="1"/>
  <c r="Z8" i="13"/>
  <c r="Z10" i="13"/>
  <c r="Z7" i="13"/>
  <c r="Z11" i="13"/>
  <c r="Z9" i="13"/>
  <c r="Z5" i="13"/>
  <c r="Z3" i="13"/>
  <c r="Z4" i="13"/>
  <c r="Z2" i="13"/>
  <c r="L6" i="4"/>
  <c r="L41" i="13" l="1"/>
  <c r="M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F11" i="13"/>
  <c r="AD8" i="13"/>
  <c r="AF8" i="13"/>
  <c r="AD2" i="13"/>
  <c r="AF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F5" i="13"/>
  <c r="AD7" i="13"/>
  <c r="AF7" i="13"/>
  <c r="AD3" i="13"/>
  <c r="AF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F6" i="13"/>
  <c r="AD4" i="13"/>
  <c r="AF4" i="13"/>
  <c r="AD9" i="13"/>
  <c r="AF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AF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AB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AA5" i="15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B6" i="15" l="1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R42" i="10"/>
  <c r="Q42" i="10"/>
  <c r="R39" i="10"/>
  <c r="AE4" i="10"/>
  <c r="S4" i="10"/>
  <c r="S39" i="10"/>
  <c r="Q39" i="10"/>
  <c r="W4" i="10"/>
  <c r="X4" i="10" s="1"/>
  <c r="V4" i="10"/>
  <c r="V5" i="10"/>
  <c r="T6" i="10"/>
  <c r="M6" i="10"/>
  <c r="V7" i="10"/>
  <c r="W7" i="10"/>
  <c r="X7" i="10" s="1"/>
  <c r="R3" i="10"/>
  <c r="Q41" i="10"/>
  <c r="R4" i="10"/>
  <c r="R41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V4" i="15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AH3" i="9" l="1"/>
  <c r="AI3" i="9" s="1"/>
  <c r="AH6" i="9"/>
  <c r="AI6" i="9" s="1"/>
  <c r="AH14" i="9"/>
  <c r="AI14" i="9" s="1"/>
  <c r="AF57" i="15"/>
  <c r="W4" i="15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Z9" i="9"/>
  <c r="AA9" i="9" s="1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Z6" i="9"/>
  <c r="AA6" i="9" s="1"/>
  <c r="AB6" i="9" s="1"/>
  <c r="S7" i="9"/>
  <c r="R14" i="9"/>
  <c r="S9" i="9"/>
  <c r="Z12" i="9"/>
  <c r="AA12" i="9" s="1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Z7" i="10"/>
  <c r="Z11" i="10"/>
  <c r="Z5" i="10"/>
  <c r="Z2" i="10"/>
  <c r="Z4" i="10"/>
  <c r="Z9" i="10"/>
  <c r="Z8" i="10"/>
  <c r="Z10" i="10"/>
  <c r="Z6" i="10"/>
  <c r="Z3" i="10"/>
  <c r="J34" i="10"/>
  <c r="Q34" i="10"/>
  <c r="AD12" i="10"/>
  <c r="AF12" i="10"/>
  <c r="Y9" i="10"/>
  <c r="Y4" i="10"/>
  <c r="Y5" i="10"/>
  <c r="M14" i="9"/>
  <c r="AC12" i="9"/>
  <c r="AD12" i="9" s="1"/>
  <c r="Z2" i="9"/>
  <c r="AA2" i="9" s="1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Z10" i="9"/>
  <c r="R10" i="9"/>
  <c r="V3" i="9"/>
  <c r="W3" i="9"/>
  <c r="X3" i="9" s="1"/>
  <c r="Y3" i="9" s="1"/>
  <c r="AE14" i="9"/>
  <c r="S14" i="9"/>
  <c r="R8" i="9"/>
  <c r="Z8" i="9"/>
  <c r="R4" i="9"/>
  <c r="Z4" i="9"/>
  <c r="R43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AC2" i="9" l="1"/>
  <c r="AD2" i="9" s="1"/>
  <c r="AF14" i="9"/>
  <c r="D2" i="10"/>
  <c r="AF60" i="15"/>
  <c r="W7" i="15"/>
  <c r="W8" i="15"/>
  <c r="AF64" i="15"/>
  <c r="W11" i="15"/>
  <c r="AF58" i="15"/>
  <c r="W5" i="15"/>
  <c r="AC6" i="9"/>
  <c r="AD6" i="9" s="1"/>
  <c r="J45" i="9"/>
  <c r="J44" i="9"/>
  <c r="J43" i="9"/>
  <c r="J42" i="9"/>
  <c r="J41" i="9"/>
  <c r="J40" i="9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L40" i="10"/>
  <c r="M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AF12" i="9"/>
  <c r="Q42" i="9"/>
  <c r="R42" i="9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6" i="9" l="1"/>
  <c r="AJ13" i="9"/>
  <c r="AO13" i="9" s="1"/>
  <c r="AN13" i="9" s="1"/>
  <c r="D2" i="9"/>
  <c r="U2" i="15" s="1"/>
  <c r="Z2" i="15"/>
  <c r="L2" i="10"/>
  <c r="C2" i="10"/>
  <c r="AH2" i="10"/>
  <c r="AI2" i="10" s="1"/>
  <c r="AF4" i="9"/>
  <c r="J48" i="9"/>
  <c r="AP13" i="10"/>
  <c r="AQ13" i="10" s="1"/>
  <c r="AR13" i="10"/>
  <c r="AS13" i="10" s="1"/>
  <c r="AO13" i="10"/>
  <c r="AN13" i="10" s="1"/>
  <c r="AD5" i="10"/>
  <c r="AF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AF8" i="10"/>
  <c r="Q44" i="10" s="1"/>
  <c r="AD7" i="10"/>
  <c r="AF7" i="10"/>
  <c r="AD6" i="10"/>
  <c r="AF6" i="10"/>
  <c r="AD10" i="10"/>
  <c r="AF10" i="10"/>
  <c r="AD4" i="10"/>
  <c r="AF4" i="10"/>
  <c r="AD2" i="10"/>
  <c r="AF2" i="10"/>
  <c r="AD3" i="10"/>
  <c r="AF3" i="10"/>
  <c r="AD9" i="10"/>
  <c r="AF9" i="10"/>
  <c r="AD11" i="10"/>
  <c r="AF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42" i="9"/>
  <c r="M42" i="9" s="1"/>
  <c r="AD8" i="9"/>
  <c r="AF8" i="9"/>
  <c r="AF13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G11" i="9"/>
  <c r="Q45" i="9" s="1"/>
  <c r="AG9" i="9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3" i="9"/>
  <c r="AU13" i="9" s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Q42" i="8"/>
  <c r="R7" i="8"/>
  <c r="R40" i="8"/>
  <c r="S40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R41" i="8" s="1"/>
  <c r="T6" i="8"/>
  <c r="W11" i="8"/>
  <c r="X11" i="8" s="1"/>
  <c r="V11" i="8"/>
  <c r="R42" i="8"/>
  <c r="R4" i="8"/>
  <c r="T5" i="8"/>
  <c r="R43" i="8"/>
  <c r="Q43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Q41" i="8" l="1"/>
  <c r="R11" i="15"/>
  <c r="AF54" i="15"/>
  <c r="R13" i="15"/>
  <c r="AF53" i="15"/>
  <c r="R12" i="15"/>
  <c r="AF46" i="15"/>
  <c r="R5" i="15"/>
  <c r="J40" i="8"/>
  <c r="J39" i="8"/>
  <c r="J41" i="8"/>
  <c r="J43" i="8"/>
  <c r="J42" i="8"/>
  <c r="J44" i="8"/>
  <c r="AF13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AF8" i="8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AE43" i="15" l="1"/>
  <c r="R3" i="15"/>
  <c r="R2" i="15" s="1"/>
  <c r="C2" i="8"/>
  <c r="AG9" i="8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AA36" i="2"/>
  <c r="U9" i="2" s="1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4" i="2"/>
  <c r="AH23" i="2"/>
  <c r="AH21" i="2"/>
  <c r="AA21" i="2"/>
  <c r="AH22" i="2" s="1"/>
  <c r="AH20" i="2"/>
  <c r="AH19" i="2"/>
  <c r="AH18" i="2"/>
  <c r="X9" i="2"/>
  <c r="M9" i="2"/>
  <c r="O9" i="2" s="1"/>
  <c r="L9" i="2"/>
  <c r="N9" i="2" s="1"/>
  <c r="K9" i="2"/>
  <c r="S9" i="2" s="1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M6" i="2"/>
  <c r="O6" i="2" s="1"/>
  <c r="Q6" i="2" s="1"/>
  <c r="L6" i="2"/>
  <c r="N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M2" i="2"/>
  <c r="O2" i="2" s="1"/>
  <c r="L2" i="2"/>
  <c r="N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M7" i="1"/>
  <c r="O7" i="1" s="1"/>
  <c r="L7" i="1"/>
  <c r="N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M5" i="1"/>
  <c r="O5" i="1" s="1"/>
  <c r="L5" i="1"/>
  <c r="N5" i="1" s="1"/>
  <c r="P5" i="1" s="1"/>
  <c r="K5" i="1"/>
  <c r="S5" i="1" s="1"/>
  <c r="J5" i="1"/>
  <c r="X5" i="1" s="1"/>
  <c r="Y5" i="1" s="1"/>
  <c r="M4" i="1"/>
  <c r="O4" i="1" s="1"/>
  <c r="L4" i="1"/>
  <c r="N4" i="1" s="1"/>
  <c r="K4" i="1"/>
  <c r="S4" i="1" s="1"/>
  <c r="J4" i="1"/>
  <c r="X4" i="1" s="1"/>
  <c r="Y4" i="1" s="1"/>
  <c r="M3" i="1"/>
  <c r="O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AF4" i="3" s="1"/>
  <c r="AG4" i="3" s="1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M17" i="3"/>
  <c r="O17" i="3" s="1"/>
  <c r="K17" i="3"/>
  <c r="L17" i="3" s="1"/>
  <c r="J17" i="3"/>
  <c r="T17" i="3" s="1"/>
  <c r="U17" i="3" s="1"/>
  <c r="B17" i="3"/>
  <c r="M16" i="3"/>
  <c r="O16" i="3" s="1"/>
  <c r="K16" i="3"/>
  <c r="L16" i="3" s="1"/>
  <c r="J16" i="3"/>
  <c r="T16" i="3" s="1"/>
  <c r="U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R2" i="3"/>
  <c r="K2" i="3"/>
  <c r="L2" i="3" s="1"/>
  <c r="B2" i="3"/>
  <c r="T1" i="3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H26" i="2" l="1"/>
  <c r="U2" i="2"/>
  <c r="P4" i="2"/>
  <c r="U6" i="2"/>
  <c r="P9" i="2"/>
  <c r="P2" i="2"/>
  <c r="U4" i="2"/>
  <c r="P6" i="2"/>
  <c r="U8" i="2"/>
  <c r="S2" i="3"/>
  <c r="V12" i="3"/>
  <c r="W12" i="3" s="1"/>
  <c r="Y12" i="3" s="1"/>
  <c r="Z12" i="3" s="1"/>
  <c r="AA12" i="3" s="1"/>
  <c r="AG6" i="4"/>
  <c r="AH6" i="4" s="1"/>
  <c r="AF4" i="15"/>
  <c r="C4" i="15"/>
  <c r="C5" i="15"/>
  <c r="AF7" i="15"/>
  <c r="C7" i="15"/>
  <c r="AF9" i="15"/>
  <c r="C9" i="15"/>
  <c r="C10" i="15"/>
  <c r="AF16" i="15"/>
  <c r="C16" i="15"/>
  <c r="C17" i="15"/>
  <c r="X58" i="4"/>
  <c r="AF33" i="4" s="1"/>
  <c r="X57" i="4"/>
  <c r="X59" i="4"/>
  <c r="AE33" i="4" s="1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A59" i="4"/>
  <c r="AF35" i="4" s="1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Q3" i="1"/>
  <c r="P7" i="1"/>
  <c r="Z8" i="1"/>
  <c r="AA8" i="1" s="1"/>
  <c r="S9" i="3"/>
  <c r="V16" i="3"/>
  <c r="W16" i="3" s="1"/>
  <c r="Y16" i="3" s="1"/>
  <c r="Z16" i="3" s="1"/>
  <c r="AA16" i="3" s="1"/>
  <c r="P4" i="1"/>
  <c r="V18" i="3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D5" i="4"/>
  <c r="AA58" i="4"/>
  <c r="AE36" i="4" s="1"/>
  <c r="AA57" i="4"/>
  <c r="AF36" i="4" s="1"/>
  <c r="AR29" i="4"/>
  <c r="AR33" i="4"/>
  <c r="AS33" i="4" s="1"/>
  <c r="AR26" i="4"/>
  <c r="AR30" i="4"/>
  <c r="AR25" i="4"/>
  <c r="AR27" i="4"/>
  <c r="AR31" i="4"/>
  <c r="AR28" i="4"/>
  <c r="AR32" i="4"/>
  <c r="AA60" i="4"/>
  <c r="AA50" i="4" s="1"/>
  <c r="AA52" i="4" s="1"/>
  <c r="AA53" i="4" s="1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V5" i="3"/>
  <c r="W5" i="3" s="1"/>
  <c r="AF5" i="3"/>
  <c r="AG5" i="3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W92" i="4"/>
  <c r="X92" i="4" s="1"/>
  <c r="Y92" i="4" s="1"/>
  <c r="R4" i="3"/>
  <c r="R7" i="3"/>
  <c r="S8" i="3"/>
  <c r="AF10" i="3"/>
  <c r="AG10" i="3" s="1"/>
  <c r="R14" i="3"/>
  <c r="Q17" i="3"/>
  <c r="Q22" i="3"/>
  <c r="Q24" i="3"/>
  <c r="AD37" i="1"/>
  <c r="Q4" i="1"/>
  <c r="W97" i="4"/>
  <c r="W105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W96" i="4"/>
  <c r="W104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W55" i="3" l="1"/>
  <c r="AD35" i="3" s="1"/>
  <c r="AH11" i="3" s="1"/>
  <c r="X6" i="4"/>
  <c r="X18" i="4"/>
  <c r="X14" i="4"/>
  <c r="X15" i="4"/>
  <c r="X12" i="4"/>
  <c r="X16" i="4"/>
  <c r="X11" i="4"/>
  <c r="R8" i="1"/>
  <c r="T8" i="1" s="1"/>
  <c r="X96" i="4"/>
  <c r="Y96" i="4" s="1"/>
  <c r="W54" i="3"/>
  <c r="AE35" i="3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AD33" i="2"/>
  <c r="AH29" i="2" s="1"/>
  <c r="AH32" i="1"/>
  <c r="R9" i="1"/>
  <c r="T9" i="1" s="1"/>
  <c r="AD4" i="1"/>
  <c r="AC10" i="1"/>
  <c r="AI31" i="1"/>
  <c r="AD34" i="2"/>
  <c r="AI28" i="2" s="1"/>
  <c r="X99" i="4"/>
  <c r="Y99" i="4" s="1"/>
  <c r="X101" i="4"/>
  <c r="Y101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X10" i="4"/>
  <c r="X29" i="4"/>
  <c r="X26" i="4"/>
  <c r="X105" i="4"/>
  <c r="Y105" i="4" s="1"/>
  <c r="AD36" i="3"/>
  <c r="Z44" i="3"/>
  <c r="Z46" i="3" s="1"/>
  <c r="Z47" i="3" s="1"/>
  <c r="X5" i="4"/>
  <c r="X8" i="4"/>
  <c r="X27" i="4"/>
  <c r="X100" i="4"/>
  <c r="Y100" i="4" s="1"/>
  <c r="X97" i="4"/>
  <c r="Y97" i="4" s="1"/>
  <c r="R6" i="1"/>
  <c r="T6" i="1" s="1"/>
  <c r="R7" i="1"/>
  <c r="T7" i="1" s="1"/>
  <c r="X106" i="4"/>
  <c r="Y106" i="4" s="1"/>
  <c r="X17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I7" i="3"/>
  <c r="AH5" i="3"/>
  <c r="AI14" i="3"/>
  <c r="O14" i="3" s="1"/>
  <c r="Q14" i="3" s="1"/>
  <c r="AH14" i="3"/>
  <c r="AI10" i="3"/>
  <c r="AH10" i="3"/>
  <c r="AI13" i="3"/>
  <c r="AI12" i="3"/>
  <c r="C3" i="3"/>
  <c r="AH13" i="3"/>
  <c r="AI5" i="3"/>
  <c r="AH2" i="3"/>
  <c r="AI4" i="3"/>
  <c r="AH9" i="3"/>
  <c r="AH7" i="3"/>
  <c r="AH4" i="3"/>
  <c r="AH12" i="3"/>
  <c r="AI8" i="3"/>
  <c r="W60" i="3"/>
  <c r="AE38" i="3" s="1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H8" i="3" l="1"/>
  <c r="AI6" i="3"/>
  <c r="AI9" i="3"/>
  <c r="AI2" i="3"/>
  <c r="AH6" i="3"/>
  <c r="W57" i="3"/>
  <c r="AJ6" i="4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D28" i="2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G3" i="4"/>
  <c r="AH3" i="4" s="1"/>
  <c r="AI3" i="4" s="1"/>
  <c r="AI3" i="3"/>
  <c r="AJ3" i="3" s="1"/>
  <c r="AK3" i="3" s="1"/>
  <c r="AH3" i="3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F6" i="1"/>
  <c r="AF8" i="1"/>
  <c r="AF4" i="1"/>
  <c r="AJ3" i="4"/>
  <c r="AK3" i="4" s="1"/>
  <c r="AL3" i="4" s="1"/>
  <c r="AF2" i="1"/>
  <c r="AF3" i="1"/>
  <c r="AF7" i="1"/>
  <c r="AF5" i="1"/>
  <c r="AP3" i="3"/>
  <c r="AM3" i="3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E39" i="4"/>
  <c r="Z19" i="4"/>
  <c r="AA19" i="4" s="1"/>
  <c r="AB19" i="4"/>
  <c r="AE19" i="4" s="1"/>
  <c r="AE48" i="4"/>
  <c r="Y6" i="4" s="1"/>
  <c r="AB6" i="4" l="1"/>
  <c r="Z6" i="4"/>
  <c r="AA6" i="4" s="1"/>
  <c r="Y14" i="4"/>
  <c r="Y15" i="4"/>
  <c r="Y16" i="4"/>
  <c r="Y12" i="4"/>
  <c r="Y11" i="4"/>
  <c r="AQ13" i="3"/>
  <c r="AW13" i="3"/>
  <c r="AQ12" i="3"/>
  <c r="AW12" i="3"/>
  <c r="AQ10" i="3"/>
  <c r="AW10" i="3"/>
  <c r="AQ6" i="3"/>
  <c r="AW6" i="3"/>
  <c r="AW11" i="3"/>
  <c r="AQ11" i="3"/>
  <c r="Y4" i="4"/>
  <c r="Y10" i="4"/>
  <c r="Y7" i="4"/>
  <c r="Y13" i="4"/>
  <c r="Y17" i="4"/>
  <c r="Y8" i="4"/>
  <c r="Y3" i="4"/>
  <c r="Y5" i="4"/>
  <c r="Y9" i="4"/>
  <c r="AW9" i="3"/>
  <c r="AQ9" i="3"/>
  <c r="AQ7" i="3"/>
  <c r="AW7" i="3"/>
  <c r="AW8" i="3"/>
  <c r="AQ8" i="3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Z4" i="14" l="1"/>
  <c r="Z12" i="14"/>
  <c r="Z8" i="14"/>
  <c r="AC8" i="14" s="1"/>
  <c r="AD8" i="14" s="1"/>
  <c r="Z11" i="14"/>
  <c r="AA11" i="14" s="1"/>
  <c r="AB11" i="14" s="1"/>
  <c r="Z5" i="14"/>
  <c r="AC5" i="14" s="1"/>
  <c r="AF5" i="14" s="1"/>
  <c r="AF13" i="14"/>
  <c r="Z9" i="14"/>
  <c r="AA9" i="14" s="1"/>
  <c r="AB9" i="14" s="1"/>
  <c r="Z7" i="14"/>
  <c r="AA7" i="14" s="1"/>
  <c r="AB7" i="14" s="1"/>
  <c r="Z6" i="14"/>
  <c r="AA6" i="14" s="1"/>
  <c r="AB6" i="14" s="1"/>
  <c r="AC4" i="14"/>
  <c r="AA4" i="14"/>
  <c r="AB4" i="14" s="1"/>
  <c r="Z10" i="14"/>
  <c r="AA5" i="14"/>
  <c r="AB5" i="14" s="1"/>
  <c r="Z3" i="14"/>
  <c r="AA8" i="14"/>
  <c r="AB8" i="14" s="1"/>
  <c r="Z2" i="14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F9" i="14"/>
  <c r="AD4" i="14"/>
  <c r="AF4" i="14"/>
  <c r="AA2" i="14"/>
  <c r="AC2" i="14"/>
  <c r="AC10" i="14"/>
  <c r="AA10" i="14"/>
  <c r="AB10" i="14" s="1"/>
  <c r="AD12" i="14" l="1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</calcChain>
</file>

<file path=xl/sharedStrings.xml><?xml version="1.0" encoding="utf-8"?>
<sst xmlns="http://schemas.openxmlformats.org/spreadsheetml/2006/main" count="1817" uniqueCount="344">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</sst>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166" fontId="0" fillId="12" borderId="0" xfId="0" applyNumberFormat="1" applyFill="1" applyBorder="1" applyAlignment="1">
      <alignment horizontal="right"/>
    </xf>
    <xf numFmtId="2" fontId="0" fillId="12" borderId="0" xfId="0" applyNumberFormat="1" applyFill="1" applyBorder="1" applyAlignment="1">
      <alignment horizontal="right"/>
    </xf>
    <xf numFmtId="0" fontId="0" fillId="12" borderId="8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9.1059042173196207</c:v>
                </c:pt>
                <c:pt idx="67" formatCode="0.00">
                  <c:v>11</c:v>
                </c:pt>
                <c:pt idx="68" formatCode="0.00">
                  <c:v>15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178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7936.5079365079364</c:v>
                </c:pt>
                <c:pt idx="68">
                  <c:v>9933.7748344370866</c:v>
                </c:pt>
                <c:pt idx="69">
                  <c:v>14150.943396226416</c:v>
                </c:pt>
                <c:pt idx="70">
                  <c:v>17910.447761194031</c:v>
                </c:pt>
                <c:pt idx="71">
                  <c:v>22900.763358778626</c:v>
                </c:pt>
                <c:pt idx="72">
                  <c:v>28571.428571428572</c:v>
                </c:pt>
                <c:pt idx="73">
                  <c:v>32085.561497326202</c:v>
                </c:pt>
                <c:pt idx="74">
                  <c:v>35087.719298245618</c:v>
                </c:pt>
                <c:pt idx="75">
                  <c:v>40000</c:v>
                </c:pt>
                <c:pt idx="76">
                  <c:v>44117.647058823532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5768"/>
        <c:axId val="155794592"/>
      </c:scatterChart>
      <c:valAx>
        <c:axId val="155795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94592"/>
        <c:crosses val="autoZero"/>
        <c:crossBetween val="midCat"/>
      </c:valAx>
      <c:valAx>
        <c:axId val="155794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5795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5208"/>
        <c:axId val="157390504"/>
      </c:scatterChart>
      <c:valAx>
        <c:axId val="157395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90504"/>
        <c:crosses val="autoZero"/>
        <c:crossBetween val="midCat"/>
      </c:valAx>
      <c:valAx>
        <c:axId val="15739050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73952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Ard0_Turn0_ESC0_G0b_T0a!$AN$6:$AN$13</c:f>
              <c:numCache>
                <c:formatCode>0.0</c:formatCode>
                <c:ptCount val="8"/>
                <c:pt idx="0">
                  <c:v>27.448798915631624</c:v>
                </c:pt>
                <c:pt idx="1">
                  <c:v>38.563955282652181</c:v>
                </c:pt>
                <c:pt idx="2">
                  <c:v>42.918885282894202</c:v>
                </c:pt>
                <c:pt idx="3">
                  <c:v>51.657671855688875</c:v>
                </c:pt>
                <c:pt idx="4">
                  <c:v>60.078038700857462</c:v>
                </c:pt>
                <c:pt idx="5">
                  <c:v>65.591872199604325</c:v>
                </c:pt>
                <c:pt idx="6">
                  <c:v>67.194422651798703</c:v>
                </c:pt>
                <c:pt idx="7">
                  <c:v>69.424738156593676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5600"/>
        <c:axId val="157396776"/>
      </c:scatterChart>
      <c:valAx>
        <c:axId val="157395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96776"/>
        <c:crosses val="autoZero"/>
        <c:crossBetween val="midCat"/>
      </c:valAx>
      <c:valAx>
        <c:axId val="1573967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739560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3264"/>
        <c:axId val="158093656"/>
      </c:scatterChart>
      <c:valAx>
        <c:axId val="15809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656"/>
        <c:crosses val="autoZero"/>
        <c:crossBetween val="midCat"/>
      </c:valAx>
      <c:valAx>
        <c:axId val="15809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9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Ard0_Turn0_ESC0_G0b_T0a!$K$40:$K$43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0.24668014344673286</c:v>
                </c:pt>
                <c:pt idx="1">
                  <c:v>0.17717671596153275</c:v>
                </c:pt>
                <c:pt idx="2">
                  <c:v>0.1532849077918651</c:v>
                </c:pt>
                <c:pt idx="3">
                  <c:v>0.12164078453613508</c:v>
                </c:pt>
                <c:pt idx="4">
                  <c:v>9.8874048692126973E-2</c:v>
                </c:pt>
                <c:pt idx="5">
                  <c:v>8.2000000000000017E-2</c:v>
                </c:pt>
                <c:pt idx="6">
                  <c:v>7.7737116224917441E-2</c:v>
                </c:pt>
                <c:pt idx="7">
                  <c:v>7.1247227036698585E-2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2872"/>
        <c:axId val="158086208"/>
      </c:scatterChart>
      <c:valAx>
        <c:axId val="15809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58086208"/>
        <c:crosses val="autoZero"/>
        <c:crossBetween val="midCat"/>
      </c:valAx>
      <c:valAx>
        <c:axId val="158086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9287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2088"/>
        <c:axId val="158092480"/>
      </c:scatterChart>
      <c:valAx>
        <c:axId val="158092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92480"/>
        <c:crosses val="autoZero"/>
        <c:crossBetween val="midCat"/>
      </c:valAx>
      <c:valAx>
        <c:axId val="1580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9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6992"/>
        <c:axId val="158090128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7776"/>
        <c:axId val="158087384"/>
      </c:scatterChart>
      <c:valAx>
        <c:axId val="1580869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90128"/>
        <c:crossesAt val="-40"/>
        <c:crossBetween val="midCat"/>
        <c:majorUnit val="20"/>
      </c:valAx>
      <c:valAx>
        <c:axId val="15809012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86992"/>
        <c:crosses val="autoZero"/>
        <c:crossBetween val="midCat"/>
      </c:valAx>
      <c:valAx>
        <c:axId val="1580873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87776"/>
        <c:crosses val="max"/>
        <c:crossBetween val="midCat"/>
        <c:majorUnit val="40"/>
      </c:valAx>
      <c:valAx>
        <c:axId val="158087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087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90520"/>
        <c:axId val="158088168"/>
      </c:scatterChart>
      <c:valAx>
        <c:axId val="1580905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8088168"/>
        <c:crosses val="autoZero"/>
        <c:crossBetween val="midCat"/>
      </c:valAx>
      <c:valAx>
        <c:axId val="15808816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09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88952"/>
        <c:axId val="158089344"/>
      </c:scatterChart>
      <c:valAx>
        <c:axId val="15808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89344"/>
        <c:crosses val="autoZero"/>
        <c:crossBetween val="midCat"/>
      </c:valAx>
      <c:valAx>
        <c:axId val="15808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808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6184"/>
        <c:axId val="190087752"/>
      </c:scatterChart>
      <c:valAx>
        <c:axId val="19008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0087752"/>
        <c:crosses val="autoZero"/>
        <c:crossBetween val="midCat"/>
      </c:valAx>
      <c:valAx>
        <c:axId val="19008775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0086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xVal>
          <c:y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8928"/>
        <c:axId val="190086576"/>
      </c:scatterChart>
      <c:valAx>
        <c:axId val="19008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86576"/>
        <c:crosses val="autoZero"/>
        <c:crossBetween val="midCat"/>
      </c:valAx>
      <c:valAx>
        <c:axId val="19008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88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9.1059042173196207</c:v>
                </c:pt>
                <c:pt idx="1">
                  <c:v>11</c:v>
                </c:pt>
                <c:pt idx="2">
                  <c:v>15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4190.1301977858784</c:v>
                </c:pt>
                <c:pt idx="1">
                  <c:v>4190.1301977858784</c:v>
                </c:pt>
                <c:pt idx="2">
                  <c:v>499.31672448228755</c:v>
                </c:pt>
                <c:pt idx="3">
                  <c:v>383.37896016266626</c:v>
                </c:pt>
                <c:pt idx="4">
                  <c:v>469.93804562095193</c:v>
                </c:pt>
                <c:pt idx="5">
                  <c:v>293.54797632850557</c:v>
                </c:pt>
                <c:pt idx="6">
                  <c:v>226.82660850599785</c:v>
                </c:pt>
                <c:pt idx="7">
                  <c:v>234.27552839317528</c:v>
                </c:pt>
                <c:pt idx="8">
                  <c:v>200.14385339462777</c:v>
                </c:pt>
                <c:pt idx="9">
                  <c:v>188.93387314439931</c:v>
                </c:pt>
                <c:pt idx="10">
                  <c:v>89.514066496163736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3024"/>
        <c:axId val="155795376"/>
      </c:scatterChart>
      <c:valAx>
        <c:axId val="15579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795376"/>
        <c:crosses val="autoZero"/>
        <c:crossBetween val="midCat"/>
      </c:valAx>
      <c:valAx>
        <c:axId val="155795376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5793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9712"/>
        <c:axId val="190084616"/>
      </c:scatterChart>
      <c:valAx>
        <c:axId val="19008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84616"/>
        <c:crosses val="autoZero"/>
        <c:crossBetween val="midCat"/>
      </c:valAx>
      <c:valAx>
        <c:axId val="19008461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008971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Ard1_Turn1x_ESC1_G1b_T1a!$K$40:$K$43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20.564575889707857</c:v>
                </c:pt>
                <c:pt idx="1">
                  <c:v>26.682462915315533</c:v>
                </c:pt>
                <c:pt idx="2">
                  <c:v>37.438243556907246</c:v>
                </c:pt>
                <c:pt idx="3">
                  <c:v>48.807244448264363</c:v>
                </c:pt>
                <c:pt idx="4">
                  <c:v>52.817972800519286</c:v>
                </c:pt>
                <c:pt idx="5">
                  <c:v>54.311911224106609</c:v>
                </c:pt>
                <c:pt idx="6">
                  <c:v>63.196670309464153</c:v>
                </c:pt>
                <c:pt idx="7">
                  <c:v>72.179331428091302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0.36285601803166451</c:v>
                </c:pt>
                <c:pt idx="1">
                  <c:v>0.26057437640820308</c:v>
                </c:pt>
                <c:pt idx="2">
                  <c:v>0.16616450454753204</c:v>
                </c:pt>
                <c:pt idx="3">
                  <c:v>0.10928348423445342</c:v>
                </c:pt>
                <c:pt idx="4">
                  <c:v>9.7000000000000003E-2</c:v>
                </c:pt>
                <c:pt idx="5">
                  <c:v>9.3066064908015181E-2</c:v>
                </c:pt>
                <c:pt idx="6">
                  <c:v>6.9723652273090492E-2</c:v>
                </c:pt>
                <c:pt idx="7">
                  <c:v>4.7816076116652749E-2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6.941537245430192</c:v>
                </c:pt>
                <c:pt idx="1">
                  <c:v>15.420560994174144</c:v>
                </c:pt>
                <c:pt idx="2">
                  <c:v>20.564575889707857</c:v>
                </c:pt>
                <c:pt idx="3">
                  <c:v>26.682462915315533</c:v>
                </c:pt>
                <c:pt idx="4">
                  <c:v>37.438243556907246</c:v>
                </c:pt>
                <c:pt idx="5">
                  <c:v>48.807244448264363</c:v>
                </c:pt>
                <c:pt idx="6">
                  <c:v>52.817972800519286</c:v>
                </c:pt>
                <c:pt idx="7">
                  <c:v>54.311911224106609</c:v>
                </c:pt>
                <c:pt idx="8">
                  <c:v>63.196670309464153</c:v>
                </c:pt>
                <c:pt idx="9">
                  <c:v>72.179331428091302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8144"/>
        <c:axId val="190089320"/>
      </c:scatterChart>
      <c:valAx>
        <c:axId val="19008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89320"/>
        <c:crosses val="autoZero"/>
        <c:crossBetween val="midCat"/>
      </c:valAx>
      <c:valAx>
        <c:axId val="190089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00881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3048"/>
        <c:axId val="190083440"/>
      </c:scatterChart>
      <c:valAx>
        <c:axId val="1900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3440"/>
        <c:crosses val="autoZero"/>
        <c:crossBetween val="midCat"/>
      </c:valAx>
      <c:valAx>
        <c:axId val="1900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3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3125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3832"/>
        <c:axId val="190084224"/>
      </c:scatterChart>
      <c:valAx>
        <c:axId val="1900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084224"/>
        <c:crosses val="autoZero"/>
        <c:crossBetween val="midCat"/>
      </c:valAx>
      <c:valAx>
        <c:axId val="1900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0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7360"/>
        <c:axId val="190212408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3192"/>
        <c:axId val="190211624"/>
      </c:scatterChart>
      <c:valAx>
        <c:axId val="190087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212408"/>
        <c:crossesAt val="-40"/>
        <c:crossBetween val="midCat"/>
        <c:majorUnit val="20"/>
      </c:valAx>
      <c:valAx>
        <c:axId val="19021240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087360"/>
        <c:crosses val="autoZero"/>
        <c:crossBetween val="midCat"/>
      </c:valAx>
      <c:valAx>
        <c:axId val="19021162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213192"/>
        <c:crosses val="max"/>
        <c:crossBetween val="midCat"/>
        <c:majorUnit val="40"/>
      </c:valAx>
      <c:valAx>
        <c:axId val="190213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21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2800"/>
        <c:axId val="190216328"/>
      </c:scatterChart>
      <c:valAx>
        <c:axId val="1902128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0216328"/>
        <c:crosses val="autoZero"/>
        <c:crossBetween val="midCat"/>
      </c:valAx>
      <c:valAx>
        <c:axId val="190216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021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7504"/>
        <c:axId val="190213584"/>
      </c:scatterChart>
      <c:valAx>
        <c:axId val="190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213584"/>
        <c:crosses val="autoZero"/>
        <c:crossBetween val="midCat"/>
      </c:valAx>
      <c:valAx>
        <c:axId val="1902135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021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0448"/>
        <c:axId val="190210056"/>
      </c:scatterChart>
      <c:valAx>
        <c:axId val="19021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0210056"/>
        <c:crosses val="autoZero"/>
        <c:crossBetween val="midCat"/>
      </c:valAx>
      <c:valAx>
        <c:axId val="19021005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02104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5152"/>
        <c:axId val="190212016"/>
      </c:scatterChart>
      <c:valAx>
        <c:axId val="1902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12016"/>
        <c:crosses val="autoZero"/>
        <c:crossBetween val="midCat"/>
      </c:valAx>
      <c:valAx>
        <c:axId val="19021201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021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4368"/>
        <c:axId val="190214760"/>
      </c:scatterChart>
      <c:valAx>
        <c:axId val="1902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14760"/>
        <c:crosses val="autoZero"/>
        <c:crossBetween val="midCat"/>
      </c:valAx>
      <c:valAx>
        <c:axId val="1902147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02143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Ard1_Turn1x_ESC1_G1b_T1a!$K$38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82.745323089669455</c:v>
                </c:pt>
                <c:pt idx="1">
                  <c:v>76.333110127697495</c:v>
                </c:pt>
                <c:pt idx="2">
                  <c:v>62.012501179293423</c:v>
                </c:pt>
                <c:pt idx="3">
                  <c:v>38.485786478343883</c:v>
                </c:pt>
                <c:pt idx="4">
                  <c:v>29.279680725798411</c:v>
                </c:pt>
                <c:pt idx="5">
                  <c:v>25.834815347426559</c:v>
                </c:pt>
              </c:numCache>
            </c:numRef>
          </c:xVal>
          <c:yVal>
            <c:numRef>
              <c:f>Ard1_Turn1x_ESC1_G1b_T1a!$K$39:$K$44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91.763321955226317</c:v>
                </c:pt>
                <c:pt idx="1">
                  <c:v>79.502892729656168</c:v>
                </c:pt>
                <c:pt idx="2">
                  <c:v>64.483866928332702</c:v>
                </c:pt>
                <c:pt idx="3">
                  <c:v>39.809753111872752</c:v>
                </c:pt>
                <c:pt idx="4">
                  <c:v>34.445815325685807</c:v>
                </c:pt>
                <c:pt idx="5">
                  <c:v>28.622111443539978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94.180507611575763</c:v>
                </c:pt>
                <c:pt idx="1">
                  <c:v>78.613865839269394</c:v>
                </c:pt>
                <c:pt idx="2">
                  <c:v>64.000283767308289</c:v>
                </c:pt>
                <c:pt idx="3">
                  <c:v>39.992256077657927</c:v>
                </c:pt>
                <c:pt idx="4">
                  <c:v>30.597810459968649</c:v>
                </c:pt>
                <c:pt idx="5">
                  <c:v>27.408338182358097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88.314953905624549</c:v>
                </c:pt>
                <c:pt idx="1">
                  <c:v>77.520773378818305</c:v>
                </c:pt>
                <c:pt idx="2">
                  <c:v>63.714263402670746</c:v>
                </c:pt>
                <c:pt idx="3">
                  <c:v>41.032139870428352</c:v>
                </c:pt>
                <c:pt idx="4">
                  <c:v>32.156526314333505</c:v>
                </c:pt>
                <c:pt idx="5">
                  <c:v>28.292313609639148</c:v>
                </c:pt>
              </c:numCache>
            </c:numRef>
          </c:xVal>
          <c:yVal>
            <c:numRef>
              <c:f>Ard4_Turn4_ESC4_G4b_T4a!$K$38:$K$43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Ard0_Turn0_ESC0_G0b_T0a!$K$38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6944"/>
        <c:axId val="155790280"/>
      </c:scatterChart>
      <c:valAx>
        <c:axId val="15579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0280"/>
        <c:crosses val="autoZero"/>
        <c:crossBetween val="midCat"/>
      </c:valAx>
      <c:valAx>
        <c:axId val="1557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9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26.594292280271613</c:v>
                </c:pt>
                <c:pt idx="1">
                  <c:v>29.871030033381423</c:v>
                </c:pt>
                <c:pt idx="2">
                  <c:v>40.822505706375907</c:v>
                </c:pt>
                <c:pt idx="3">
                  <c:v>51.734687405081729</c:v>
                </c:pt>
                <c:pt idx="4">
                  <c:v>61.261330722642697</c:v>
                </c:pt>
                <c:pt idx="5">
                  <c:v>66.088420704350938</c:v>
                </c:pt>
                <c:pt idx="6">
                  <c:v>68.586074555654932</c:v>
                </c:pt>
                <c:pt idx="7">
                  <c:v>72.255445992290788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0.28731514975327521</c:v>
                </c:pt>
                <c:pt idx="1">
                  <c:v>0.23309415276834272</c:v>
                </c:pt>
                <c:pt idx="2">
                  <c:v>0.13572463909186985</c:v>
                </c:pt>
                <c:pt idx="3">
                  <c:v>8.8999999999999996E-2</c:v>
                </c:pt>
                <c:pt idx="4">
                  <c:v>6.7106187862222805E-2</c:v>
                </c:pt>
                <c:pt idx="5">
                  <c:v>5.7172787858875355E-2</c:v>
                </c:pt>
                <c:pt idx="6">
                  <c:v>4.9846190804236197E-2</c:v>
                </c:pt>
                <c:pt idx="7">
                  <c:v>4.2608173379647493E-2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5.8023808601098592</c:v>
                </c:pt>
                <c:pt idx="1">
                  <c:v>22.811576153900912</c:v>
                </c:pt>
                <c:pt idx="2">
                  <c:v>26.594292280271613</c:v>
                </c:pt>
                <c:pt idx="3">
                  <c:v>29.871030033381423</c:v>
                </c:pt>
                <c:pt idx="4">
                  <c:v>40.822505706375907</c:v>
                </c:pt>
                <c:pt idx="5">
                  <c:v>51.734687405081729</c:v>
                </c:pt>
                <c:pt idx="6">
                  <c:v>61.261330722642697</c:v>
                </c:pt>
                <c:pt idx="7">
                  <c:v>66.088420704350938</c:v>
                </c:pt>
                <c:pt idx="8">
                  <c:v>68.586074555654932</c:v>
                </c:pt>
                <c:pt idx="9">
                  <c:v>72.255445992290788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215936"/>
        <c:axId val="191117080"/>
      </c:scatterChart>
      <c:valAx>
        <c:axId val="19021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117080"/>
        <c:crosses val="autoZero"/>
        <c:crossBetween val="midCat"/>
      </c:valAx>
      <c:valAx>
        <c:axId val="1911170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02159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Ard2_Turn2_ESC2_G2b_T2a!$S$1</c:f>
              <c:strCache>
                <c:ptCount val="1"/>
                <c:pt idx="0">
                  <c:v>Nt, 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Ard2_Turn2_ESC2_G2b_T2a!$D$2:$D$13</c:f>
              <c:numCache>
                <c:formatCode>General</c:formatCode>
                <c:ptCount val="12"/>
                <c:pt idx="0" formatCode="0.0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Ard2_Turn2_ESC2_G2b_T2a!$S$2:$S$13</c:f>
              <c:numCache>
                <c:formatCode>0</c:formatCode>
                <c:ptCount val="12"/>
                <c:pt idx="0">
                  <c:v>0</c:v>
                </c:pt>
                <c:pt idx="1">
                  <c:v>1.3020833333333332E-27</c:v>
                </c:pt>
                <c:pt idx="2">
                  <c:v>6.7816840277777777</c:v>
                </c:pt>
                <c:pt idx="3">
                  <c:v>20.218685300207039</c:v>
                </c:pt>
                <c:pt idx="4">
                  <c:v>23.33482676224612</c:v>
                </c:pt>
                <c:pt idx="5">
                  <c:v>26.35796221322537</c:v>
                </c:pt>
                <c:pt idx="6">
                  <c:v>38.072612085769983</c:v>
                </c:pt>
                <c:pt idx="7">
                  <c:v>49.135220125786169</c:v>
                </c:pt>
                <c:pt idx="8">
                  <c:v>59.865900383141764</c:v>
                </c:pt>
                <c:pt idx="9">
                  <c:v>66.60272804774084</c:v>
                </c:pt>
                <c:pt idx="10">
                  <c:v>72.337962962962962</c:v>
                </c:pt>
                <c:pt idx="11">
                  <c:v>76.593137254901961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60-4F2D-8ADD-6305162BE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8256"/>
        <c:axId val="191116296"/>
      </c:scatterChart>
      <c:valAx>
        <c:axId val="19111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6296"/>
        <c:crosses val="autoZero"/>
        <c:crossBetween val="midCat"/>
        <c:majorUnit val="20"/>
      </c:valAx>
      <c:valAx>
        <c:axId val="19111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1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10309.278350515466</c:v>
                </c:pt>
                <c:pt idx="1">
                  <c:v>16042.780748663101</c:v>
                </c:pt>
                <c:pt idx="2">
                  <c:v>17341.040462427747</c:v>
                </c:pt>
                <c:pt idx="3">
                  <c:v>20134.228187919463</c:v>
                </c:pt>
                <c:pt idx="4">
                  <c:v>24691.358024691359</c:v>
                </c:pt>
                <c:pt idx="5">
                  <c:v>29411.764705882353</c:v>
                </c:pt>
                <c:pt idx="6">
                  <c:v>32432.43243243243</c:v>
                </c:pt>
                <c:pt idx="7">
                  <c:v>32967.032967032967</c:v>
                </c:pt>
                <c:pt idx="8">
                  <c:v>35087.719298245618</c:v>
                </c:pt>
                <c:pt idx="9">
                  <c:v>37267.080745341613</c:v>
                </c:pt>
                <c:pt idx="10">
                  <c:v>43795.620437956204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4728"/>
        <c:axId val="191121000"/>
      </c:scatterChart>
      <c:valAx>
        <c:axId val="19111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121000"/>
        <c:crosses val="autoZero"/>
        <c:crossBetween val="midCat"/>
      </c:valAx>
      <c:valAx>
        <c:axId val="19112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114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6688"/>
        <c:axId val="19111904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19432"/>
        <c:axId val="191121392"/>
      </c:scatterChart>
      <c:valAx>
        <c:axId val="19111668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119040"/>
        <c:crossesAt val="-40"/>
        <c:crossBetween val="midCat"/>
        <c:majorUnit val="20"/>
      </c:valAx>
      <c:valAx>
        <c:axId val="1911190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116688"/>
        <c:crosses val="autoZero"/>
        <c:crossBetween val="midCat"/>
      </c:valAx>
      <c:valAx>
        <c:axId val="19112139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119432"/>
        <c:crosses val="max"/>
        <c:crossBetween val="midCat"/>
        <c:majorUnit val="40"/>
      </c:valAx>
      <c:valAx>
        <c:axId val="191119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1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0608"/>
        <c:axId val="191119824"/>
      </c:scatterChart>
      <c:valAx>
        <c:axId val="1911206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1119824"/>
        <c:crosses val="autoZero"/>
        <c:crossBetween val="midCat"/>
      </c:valAx>
      <c:valAx>
        <c:axId val="191119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91120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1784"/>
        <c:axId val="191115904"/>
      </c:scatterChart>
      <c:valAx>
        <c:axId val="19112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115904"/>
        <c:crosses val="autoZero"/>
        <c:crossBetween val="midCat"/>
      </c:valAx>
      <c:valAx>
        <c:axId val="19111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121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20216"/>
        <c:axId val="191555464"/>
      </c:scatterChart>
      <c:valAx>
        <c:axId val="19112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91555464"/>
        <c:crosses val="autoZero"/>
        <c:crossBetween val="midCat"/>
      </c:valAx>
      <c:valAx>
        <c:axId val="19155546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1120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3504"/>
        <c:axId val="191555856"/>
      </c:scatterChart>
      <c:valAx>
        <c:axId val="19155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555856"/>
        <c:crosses val="autoZero"/>
        <c:crossBetween val="midCat"/>
      </c:valAx>
      <c:valAx>
        <c:axId val="1915558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1553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9384"/>
        <c:axId val="191557032"/>
      </c:scatterChart>
      <c:valAx>
        <c:axId val="191559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557032"/>
        <c:crosses val="autoZero"/>
        <c:crossBetween val="midCat"/>
      </c:valAx>
      <c:valAx>
        <c:axId val="19155703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15593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23.995233467684077</c:v>
                </c:pt>
                <c:pt idx="1">
                  <c:v>30.531028460751699</c:v>
                </c:pt>
                <c:pt idx="2">
                  <c:v>40.094242929614481</c:v>
                </c:pt>
                <c:pt idx="3">
                  <c:v>48.916038145625222</c:v>
                </c:pt>
                <c:pt idx="4">
                  <c:v>55.491386675659186</c:v>
                </c:pt>
                <c:pt idx="5">
                  <c:v>56.839172480802645</c:v>
                </c:pt>
                <c:pt idx="6">
                  <c:v>59.579224993560686</c:v>
                </c:pt>
                <c:pt idx="7">
                  <c:v>64.320760631499837</c:v>
                </c:pt>
                <c:pt idx="8">
                  <c:v>72.386787884092286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0.31981699284075554</c:v>
                </c:pt>
                <c:pt idx="1">
                  <c:v>0.2340382031492218</c:v>
                </c:pt>
                <c:pt idx="2">
                  <c:v>0.15829535268112299</c:v>
                </c:pt>
                <c:pt idx="3">
                  <c:v>0.1156848231047435</c:v>
                </c:pt>
                <c:pt idx="4">
                  <c:v>9.7689722813079499E-2</c:v>
                </c:pt>
                <c:pt idx="5">
                  <c:v>9.5000000000000029E-2</c:v>
                </c:pt>
                <c:pt idx="6">
                  <c:v>8.5476862914493204E-2</c:v>
                </c:pt>
                <c:pt idx="7">
                  <c:v>7.7269169905670995E-2</c:v>
                </c:pt>
                <c:pt idx="8">
                  <c:v>5.4546657372724745E-2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4.0416541216298523</c:v>
                </c:pt>
                <c:pt idx="1">
                  <c:v>19.986322207456581</c:v>
                </c:pt>
                <c:pt idx="2">
                  <c:v>23.995233467684077</c:v>
                </c:pt>
                <c:pt idx="3">
                  <c:v>30.531028460751699</c:v>
                </c:pt>
                <c:pt idx="4">
                  <c:v>40.094242929614481</c:v>
                </c:pt>
                <c:pt idx="5">
                  <c:v>48.916038145625222</c:v>
                </c:pt>
                <c:pt idx="6">
                  <c:v>55.491386675659186</c:v>
                </c:pt>
                <c:pt idx="7">
                  <c:v>56.839172480802645</c:v>
                </c:pt>
                <c:pt idx="8">
                  <c:v>59.579224993560686</c:v>
                </c:pt>
                <c:pt idx="9">
                  <c:v>64.320760631499837</c:v>
                </c:pt>
                <c:pt idx="10">
                  <c:v>72.386787884092286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7816"/>
        <c:axId val="191556248"/>
      </c:scatterChart>
      <c:valAx>
        <c:axId val="191557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556248"/>
        <c:crosses val="autoZero"/>
        <c:crossBetween val="midCat"/>
      </c:valAx>
      <c:valAx>
        <c:axId val="1915562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15578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1064"/>
        <c:axId val="155792240"/>
      </c:scatterChart>
      <c:valAx>
        <c:axId val="15579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5792240"/>
        <c:crosses val="autoZero"/>
        <c:crossBetween val="midCat"/>
      </c:valAx>
      <c:valAx>
        <c:axId val="1557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579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Ard4_Turn4_ESC4_G4b_T4a!$P$4:$P$12</c:f>
              <c:numCache>
                <c:formatCode>0</c:formatCode>
                <c:ptCount val="9"/>
                <c:pt idx="0">
                  <c:v>9933.7748344370866</c:v>
                </c:pt>
                <c:pt idx="1">
                  <c:v>14150.943396226416</c:v>
                </c:pt>
                <c:pt idx="2">
                  <c:v>17910.447761194031</c:v>
                </c:pt>
                <c:pt idx="3">
                  <c:v>22900.763358778626</c:v>
                </c:pt>
                <c:pt idx="4">
                  <c:v>28571.428571428572</c:v>
                </c:pt>
                <c:pt idx="5">
                  <c:v>32085.561497326202</c:v>
                </c:pt>
                <c:pt idx="6">
                  <c:v>35087.719298245618</c:v>
                </c:pt>
                <c:pt idx="7">
                  <c:v>40000</c:v>
                </c:pt>
                <c:pt idx="8">
                  <c:v>44117.647058823532</c:v>
                </c:pt>
              </c:numCache>
            </c:numRef>
          </c:xVal>
          <c:yVal>
            <c:numRef>
              <c:f>Ard4_Turn4_ESC4_G4b_T4a!$Q$4:$Q$12</c:f>
              <c:numCache>
                <c:formatCode>0</c:formatCode>
                <c:ptCount val="9"/>
                <c:pt idx="0">
                  <c:v>750.00000000000011</c:v>
                </c:pt>
                <c:pt idx="1">
                  <c:v>7317.0731707317073</c:v>
                </c:pt>
                <c:pt idx="2">
                  <c:v>11194.029850746268</c:v>
                </c:pt>
                <c:pt idx="3">
                  <c:v>16483.516483516483</c:v>
                </c:pt>
                <c:pt idx="4">
                  <c:v>21897.810218978102</c:v>
                </c:pt>
                <c:pt idx="5">
                  <c:v>24793.388429752067</c:v>
                </c:pt>
                <c:pt idx="6">
                  <c:v>27906.976744186049</c:v>
                </c:pt>
                <c:pt idx="7">
                  <c:v>32608.695652173916</c:v>
                </c:pt>
                <c:pt idx="8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8992"/>
        <c:axId val="191559776"/>
      </c:scatterChart>
      <c:valAx>
        <c:axId val="19155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559776"/>
        <c:crosses val="autoZero"/>
        <c:crossBetween val="midCat"/>
      </c:valAx>
      <c:valAx>
        <c:axId val="1915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55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15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178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21.557671081677704</c:v>
                </c:pt>
                <c:pt idx="1">
                  <c:v>30.709512578616351</c:v>
                </c:pt>
                <c:pt idx="2">
                  <c:v>38.868159203980099</c:v>
                </c:pt>
                <c:pt idx="3">
                  <c:v>49.697837150127228</c:v>
                </c:pt>
                <c:pt idx="4">
                  <c:v>62.003968253968253</c:v>
                </c:pt>
                <c:pt idx="5">
                  <c:v>69.630124777183596</c:v>
                </c:pt>
                <c:pt idx="6">
                  <c:v>76.145224171539965</c:v>
                </c:pt>
                <c:pt idx="7">
                  <c:v>86.805555555555557</c:v>
                </c:pt>
                <c:pt idx="8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2720"/>
        <c:axId val="19155311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16.175039999999999</c:v>
                </c:pt>
                <c:pt idx="4">
                  <c:v>30.835600000000003</c:v>
                </c:pt>
                <c:pt idx="5">
                  <c:v>53.8322</c:v>
                </c:pt>
                <c:pt idx="6">
                  <c:v>69.72</c:v>
                </c:pt>
                <c:pt idx="7">
                  <c:v>90.417600000000007</c:v>
                </c:pt>
                <c:pt idx="8">
                  <c:v>124.68819999999999</c:v>
                </c:pt>
                <c:pt idx="9">
                  <c:v>160.79139999999998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54288"/>
        <c:axId val="191553896"/>
      </c:scatterChart>
      <c:valAx>
        <c:axId val="191552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553112"/>
        <c:crossesAt val="-40"/>
        <c:crossBetween val="midCat"/>
        <c:majorUnit val="20"/>
      </c:valAx>
      <c:valAx>
        <c:axId val="1915531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552720"/>
        <c:crosses val="autoZero"/>
        <c:crossBetween val="midCat"/>
      </c:valAx>
      <c:valAx>
        <c:axId val="19155389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554288"/>
        <c:crosses val="max"/>
        <c:crossBetween val="midCat"/>
        <c:majorUnit val="40"/>
      </c:valAx>
      <c:valAx>
        <c:axId val="191554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55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76.145224171539965</c:v>
                </c:pt>
                <c:pt idx="8">
                  <c:v>86.805555555555557</c:v>
                </c:pt>
                <c:pt idx="9">
                  <c:v>95.741421568627459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2.0444631362320002E-2</c:v>
                </c:pt>
                <c:pt idx="4">
                  <c:v>4.0104764854640006E-2</c:v>
                </c:pt>
                <c:pt idx="5">
                  <c:v>7.0943711379840013E-2</c:v>
                </c:pt>
                <c:pt idx="6">
                  <c:v>9.2249600711440005E-2</c:v>
                </c:pt>
                <c:pt idx="7">
                  <c:v>0.12000553765864003</c:v>
                </c:pt>
                <c:pt idx="8">
                  <c:v>0.16596316621184001</c:v>
                </c:pt>
                <c:pt idx="9">
                  <c:v>0.21437835168223998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85008"/>
        <c:axId val="191947224"/>
      </c:scatterChart>
      <c:valAx>
        <c:axId val="19008500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947224"/>
        <c:crosses val="autoZero"/>
        <c:crossBetween val="midCat"/>
      </c:valAx>
      <c:valAx>
        <c:axId val="191947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0085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178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2702.6697175951012</c:v>
                </c:pt>
                <c:pt idx="1">
                  <c:v>7138.4866811744396</c:v>
                </c:pt>
                <c:pt idx="2">
                  <c:v>15005.216013525915</c:v>
                </c:pt>
                <c:pt idx="3">
                  <c:v>18841.911270834102</c:v>
                </c:pt>
                <c:pt idx="4">
                  <c:v>24640.848642300854</c:v>
                </c:pt>
                <c:pt idx="5">
                  <c:v>30346.002469076866</c:v>
                </c:pt>
                <c:pt idx="6">
                  <c:v>32922.1559679731</c:v>
                </c:pt>
                <c:pt idx="7">
                  <c:v>35104.339970826579</c:v>
                </c:pt>
                <c:pt idx="8">
                  <c:v>38241.653832148877</c:v>
                </c:pt>
                <c:pt idx="9">
                  <c:v>42517.670928599298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8400"/>
        <c:axId val="191948008"/>
      </c:scatterChart>
      <c:valAx>
        <c:axId val="1919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948008"/>
        <c:crosses val="autoZero"/>
        <c:crossBetween val="midCat"/>
      </c:valAx>
      <c:valAx>
        <c:axId val="191948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94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35087.719298245618</c:v>
                </c:pt>
                <c:pt idx="8">
                  <c:v>40000</c:v>
                </c:pt>
                <c:pt idx="9">
                  <c:v>44117.647058823532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3.273865381871955E-3</c:v>
                </c:pt>
                <c:pt idx="4">
                  <c:v>6.4762696556799728E-3</c:v>
                </c:pt>
                <c:pt idx="5">
                  <c:v>1.0319622855798637E-2</c:v>
                </c:pt>
                <c:pt idx="6">
                  <c:v>1.2378840971476832E-2</c:v>
                </c:pt>
                <c:pt idx="7">
                  <c:v>1.5241418717777001E-2</c:v>
                </c:pt>
                <c:pt idx="8">
                  <c:v>1.9069713553571042E-2</c:v>
                </c:pt>
                <c:pt idx="9">
                  <c:v>2.2799492165419263E-2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2320"/>
        <c:axId val="191947616"/>
      </c:scatterChart>
      <c:valAx>
        <c:axId val="19195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1947616"/>
        <c:crosses val="autoZero"/>
        <c:crossBetween val="midCat"/>
      </c:valAx>
      <c:valAx>
        <c:axId val="19194761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195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Ard4_Turn4_ESC4_G4b_T4a!$E$2:$E$12</c:f>
              <c:numCache>
                <c:formatCode>General</c:formatCode>
                <c:ptCount val="11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0.88100000000000001</c:v>
                </c:pt>
                <c:pt idx="5">
                  <c:v>1.2849999999999999</c:v>
                </c:pt>
                <c:pt idx="6">
                  <c:v>1.702</c:v>
                </c:pt>
                <c:pt idx="7">
                  <c:v>1.9330000000000001</c:v>
                </c:pt>
                <c:pt idx="8">
                  <c:v>2.1789999999999998</c:v>
                </c:pt>
                <c:pt idx="9">
                  <c:v>2.5299999999999998</c:v>
                </c:pt>
                <c:pt idx="10">
                  <c:v>2.82</c:v>
                </c:pt>
              </c:numCache>
            </c:numRef>
          </c:xVal>
          <c:yVal>
            <c:numRef>
              <c:f>Ard4_Turn4_ESC4_G4b_T4a!$Q$2:$Q$12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11194.029850746268</c:v>
                </c:pt>
                <c:pt idx="5">
                  <c:v>16483.516483516483</c:v>
                </c:pt>
                <c:pt idx="6">
                  <c:v>21897.810218978102</c:v>
                </c:pt>
                <c:pt idx="7">
                  <c:v>24793.388429752067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6048"/>
        <c:axId val="191952712"/>
      </c:scatterChart>
      <c:valAx>
        <c:axId val="19194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52712"/>
        <c:crosses val="autoZero"/>
        <c:crossBetween val="midCat"/>
      </c:valAx>
      <c:valAx>
        <c:axId val="19195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94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3496"/>
        <c:axId val="191951928"/>
      </c:scatterChart>
      <c:valAx>
        <c:axId val="19195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51928"/>
        <c:crosses val="autoZero"/>
        <c:crossBetween val="midCat"/>
      </c:valAx>
      <c:valAx>
        <c:axId val="191951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1953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Ard4_Turn4_ESC4_G4b_T4a!$K$39:$K$42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Ard4_Turn4_ESC4_G4b_T4a!$AN$6:$AN$12</c:f>
              <c:numCache>
                <c:formatCode>0.0</c:formatCode>
                <c:ptCount val="7"/>
                <c:pt idx="0">
                  <c:v>24.942809896736904</c:v>
                </c:pt>
                <c:pt idx="1">
                  <c:v>37.643012374179307</c:v>
                </c:pt>
                <c:pt idx="2">
                  <c:v>50.137820323223224</c:v>
                </c:pt>
                <c:pt idx="3">
                  <c:v>55.779831773448365</c:v>
                </c:pt>
                <c:pt idx="4">
                  <c:v>60.559014044952193</c:v>
                </c:pt>
                <c:pt idx="5">
                  <c:v>67.430017941309458</c:v>
                </c:pt>
                <c:pt idx="6">
                  <c:v>76.794885923698061</c:v>
                </c:pt>
              </c:numCache>
            </c:numRef>
          </c:xVal>
          <c:yVal>
            <c:numRef>
              <c:f>Ard4_Turn4_ESC4_G4b_T4a!$AU$6:$AU$12</c:f>
              <c:numCache>
                <c:formatCode>0.000</c:formatCode>
                <c:ptCount val="7"/>
                <c:pt idx="0">
                  <c:v>0.29692029224161343</c:v>
                </c:pt>
                <c:pt idx="1">
                  <c:v>0.15695879353255432</c:v>
                </c:pt>
                <c:pt idx="2">
                  <c:v>9.7999999999999962E-2</c:v>
                </c:pt>
                <c:pt idx="3">
                  <c:v>7.8225374330881212E-2</c:v>
                </c:pt>
                <c:pt idx="4">
                  <c:v>6.6213130977944956E-2</c:v>
                </c:pt>
                <c:pt idx="5">
                  <c:v>5.2316497243566365E-2</c:v>
                </c:pt>
                <c:pt idx="6">
                  <c:v>4.0932229358955928E-2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0</c:v>
                </c:pt>
                <c:pt idx="1">
                  <c:v>16.540096866619763</c:v>
                </c:pt>
                <c:pt idx="2">
                  <c:v>24.942809896736904</c:v>
                </c:pt>
                <c:pt idx="3">
                  <c:v>37.643012374179307</c:v>
                </c:pt>
                <c:pt idx="4">
                  <c:v>50.137820323223224</c:v>
                </c:pt>
                <c:pt idx="5">
                  <c:v>55.779831773448365</c:v>
                </c:pt>
                <c:pt idx="6">
                  <c:v>60.559014044952193</c:v>
                </c:pt>
                <c:pt idx="7">
                  <c:v>67.430017941309458</c:v>
                </c:pt>
                <c:pt idx="8">
                  <c:v>76.794885923698061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0.125818603177664</c:v>
                </c:pt>
                <c:pt idx="1">
                  <c:v>8.4651014853752968E-2</c:v>
                </c:pt>
                <c:pt idx="2">
                  <c:v>7.3001555323770131E-2</c:v>
                </c:pt>
                <c:pt idx="3">
                  <c:v>6.0431717885961765E-2</c:v>
                </c:pt>
                <c:pt idx="4">
                  <c:v>5.167748909954361E-2</c:v>
                </c:pt>
                <c:pt idx="5">
                  <c:v>4.8504700353765438E-2</c:v>
                </c:pt>
                <c:pt idx="6">
                  <c:v>4.6106835515446754E-2</c:v>
                </c:pt>
                <c:pt idx="7">
                  <c:v>4.3047313865158747E-2</c:v>
                </c:pt>
                <c:pt idx="8">
                  <c:v>3.9476944024845896E-2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46832"/>
        <c:axId val="191948792"/>
      </c:scatterChart>
      <c:valAx>
        <c:axId val="19194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48792"/>
        <c:crosses val="autoZero"/>
        <c:crossBetween val="midCat"/>
      </c:valAx>
      <c:valAx>
        <c:axId val="1919487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19468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0752"/>
        <c:axId val="191949184"/>
      </c:scatterChart>
      <c:valAx>
        <c:axId val="1919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949184"/>
        <c:crosses val="autoZero"/>
        <c:crossBetween val="midCat"/>
      </c:valAx>
      <c:valAx>
        <c:axId val="19194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19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1192"/>
        <c:axId val="192056288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6680"/>
        <c:axId val="192061776"/>
      </c:scatterChart>
      <c:valAx>
        <c:axId val="19205119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2056288"/>
        <c:crossesAt val="-40"/>
        <c:crossBetween val="midCat"/>
        <c:majorUnit val="20"/>
      </c:valAx>
      <c:valAx>
        <c:axId val="192056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2051192"/>
        <c:crosses val="autoZero"/>
        <c:crossBetween val="midCat"/>
      </c:valAx>
      <c:valAx>
        <c:axId val="1920617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2056680"/>
        <c:crosses val="max"/>
        <c:crossBetween val="midCat"/>
        <c:majorUnit val="40"/>
      </c:valAx>
      <c:valAx>
        <c:axId val="192056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6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92632"/>
        <c:axId val="154225392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6384"/>
        <c:axId val="154225784"/>
      </c:scatterChart>
      <c:valAx>
        <c:axId val="15579263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4225392"/>
        <c:crossesAt val="-40"/>
        <c:crossBetween val="midCat"/>
        <c:majorUnit val="20"/>
      </c:valAx>
      <c:valAx>
        <c:axId val="154225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5792632"/>
        <c:crosses val="autoZero"/>
        <c:crossBetween val="midCat"/>
      </c:valAx>
      <c:valAx>
        <c:axId val="1542257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96384"/>
        <c:crosses val="max"/>
        <c:crossBetween val="midCat"/>
        <c:majorUnit val="40"/>
      </c:valAx>
      <c:valAx>
        <c:axId val="157396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2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5896"/>
        <c:axId val="192059032"/>
      </c:scatterChart>
      <c:valAx>
        <c:axId val="19205589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2059032"/>
        <c:crosses val="autoZero"/>
        <c:crossBetween val="midCat"/>
      </c:valAx>
      <c:valAx>
        <c:axId val="192059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2055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3936"/>
        <c:axId val="192053152"/>
      </c:scatterChart>
      <c:valAx>
        <c:axId val="19205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2053152"/>
        <c:crosses val="autoZero"/>
        <c:crossBetween val="midCat"/>
      </c:valAx>
      <c:valAx>
        <c:axId val="19205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205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5504"/>
        <c:axId val="192053544"/>
      </c:scatterChart>
      <c:valAx>
        <c:axId val="19205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2053544"/>
        <c:crosses val="autoZero"/>
        <c:crossBetween val="midCat"/>
      </c:valAx>
      <c:valAx>
        <c:axId val="1920535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2055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4328"/>
        <c:axId val="192055112"/>
      </c:scatterChart>
      <c:valAx>
        <c:axId val="19205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55112"/>
        <c:crosses val="autoZero"/>
        <c:crossBetween val="midCat"/>
      </c:valAx>
      <c:valAx>
        <c:axId val="192055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054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1584"/>
        <c:axId val="192052368"/>
      </c:scatterChart>
      <c:valAx>
        <c:axId val="1920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52368"/>
        <c:crosses val="autoZero"/>
        <c:crossBetween val="midCat"/>
      </c:valAx>
      <c:valAx>
        <c:axId val="1920523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20515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0.48492684083813109</c:v>
                </c:pt>
                <c:pt idx="1">
                  <c:v>0.33604533450080026</c:v>
                </c:pt>
                <c:pt idx="2">
                  <c:v>0.19939724781604101</c:v>
                </c:pt>
                <c:pt idx="3">
                  <c:v>0.13208671617779957</c:v>
                </c:pt>
                <c:pt idx="4">
                  <c:v>9.4535035180953214E-2</c:v>
                </c:pt>
                <c:pt idx="5">
                  <c:v>7.0814848720512219E-2</c:v>
                </c:pt>
                <c:pt idx="6">
                  <c:v>6.7982049109367726E-2</c:v>
                </c:pt>
                <c:pt idx="7">
                  <c:v>5.990401158157245E-2</c:v>
                </c:pt>
                <c:pt idx="8">
                  <c:v>4.8891656052354585E-2</c:v>
                </c:pt>
                <c:pt idx="9">
                  <c:v>4.0233677325012464E-2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4720"/>
        <c:axId val="192061384"/>
      </c:scatterChart>
      <c:valAx>
        <c:axId val="19205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61384"/>
        <c:crosses val="autoZero"/>
        <c:crossBetween val="midCat"/>
      </c:valAx>
      <c:valAx>
        <c:axId val="1920613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205472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2168"/>
        <c:axId val="192057464"/>
      </c:scatterChart>
      <c:valAx>
        <c:axId val="19206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7464"/>
        <c:crosses val="autoZero"/>
        <c:crossBetween val="midCat"/>
      </c:valAx>
      <c:valAx>
        <c:axId val="19205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2560"/>
        <c:axId val="192058248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59816"/>
        <c:axId val="192058640"/>
      </c:scatterChart>
      <c:valAx>
        <c:axId val="1920625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8248"/>
        <c:crossesAt val="-40"/>
        <c:crossBetween val="midCat"/>
        <c:majorUnit val="20"/>
      </c:valAx>
      <c:valAx>
        <c:axId val="1920582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2560"/>
        <c:crosses val="autoZero"/>
        <c:crossBetween val="midCat"/>
      </c:valAx>
      <c:valAx>
        <c:axId val="192058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59816"/>
        <c:crosses val="max"/>
        <c:crossBetween val="midCat"/>
        <c:majorUnit val="40"/>
      </c:valAx>
      <c:valAx>
        <c:axId val="192059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0992"/>
        <c:axId val="192064128"/>
      </c:scatterChart>
      <c:valAx>
        <c:axId val="19206099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2064128"/>
        <c:crosses val="autoZero"/>
        <c:crossBetween val="midCat"/>
      </c:valAx>
      <c:valAx>
        <c:axId val="19206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06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4912"/>
        <c:axId val="192066088"/>
      </c:scatterChart>
      <c:valAx>
        <c:axId val="19206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6088"/>
        <c:crosses val="autoZero"/>
        <c:crossBetween val="midCat"/>
      </c:valAx>
      <c:valAx>
        <c:axId val="192066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64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3640"/>
        <c:axId val="157389328"/>
      </c:scatterChart>
      <c:valAx>
        <c:axId val="15739364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389328"/>
        <c:crosses val="autoZero"/>
        <c:crossBetween val="midCat"/>
      </c:valAx>
      <c:valAx>
        <c:axId val="15738932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93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3344"/>
        <c:axId val="192065304"/>
      </c:scatterChart>
      <c:valAx>
        <c:axId val="19206334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2065304"/>
        <c:crosses val="autoZero"/>
        <c:crossBetween val="midCat"/>
      </c:valAx>
      <c:valAx>
        <c:axId val="19206530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206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14325.206369365125</c:v>
                </c:pt>
                <c:pt idx="1">
                  <c:v>20926.458144585544</c:v>
                </c:pt>
                <c:pt idx="2">
                  <c:v>24920.783063071616</c:v>
                </c:pt>
                <c:pt idx="3">
                  <c:v>28532.678335779932</c:v>
                </c:pt>
                <c:pt idx="4">
                  <c:v>30458.149766609586</c:v>
                </c:pt>
                <c:pt idx="5">
                  <c:v>32301.322238718505</c:v>
                </c:pt>
                <c:pt idx="6">
                  <c:v>33703.595655493671</c:v>
                </c:pt>
                <c:pt idx="7">
                  <c:v>34300.653582510058</c:v>
                </c:pt>
                <c:pt idx="8">
                  <c:v>35428.801152304775</c:v>
                </c:pt>
                <c:pt idx="9">
                  <c:v>35962.997218064818</c:v>
                </c:pt>
                <c:pt idx="10">
                  <c:v>36978.241730637383</c:v>
                </c:pt>
                <c:pt idx="11">
                  <c:v>38021.973044728336</c:v>
                </c:pt>
                <c:pt idx="12">
                  <c:v>39254.567170181341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0.14203361129741821</c:v>
                </c:pt>
                <c:pt idx="1">
                  <c:v>7.8441634927232592E-2</c:v>
                </c:pt>
                <c:pt idx="2">
                  <c:v>6.0700084486058022E-2</c:v>
                </c:pt>
                <c:pt idx="3">
                  <c:v>4.6653481817654281E-2</c:v>
                </c:pt>
                <c:pt idx="4">
                  <c:v>4.1644320860714609E-2</c:v>
                </c:pt>
                <c:pt idx="5">
                  <c:v>3.619112368785226E-2</c:v>
                </c:pt>
                <c:pt idx="6">
                  <c:v>3.500000000000001E-2</c:v>
                </c:pt>
                <c:pt idx="7">
                  <c:v>3.2689768623894486E-2</c:v>
                </c:pt>
                <c:pt idx="8">
                  <c:v>2.9753446599529693E-2</c:v>
                </c:pt>
                <c:pt idx="9">
                  <c:v>2.7998565316490004E-2</c:v>
                </c:pt>
                <c:pt idx="10">
                  <c:v>2.5971239513606203E-2</c:v>
                </c:pt>
                <c:pt idx="11">
                  <c:v>2.4411912815867933E-2</c:v>
                </c:pt>
                <c:pt idx="12">
                  <c:v>2.4411912815867933E-2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62952"/>
        <c:axId val="193921112"/>
      </c:scatterChart>
      <c:valAx>
        <c:axId val="19206295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21112"/>
        <c:crosses val="autoZero"/>
        <c:crossBetween val="midCat"/>
      </c:valAx>
      <c:valAx>
        <c:axId val="193921112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2062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0128"/>
        <c:axId val="193929344"/>
      </c:scatterChart>
      <c:valAx>
        <c:axId val="19393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344"/>
        <c:crosses val="autoZero"/>
        <c:crossBetween val="midCat"/>
      </c:valAx>
      <c:valAx>
        <c:axId val="1939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2680"/>
        <c:axId val="193925424"/>
      </c:scatterChart>
      <c:valAx>
        <c:axId val="19392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5424"/>
        <c:crosses val="autoZero"/>
        <c:crossBetween val="midCat"/>
      </c:valAx>
      <c:valAx>
        <c:axId val="19392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2.799353244570074</c:v>
                </c:pt>
                <c:pt idx="1">
                  <c:v>3.7696163445658417</c:v>
                </c:pt>
                <c:pt idx="2">
                  <c:v>3.560689812547742</c:v>
                </c:pt>
                <c:pt idx="3">
                  <c:v>3.5602634267981608</c:v>
                </c:pt>
                <c:pt idx="4">
                  <c:v>3.3167624763916268</c:v>
                </c:pt>
                <c:pt idx="5">
                  <c:v>3.3058356918574745</c:v>
                </c:pt>
                <c:pt idx="6">
                  <c:v>3.2575641760777447</c:v>
                </c:pt>
                <c:pt idx="7">
                  <c:v>3.0546082893296536</c:v>
                </c:pt>
                <c:pt idx="8" formatCode="0.000">
                  <c:v>3.1687123532286252</c:v>
                </c:pt>
                <c:pt idx="9">
                  <c:v>3.0428683499485185</c:v>
                </c:pt>
                <c:pt idx="10">
                  <c:v>2.9245275059281499</c:v>
                </c:pt>
                <c:pt idx="11">
                  <c:v>2.8771345283911018</c:v>
                </c:pt>
                <c:pt idx="12">
                  <c:v>2.7978144821744242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5816"/>
        <c:axId val="193923464"/>
      </c:scatterChart>
      <c:valAx>
        <c:axId val="193925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3464"/>
        <c:crosses val="autoZero"/>
        <c:crossBetween val="midCat"/>
      </c:valAx>
      <c:valAx>
        <c:axId val="1939234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1896"/>
        <c:axId val="193927776"/>
      </c:scatterChart>
      <c:valAx>
        <c:axId val="193921896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3927776"/>
        <c:crosses val="autoZero"/>
        <c:crossBetween val="midCat"/>
        <c:minorUnit val="2"/>
      </c:valAx>
      <c:valAx>
        <c:axId val="193927776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3921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6992"/>
        <c:axId val="193932480"/>
      </c:scatterChart>
      <c:valAx>
        <c:axId val="1939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480"/>
        <c:crosses val="autoZero"/>
        <c:crossBetween val="midCat"/>
      </c:valAx>
      <c:valAx>
        <c:axId val="1939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8560"/>
        <c:axId val="193925032"/>
      </c:scatterChart>
      <c:valAx>
        <c:axId val="19392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5032"/>
        <c:crosses val="autoZero"/>
        <c:crossBetween val="midCat"/>
      </c:valAx>
      <c:valAx>
        <c:axId val="193925032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77-4835-9A92-B071E0010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4640"/>
        <c:axId val="193929736"/>
      </c:scatterChart>
      <c:valAx>
        <c:axId val="1939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9736"/>
        <c:crosses val="autoZero"/>
        <c:crossBetween val="midCat"/>
      </c:valAx>
      <c:valAx>
        <c:axId val="19392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0912"/>
        <c:axId val="193922288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06-4D4F-8236-18049983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1304"/>
        <c:axId val="193920720"/>
      </c:scatterChart>
      <c:valAx>
        <c:axId val="19393091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2288"/>
        <c:crossesAt val="-40"/>
        <c:crossBetween val="midCat"/>
        <c:majorUnit val="20"/>
      </c:valAx>
      <c:valAx>
        <c:axId val="19392228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0912"/>
        <c:crosses val="autoZero"/>
        <c:crossBetween val="midCat"/>
      </c:valAx>
      <c:valAx>
        <c:axId val="19392072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1304"/>
        <c:crosses val="max"/>
        <c:crossBetween val="midCat"/>
        <c:majorUnit val="40"/>
      </c:valAx>
      <c:valAx>
        <c:axId val="193931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2464"/>
        <c:axId val="157389720"/>
      </c:scatterChart>
      <c:valAx>
        <c:axId val="1573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89720"/>
        <c:crosses val="autoZero"/>
        <c:crossBetween val="midCat"/>
      </c:valAx>
      <c:valAx>
        <c:axId val="157389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573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EC-48D1-9936-E0150E8FA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2088"/>
        <c:axId val="193931696"/>
      </c:scatterChart>
      <c:valAx>
        <c:axId val="1939320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31696"/>
        <c:crosses val="autoZero"/>
        <c:crossBetween val="midCat"/>
      </c:valAx>
      <c:valAx>
        <c:axId val="193931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3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C3-4020-8DA4-74462AE05726}"/>
            </c:ext>
          </c:extLst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7C3-4020-8DA4-74462AE05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21504"/>
        <c:axId val="193932872"/>
      </c:scatterChart>
      <c:valAx>
        <c:axId val="19392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32872"/>
        <c:crosses val="autoZero"/>
        <c:crossBetween val="midCat"/>
      </c:valAx>
      <c:valAx>
        <c:axId val="193932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42E-4EF8-B020-3A7DB84E2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3656"/>
        <c:axId val="193934832"/>
      </c:scatterChart>
      <c:valAx>
        <c:axId val="1939336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3934832"/>
        <c:crosses val="autoZero"/>
        <c:crossBetween val="midCat"/>
      </c:valAx>
      <c:valAx>
        <c:axId val="1939348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3933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71-47BF-AC1A-CB6B8C4E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3264"/>
        <c:axId val="193934048"/>
      </c:scatterChart>
      <c:valAx>
        <c:axId val="193933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3934048"/>
        <c:crosses val="autoZero"/>
        <c:crossBetween val="midCat"/>
        <c:dispUnits>
          <c:builtInUnit val="thousands"/>
          <c:dispUnitsLbl/>
        </c:dispUnits>
      </c:valAx>
      <c:valAx>
        <c:axId val="19393404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33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22-4D8F-88D8-AD25985A22DF}"/>
            </c:ext>
          </c:extLst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22-4D8F-88D8-AD25985A2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35224"/>
        <c:axId val="194927704"/>
      </c:scatterChart>
      <c:valAx>
        <c:axId val="19393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27704"/>
        <c:crosses val="autoZero"/>
        <c:crossBetween val="midCat"/>
      </c:valAx>
      <c:valAx>
        <c:axId val="19492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935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7F-43B3-9696-B3702263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5744"/>
        <c:axId val="194931232"/>
      </c:scatterChart>
      <c:valAx>
        <c:axId val="19492574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4931232"/>
        <c:crosses val="autoZero"/>
        <c:crossBetween val="midCat"/>
      </c:valAx>
      <c:valAx>
        <c:axId val="194931232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949257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3F-4427-BCB4-7B3C0AC94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6920"/>
        <c:axId val="194924960"/>
      </c:scatterChart>
      <c:valAx>
        <c:axId val="19492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4960"/>
        <c:crosses val="autoZero"/>
        <c:crossBetween val="midCat"/>
      </c:valAx>
      <c:valAx>
        <c:axId val="19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6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58-4C5D-9A1B-D245FFA2C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3584"/>
        <c:axId val="194936328"/>
      </c:scatterChart>
      <c:valAx>
        <c:axId val="19493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6328"/>
        <c:crosses val="autoZero"/>
        <c:crossBetween val="midCat"/>
      </c:valAx>
      <c:valAx>
        <c:axId val="1949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5544"/>
        <c:axId val="19493201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55-47EE-B0F1-21A78D63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3976"/>
        <c:axId val="194931624"/>
      </c:scatterChart>
      <c:valAx>
        <c:axId val="1949355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2016"/>
        <c:crosses val="autoZero"/>
        <c:crossBetween val="midCat"/>
      </c:valAx>
      <c:valAx>
        <c:axId val="19493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5544"/>
        <c:crosses val="autoZero"/>
        <c:crossBetween val="midCat"/>
      </c:valAx>
      <c:valAx>
        <c:axId val="194931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3976"/>
        <c:crosses val="max"/>
        <c:crossBetween val="midCat"/>
      </c:valAx>
      <c:valAx>
        <c:axId val="194933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3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D0-47A1-B0A1-CF90C42A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6720"/>
        <c:axId val="194926136"/>
      </c:scatterChart>
      <c:valAx>
        <c:axId val="19493672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26136"/>
        <c:crosses val="autoZero"/>
        <c:crossBetween val="midCat"/>
      </c:valAx>
      <c:valAx>
        <c:axId val="194926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3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0896"/>
        <c:axId val="157394424"/>
      </c:scatterChart>
      <c:valAx>
        <c:axId val="15739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7394424"/>
        <c:crosses val="autoZero"/>
        <c:crossBetween val="midCat"/>
      </c:valAx>
      <c:valAx>
        <c:axId val="15739442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57390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799-410A-9B96-249A60152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2800"/>
        <c:axId val="194927312"/>
      </c:scatterChart>
      <c:valAx>
        <c:axId val="1949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27312"/>
        <c:crosses val="autoZero"/>
        <c:crossBetween val="midCat"/>
      </c:valAx>
      <c:valAx>
        <c:axId val="19492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32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C3-4461-9C5E-F72795B55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3192"/>
        <c:axId val="194926528"/>
      </c:scatterChart>
      <c:valAx>
        <c:axId val="19493319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6528"/>
        <c:crosses val="autoZero"/>
        <c:crossBetween val="midCat"/>
      </c:valAx>
      <c:valAx>
        <c:axId val="1949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319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22-4BE5-A55F-4C68F164F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4368"/>
        <c:axId val="194929664"/>
      </c:scatterChart>
      <c:valAx>
        <c:axId val="19493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9664"/>
        <c:crosses val="autoZero"/>
        <c:crossBetween val="midCat"/>
      </c:valAx>
      <c:valAx>
        <c:axId val="1949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39-424D-BA00-477BBA469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28488"/>
        <c:axId val="194928880"/>
      </c:scatterChart>
      <c:valAx>
        <c:axId val="19492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8880"/>
        <c:crosses val="autoZero"/>
        <c:crossBetween val="midCat"/>
      </c:valAx>
      <c:valAx>
        <c:axId val="1949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8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C34-48A1-B0A8-ACFD42675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0840"/>
        <c:axId val="194940248"/>
      </c:scatterChart>
      <c:valAx>
        <c:axId val="19493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0248"/>
        <c:crosses val="autoZero"/>
        <c:crossBetween val="midCat"/>
      </c:valAx>
      <c:valAx>
        <c:axId val="1949402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2072"/>
        <c:axId val="157391680"/>
      </c:scatterChart>
      <c:valAx>
        <c:axId val="157392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391680"/>
        <c:crosses val="autoZero"/>
        <c:crossBetween val="midCat"/>
      </c:valAx>
      <c:valAx>
        <c:axId val="1573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392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5.xml"/><Relationship Id="rId3" Type="http://schemas.openxmlformats.org/officeDocument/2006/relationships/chart" Target="../charts/chart70.xml"/><Relationship Id="rId7" Type="http://schemas.openxmlformats.org/officeDocument/2006/relationships/chart" Target="../charts/chart74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6" Type="http://schemas.openxmlformats.org/officeDocument/2006/relationships/chart" Target="../charts/chart73.xml"/><Relationship Id="rId5" Type="http://schemas.openxmlformats.org/officeDocument/2006/relationships/chart" Target="../charts/chart72.xml"/><Relationship Id="rId4" Type="http://schemas.openxmlformats.org/officeDocument/2006/relationships/chart" Target="../charts/chart7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5" Type="http://schemas.openxmlformats.org/officeDocument/2006/relationships/chart" Target="../charts/chart80.xml"/><Relationship Id="rId4" Type="http://schemas.openxmlformats.org/officeDocument/2006/relationships/chart" Target="../charts/chart7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5.xml"/><Relationship Id="rId3" Type="http://schemas.openxmlformats.org/officeDocument/2006/relationships/chart" Target="../charts/chart50.xml"/><Relationship Id="rId7" Type="http://schemas.openxmlformats.org/officeDocument/2006/relationships/chart" Target="../charts/chart54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Relationship Id="rId6" Type="http://schemas.openxmlformats.org/officeDocument/2006/relationships/chart" Target="../charts/chart53.xml"/><Relationship Id="rId5" Type="http://schemas.openxmlformats.org/officeDocument/2006/relationships/chart" Target="../charts/chart52.xml"/><Relationship Id="rId4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11" Type="http://schemas.openxmlformats.org/officeDocument/2006/relationships/chart" Target="../charts/chart66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A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A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58208</xdr:colOff>
      <xdr:row>1</xdr:row>
      <xdr:rowOff>67733</xdr:rowOff>
    </xdr:from>
    <xdr:to>
      <xdr:col>13</xdr:col>
      <xdr:colOff>365125</xdr:colOff>
      <xdr:row>17</xdr:row>
      <xdr:rowOff>16933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B78417F-5B2F-43A4-A5A9-8422EDDB6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00000000-0008-0000-0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8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335824</xdr:colOff>
      <xdr:row>15</xdr:row>
      <xdr:rowOff>39189</xdr:rowOff>
    </xdr:from>
    <xdr:to>
      <xdr:col>28</xdr:col>
      <xdr:colOff>552449</xdr:colOff>
      <xdr:row>29</xdr:row>
      <xdr:rowOff>158938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8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4.4" x14ac:dyDescent="0.3"/>
  <sheetData>
    <row r="1" spans="1:32" x14ac:dyDescent="0.3">
      <c r="A1" t="s">
        <v>306</v>
      </c>
      <c r="B1" t="s">
        <v>307</v>
      </c>
      <c r="C1" t="s">
        <v>318</v>
      </c>
      <c r="D1" t="s">
        <v>339</v>
      </c>
      <c r="E1" t="s">
        <v>340</v>
      </c>
      <c r="F1" t="s">
        <v>308</v>
      </c>
      <c r="G1" t="s">
        <v>309</v>
      </c>
      <c r="H1" t="s">
        <v>319</v>
      </c>
      <c r="I1" t="s">
        <v>328</v>
      </c>
      <c r="J1" t="s">
        <v>329</v>
      </c>
      <c r="K1" t="s">
        <v>310</v>
      </c>
      <c r="L1" t="s">
        <v>311</v>
      </c>
      <c r="M1" t="s">
        <v>320</v>
      </c>
      <c r="N1" t="s">
        <v>330</v>
      </c>
      <c r="O1" t="s">
        <v>331</v>
      </c>
      <c r="P1" t="s">
        <v>312</v>
      </c>
      <c r="Q1" t="s">
        <v>313</v>
      </c>
      <c r="R1" t="s">
        <v>321</v>
      </c>
      <c r="S1" t="s">
        <v>334</v>
      </c>
      <c r="T1" t="s">
        <v>333</v>
      </c>
      <c r="U1" t="s">
        <v>314</v>
      </c>
      <c r="V1" t="s">
        <v>315</v>
      </c>
      <c r="W1" t="s">
        <v>322</v>
      </c>
      <c r="X1" t="s">
        <v>332</v>
      </c>
      <c r="Y1" t="s">
        <v>335</v>
      </c>
      <c r="Z1" t="s">
        <v>316</v>
      </c>
      <c r="AA1" t="s">
        <v>317</v>
      </c>
      <c r="AB1" t="s">
        <v>323</v>
      </c>
      <c r="AC1" t="s">
        <v>337</v>
      </c>
      <c r="AD1" t="s">
        <v>338</v>
      </c>
      <c r="AE1" t="s">
        <v>324</v>
      </c>
      <c r="AF1" t="s">
        <v>325</v>
      </c>
    </row>
    <row r="2" spans="1:32" x14ac:dyDescent="0.3">
      <c r="A2">
        <f>CalPhotonTurnigy!D3</f>
        <v>10.076726574109877</v>
      </c>
      <c r="B2" s="174">
        <f>CalPhotonTurnigy!O3</f>
        <v>5.9999999999999995E-25</v>
      </c>
      <c r="C2" s="174">
        <f>C3</f>
        <v>1683.2891657203099</v>
      </c>
      <c r="D2" s="174">
        <f t="shared" ref="D2:D18" si="0">LN(A2)*$C$21+$B$21</f>
        <v>4719.8939848955088</v>
      </c>
      <c r="E2" s="174">
        <f>E3</f>
        <v>1055.3851558145041</v>
      </c>
      <c r="F2" s="96">
        <f>Ard0_Turn0_ESC0_G0b_T0a!D2</f>
        <v>6.0661220353948684</v>
      </c>
      <c r="G2" s="174">
        <f>Ard0_Turn0_ESC0_G0b_T0a!P2</f>
        <v>5.9999999999999995E-25</v>
      </c>
      <c r="H2" s="174">
        <f>H3</f>
        <v>2888.5237809565906</v>
      </c>
      <c r="I2" s="174">
        <f t="shared" ref="I2:I12" si="1">LN(F2)*$C$21+$B$21</f>
        <v>-1908.6802578632232</v>
      </c>
      <c r="J2" s="174">
        <f>J3</f>
        <v>1756.2524837821861</v>
      </c>
      <c r="K2" s="96">
        <f>Ard1_Turn1x_ESC1_G1b_T1a!D2</f>
        <v>5.3803300418278059</v>
      </c>
      <c r="L2" s="174">
        <f>Ard1_Turn1x_ESC1_G1b_T1a!P2</f>
        <v>5.9999999999999995E-25</v>
      </c>
      <c r="M2" s="174">
        <f>M3</f>
        <v>2862.9560668905519</v>
      </c>
      <c r="N2" s="174">
        <f t="shared" ref="N2:N9" si="2">LN(K2)*$C$21+$B$21</f>
        <v>-3475.6059285425108</v>
      </c>
      <c r="O2" s="174">
        <f>O3</f>
        <v>1977.8033061988792</v>
      </c>
      <c r="P2" s="96">
        <f>Ard2_Turn2_ESC2_G2b_T2a!D2</f>
        <v>5.7969930558608072</v>
      </c>
      <c r="Q2" s="174">
        <f>Ard2_Turn2_ESC2_G2b_T2a!P2</f>
        <v>5.9999999999999995E-25</v>
      </c>
      <c r="R2" s="174">
        <f>R3</f>
        <v>2676.0568181447202</v>
      </c>
      <c r="S2" s="174">
        <f t="shared" ref="S2:S13" si="3">LN(P2)*$C$21+$B$21</f>
        <v>-2501.3908218524557</v>
      </c>
      <c r="T2" s="174">
        <f>T3</f>
        <v>1793.7335530769128</v>
      </c>
      <c r="U2" s="96">
        <f>Ard3_Turn3_ESC3_G3b_T3a!D2</f>
        <v>6.6811957375597357</v>
      </c>
      <c r="V2" s="174">
        <f>Ard3_Turn3_ESC3_G3b_T3a!P2</f>
        <v>5.9999999999999995E-25</v>
      </c>
      <c r="W2" s="174">
        <f>W3</f>
        <v>3525.2595716631822</v>
      </c>
      <c r="X2" s="174">
        <f t="shared" ref="X2:X14" si="4">LN(U2)*$C$21+$B$21</f>
        <v>-647.28222051976991</v>
      </c>
      <c r="Y2" s="174">
        <f>Y3</f>
        <v>1678.1202657498468</v>
      </c>
      <c r="Z2" s="96">
        <f>Ard4_Turn4_ESC4_G4b_T4a!D2</f>
        <v>9.1059042173196207</v>
      </c>
      <c r="AA2" s="174">
        <f>Ard4_Turn4_ESC4_G4b_T4a!P2</f>
        <v>5.9999999999999995E-25</v>
      </c>
      <c r="AB2" s="174">
        <f>AB3</f>
        <v>4190.1301977858784</v>
      </c>
      <c r="AC2" s="174">
        <f t="shared" ref="AC2:AC5" si="5">LN(Z2)*$C$21+$B$21</f>
        <v>3396.7435410153012</v>
      </c>
      <c r="AD2" s="174">
        <f>AD3</f>
        <v>1303.0843738596254</v>
      </c>
      <c r="AE2">
        <f t="shared" ref="AE2:AE18" si="6">A2</f>
        <v>10.076726574109877</v>
      </c>
      <c r="AF2" s="174">
        <f t="shared" ref="AF2:AF18" si="7">B2</f>
        <v>5.9999999999999995E-25</v>
      </c>
    </row>
    <row r="3" spans="1:32" x14ac:dyDescent="0.3">
      <c r="A3">
        <f>CalPhotonTurnigy!D4</f>
        <v>15</v>
      </c>
      <c r="B3" s="174">
        <f>CalPhotonTurnigy!O4</f>
        <v>8287.2928176795576</v>
      </c>
      <c r="C3" s="174">
        <f>(B3-B2)/(A3-A2)</f>
        <v>1683.2891657203099</v>
      </c>
      <c r="D3" s="174">
        <f t="shared" si="0"/>
        <v>9915.8436765959632</v>
      </c>
      <c r="E3" s="174">
        <f>(D3-D2)/(A3-A2)</f>
        <v>1055.3851558145041</v>
      </c>
      <c r="F3" s="96">
        <f>Ard0_Turn0_ESC0_G0b_T0a!D3</f>
        <v>9</v>
      </c>
      <c r="G3" s="174">
        <f>Ard0_Turn0_ESC0_G0b_T0a!P3</f>
        <v>8474.5762711864409</v>
      </c>
      <c r="H3" s="174">
        <f>(G3-G2)/(F3-F2)</f>
        <v>2888.5237809565906</v>
      </c>
      <c r="I3" s="174">
        <f t="shared" si="1"/>
        <v>3243.9502045883637</v>
      </c>
      <c r="J3" s="174">
        <f>(I3-I2)/(F3-F2)</f>
        <v>1756.2524837821861</v>
      </c>
      <c r="K3" s="96">
        <f>Ard1_Turn1x_ESC1_G1b_T1a!D3</f>
        <v>8</v>
      </c>
      <c r="L3" s="174">
        <f>Ard1_Turn1x_ESC1_G1b_T1a!P3</f>
        <v>7500.0000000000009</v>
      </c>
      <c r="M3" s="174">
        <f>(L3-L2)/(K3-K2)</f>
        <v>2862.9560668905519</v>
      </c>
      <c r="N3" s="174">
        <f t="shared" si="2"/>
        <v>1705.5859758803344</v>
      </c>
      <c r="O3" s="174">
        <f>(N3-N2)/(K3-K2)</f>
        <v>1977.8033061988792</v>
      </c>
      <c r="P3" s="96">
        <f>Ard2_Turn2_ESC2_G2b_T2a!D3</f>
        <v>9</v>
      </c>
      <c r="Q3" s="174">
        <f>Ard2_Turn2_ESC2_G2b_T2a!P3</f>
        <v>8571.4285714285725</v>
      </c>
      <c r="R3" s="174">
        <f>(Q3-Q2)/(P3-P2)</f>
        <v>2676.0568181447202</v>
      </c>
      <c r="S3" s="174">
        <f t="shared" si="3"/>
        <v>3243.9502045883637</v>
      </c>
      <c r="T3" s="174">
        <f>(S3-S2)/(P3-P2)</f>
        <v>1793.7335530769128</v>
      </c>
      <c r="U3" s="96">
        <f>Ard3_Turn3_ESC3_G3b_T3a!D3</f>
        <v>9</v>
      </c>
      <c r="V3" s="174">
        <f>Ard3_Turn3_ESC3_G3b_T3a!P3</f>
        <v>8174.3869209809272</v>
      </c>
      <c r="W3" s="174">
        <f>(V3-V2)/(U3-U2)</f>
        <v>3525.2595716631822</v>
      </c>
      <c r="X3" s="174">
        <f t="shared" si="4"/>
        <v>3243.9502045883637</v>
      </c>
      <c r="Y3" s="174">
        <f>(X3-X2)/(U3-U2)</f>
        <v>1678.1202657498468</v>
      </c>
      <c r="Z3" s="96">
        <f>Ard4_Turn4_ESC4_G4b_T4a!D3</f>
        <v>11</v>
      </c>
      <c r="AA3" s="174">
        <f>Ard4_Turn4_ESC4_G4b_T4a!P3</f>
        <v>7936.5079365079364</v>
      </c>
      <c r="AB3" s="174">
        <f>(AA3-AA2)/(Z3-Z2)</f>
        <v>4190.1301977858784</v>
      </c>
      <c r="AC3" s="174">
        <f t="shared" si="5"/>
        <v>5864.9101580195202</v>
      </c>
      <c r="AD3" s="174">
        <f>(AC3-AC2)/(Z3-Z2)</f>
        <v>1303.0843738596254</v>
      </c>
      <c r="AE3">
        <f t="shared" si="6"/>
        <v>15</v>
      </c>
      <c r="AF3" s="174">
        <f t="shared" si="7"/>
        <v>8287.2928176795576</v>
      </c>
    </row>
    <row r="4" spans="1:32" x14ac:dyDescent="0.3">
      <c r="A4">
        <f>CalPhotonTurnigy!D5</f>
        <v>17</v>
      </c>
      <c r="B4" s="174">
        <f>CalPhotonTurnigy!O5</f>
        <v>9375</v>
      </c>
      <c r="C4" s="174">
        <f t="shared" ref="C4:C18" si="8">(B4-B3)/(A4-A3)</f>
        <v>543.85359116022119</v>
      </c>
      <c r="D4" s="174">
        <f t="shared" si="0"/>
        <v>11550.599486718238</v>
      </c>
      <c r="E4" s="174">
        <f t="shared" ref="E4:E18" si="9">(D4-D3)/(A4-A3)</f>
        <v>817.37790506113743</v>
      </c>
      <c r="F4" s="96">
        <f>Ard0_Turn0_ESC0_G0b_T0a!D4</f>
        <v>20</v>
      </c>
      <c r="G4" s="174">
        <f>Ard0_Turn0_ESC0_G0b_T0a!P4</f>
        <v>14851.485148514852</v>
      </c>
      <c r="H4" s="174">
        <f t="shared" ref="H4:H12" si="10">(G4-G3)/(F4-F3)</f>
        <v>579.71898884803738</v>
      </c>
      <c r="I4" s="174">
        <f t="shared" si="1"/>
        <v>13673.259224888672</v>
      </c>
      <c r="J4" s="174">
        <f t="shared" ref="J4:J12" si="11">(I4-I3)/(F4-F3)</f>
        <v>948.11900184548256</v>
      </c>
      <c r="K4" s="96">
        <f>Ard1_Turn1x_ESC1_G1b_T1a!D4</f>
        <v>12</v>
      </c>
      <c r="L4" s="174">
        <f>Ard1_Turn1x_ESC1_G1b_T1a!P4</f>
        <v>10830.324909747293</v>
      </c>
      <c r="M4" s="174">
        <f t="shared" ref="M4:M9" si="12">(L4-L3)/(K4-K3)</f>
        <v>832.58122743682293</v>
      </c>
      <c r="N4" s="174">
        <f t="shared" si="2"/>
        <v>7001.3657528810727</v>
      </c>
      <c r="O4" s="174">
        <f t="shared" ref="O4:O9" si="13">(N4-N3)/(K4-K3)</f>
        <v>1323.9449442501846</v>
      </c>
      <c r="P4" s="96">
        <f>Ard2_Turn2_ESC2_G2b_T2a!D4</f>
        <v>12</v>
      </c>
      <c r="Q4" s="174">
        <f>Ard2_Turn2_ESC2_G2b_T2a!P4</f>
        <v>9933.7748344370866</v>
      </c>
      <c r="R4" s="174">
        <f t="shared" ref="R4:R13" si="14">(Q4-Q3)/(P4-P3)</f>
        <v>454.11542100283805</v>
      </c>
      <c r="S4" s="174">
        <f t="shared" si="3"/>
        <v>7001.3657528810727</v>
      </c>
      <c r="T4" s="174">
        <f t="shared" ref="T4:T13" si="15">(S4-S3)/(P4-P3)</f>
        <v>1252.4718494309029</v>
      </c>
      <c r="U4" s="96">
        <f>Ard3_Turn3_ESC3_G3b_T3a!D4</f>
        <v>13</v>
      </c>
      <c r="V4" s="174">
        <f>Ard3_Turn3_ESC3_G3b_T3a!P4</f>
        <v>10309.278350515466</v>
      </c>
      <c r="W4" s="174">
        <f t="shared" ref="W4:W14" si="16">(V4-V3)/(U4-U3)</f>
        <v>533.72285738363462</v>
      </c>
      <c r="X4" s="174">
        <f t="shared" si="4"/>
        <v>8046.8035578051349</v>
      </c>
      <c r="Y4" s="174">
        <f t="shared" ref="Y4:Y14" si="17">(X4-X3)/(U4-U3)</f>
        <v>1200.7133383041928</v>
      </c>
      <c r="Z4" s="96">
        <f>Ard4_Turn4_ESC4_G4b_T4a!D4</f>
        <v>15</v>
      </c>
      <c r="AA4" s="174">
        <f>Ard4_Turn4_ESC4_G4b_T4a!P4</f>
        <v>9933.7748344370866</v>
      </c>
      <c r="AB4" s="174">
        <f t="shared" ref="AB4:AB5" si="18">(AA4-AA3)/(Z4-Z3)</f>
        <v>499.31672448228755</v>
      </c>
      <c r="AC4" s="174">
        <f t="shared" si="5"/>
        <v>9915.8436765959632</v>
      </c>
      <c r="AD4" s="174">
        <f t="shared" ref="AD4:AD5" si="19">(AC4-AC3)/(Z4-Z3)</f>
        <v>1012.7333796441108</v>
      </c>
      <c r="AE4">
        <f t="shared" si="6"/>
        <v>17</v>
      </c>
      <c r="AF4" s="174">
        <f t="shared" si="7"/>
        <v>9375</v>
      </c>
    </row>
    <row r="5" spans="1:32" x14ac:dyDescent="0.3">
      <c r="A5">
        <f>CalPhotonTurnigy!D6</f>
        <v>20</v>
      </c>
      <c r="B5" s="174">
        <f>CalPhotonTurnigy!O6</f>
        <v>11811.023622047245</v>
      </c>
      <c r="C5" s="174">
        <f t="shared" si="8"/>
        <v>812.00787401574837</v>
      </c>
      <c r="D5" s="174">
        <f t="shared" si="0"/>
        <v>13673.259224888672</v>
      </c>
      <c r="E5" s="174">
        <f t="shared" si="9"/>
        <v>707.55324605681142</v>
      </c>
      <c r="F5" s="96">
        <f>Ard0_Turn0_ESC0_G0b_T0a!D5</f>
        <v>25</v>
      </c>
      <c r="G5" s="174">
        <f>Ard0_Turn0_ESC0_G0b_T0a!P5</f>
        <v>16304.347826086958</v>
      </c>
      <c r="H5" s="174">
        <f t="shared" si="10"/>
        <v>290.57253551442119</v>
      </c>
      <c r="I5" s="174">
        <f t="shared" si="1"/>
        <v>16587.73714860357</v>
      </c>
      <c r="J5" s="174">
        <f t="shared" si="11"/>
        <v>582.89558474297951</v>
      </c>
      <c r="K5" s="96">
        <f>Ard1_Turn1x_ESC1_G1b_T1a!D5</f>
        <v>17</v>
      </c>
      <c r="L5" s="174">
        <f>Ard1_Turn1x_ESC1_G1b_T1a!P5</f>
        <v>12244.897959183674</v>
      </c>
      <c r="M5" s="174">
        <f t="shared" si="12"/>
        <v>282.9146098872763</v>
      </c>
      <c r="N5" s="174">
        <f t="shared" si="2"/>
        <v>11550.599486718238</v>
      </c>
      <c r="O5" s="174">
        <f t="shared" si="13"/>
        <v>909.84674676743305</v>
      </c>
      <c r="P5" s="96">
        <f>Ard2_Turn2_ESC2_G2b_T2a!D5</f>
        <v>24</v>
      </c>
      <c r="Q5" s="174">
        <f>Ard2_Turn2_ESC2_G2b_T2a!P5</f>
        <v>16129.032258064515</v>
      </c>
      <c r="R5" s="174">
        <f t="shared" si="14"/>
        <v>516.27145196895242</v>
      </c>
      <c r="S5" s="174">
        <f t="shared" si="3"/>
        <v>16054.56107817452</v>
      </c>
      <c r="T5" s="174">
        <f t="shared" si="15"/>
        <v>754.43294377445397</v>
      </c>
      <c r="U5" s="96">
        <f>Ard3_Turn3_ESC3_G3b_T3a!D5</f>
        <v>24</v>
      </c>
      <c r="V5" s="174">
        <f>Ard3_Turn3_ESC3_G3b_T3a!P5</f>
        <v>16042.780748663101</v>
      </c>
      <c r="W5" s="174">
        <f t="shared" si="16"/>
        <v>521.22749074069407</v>
      </c>
      <c r="X5" s="174">
        <f t="shared" si="4"/>
        <v>16054.56107817452</v>
      </c>
      <c r="Y5" s="174">
        <f t="shared" si="17"/>
        <v>727.97795639721687</v>
      </c>
      <c r="Z5" s="96">
        <f>Ard4_Turn4_ESC4_G4b_T4a!D5</f>
        <v>26</v>
      </c>
      <c r="AA5" s="174">
        <f>Ard4_Turn4_ESC4_G4b_T4a!P5</f>
        <v>14150.943396226416</v>
      </c>
      <c r="AB5" s="174">
        <f t="shared" si="18"/>
        <v>383.37896016266626</v>
      </c>
      <c r="AC5" s="174">
        <f t="shared" si="5"/>
        <v>17099.998883098575</v>
      </c>
      <c r="AD5" s="174">
        <f t="shared" si="19"/>
        <v>653.10501877296474</v>
      </c>
      <c r="AE5">
        <f t="shared" si="6"/>
        <v>20</v>
      </c>
      <c r="AF5" s="174">
        <f t="shared" si="7"/>
        <v>11811.023622047245</v>
      </c>
    </row>
    <row r="6" spans="1:32" x14ac:dyDescent="0.3">
      <c r="A6">
        <f>CalPhotonTurnigy!D7</f>
        <v>35</v>
      </c>
      <c r="B6" s="174">
        <f>CalPhotonTurnigy!O7</f>
        <v>19354.83870967742</v>
      </c>
      <c r="C6" s="174">
        <f t="shared" si="8"/>
        <v>502.92100584201165</v>
      </c>
      <c r="D6" s="174">
        <f t="shared" si="0"/>
        <v>20982.40103111323</v>
      </c>
      <c r="E6" s="174">
        <f t="shared" si="9"/>
        <v>487.27612041497048</v>
      </c>
      <c r="F6" s="96">
        <f>Ard0_Turn0_ESC0_G0b_T0a!D6</f>
        <v>35</v>
      </c>
      <c r="G6" s="174">
        <f>Ard0_Turn0_ESC0_G0b_T0a!P6</f>
        <v>20134.228187919463</v>
      </c>
      <c r="H6" s="174">
        <f t="shared" si="10"/>
        <v>382.98803618325053</v>
      </c>
      <c r="I6" s="174">
        <f t="shared" si="1"/>
        <v>20982.40103111323</v>
      </c>
      <c r="J6" s="174">
        <f t="shared" si="11"/>
        <v>439.46638825096596</v>
      </c>
      <c r="K6" s="96">
        <f>Ard1_Turn1x_ESC1_G1b_T1a!D6</f>
        <v>21</v>
      </c>
      <c r="L6" s="174">
        <f>Ard1_Turn1x_ESC1_G1b_T1a!P6</f>
        <v>14354.066985645934</v>
      </c>
      <c r="M6" s="174">
        <f t="shared" si="12"/>
        <v>527.29225661556484</v>
      </c>
      <c r="N6" s="174">
        <f t="shared" si="2"/>
        <v>14310.50755910563</v>
      </c>
      <c r="O6" s="174">
        <f t="shared" si="13"/>
        <v>689.97701809684804</v>
      </c>
      <c r="P6" s="96">
        <f>Ard2_Turn2_ESC2_G2b_T2a!D6</f>
        <v>28</v>
      </c>
      <c r="Q6" s="174">
        <f>Ard2_Turn2_ESC2_G2b_T2a!P6</f>
        <v>17341.040462427747</v>
      </c>
      <c r="R6" s="174">
        <f t="shared" si="14"/>
        <v>303.00205109080798</v>
      </c>
      <c r="S6" s="174">
        <f t="shared" si="3"/>
        <v>18067.923107398339</v>
      </c>
      <c r="T6" s="174">
        <f t="shared" si="15"/>
        <v>503.34050730595482</v>
      </c>
      <c r="U6" s="96">
        <f>Ard3_Turn3_ESC3_G3b_T3a!D6</f>
        <v>28</v>
      </c>
      <c r="V6" s="174">
        <f>Ard3_Turn3_ESC3_G3b_T3a!P6</f>
        <v>17341.040462427747</v>
      </c>
      <c r="W6" s="174">
        <f t="shared" si="16"/>
        <v>324.56492844116156</v>
      </c>
      <c r="X6" s="174">
        <f t="shared" si="4"/>
        <v>18067.923107398339</v>
      </c>
      <c r="Y6" s="174">
        <f t="shared" si="17"/>
        <v>503.34050730595482</v>
      </c>
      <c r="Z6" s="96">
        <f>Ard4_Turn4_ESC4_G4b_T4a!D6</f>
        <v>34</v>
      </c>
      <c r="AA6" s="174">
        <f>Ard4_Turn4_ESC4_G4b_T4a!P6</f>
        <v>17910.447761194031</v>
      </c>
      <c r="AB6" s="174">
        <f t="shared" ref="AB6:AB12" si="20">(AA6-AA5)/(Z6-Z5)</f>
        <v>469.93804562095193</v>
      </c>
      <c r="AC6" s="174">
        <f t="shared" ref="AC6:AC12" si="21">LN(Z6)*$C$21+$B$21</f>
        <v>20603.794812011685</v>
      </c>
      <c r="AD6" s="174">
        <f t="shared" ref="AD6:AD12" si="22">(AC6-AC5)/(Z6-Z5)</f>
        <v>437.9744911141388</v>
      </c>
      <c r="AE6">
        <f t="shared" si="6"/>
        <v>35</v>
      </c>
      <c r="AF6" s="174">
        <f t="shared" si="7"/>
        <v>19354.83870967742</v>
      </c>
    </row>
    <row r="7" spans="1:32" x14ac:dyDescent="0.3">
      <c r="A7">
        <f>CalPhotonTurnigy!D8</f>
        <v>54</v>
      </c>
      <c r="B7" s="174">
        <f>CalPhotonTurnigy!O8</f>
        <v>24793.388429752067</v>
      </c>
      <c r="C7" s="174">
        <f t="shared" si="8"/>
        <v>286.23945895129719</v>
      </c>
      <c r="D7" s="174">
        <f t="shared" si="0"/>
        <v>26646.120632175989</v>
      </c>
      <c r="E7" s="174">
        <f t="shared" si="9"/>
        <v>298.09050531909259</v>
      </c>
      <c r="F7" s="96">
        <f>Ard0_Turn0_ESC0_G0b_T0a!D7</f>
        <v>54</v>
      </c>
      <c r="G7" s="174">
        <f>Ard0_Turn0_ESC0_G0b_T0a!P7</f>
        <v>25104.602510460249</v>
      </c>
      <c r="H7" s="174">
        <f t="shared" si="10"/>
        <v>261.59864855477815</v>
      </c>
      <c r="I7" s="174">
        <f t="shared" si="1"/>
        <v>26646.120632175989</v>
      </c>
      <c r="J7" s="174">
        <f t="shared" si="11"/>
        <v>298.09050531909259</v>
      </c>
      <c r="K7" s="96">
        <f>Ard1_Turn1x_ESC1_G1b_T1a!D7</f>
        <v>27</v>
      </c>
      <c r="L7" s="174">
        <f>Ard1_Turn1x_ESC1_G1b_T1a!P7</f>
        <v>16949.152542372882</v>
      </c>
      <c r="M7" s="174">
        <f t="shared" si="12"/>
        <v>432.51425945449137</v>
      </c>
      <c r="N7" s="174">
        <f t="shared" si="2"/>
        <v>17592.925306882542</v>
      </c>
      <c r="O7" s="174">
        <f t="shared" si="13"/>
        <v>547.06962462948525</v>
      </c>
      <c r="P7" s="96">
        <f>Ard2_Turn2_ESC2_G2b_T2a!D7</f>
        <v>32</v>
      </c>
      <c r="Q7" s="174">
        <f>Ard2_Turn2_ESC2_G2b_T2a!P7</f>
        <v>18867.92452830189</v>
      </c>
      <c r="R7" s="174">
        <f t="shared" si="14"/>
        <v>381.72101646853571</v>
      </c>
      <c r="S7" s="174">
        <f t="shared" si="3"/>
        <v>19811.976626467229</v>
      </c>
      <c r="T7" s="174">
        <f t="shared" si="15"/>
        <v>436.01337976722243</v>
      </c>
      <c r="U7" s="96">
        <f>Ard3_Turn3_ESC3_G3b_T3a!D7</f>
        <v>36</v>
      </c>
      <c r="V7" s="174">
        <f>Ard3_Turn3_ESC3_G3b_T3a!P7</f>
        <v>20134.228187919463</v>
      </c>
      <c r="W7" s="174">
        <f t="shared" si="16"/>
        <v>349.14846568646453</v>
      </c>
      <c r="X7" s="174">
        <f t="shared" si="4"/>
        <v>21350.340855175251</v>
      </c>
      <c r="Y7" s="174">
        <f t="shared" si="17"/>
        <v>410.30221847211396</v>
      </c>
      <c r="Z7" s="96">
        <f>Ard4_Turn4_ESC4_G4b_T4a!D7</f>
        <v>51</v>
      </c>
      <c r="AA7" s="174">
        <f>Ard4_Turn4_ESC4_G4b_T4a!P7</f>
        <v>22900.763358778626</v>
      </c>
      <c r="AB7" s="174">
        <f t="shared" si="20"/>
        <v>293.54797632850557</v>
      </c>
      <c r="AC7" s="174">
        <f t="shared" si="21"/>
        <v>25899.574589012416</v>
      </c>
      <c r="AD7" s="174">
        <f t="shared" si="22"/>
        <v>311.51645747063122</v>
      </c>
      <c r="AE7">
        <f t="shared" si="6"/>
        <v>54</v>
      </c>
      <c r="AF7" s="174">
        <f t="shared" si="7"/>
        <v>24793.388429752067</v>
      </c>
    </row>
    <row r="8" spans="1:32" x14ac:dyDescent="0.3">
      <c r="A8">
        <f>CalPhotonTurnigy!D9</f>
        <v>64</v>
      </c>
      <c r="B8" s="174">
        <f>CalPhotonTurnigy!O9</f>
        <v>28037.383177570096</v>
      </c>
      <c r="C8" s="174">
        <f t="shared" si="8"/>
        <v>324.39947478180295</v>
      </c>
      <c r="D8" s="174">
        <f t="shared" si="0"/>
        <v>28865.171951760669</v>
      </c>
      <c r="E8" s="174">
        <f t="shared" si="9"/>
        <v>221.90513195846796</v>
      </c>
      <c r="F8" s="96">
        <f>Ard0_Turn0_ESC0_G0b_T0a!D8</f>
        <v>64</v>
      </c>
      <c r="G8" s="174">
        <f>Ard0_Turn0_ESC0_G0b_T0a!P8</f>
        <v>27649.76958525346</v>
      </c>
      <c r="H8" s="174">
        <f t="shared" si="10"/>
        <v>254.51670747932113</v>
      </c>
      <c r="I8" s="174">
        <f t="shared" si="1"/>
        <v>28865.171951760669</v>
      </c>
      <c r="J8" s="174">
        <f t="shared" si="11"/>
        <v>221.90513195846796</v>
      </c>
      <c r="K8" s="96">
        <f>Ard1_Turn1x_ESC1_G1b_T1a!D8</f>
        <v>42</v>
      </c>
      <c r="L8" s="174">
        <f>Ard1_Turn1x_ESC1_G1b_T1a!P8</f>
        <v>21660.649819494585</v>
      </c>
      <c r="M8" s="174">
        <f t="shared" si="12"/>
        <v>314.09981847478025</v>
      </c>
      <c r="N8" s="174">
        <f t="shared" si="2"/>
        <v>23363.702884399077</v>
      </c>
      <c r="O8" s="174">
        <f t="shared" si="13"/>
        <v>384.71850516776902</v>
      </c>
      <c r="P8" s="96">
        <f>Ard2_Turn2_ESC2_G2b_T2a!D8</f>
        <v>50</v>
      </c>
      <c r="Q8" s="174">
        <f>Ard2_Turn2_ESC2_G2b_T2a!P8</f>
        <v>24193.548387096776</v>
      </c>
      <c r="R8" s="174">
        <f t="shared" si="14"/>
        <v>295.86799215527145</v>
      </c>
      <c r="S8" s="174">
        <f t="shared" si="3"/>
        <v>25640.932473897017</v>
      </c>
      <c r="T8" s="174">
        <f t="shared" si="15"/>
        <v>323.83088041276602</v>
      </c>
      <c r="U8" s="96">
        <f>Ard3_Turn3_ESC3_G3b_T3a!D8</f>
        <v>52</v>
      </c>
      <c r="V8" s="174">
        <f>Ard3_Turn3_ESC3_G3b_T3a!P8</f>
        <v>24691.358024691359</v>
      </c>
      <c r="W8" s="174">
        <f t="shared" si="16"/>
        <v>284.82061479824347</v>
      </c>
      <c r="X8" s="174">
        <f t="shared" si="4"/>
        <v>26153.194208392022</v>
      </c>
      <c r="Y8" s="174">
        <f t="shared" si="17"/>
        <v>300.1783345760482</v>
      </c>
      <c r="Z8" s="96">
        <f>Ard4_Turn4_ESC4_G4b_T4a!D8</f>
        <v>76</v>
      </c>
      <c r="AA8" s="174">
        <f>Ard4_Turn4_ESC4_G4b_T4a!P8</f>
        <v>28571.428571428572</v>
      </c>
      <c r="AB8" s="174">
        <f t="shared" si="20"/>
        <v>226.82660850599785</v>
      </c>
      <c r="AC8" s="174">
        <f t="shared" si="21"/>
        <v>31109.70815747977</v>
      </c>
      <c r="AD8" s="174">
        <f t="shared" si="22"/>
        <v>208.40534273869417</v>
      </c>
      <c r="AE8">
        <f t="shared" si="6"/>
        <v>64</v>
      </c>
      <c r="AF8" s="174">
        <f t="shared" si="7"/>
        <v>28037.383177570096</v>
      </c>
    </row>
    <row r="9" spans="1:32" x14ac:dyDescent="0.3">
      <c r="A9">
        <f>CalPhotonTurnigy!D10</f>
        <v>89</v>
      </c>
      <c r="B9" s="174">
        <f>CalPhotonTurnigy!O10</f>
        <v>32085.561497326202</v>
      </c>
      <c r="C9" s="174">
        <f t="shared" si="8"/>
        <v>161.9271327902442</v>
      </c>
      <c r="D9" s="174">
        <f t="shared" si="0"/>
        <v>33172.079625071477</v>
      </c>
      <c r="E9" s="174">
        <f t="shared" si="9"/>
        <v>172.27630693243233</v>
      </c>
      <c r="F9" s="96">
        <f>Ard0_Turn0_ESC0_G0b_T0a!D9</f>
        <v>90</v>
      </c>
      <c r="G9" s="174">
        <f>Ard0_Turn0_ESC0_G0b_T0a!P9</f>
        <v>32258.06451612903</v>
      </c>
      <c r="H9" s="174">
        <f t="shared" si="10"/>
        <v>177.24211272598347</v>
      </c>
      <c r="I9" s="174">
        <f t="shared" si="1"/>
        <v>33318.014104183589</v>
      </c>
      <c r="J9" s="174">
        <f t="shared" si="11"/>
        <v>171.26315970857382</v>
      </c>
      <c r="K9" s="96">
        <f>Ard1_Turn1x_ESC1_G1b_T1a!D9</f>
        <v>67</v>
      </c>
      <c r="L9" s="174">
        <f>Ard1_Turn1x_ESC1_G1b_T1a!P9</f>
        <v>27649.76958525346</v>
      </c>
      <c r="M9" s="174">
        <f t="shared" si="12"/>
        <v>239.56479063035499</v>
      </c>
      <c r="N9" s="174">
        <f t="shared" si="2"/>
        <v>29463.4903018654</v>
      </c>
      <c r="O9" s="174">
        <f t="shared" si="13"/>
        <v>243.99149669865292</v>
      </c>
      <c r="P9" s="96">
        <f>Ard2_Turn2_ESC2_G2b_T2a!D9</f>
        <v>78</v>
      </c>
      <c r="Q9" s="174">
        <f>Ard2_Turn2_ESC2_G2b_T2a!P9</f>
        <v>30150.753768844224</v>
      </c>
      <c r="R9" s="174">
        <f t="shared" si="14"/>
        <v>212.75733506240886</v>
      </c>
      <c r="S9" s="174">
        <f t="shared" si="3"/>
        <v>31448.97398539276</v>
      </c>
      <c r="T9" s="174">
        <f t="shared" si="15"/>
        <v>207.43005398199082</v>
      </c>
      <c r="U9" s="96">
        <f>Ard3_Turn3_ESC3_G3b_T3a!D9</f>
        <v>73</v>
      </c>
      <c r="V9" s="174">
        <f>Ard3_Turn3_ESC3_G3b_T3a!P9</f>
        <v>29411.764705882353</v>
      </c>
      <c r="W9" s="174">
        <f t="shared" si="16"/>
        <v>224.7812705329045</v>
      </c>
      <c r="X9" s="174">
        <f t="shared" si="4"/>
        <v>30583.690760839134</v>
      </c>
      <c r="Y9" s="174">
        <f t="shared" si="17"/>
        <v>210.97602630700533</v>
      </c>
      <c r="Z9" s="96">
        <f>Ard4_Turn4_ESC4_G4b_T4a!D9</f>
        <v>91</v>
      </c>
      <c r="AA9" s="174">
        <f>Ard4_Turn4_ESC4_G4b_T4a!P9</f>
        <v>32085.561497326202</v>
      </c>
      <c r="AB9" s="174">
        <f t="shared" si="20"/>
        <v>234.27552839317528</v>
      </c>
      <c r="AC9" s="174">
        <f t="shared" si="21"/>
        <v>33462.336014616572</v>
      </c>
      <c r="AD9" s="174">
        <f t="shared" si="22"/>
        <v>156.84185714245348</v>
      </c>
      <c r="AE9">
        <f t="shared" si="6"/>
        <v>89</v>
      </c>
      <c r="AF9" s="174">
        <f t="shared" si="7"/>
        <v>32085.561497326202</v>
      </c>
    </row>
    <row r="10" spans="1:32" x14ac:dyDescent="0.3">
      <c r="A10">
        <f>CalPhotonTurnigy!D11</f>
        <v>101</v>
      </c>
      <c r="B10" s="174">
        <f>CalPhotonTurnigy!O11</f>
        <v>34090.909090909088</v>
      </c>
      <c r="C10" s="174">
        <f t="shared" si="8"/>
        <v>167.11229946524054</v>
      </c>
      <c r="D10" s="174">
        <f t="shared" si="0"/>
        <v>34824.089070463691</v>
      </c>
      <c r="E10" s="174">
        <f t="shared" si="9"/>
        <v>137.66745378268448</v>
      </c>
      <c r="F10" s="96">
        <f>Ard0_Turn0_ESC0_G0b_T0a!D10</f>
        <v>125</v>
      </c>
      <c r="G10" s="174">
        <f>Ard0_Turn0_ESC0_G0b_T0a!P10</f>
        <v>37037.037037037036</v>
      </c>
      <c r="H10" s="174">
        <f t="shared" si="10"/>
        <v>136.54207202594304</v>
      </c>
      <c r="I10" s="174">
        <f t="shared" si="1"/>
        <v>37608.605722905362</v>
      </c>
      <c r="J10" s="174">
        <f t="shared" si="11"/>
        <v>122.58833196347925</v>
      </c>
      <c r="K10" s="96">
        <f>Ard1_Turn1x_ESC1_G1b_T1a!D10</f>
        <v>79</v>
      </c>
      <c r="L10" s="174">
        <f>Ard1_Turn1x_ESC1_G1b_T1a!P10</f>
        <v>29702.970297029704</v>
      </c>
      <c r="M10" s="174">
        <f t="shared" ref="M10:M13" si="23">(L10-L9)/(K10-K9)</f>
        <v>171.100059314687</v>
      </c>
      <c r="N10" s="174">
        <f t="shared" ref="N10:N13" si="24">LN(K10)*$C$21+$B$21</f>
        <v>31615.358401071768</v>
      </c>
      <c r="O10" s="174">
        <f t="shared" ref="O10:O13" si="25">(N10-N9)/(K10-K9)</f>
        <v>179.32234160053062</v>
      </c>
      <c r="P10" s="96">
        <f>Ard2_Turn2_ESC2_G2b_T2a!D10</f>
        <v>115</v>
      </c>
      <c r="Q10" s="174">
        <f>Ard2_Turn2_ESC2_G2b_T2a!P10</f>
        <v>35294.117647058825</v>
      </c>
      <c r="R10" s="174">
        <f t="shared" si="14"/>
        <v>139.00983454634056</v>
      </c>
      <c r="S10" s="174">
        <f t="shared" si="3"/>
        <v>36519.558528552414</v>
      </c>
      <c r="T10" s="174">
        <f t="shared" si="15"/>
        <v>137.04282549080145</v>
      </c>
      <c r="U10" s="96">
        <f>Ard3_Turn3_ESC3_G3b_T3a!D10</f>
        <v>94</v>
      </c>
      <c r="V10" s="174">
        <f>Ard3_Turn3_ESC3_G3b_T3a!P10</f>
        <v>32432.43243243243</v>
      </c>
      <c r="W10" s="174">
        <f t="shared" si="16"/>
        <v>143.84132031190842</v>
      </c>
      <c r="X10" s="174">
        <f t="shared" si="4"/>
        <v>33885.973151228522</v>
      </c>
      <c r="Y10" s="174">
        <f t="shared" si="17"/>
        <v>157.25154239949467</v>
      </c>
      <c r="Z10" s="96">
        <f>Ard4_Turn4_ESC4_G4b_T4a!D10</f>
        <v>106</v>
      </c>
      <c r="AA10" s="174">
        <f>Ard4_Turn4_ESC4_G4b_T4a!P10</f>
        <v>35087.719298245618</v>
      </c>
      <c r="AB10" s="174">
        <f t="shared" si="20"/>
        <v>200.14385339462777</v>
      </c>
      <c r="AC10" s="174">
        <f t="shared" si="21"/>
        <v>35455.178008197705</v>
      </c>
      <c r="AD10" s="174">
        <f t="shared" si="22"/>
        <v>132.85613290540883</v>
      </c>
      <c r="AE10">
        <f t="shared" si="6"/>
        <v>101</v>
      </c>
      <c r="AF10" s="174">
        <f t="shared" si="7"/>
        <v>34090.909090909088</v>
      </c>
    </row>
    <row r="11" spans="1:32" x14ac:dyDescent="0.3">
      <c r="A11">
        <f>CalPhotonTurnigy!D12</f>
        <v>114</v>
      </c>
      <c r="B11" s="174">
        <f>CalPhotonTurnigy!O12</f>
        <v>36809.815950920245</v>
      </c>
      <c r="C11" s="174">
        <f t="shared" si="8"/>
        <v>209.14668153931976</v>
      </c>
      <c r="D11" s="174">
        <f t="shared" si="0"/>
        <v>36405.487934480509</v>
      </c>
      <c r="E11" s="174">
        <f t="shared" si="9"/>
        <v>121.6460664628321</v>
      </c>
      <c r="F11" s="96">
        <f>Ard0_Turn0_ESC0_G0b_T0a!D11</f>
        <v>155</v>
      </c>
      <c r="G11" s="174">
        <f>Ard0_Turn0_ESC0_G0b_T0a!P11</f>
        <v>41958.041958041955</v>
      </c>
      <c r="H11" s="174">
        <f t="shared" si="10"/>
        <v>164.0334973668306</v>
      </c>
      <c r="I11" s="174">
        <f t="shared" si="1"/>
        <v>40418.175452082287</v>
      </c>
      <c r="J11" s="174">
        <f t="shared" si="11"/>
        <v>93.652324305897494</v>
      </c>
      <c r="K11" s="96">
        <f>Ard1_Turn1x_ESC1_G1b_T1a!D11</f>
        <v>84</v>
      </c>
      <c r="L11" s="174">
        <f>Ard1_Turn1x_ESC1_G1b_T1a!P11</f>
        <v>30456.852791878177</v>
      </c>
      <c r="M11" s="174">
        <f t="shared" si="23"/>
        <v>150.7764989696945</v>
      </c>
      <c r="N11" s="174">
        <f t="shared" si="24"/>
        <v>32416.898209692517</v>
      </c>
      <c r="O11" s="174">
        <f t="shared" si="25"/>
        <v>160.30796172414995</v>
      </c>
      <c r="P11" s="96">
        <f>Ard2_Turn2_ESC2_G2b_T2a!D11</f>
        <v>140</v>
      </c>
      <c r="Q11" s="174">
        <f>Ard2_Turn2_ESC2_G2b_T2a!P11</f>
        <v>38709.677419354841</v>
      </c>
      <c r="R11" s="174">
        <f t="shared" si="14"/>
        <v>136.62239089184061</v>
      </c>
      <c r="S11" s="174">
        <f t="shared" si="3"/>
        <v>39088.791681700117</v>
      </c>
      <c r="T11" s="174">
        <f t="shared" si="15"/>
        <v>102.76932612590812</v>
      </c>
      <c r="U11" s="96">
        <f>Ard3_Turn3_ESC3_G3b_T3a!D11</f>
        <v>99</v>
      </c>
      <c r="V11" s="174">
        <f>Ard3_Turn3_ESC3_G3b_T3a!P11</f>
        <v>32967.032967032967</v>
      </c>
      <c r="W11" s="174">
        <f t="shared" si="16"/>
        <v>106.92010692010736</v>
      </c>
      <c r="X11" s="174">
        <f t="shared" si="4"/>
        <v>34562.860362607877</v>
      </c>
      <c r="Y11" s="174">
        <f t="shared" si="17"/>
        <v>135.377442275871</v>
      </c>
      <c r="Z11" s="96">
        <f>Ard4_Turn4_ESC4_G4b_T4a!D11</f>
        <v>132</v>
      </c>
      <c r="AA11" s="174">
        <f>Ard4_Turn4_ESC4_G4b_T4a!P11</f>
        <v>40000</v>
      </c>
      <c r="AB11" s="174">
        <f t="shared" si="20"/>
        <v>188.93387314439931</v>
      </c>
      <c r="AC11" s="174">
        <f t="shared" si="21"/>
        <v>38320.275910900586</v>
      </c>
      <c r="AD11" s="174">
        <f t="shared" si="22"/>
        <v>110.19607318088002</v>
      </c>
      <c r="AE11">
        <f t="shared" si="6"/>
        <v>114</v>
      </c>
      <c r="AF11" s="174">
        <f t="shared" si="7"/>
        <v>36809.815950920245</v>
      </c>
    </row>
    <row r="12" spans="1:32" x14ac:dyDescent="0.3">
      <c r="A12">
        <f>CalPhotonTurnigy!D13</f>
        <v>125</v>
      </c>
      <c r="B12" s="174">
        <f>CalPhotonTurnigy!O13</f>
        <v>37500</v>
      </c>
      <c r="C12" s="174">
        <f t="shared" si="8"/>
        <v>62.744004461795903</v>
      </c>
      <c r="D12" s="174">
        <f t="shared" si="0"/>
        <v>37608.605722905362</v>
      </c>
      <c r="E12" s="174">
        <f t="shared" si="9"/>
        <v>109.37434440225942</v>
      </c>
      <c r="F12" s="96">
        <f>Ard0_Turn0_ESC0_G0b_T0a!D13</f>
        <v>180</v>
      </c>
      <c r="G12" s="174">
        <f>Ard0_Turn0_ESC0_G0b_T0a!P13</f>
        <v>43859.649122807015</v>
      </c>
      <c r="H12" s="174">
        <f t="shared" si="10"/>
        <v>76.064286590602421</v>
      </c>
      <c r="I12" s="174">
        <f t="shared" si="1"/>
        <v>42371.209429477036</v>
      </c>
      <c r="J12" s="174">
        <f t="shared" si="11"/>
        <v>78.121359095789956</v>
      </c>
      <c r="K12" s="96">
        <f>Ard1_Turn1x_ESC1_G1b_T1a!D12</f>
        <v>121</v>
      </c>
      <c r="L12" s="174">
        <f>Ard1_Turn1x_ESC1_G1b_T1a!P12</f>
        <v>36363.636363636368</v>
      </c>
      <c r="M12" s="174">
        <f t="shared" si="23"/>
        <v>159.64279923670787</v>
      </c>
      <c r="N12" s="174">
        <f t="shared" si="24"/>
        <v>37183.82031603904</v>
      </c>
      <c r="O12" s="174">
        <f t="shared" si="25"/>
        <v>128.83573260396008</v>
      </c>
      <c r="P12" s="96">
        <f>Ard2_Turn2_ESC2_G2b_T2a!D12</f>
        <v>155</v>
      </c>
      <c r="Q12" s="174">
        <f>Ard2_Turn2_ESC2_G2b_T2a!P12</f>
        <v>41958.041958041955</v>
      </c>
      <c r="R12" s="174">
        <f t="shared" si="14"/>
        <v>216.55763591247427</v>
      </c>
      <c r="S12" s="174">
        <f t="shared" si="3"/>
        <v>40418.175452082287</v>
      </c>
      <c r="T12" s="174">
        <f t="shared" si="15"/>
        <v>88.62558469214467</v>
      </c>
      <c r="U12" s="96">
        <f>Ard3_Turn3_ESC3_G3b_T3a!D12</f>
        <v>110</v>
      </c>
      <c r="V12" s="174">
        <f>Ard3_Turn3_ESC3_G3b_T3a!P12</f>
        <v>35087.719298245618</v>
      </c>
      <c r="W12" s="174">
        <f t="shared" si="16"/>
        <v>192.78966647387742</v>
      </c>
      <c r="X12" s="174">
        <f t="shared" si="4"/>
        <v>35938.974057614752</v>
      </c>
      <c r="Y12" s="174">
        <f t="shared" si="17"/>
        <v>125.10124500062507</v>
      </c>
      <c r="Z12" s="96">
        <f>Ard4_Turn4_ESC4_G4b_T4a!D12</f>
        <v>178</v>
      </c>
      <c r="AA12" s="174">
        <f>Ard4_Turn4_ESC4_G4b_T4a!P12</f>
        <v>44117.647058823532</v>
      </c>
      <c r="AB12" s="174">
        <f t="shared" si="20"/>
        <v>89.514066496163736</v>
      </c>
      <c r="AC12" s="174">
        <f t="shared" si="21"/>
        <v>42225.274950364925</v>
      </c>
      <c r="AD12" s="174">
        <f t="shared" si="22"/>
        <v>84.891283466616073</v>
      </c>
      <c r="AE12">
        <f t="shared" si="6"/>
        <v>125</v>
      </c>
      <c r="AF12" s="174">
        <f t="shared" si="7"/>
        <v>37500</v>
      </c>
    </row>
    <row r="13" spans="1:32" x14ac:dyDescent="0.3">
      <c r="A13">
        <f>CalPhotonTurnigy!D14</f>
        <v>130</v>
      </c>
      <c r="B13" s="174">
        <f>CalPhotonTurnigy!O14</f>
        <v>38961.038961038961</v>
      </c>
      <c r="C13" s="174">
        <f t="shared" si="8"/>
        <v>292.20779220779224</v>
      </c>
      <c r="D13" s="174">
        <f t="shared" si="0"/>
        <v>38120.86745740036</v>
      </c>
      <c r="E13" s="174">
        <f t="shared" si="9"/>
        <v>102.45234689899954</v>
      </c>
      <c r="F13" s="96"/>
      <c r="H13" s="174"/>
      <c r="I13" s="174"/>
      <c r="J13" s="174"/>
      <c r="K13" s="96">
        <f>Ard1_Turn1x_ESC1_G1b_T1a!D13</f>
        <v>175</v>
      </c>
      <c r="L13" s="174">
        <f>Ard1_Turn1x_ESC1_G1b_T1a!P13</f>
        <v>44117.647058823532</v>
      </c>
      <c r="M13" s="174">
        <f t="shared" si="23"/>
        <v>143.59279065161414</v>
      </c>
      <c r="N13" s="174">
        <f t="shared" si="24"/>
        <v>42003.269605415029</v>
      </c>
      <c r="O13" s="174">
        <f t="shared" si="25"/>
        <v>89.249060914370162</v>
      </c>
      <c r="P13" s="96">
        <f>Ard2_Turn2_ESC2_G2b_T2a!D13</f>
        <v>180</v>
      </c>
      <c r="Q13" s="174">
        <f>Ard2_Turn2_ESC2_G2b_T2a!P13</f>
        <v>44444.444444444445</v>
      </c>
      <c r="R13" s="174">
        <f t="shared" si="14"/>
        <v>99.456099456099622</v>
      </c>
      <c r="S13" s="174">
        <f t="shared" si="3"/>
        <v>42371.209429477036</v>
      </c>
      <c r="T13" s="174">
        <f t="shared" si="15"/>
        <v>78.121359095789956</v>
      </c>
      <c r="U13" s="96">
        <f>Ard3_Turn3_ESC3_G3b_T3a!D13</f>
        <v>132</v>
      </c>
      <c r="V13" s="174">
        <f>Ard3_Turn3_ESC3_G3b_T3a!P13</f>
        <v>37267.080745341613</v>
      </c>
      <c r="W13" s="174">
        <f t="shared" si="16"/>
        <v>99.061883958908851</v>
      </c>
      <c r="X13" s="174">
        <f t="shared" si="4"/>
        <v>38320.275910900586</v>
      </c>
      <c r="Y13" s="174">
        <f t="shared" si="17"/>
        <v>108.24099333117424</v>
      </c>
      <c r="Z13" s="96"/>
      <c r="AA13" s="174"/>
      <c r="AB13" s="174"/>
      <c r="AC13" s="174"/>
      <c r="AD13" s="174"/>
      <c r="AE13">
        <f t="shared" si="6"/>
        <v>130</v>
      </c>
      <c r="AF13" s="174">
        <f t="shared" si="7"/>
        <v>38961.038961038961</v>
      </c>
    </row>
    <row r="14" spans="1:32" x14ac:dyDescent="0.3">
      <c r="A14">
        <f>CalPhotonTurnigy!D15</f>
        <v>140</v>
      </c>
      <c r="B14" s="174">
        <f>CalPhotonTurnigy!O15</f>
        <v>41095.890410958906</v>
      </c>
      <c r="C14" s="174">
        <f t="shared" si="8"/>
        <v>213.48514499199445</v>
      </c>
      <c r="D14" s="174">
        <f t="shared" si="0"/>
        <v>39088.791681700117</v>
      </c>
      <c r="E14" s="174">
        <f t="shared" si="9"/>
        <v>96.792422429975701</v>
      </c>
      <c r="H14" s="174"/>
      <c r="I14" s="174"/>
      <c r="J14" s="174"/>
      <c r="K14" s="96"/>
      <c r="L14" s="174"/>
      <c r="M14" s="174"/>
      <c r="N14" s="174"/>
      <c r="O14" s="174"/>
      <c r="P14" s="96"/>
      <c r="Q14" s="174"/>
      <c r="R14" s="174"/>
      <c r="S14" s="174"/>
      <c r="T14" s="174"/>
      <c r="U14" s="96">
        <f>Ard3_Turn3_ESC3_G3b_T3a!D14</f>
        <v>180</v>
      </c>
      <c r="V14" s="174">
        <f>Ard3_Turn3_ESC3_G3b_T3a!P14</f>
        <v>43795.620437956204</v>
      </c>
      <c r="W14" s="174">
        <f t="shared" si="16"/>
        <v>136.01124359613732</v>
      </c>
      <c r="X14" s="174">
        <f t="shared" si="4"/>
        <v>42371.209429477036</v>
      </c>
      <c r="Y14" s="174">
        <f t="shared" si="17"/>
        <v>84.394448303676043</v>
      </c>
      <c r="Z14" s="96"/>
      <c r="AA14" s="174"/>
      <c r="AB14" s="174"/>
      <c r="AC14" s="174"/>
      <c r="AD14" s="174"/>
      <c r="AE14">
        <f t="shared" si="6"/>
        <v>140</v>
      </c>
      <c r="AF14" s="174">
        <f t="shared" si="7"/>
        <v>41095.890410958906</v>
      </c>
    </row>
    <row r="15" spans="1:32" x14ac:dyDescent="0.3">
      <c r="A15">
        <f>CalPhotonTurnigy!D16</f>
        <v>145</v>
      </c>
      <c r="B15" s="174">
        <f>CalPhotonTurnigy!O16</f>
        <v>42553.191489361707</v>
      </c>
      <c r="C15" s="174">
        <f t="shared" si="8"/>
        <v>291.46021568056022</v>
      </c>
      <c r="D15" s="174">
        <f t="shared" si="0"/>
        <v>39547.11940975512</v>
      </c>
      <c r="E15" s="174">
        <f t="shared" si="9"/>
        <v>91.665545611000567</v>
      </c>
      <c r="H15" s="174"/>
      <c r="I15" s="174"/>
      <c r="J15" s="174"/>
      <c r="K15" s="96"/>
      <c r="L15" s="174"/>
      <c r="M15" s="174"/>
      <c r="N15" s="174"/>
      <c r="O15" s="174"/>
      <c r="P15" s="96"/>
      <c r="Q15" s="174"/>
      <c r="R15" s="174"/>
      <c r="S15" s="174"/>
      <c r="T15" s="174"/>
      <c r="U15" s="96"/>
      <c r="V15" s="174"/>
      <c r="W15" s="174"/>
      <c r="X15" s="96"/>
      <c r="Y15" s="174"/>
      <c r="AE15">
        <f t="shared" si="6"/>
        <v>145</v>
      </c>
      <c r="AF15" s="174">
        <f t="shared" si="7"/>
        <v>42553.191489361707</v>
      </c>
    </row>
    <row r="16" spans="1:32" x14ac:dyDescent="0.3">
      <c r="A16">
        <f>CalPhotonTurnigy!D17</f>
        <v>155</v>
      </c>
      <c r="B16" s="174">
        <f>CalPhotonTurnigy!O17</f>
        <v>44444.444444444445</v>
      </c>
      <c r="C16" s="174">
        <f t="shared" si="8"/>
        <v>189.12529550827384</v>
      </c>
      <c r="D16" s="174">
        <f t="shared" si="0"/>
        <v>40418.175452082287</v>
      </c>
      <c r="E16" s="174">
        <f t="shared" si="9"/>
        <v>87.105604232716729</v>
      </c>
      <c r="H16" s="174"/>
      <c r="I16" s="174"/>
      <c r="J16" s="174"/>
      <c r="K16" s="96"/>
      <c r="L16" s="174"/>
      <c r="M16" s="174"/>
      <c r="N16" s="174"/>
      <c r="O16" s="174"/>
      <c r="P16" s="96"/>
      <c r="Q16" s="174"/>
      <c r="R16" s="174"/>
      <c r="S16" s="174"/>
      <c r="T16" s="174"/>
      <c r="X16" s="96"/>
      <c r="Y16" s="174"/>
      <c r="AE16">
        <f t="shared" si="6"/>
        <v>155</v>
      </c>
      <c r="AF16" s="174">
        <f t="shared" si="7"/>
        <v>44444.444444444445</v>
      </c>
    </row>
    <row r="17" spans="1:32" x14ac:dyDescent="0.3">
      <c r="A17">
        <f>CalPhotonTurnigy!D18</f>
        <v>166</v>
      </c>
      <c r="B17" s="174">
        <f>CalPhotonTurnigy!O18</f>
        <v>45454.545454545456</v>
      </c>
      <c r="C17" s="174">
        <f t="shared" si="8"/>
        <v>91.827364554637327</v>
      </c>
      <c r="D17" s="174">
        <f t="shared" si="0"/>
        <v>41313.672503724811</v>
      </c>
      <c r="E17" s="174">
        <f t="shared" si="9"/>
        <v>81.408822876593064</v>
      </c>
      <c r="H17" s="174"/>
      <c r="I17" s="174"/>
      <c r="J17" s="174"/>
      <c r="K17" s="96"/>
      <c r="L17" s="174"/>
      <c r="M17" s="174"/>
      <c r="N17" s="174"/>
      <c r="O17" s="174"/>
      <c r="P17" s="96"/>
      <c r="Q17" s="174"/>
      <c r="R17" s="174"/>
      <c r="S17" s="174"/>
      <c r="T17" s="174"/>
      <c r="X17" s="96"/>
      <c r="Y17" s="174"/>
      <c r="AE17">
        <f t="shared" si="6"/>
        <v>166</v>
      </c>
      <c r="AF17" s="174">
        <f t="shared" si="7"/>
        <v>45454.545454545456</v>
      </c>
    </row>
    <row r="18" spans="1:32" x14ac:dyDescent="0.3">
      <c r="A18">
        <f>CalPhotonTurnigy!D19</f>
        <v>180</v>
      </c>
      <c r="B18" s="174">
        <f>CalPhotonTurnigy!O19</f>
        <v>46875.000000000007</v>
      </c>
      <c r="C18" s="174">
        <f t="shared" si="8"/>
        <v>101.46103896103939</v>
      </c>
      <c r="D18" s="174">
        <f t="shared" si="0"/>
        <v>42371.209429477036</v>
      </c>
      <c r="E18" s="174">
        <f t="shared" si="9"/>
        <v>75.538351839444658</v>
      </c>
      <c r="H18" s="174"/>
      <c r="I18" s="174"/>
      <c r="J18" s="174"/>
      <c r="K18" s="96"/>
      <c r="L18" s="174"/>
      <c r="M18" s="174"/>
      <c r="N18" s="174"/>
      <c r="O18" s="174"/>
      <c r="P18" s="96"/>
      <c r="Q18" s="174"/>
      <c r="R18" s="174"/>
      <c r="S18" s="174"/>
      <c r="T18" s="174"/>
      <c r="X18" s="96"/>
      <c r="Y18" s="174"/>
      <c r="AE18">
        <f t="shared" si="6"/>
        <v>180</v>
      </c>
      <c r="AF18" s="174">
        <f t="shared" si="7"/>
        <v>46875.000000000007</v>
      </c>
    </row>
    <row r="19" spans="1:32" x14ac:dyDescent="0.3">
      <c r="K19" s="96"/>
      <c r="L19" s="174"/>
      <c r="M19" s="174"/>
      <c r="P19" s="174"/>
      <c r="T19" s="96"/>
      <c r="U19" s="174"/>
      <c r="AE19" s="96">
        <f t="shared" ref="AE19:AE29" si="26">F2</f>
        <v>6.0661220353948684</v>
      </c>
      <c r="AF19" s="174">
        <f t="shared" ref="AF19:AF29" si="27">G2</f>
        <v>5.9999999999999995E-25</v>
      </c>
    </row>
    <row r="20" spans="1:32" x14ac:dyDescent="0.3">
      <c r="K20" s="96"/>
      <c r="L20" s="174"/>
      <c r="M20" s="174"/>
      <c r="P20" s="174"/>
      <c r="T20" s="96"/>
      <c r="U20" s="174"/>
      <c r="AE20" s="96">
        <f t="shared" si="26"/>
        <v>9</v>
      </c>
      <c r="AF20" s="174">
        <f t="shared" si="27"/>
        <v>8474.5762711864409</v>
      </c>
    </row>
    <row r="21" spans="1:32" x14ac:dyDescent="0.3">
      <c r="A21" t="s">
        <v>326</v>
      </c>
      <c r="B21" s="157">
        <v>-25454</v>
      </c>
      <c r="C21" s="157">
        <v>13061</v>
      </c>
      <c r="D21" t="s">
        <v>327</v>
      </c>
      <c r="K21" s="96"/>
      <c r="L21" s="174"/>
      <c r="M21" s="174"/>
      <c r="P21" s="174"/>
      <c r="T21" s="96"/>
      <c r="U21" s="174"/>
      <c r="AE21" s="96">
        <f t="shared" si="26"/>
        <v>20</v>
      </c>
      <c r="AF21" s="174">
        <f t="shared" si="27"/>
        <v>14851.485148514852</v>
      </c>
    </row>
    <row r="22" spans="1:32" x14ac:dyDescent="0.3">
      <c r="K22" s="96"/>
      <c r="L22" s="174"/>
      <c r="M22" s="174"/>
      <c r="P22" s="174"/>
      <c r="T22" s="96"/>
      <c r="U22" s="174"/>
      <c r="AE22" s="96">
        <f t="shared" si="26"/>
        <v>25</v>
      </c>
      <c r="AF22" s="174">
        <f t="shared" si="27"/>
        <v>16304.347826086958</v>
      </c>
    </row>
    <row r="23" spans="1:32" x14ac:dyDescent="0.3">
      <c r="T23" s="96"/>
      <c r="U23" s="174"/>
      <c r="AE23" s="96">
        <f t="shared" si="26"/>
        <v>35</v>
      </c>
      <c r="AF23" s="174">
        <f t="shared" si="27"/>
        <v>20134.228187919463</v>
      </c>
    </row>
    <row r="24" spans="1:32" x14ac:dyDescent="0.3">
      <c r="AE24" s="96">
        <f t="shared" si="26"/>
        <v>54</v>
      </c>
      <c r="AF24" s="174">
        <f t="shared" si="27"/>
        <v>25104.602510460249</v>
      </c>
    </row>
    <row r="25" spans="1:32" x14ac:dyDescent="0.3">
      <c r="AE25" s="96">
        <f t="shared" si="26"/>
        <v>64</v>
      </c>
      <c r="AF25" s="174">
        <f t="shared" si="27"/>
        <v>27649.76958525346</v>
      </c>
    </row>
    <row r="26" spans="1:32" x14ac:dyDescent="0.3">
      <c r="AE26" s="96">
        <f t="shared" si="26"/>
        <v>90</v>
      </c>
      <c r="AF26" s="174">
        <f t="shared" si="27"/>
        <v>32258.06451612903</v>
      </c>
    </row>
    <row r="27" spans="1:32" x14ac:dyDescent="0.3">
      <c r="AE27" s="96">
        <f t="shared" si="26"/>
        <v>125</v>
      </c>
      <c r="AF27" s="174">
        <f t="shared" si="27"/>
        <v>37037.037037037036</v>
      </c>
    </row>
    <row r="28" spans="1:32" x14ac:dyDescent="0.3">
      <c r="AE28" s="96">
        <f t="shared" si="26"/>
        <v>155</v>
      </c>
      <c r="AF28" s="174">
        <f t="shared" si="27"/>
        <v>41958.041958041955</v>
      </c>
    </row>
    <row r="29" spans="1:32" x14ac:dyDescent="0.3">
      <c r="AE29" s="96">
        <f t="shared" si="26"/>
        <v>180</v>
      </c>
      <c r="AF29" s="174">
        <f t="shared" si="27"/>
        <v>43859.649122807015</v>
      </c>
    </row>
    <row r="30" spans="1:32" x14ac:dyDescent="0.3">
      <c r="AE30" s="96">
        <f t="shared" ref="AE30:AE42" si="28">K2</f>
        <v>5.3803300418278059</v>
      </c>
      <c r="AF30" s="174">
        <f t="shared" ref="AF30:AF42" si="29">L2</f>
        <v>5.9999999999999995E-25</v>
      </c>
    </row>
    <row r="31" spans="1:32" x14ac:dyDescent="0.3">
      <c r="AE31" s="96">
        <f t="shared" si="28"/>
        <v>8</v>
      </c>
      <c r="AF31" s="174">
        <f t="shared" si="29"/>
        <v>7500.0000000000009</v>
      </c>
    </row>
    <row r="32" spans="1:32" x14ac:dyDescent="0.3">
      <c r="AE32" s="96">
        <f t="shared" si="28"/>
        <v>12</v>
      </c>
      <c r="AF32" s="174">
        <f t="shared" si="29"/>
        <v>10830.324909747293</v>
      </c>
    </row>
    <row r="33" spans="31:32" x14ac:dyDescent="0.3">
      <c r="AE33" s="96">
        <f t="shared" si="28"/>
        <v>17</v>
      </c>
      <c r="AF33" s="174">
        <f t="shared" si="29"/>
        <v>12244.897959183674</v>
      </c>
    </row>
    <row r="34" spans="31:32" x14ac:dyDescent="0.3">
      <c r="AE34" s="96">
        <f t="shared" si="28"/>
        <v>21</v>
      </c>
      <c r="AF34" s="174">
        <f t="shared" si="29"/>
        <v>14354.066985645934</v>
      </c>
    </row>
    <row r="35" spans="31:32" x14ac:dyDescent="0.3">
      <c r="AE35" s="96">
        <f t="shared" si="28"/>
        <v>27</v>
      </c>
      <c r="AF35" s="174">
        <f t="shared" si="29"/>
        <v>16949.152542372882</v>
      </c>
    </row>
    <row r="36" spans="31:32" x14ac:dyDescent="0.3">
      <c r="AE36" s="96">
        <f t="shared" si="28"/>
        <v>42</v>
      </c>
      <c r="AF36" s="174">
        <f t="shared" si="29"/>
        <v>21660.649819494585</v>
      </c>
    </row>
    <row r="37" spans="31:32" x14ac:dyDescent="0.3">
      <c r="AE37" s="96">
        <f t="shared" si="28"/>
        <v>67</v>
      </c>
      <c r="AF37" s="174">
        <f t="shared" si="29"/>
        <v>27649.76958525346</v>
      </c>
    </row>
    <row r="38" spans="31:32" x14ac:dyDescent="0.3">
      <c r="AE38" s="96">
        <f t="shared" si="28"/>
        <v>79</v>
      </c>
      <c r="AF38" s="174">
        <f t="shared" si="29"/>
        <v>29702.970297029704</v>
      </c>
    </row>
    <row r="39" spans="31:32" x14ac:dyDescent="0.3">
      <c r="AE39" s="96">
        <f t="shared" si="28"/>
        <v>84</v>
      </c>
      <c r="AF39" s="174">
        <f t="shared" si="29"/>
        <v>30456.852791878177</v>
      </c>
    </row>
    <row r="40" spans="31:32" x14ac:dyDescent="0.3">
      <c r="AE40" s="96">
        <f t="shared" si="28"/>
        <v>121</v>
      </c>
      <c r="AF40" s="174">
        <f t="shared" si="29"/>
        <v>36363.636363636368</v>
      </c>
    </row>
    <row r="41" spans="31:32" x14ac:dyDescent="0.3">
      <c r="AE41" s="96">
        <f t="shared" si="28"/>
        <v>175</v>
      </c>
      <c r="AF41" s="174">
        <f t="shared" si="29"/>
        <v>44117.647058823532</v>
      </c>
    </row>
    <row r="42" spans="31:32" x14ac:dyDescent="0.3">
      <c r="AE42" s="96">
        <f t="shared" si="28"/>
        <v>0</v>
      </c>
      <c r="AF42" s="174">
        <f t="shared" si="29"/>
        <v>0</v>
      </c>
    </row>
    <row r="43" spans="31:32" x14ac:dyDescent="0.3">
      <c r="AE43" s="96">
        <f t="shared" ref="AE43:AE54" si="30">P2</f>
        <v>5.7969930558608072</v>
      </c>
      <c r="AF43" s="174">
        <f t="shared" ref="AF43:AF54" si="31">Q2</f>
        <v>5.9999999999999995E-25</v>
      </c>
    </row>
    <row r="44" spans="31:32" x14ac:dyDescent="0.3">
      <c r="AE44" s="96">
        <f t="shared" si="30"/>
        <v>9</v>
      </c>
      <c r="AF44" s="174">
        <f t="shared" si="31"/>
        <v>8571.4285714285725</v>
      </c>
    </row>
    <row r="45" spans="31:32" x14ac:dyDescent="0.3">
      <c r="AE45" s="96">
        <f t="shared" si="30"/>
        <v>12</v>
      </c>
      <c r="AF45" s="174">
        <f t="shared" si="31"/>
        <v>9933.7748344370866</v>
      </c>
    </row>
    <row r="46" spans="31:32" x14ac:dyDescent="0.3">
      <c r="AE46" s="96">
        <f t="shared" si="30"/>
        <v>24</v>
      </c>
      <c r="AF46" s="174">
        <f t="shared" si="31"/>
        <v>16129.032258064515</v>
      </c>
    </row>
    <row r="47" spans="31:32" x14ac:dyDescent="0.3">
      <c r="AE47" s="96">
        <f t="shared" si="30"/>
        <v>28</v>
      </c>
      <c r="AF47" s="174">
        <f t="shared" si="31"/>
        <v>17341.040462427747</v>
      </c>
    </row>
    <row r="48" spans="31:32" x14ac:dyDescent="0.3">
      <c r="AE48" s="96">
        <f t="shared" si="30"/>
        <v>32</v>
      </c>
      <c r="AF48" s="174">
        <f t="shared" si="31"/>
        <v>18867.92452830189</v>
      </c>
    </row>
    <row r="49" spans="31:32" x14ac:dyDescent="0.3">
      <c r="AE49" s="96">
        <f t="shared" si="30"/>
        <v>50</v>
      </c>
      <c r="AF49" s="174">
        <f t="shared" si="31"/>
        <v>24193.548387096776</v>
      </c>
    </row>
    <row r="50" spans="31:32" x14ac:dyDescent="0.3">
      <c r="AE50" s="96">
        <f t="shared" si="30"/>
        <v>78</v>
      </c>
      <c r="AF50" s="174">
        <f t="shared" si="31"/>
        <v>30150.753768844224</v>
      </c>
    </row>
    <row r="51" spans="31:32" x14ac:dyDescent="0.3">
      <c r="AE51" s="96">
        <f t="shared" si="30"/>
        <v>115</v>
      </c>
      <c r="AF51" s="174">
        <f t="shared" si="31"/>
        <v>35294.117647058825</v>
      </c>
    </row>
    <row r="52" spans="31:32" x14ac:dyDescent="0.3">
      <c r="AE52" s="96">
        <f t="shared" si="30"/>
        <v>140</v>
      </c>
      <c r="AF52" s="174">
        <f t="shared" si="31"/>
        <v>38709.677419354841</v>
      </c>
    </row>
    <row r="53" spans="31:32" x14ac:dyDescent="0.3">
      <c r="AE53" s="96">
        <f t="shared" si="30"/>
        <v>155</v>
      </c>
      <c r="AF53" s="174">
        <f t="shared" si="31"/>
        <v>41958.041958041955</v>
      </c>
    </row>
    <row r="54" spans="31:32" x14ac:dyDescent="0.3">
      <c r="AE54" s="96">
        <f t="shared" si="30"/>
        <v>180</v>
      </c>
      <c r="AF54" s="174">
        <f t="shared" si="31"/>
        <v>44444.444444444445</v>
      </c>
    </row>
    <row r="55" spans="31:32" x14ac:dyDescent="0.3">
      <c r="AE55" s="96">
        <f t="shared" ref="AE55:AE67" si="32">U2</f>
        <v>6.6811957375597357</v>
      </c>
      <c r="AF55" s="174">
        <f t="shared" ref="AF55:AF67" si="33">V2</f>
        <v>5.9999999999999995E-25</v>
      </c>
    </row>
    <row r="56" spans="31:32" x14ac:dyDescent="0.3">
      <c r="AE56" s="96">
        <f t="shared" si="32"/>
        <v>9</v>
      </c>
      <c r="AF56" s="174">
        <f t="shared" si="33"/>
        <v>8174.3869209809272</v>
      </c>
    </row>
    <row r="57" spans="31:32" x14ac:dyDescent="0.3">
      <c r="AE57" s="96">
        <f t="shared" si="32"/>
        <v>13</v>
      </c>
      <c r="AF57" s="174">
        <f t="shared" si="33"/>
        <v>10309.278350515466</v>
      </c>
    </row>
    <row r="58" spans="31:32" x14ac:dyDescent="0.3">
      <c r="AE58" s="96">
        <f t="shared" si="32"/>
        <v>24</v>
      </c>
      <c r="AF58" s="174">
        <f t="shared" si="33"/>
        <v>16042.780748663101</v>
      </c>
    </row>
    <row r="59" spans="31:32" x14ac:dyDescent="0.3">
      <c r="AE59" s="96">
        <f t="shared" si="32"/>
        <v>28</v>
      </c>
      <c r="AF59" s="174">
        <f t="shared" si="33"/>
        <v>17341.040462427747</v>
      </c>
    </row>
    <row r="60" spans="31:32" x14ac:dyDescent="0.3">
      <c r="AE60" s="96">
        <f t="shared" si="32"/>
        <v>36</v>
      </c>
      <c r="AF60" s="174">
        <f t="shared" si="33"/>
        <v>20134.228187919463</v>
      </c>
    </row>
    <row r="61" spans="31:32" x14ac:dyDescent="0.3">
      <c r="AE61" s="96">
        <f t="shared" si="32"/>
        <v>52</v>
      </c>
      <c r="AF61" s="174">
        <f t="shared" si="33"/>
        <v>24691.358024691359</v>
      </c>
    </row>
    <row r="62" spans="31:32" x14ac:dyDescent="0.3">
      <c r="AE62" s="96">
        <f t="shared" si="32"/>
        <v>73</v>
      </c>
      <c r="AF62" s="174">
        <f t="shared" si="33"/>
        <v>29411.764705882353</v>
      </c>
    </row>
    <row r="63" spans="31:32" x14ac:dyDescent="0.3">
      <c r="AE63" s="96">
        <f t="shared" si="32"/>
        <v>94</v>
      </c>
      <c r="AF63" s="174">
        <f t="shared" si="33"/>
        <v>32432.43243243243</v>
      </c>
    </row>
    <row r="64" spans="31:32" x14ac:dyDescent="0.3">
      <c r="AE64" s="96">
        <f t="shared" si="32"/>
        <v>99</v>
      </c>
      <c r="AF64" s="174">
        <f t="shared" si="33"/>
        <v>32967.032967032967</v>
      </c>
    </row>
    <row r="65" spans="31:32" x14ac:dyDescent="0.3">
      <c r="AE65" s="96">
        <f t="shared" si="32"/>
        <v>110</v>
      </c>
      <c r="AF65" s="174">
        <f t="shared" si="33"/>
        <v>35087.719298245618</v>
      </c>
    </row>
    <row r="66" spans="31:32" x14ac:dyDescent="0.3">
      <c r="AE66" s="96">
        <f t="shared" si="32"/>
        <v>132</v>
      </c>
      <c r="AF66" s="174">
        <f t="shared" si="33"/>
        <v>37267.080745341613</v>
      </c>
    </row>
    <row r="67" spans="31:32" x14ac:dyDescent="0.3">
      <c r="AE67" s="96">
        <f t="shared" si="32"/>
        <v>180</v>
      </c>
      <c r="AF67" s="174">
        <f t="shared" si="33"/>
        <v>43795.620437956204</v>
      </c>
    </row>
    <row r="68" spans="31:32" x14ac:dyDescent="0.3">
      <c r="AE68" s="96">
        <f t="shared" ref="AE68:AE80" si="34">Z2</f>
        <v>9.1059042173196207</v>
      </c>
      <c r="AF68" s="174">
        <f t="shared" ref="AF68:AF80" si="35">AA2</f>
        <v>5.9999999999999995E-25</v>
      </c>
    </row>
    <row r="69" spans="31:32" x14ac:dyDescent="0.3">
      <c r="AE69" s="96">
        <f t="shared" si="34"/>
        <v>11</v>
      </c>
      <c r="AF69" s="174">
        <f t="shared" si="35"/>
        <v>7936.5079365079364</v>
      </c>
    </row>
    <row r="70" spans="31:32" x14ac:dyDescent="0.3">
      <c r="AE70" s="96">
        <f t="shared" si="34"/>
        <v>15</v>
      </c>
      <c r="AF70" s="174">
        <f t="shared" si="35"/>
        <v>9933.7748344370866</v>
      </c>
    </row>
    <row r="71" spans="31:32" x14ac:dyDescent="0.3">
      <c r="AE71" s="96">
        <f t="shared" si="34"/>
        <v>26</v>
      </c>
      <c r="AF71" s="174">
        <f t="shared" si="35"/>
        <v>14150.943396226416</v>
      </c>
    </row>
    <row r="72" spans="31:32" x14ac:dyDescent="0.3">
      <c r="AE72" s="96">
        <f t="shared" si="34"/>
        <v>34</v>
      </c>
      <c r="AF72" s="174">
        <f t="shared" si="35"/>
        <v>17910.447761194031</v>
      </c>
    </row>
    <row r="73" spans="31:32" x14ac:dyDescent="0.3">
      <c r="AE73" s="96">
        <f t="shared" si="34"/>
        <v>51</v>
      </c>
      <c r="AF73" s="174">
        <f t="shared" si="35"/>
        <v>22900.763358778626</v>
      </c>
    </row>
    <row r="74" spans="31:32" x14ac:dyDescent="0.3">
      <c r="AE74" s="96">
        <f t="shared" si="34"/>
        <v>76</v>
      </c>
      <c r="AF74" s="174">
        <f t="shared" si="35"/>
        <v>28571.428571428572</v>
      </c>
    </row>
    <row r="75" spans="31:32" x14ac:dyDescent="0.3">
      <c r="AE75" s="96">
        <f t="shared" si="34"/>
        <v>91</v>
      </c>
      <c r="AF75" s="174">
        <f t="shared" si="35"/>
        <v>32085.561497326202</v>
      </c>
    </row>
    <row r="76" spans="31:32" x14ac:dyDescent="0.3">
      <c r="AE76" s="96">
        <f t="shared" si="34"/>
        <v>106</v>
      </c>
      <c r="AF76" s="174">
        <f t="shared" si="35"/>
        <v>35087.719298245618</v>
      </c>
    </row>
    <row r="77" spans="31:32" x14ac:dyDescent="0.3">
      <c r="AE77" s="96">
        <f t="shared" si="34"/>
        <v>132</v>
      </c>
      <c r="AF77" s="174">
        <f t="shared" si="35"/>
        <v>40000</v>
      </c>
    </row>
    <row r="78" spans="31:32" x14ac:dyDescent="0.3">
      <c r="AE78" s="96">
        <f t="shared" si="34"/>
        <v>178</v>
      </c>
      <c r="AF78" s="174">
        <f t="shared" si="35"/>
        <v>44117.647058823532</v>
      </c>
    </row>
    <row r="79" spans="31:32" x14ac:dyDescent="0.3">
      <c r="AE79" s="96">
        <f t="shared" si="34"/>
        <v>0</v>
      </c>
      <c r="AF79" s="174">
        <f t="shared" si="35"/>
        <v>0</v>
      </c>
    </row>
    <row r="80" spans="31:32" x14ac:dyDescent="0.3">
      <c r="AE80" s="96">
        <f t="shared" si="34"/>
        <v>0</v>
      </c>
      <c r="AF80" s="174">
        <f t="shared" si="35"/>
        <v>0</v>
      </c>
    </row>
    <row r="81" spans="23:23" x14ac:dyDescent="0.3">
      <c r="W81" s="96"/>
    </row>
    <row r="82" spans="23:23" x14ac:dyDescent="0.3">
      <c r="W82" s="96"/>
    </row>
    <row r="83" spans="23:23" x14ac:dyDescent="0.3">
      <c r="W83" s="96"/>
    </row>
    <row r="84" spans="23:23" x14ac:dyDescent="0.3">
      <c r="W84" s="96"/>
    </row>
    <row r="85" spans="23:23" x14ac:dyDescent="0.3">
      <c r="W85" s="9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AA1" workbookViewId="0">
      <pane ySplit="1" topLeftCell="A32" activePane="bottomLeft" state="frozen"/>
      <selection pane="bottomLeft" activeCell="AD42" sqref="AD4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P11" sqref="P11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G10" sqref="G10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P1" zoomScale="90" zoomScaleNormal="90" workbookViewId="0">
      <selection activeCell="Z48" sqref="Z4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" style="1" bestFit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1.033700677974416</v>
      </c>
      <c r="D2" s="262">
        <f>EXP((0-$Q$41)/$R$41)</f>
        <v>6.0661220353948684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6.0661220353948684</v>
      </c>
      <c r="M2" s="234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3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0.16850338987207969</v>
      </c>
      <c r="AI2" s="228">
        <f t="shared" ref="AI2:AI13" si="16">AH2/$Q$23*$Q$31</f>
        <v>6.0661220353948684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-17.475379161511935</v>
      </c>
      <c r="AM2" s="229">
        <f t="shared" ref="AM2:AM13" si="20">($Q$43+$R$43*AL2*$Q$30)/$Q$30</f>
        <v>3.2320324349647142E-2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109">
        <v>9</v>
      </c>
      <c r="E3" s="109">
        <v>2.3999999999999998E-3</v>
      </c>
      <c r="F3" s="109">
        <v>12.15</v>
      </c>
      <c r="G3" s="112">
        <v>0.33500000000000002</v>
      </c>
      <c r="H3" s="109">
        <v>7080</v>
      </c>
      <c r="I3" s="191">
        <v>1.0000000000000001E+32</v>
      </c>
      <c r="J3" s="61"/>
      <c r="K3" s="2">
        <f t="shared" si="2"/>
        <v>4.0702500000000006</v>
      </c>
      <c r="L3" s="1">
        <f t="shared" si="3"/>
        <v>9</v>
      </c>
      <c r="M3" s="234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3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58">
        <f>K3</f>
        <v>4.0702500000000006</v>
      </c>
      <c r="V3" s="1">
        <f t="shared" ref="V3:V13" si="24">($U3-$U$2)</f>
        <v>3.8376900000000007</v>
      </c>
      <c r="W3" s="234">
        <f t="shared" ref="W3:W13" si="25">($U3-$U$2)*0.001341022</f>
        <v>5.1464267191800011E-3</v>
      </c>
      <c r="X3" s="230">
        <f>$W3/$P3*5252</f>
        <v>3.1894259092377368E-3</v>
      </c>
      <c r="Y3" s="230">
        <f>X3-$X$3</f>
        <v>0</v>
      </c>
      <c r="Z3" s="228">
        <f t="shared" si="10"/>
        <v>2.7524865750168128E-2</v>
      </c>
      <c r="AA3" s="229">
        <f t="shared" si="11"/>
        <v>4.4790152522779944E-2</v>
      </c>
      <c r="AB3" s="2">
        <f>AA3/U3*100</f>
        <v>1.1004275541497437</v>
      </c>
      <c r="AC3" s="158">
        <f t="shared" si="12"/>
        <v>3.2545228688358891</v>
      </c>
      <c r="AD3" s="175">
        <f t="shared" si="13"/>
        <v>7.3226764548807513</v>
      </c>
      <c r="AE3" s="4">
        <f t="shared" si="14"/>
        <v>1.7278759594743859E-27</v>
      </c>
      <c r="AF3" s="158">
        <f t="shared" ref="AF3:AF13" si="26">AE3/AC3</f>
        <v>5.309152920754956E-28</v>
      </c>
      <c r="AH3" s="228">
        <f t="shared" si="15"/>
        <v>0.25</v>
      </c>
      <c r="AI3" s="228">
        <f t="shared" si="16"/>
        <v>9</v>
      </c>
      <c r="AJ3" s="229">
        <f t="shared" si="17"/>
        <v>4918.1173829864128</v>
      </c>
      <c r="AK3" s="229">
        <f t="shared" si="18"/>
        <v>10.672997792939263</v>
      </c>
      <c r="AL3" s="229">
        <f t="shared" si="19"/>
        <v>-7.3632448530133212</v>
      </c>
      <c r="AM3" s="229">
        <f t="shared" si="20"/>
        <v>10.700347040602749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1.1056470227231563E-7</v>
      </c>
      <c r="AS3" s="228"/>
      <c r="AT3" s="1"/>
      <c r="AU3" s="228"/>
      <c r="AV3">
        <f t="shared" si="22"/>
        <v>2.3999999999999998E-3</v>
      </c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1.1111111111111112</v>
      </c>
      <c r="D4" s="73">
        <v>20</v>
      </c>
      <c r="E4" s="109">
        <v>6.9000000000000006E-2</v>
      </c>
      <c r="F4" s="73">
        <v>12.14</v>
      </c>
      <c r="G4" s="106">
        <v>0.86099999999999999</v>
      </c>
      <c r="H4" s="73">
        <v>4040</v>
      </c>
      <c r="I4" s="73">
        <v>68000</v>
      </c>
      <c r="J4" s="61"/>
      <c r="K4" s="2">
        <f t="shared" si="2"/>
        <v>10.452540000000001</v>
      </c>
      <c r="L4" s="1">
        <f t="shared" si="3"/>
        <v>20</v>
      </c>
      <c r="M4" s="234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3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58">
        <f t="shared" si="0"/>
        <v>10.452540000000001</v>
      </c>
      <c r="V4" s="229">
        <f t="shared" si="24"/>
        <v>10.219980000000001</v>
      </c>
      <c r="W4" s="234">
        <f t="shared" si="25"/>
        <v>1.3705218019560003E-2</v>
      </c>
      <c r="X4" s="230">
        <f t="shared" ref="X4:X13" si="29">$W4/$P4*5252</f>
        <v>4.8466402059410951E-3</v>
      </c>
      <c r="Y4" s="230">
        <f t="shared" ref="Y4:Y13" si="30">X4-$X$3</f>
        <v>1.6572142967033582E-3</v>
      </c>
      <c r="Z4" s="228">
        <f t="shared" si="10"/>
        <v>0.14814291539889993</v>
      </c>
      <c r="AA4" s="229">
        <f t="shared" si="11"/>
        <v>0.55926296128691122</v>
      </c>
      <c r="AB4" s="2">
        <f t="shared" ref="AB4:AB13" si="31">AA4/U4*100</f>
        <v>5.350498168740911</v>
      </c>
      <c r="AC4" s="158">
        <f t="shared" si="12"/>
        <v>7.5503166625417197</v>
      </c>
      <c r="AD4" s="175">
        <f t="shared" si="13"/>
        <v>16.988212490718869</v>
      </c>
      <c r="AE4" s="175">
        <f t="shared" si="14"/>
        <v>2.5409940580505683</v>
      </c>
      <c r="AF4" s="158">
        <f t="shared" si="26"/>
        <v>0.33654138913892578</v>
      </c>
      <c r="AG4" s="151"/>
      <c r="AH4" s="228">
        <f t="shared" si="15"/>
        <v>0.55555555555555558</v>
      </c>
      <c r="AI4" s="228">
        <f t="shared" si="16"/>
        <v>20</v>
      </c>
      <c r="AJ4" s="229">
        <f t="shared" si="17"/>
        <v>14872.754409463825</v>
      </c>
      <c r="AK4" s="229">
        <f t="shared" si="18"/>
        <v>32.275942728871151</v>
      </c>
      <c r="AL4" s="229">
        <f t="shared" si="19"/>
        <v>13.10447048707233</v>
      </c>
      <c r="AM4" s="229">
        <f t="shared" si="20"/>
        <v>32.293230145921825</v>
      </c>
      <c r="AN4" s="2">
        <f t="shared" ref="AN4:AN13" si="32">AO4/$Q$30</f>
        <v>13.10447048707233</v>
      </c>
      <c r="AO4" s="3">
        <f t="shared" si="21"/>
        <v>6038.5400004429302</v>
      </c>
      <c r="AP4" s="227">
        <f t="shared" si="27"/>
        <v>1.9360973862098028E-3</v>
      </c>
      <c r="AQ4" s="227">
        <f t="shared" ref="AQ4:AQ13" si="33">AJ4*AP4/5252</f>
        <v>5.4826924862725118E-3</v>
      </c>
      <c r="AR4" s="231">
        <f t="shared" si="28"/>
        <v>3.7293268066041901E-7</v>
      </c>
      <c r="AS4" s="228">
        <f t="shared" ref="AS4:AS13" si="34">$Q$35/AR4</f>
        <v>0.10035810602202501</v>
      </c>
      <c r="AT4" s="1"/>
      <c r="AU4" s="228"/>
      <c r="AV4">
        <f t="shared" si="22"/>
        <v>6.9000000000000006E-2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1.1388888888888888</v>
      </c>
      <c r="D5" s="73">
        <v>25</v>
      </c>
      <c r="E5" s="109">
        <v>0.51</v>
      </c>
      <c r="F5" s="73">
        <v>12.14</v>
      </c>
      <c r="G5" s="106">
        <v>1.1299999999999999</v>
      </c>
      <c r="H5" s="73">
        <v>3680</v>
      </c>
      <c r="I5" s="73">
        <v>8500</v>
      </c>
      <c r="J5" s="61"/>
      <c r="K5" s="2">
        <f t="shared" si="2"/>
        <v>13.7182</v>
      </c>
      <c r="L5" s="1">
        <f t="shared" si="3"/>
        <v>25</v>
      </c>
      <c r="M5" s="234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3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58">
        <f t="shared" si="0"/>
        <v>13.7182</v>
      </c>
      <c r="V5" s="229">
        <f t="shared" si="24"/>
        <v>13.48564</v>
      </c>
      <c r="W5" s="234">
        <f t="shared" si="25"/>
        <v>1.808453992408E-2</v>
      </c>
      <c r="X5" s="230">
        <f t="shared" si="29"/>
        <v>5.825440225784447E-3</v>
      </c>
      <c r="Y5" s="230">
        <f t="shared" si="30"/>
        <v>2.6360143165467102E-3</v>
      </c>
      <c r="Z5" s="228">
        <f t="shared" si="10"/>
        <v>0.19601148839895066</v>
      </c>
      <c r="AA5" s="229">
        <f t="shared" si="11"/>
        <v>0.85117138890291044</v>
      </c>
      <c r="AB5" s="2">
        <f t="shared" si="31"/>
        <v>6.2046871229673757</v>
      </c>
      <c r="AC5" s="158">
        <f t="shared" si="12"/>
        <v>8.6849132758023302</v>
      </c>
      <c r="AD5" s="175">
        <f t="shared" si="13"/>
        <v>19.541054870555243</v>
      </c>
      <c r="AE5" s="175">
        <f t="shared" si="14"/>
        <v>20.327952464404547</v>
      </c>
      <c r="AF5" s="158">
        <f t="shared" si="26"/>
        <v>2.3406051181929168</v>
      </c>
      <c r="AG5" s="151"/>
      <c r="AH5" s="228">
        <f t="shared" si="15"/>
        <v>0.69444444444444442</v>
      </c>
      <c r="AI5" s="228">
        <f t="shared" si="16"/>
        <v>25</v>
      </c>
      <c r="AJ5" s="229">
        <f t="shared" si="17"/>
        <v>17654.584902336483</v>
      </c>
      <c r="AK5" s="229">
        <f t="shared" si="18"/>
        <v>38.312901263751044</v>
      </c>
      <c r="AL5" s="229">
        <f t="shared" si="19"/>
        <v>18.824188293060072</v>
      </c>
      <c r="AM5" s="229">
        <f t="shared" si="20"/>
        <v>38.327376894983885</v>
      </c>
      <c r="AN5" s="2">
        <f t="shared" si="32"/>
        <v>18.824188293060072</v>
      </c>
      <c r="AO5" s="3">
        <f t="shared" si="21"/>
        <v>8674.1859654420805</v>
      </c>
      <c r="AP5" s="227">
        <f t="shared" si="27"/>
        <v>3.0755132936984655E-3</v>
      </c>
      <c r="AQ5" s="227">
        <f t="shared" si="33"/>
        <v>1.0338330266920045E-2</v>
      </c>
      <c r="AR5" s="231">
        <f t="shared" si="28"/>
        <v>4.4625160134954964E-7</v>
      </c>
      <c r="AS5" s="228">
        <f t="shared" si="34"/>
        <v>8.3869318096810225E-2</v>
      </c>
      <c r="AT5" s="232">
        <f t="shared" ref="AT5:AT13" si="35">$Q$44*$Q$27*$Q$36^2*$Q$33*PI()/240*($AC5-$Q$46)/$Q$45*$Q$34</f>
        <v>-1.1056085163412459E-7</v>
      </c>
      <c r="AU5" s="165">
        <f t="shared" ref="AU5:AU13" si="36">-$Q$35/AT5</f>
        <v>0.33851781124707386</v>
      </c>
      <c r="AV5">
        <f t="shared" si="22"/>
        <v>0.51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1.1944444444444444</v>
      </c>
      <c r="D6" s="73">
        <v>35</v>
      </c>
      <c r="E6" s="73">
        <v>0.80100000000000005</v>
      </c>
      <c r="F6" s="73">
        <v>12.11</v>
      </c>
      <c r="G6" s="73">
        <v>1.8380000000000001</v>
      </c>
      <c r="H6" s="73">
        <v>2980</v>
      </c>
      <c r="I6" s="73">
        <v>5420</v>
      </c>
      <c r="J6" s="61"/>
      <c r="K6" s="2">
        <f t="shared" si="2"/>
        <v>22.258179999999999</v>
      </c>
      <c r="L6" s="1">
        <f t="shared" si="3"/>
        <v>35</v>
      </c>
      <c r="M6" s="234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3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58">
        <f t="shared" si="0"/>
        <v>22.258179999999999</v>
      </c>
      <c r="V6" s="229">
        <f t="shared" si="24"/>
        <v>22.02562</v>
      </c>
      <c r="W6" s="234">
        <f t="shared" si="25"/>
        <v>2.9536840983640001E-2</v>
      </c>
      <c r="X6" s="230">
        <f t="shared" si="29"/>
        <v>7.7046652793551721E-3</v>
      </c>
      <c r="Y6" s="230">
        <f t="shared" si="30"/>
        <v>4.5152393701174357E-3</v>
      </c>
      <c r="Z6" s="228">
        <f t="shared" si="10"/>
        <v>0.36912732059267428</v>
      </c>
      <c r="AA6" s="229">
        <f t="shared" si="11"/>
        <v>2.1996775003419557</v>
      </c>
      <c r="AB6" s="2">
        <f t="shared" si="31"/>
        <v>9.8825577847872363</v>
      </c>
      <c r="AC6" s="158">
        <f t="shared" si="12"/>
        <v>11.918258972595867</v>
      </c>
      <c r="AD6" s="175">
        <f t="shared" si="13"/>
        <v>26.8160826883407</v>
      </c>
      <c r="AE6" s="175">
        <f t="shared" si="14"/>
        <v>31.879630248604911</v>
      </c>
      <c r="AF6" s="158">
        <f t="shared" si="26"/>
        <v>2.6748563126465896</v>
      </c>
      <c r="AG6" s="151"/>
      <c r="AH6" s="228">
        <f t="shared" si="15"/>
        <v>0.97222222222222221</v>
      </c>
      <c r="AI6" s="228">
        <f t="shared" si="16"/>
        <v>35</v>
      </c>
      <c r="AJ6" s="229">
        <f t="shared" si="17"/>
        <v>21849.233245635256</v>
      </c>
      <c r="AK6" s="229">
        <f t="shared" si="18"/>
        <v>47.415870758757066</v>
      </c>
      <c r="AL6" s="229">
        <f t="shared" si="19"/>
        <v>27.448798915631624</v>
      </c>
      <c r="AM6" s="229">
        <f t="shared" si="20"/>
        <v>47.426106572807385</v>
      </c>
      <c r="AN6" s="2">
        <f t="shared" si="32"/>
        <v>27.448798915631624</v>
      </c>
      <c r="AO6" s="3">
        <f t="shared" si="21"/>
        <v>12648.406540323052</v>
      </c>
      <c r="AP6" s="227">
        <f t="shared" si="27"/>
        <v>5.1792528792478061E-3</v>
      </c>
      <c r="AQ6" s="227">
        <f t="shared" si="33"/>
        <v>2.1546592573650665E-2</v>
      </c>
      <c r="AR6" s="231">
        <f t="shared" si="28"/>
        <v>5.5680725525768094E-7</v>
      </c>
      <c r="AS6" s="228">
        <f t="shared" si="34"/>
        <v>6.7216827998183737E-2</v>
      </c>
      <c r="AT6" s="232">
        <f t="shared" si="35"/>
        <v>-1.5172205181110624E-7</v>
      </c>
      <c r="AU6" s="165">
        <f t="shared" si="36"/>
        <v>0.24668014344673286</v>
      </c>
      <c r="AV6">
        <f t="shared" si="22"/>
        <v>0.80100000000000005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1.3</v>
      </c>
      <c r="D7" s="73">
        <v>54</v>
      </c>
      <c r="E7" s="73">
        <v>1.167</v>
      </c>
      <c r="F7" s="73">
        <v>12.06</v>
      </c>
      <c r="G7" s="73">
        <v>3.18</v>
      </c>
      <c r="H7" s="73">
        <v>2390</v>
      </c>
      <c r="I7" s="73">
        <v>3740</v>
      </c>
      <c r="J7" s="61"/>
      <c r="K7" s="2">
        <f t="shared" si="2"/>
        <v>38.350800000000007</v>
      </c>
      <c r="L7" s="1">
        <f t="shared" si="3"/>
        <v>54</v>
      </c>
      <c r="M7" s="234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3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58">
        <f t="shared" si="0"/>
        <v>38.350800000000007</v>
      </c>
      <c r="V7" s="229">
        <f t="shared" si="24"/>
        <v>38.118240000000007</v>
      </c>
      <c r="W7" s="234">
        <f t="shared" si="25"/>
        <v>5.1117398441280014E-2</v>
      </c>
      <c r="X7" s="230">
        <f t="shared" si="29"/>
        <v>1.0693998301775172E-2</v>
      </c>
      <c r="Y7" s="230">
        <f t="shared" si="30"/>
        <v>7.5045723925374359E-3</v>
      </c>
      <c r="Z7" s="228">
        <f t="shared" si="10"/>
        <v>0.71553565533297758</v>
      </c>
      <c r="AA7" s="229">
        <f t="shared" si="11"/>
        <v>5.9366527500332786</v>
      </c>
      <c r="AB7" s="2">
        <f t="shared" si="31"/>
        <v>15.479866782526772</v>
      </c>
      <c r="AC7" s="158">
        <f t="shared" si="12"/>
        <v>16.59359028662417</v>
      </c>
      <c r="AD7" s="175">
        <f t="shared" si="13"/>
        <v>37.335578144904382</v>
      </c>
      <c r="AE7" s="175">
        <f t="shared" si="14"/>
        <v>46.199891964555775</v>
      </c>
      <c r="AF7" s="158">
        <f t="shared" si="26"/>
        <v>2.7842010780389566</v>
      </c>
      <c r="AG7" s="151"/>
      <c r="AH7" s="228">
        <f t="shared" si="15"/>
        <v>1.5</v>
      </c>
      <c r="AI7" s="228">
        <f t="shared" si="16"/>
        <v>54</v>
      </c>
      <c r="AJ7" s="229">
        <f t="shared" si="17"/>
        <v>27255.178427486022</v>
      </c>
      <c r="AK7" s="233">
        <f t="shared" si="18"/>
        <v>59.147522629092926</v>
      </c>
      <c r="AL7" s="233">
        <f t="shared" si="19"/>
        <v>38.563955282652181</v>
      </c>
      <c r="AM7" s="233">
        <f t="shared" si="20"/>
        <v>59.152294285627782</v>
      </c>
      <c r="AN7" s="9">
        <f t="shared" si="32"/>
        <v>38.563955282652181</v>
      </c>
      <c r="AO7" s="10">
        <f t="shared" si="21"/>
        <v>17770.270594246125</v>
      </c>
      <c r="AP7" s="230">
        <f t="shared" si="27"/>
        <v>8.5744446891955848E-3</v>
      </c>
      <c r="AQ7" s="230">
        <f t="shared" si="33"/>
        <v>4.4496957334469837E-2</v>
      </c>
      <c r="AR7" s="232">
        <f t="shared" si="28"/>
        <v>6.9928828242788957E-7</v>
      </c>
      <c r="AS7" s="228">
        <f t="shared" si="34"/>
        <v>5.3521299362907268E-2</v>
      </c>
      <c r="AT7" s="232">
        <f t="shared" si="35"/>
        <v>-2.1124004529422561E-7</v>
      </c>
      <c r="AU7" s="165">
        <f t="shared" si="36"/>
        <v>0.17717671596153275</v>
      </c>
      <c r="AV7">
        <f t="shared" si="22"/>
        <v>1.167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1.3555555555555556</v>
      </c>
      <c r="D8" s="73">
        <v>64</v>
      </c>
      <c r="E8" s="73">
        <v>1.2749999999999999</v>
      </c>
      <c r="F8" s="73">
        <v>12.03</v>
      </c>
      <c r="G8" s="73">
        <v>3.96</v>
      </c>
      <c r="H8" s="73">
        <v>2170</v>
      </c>
      <c r="I8" s="73">
        <v>3260</v>
      </c>
      <c r="J8" s="61"/>
      <c r="K8" s="2">
        <f t="shared" si="2"/>
        <v>47.638799999999996</v>
      </c>
      <c r="L8" s="1">
        <f t="shared" si="3"/>
        <v>64</v>
      </c>
      <c r="M8" s="234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3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58">
        <f t="shared" si="0"/>
        <v>47.638799999999996</v>
      </c>
      <c r="V8" s="229">
        <f t="shared" si="24"/>
        <v>47.406239999999997</v>
      </c>
      <c r="W8" s="234">
        <f t="shared" si="25"/>
        <v>6.3572810777279998E-2</v>
      </c>
      <c r="X8" s="230">
        <f t="shared" si="29"/>
        <v>1.2075485879648929E-2</v>
      </c>
      <c r="Y8" s="230">
        <f t="shared" si="30"/>
        <v>8.8860599704111923E-3</v>
      </c>
      <c r="Z8" s="228">
        <f t="shared" si="10"/>
        <v>0.95597334004328605</v>
      </c>
      <c r="AA8" s="229">
        <f t="shared" si="11"/>
        <v>9.1677634433024693</v>
      </c>
      <c r="AB8" s="2">
        <f t="shared" si="31"/>
        <v>19.244320686714339</v>
      </c>
      <c r="AC8" s="158">
        <f t="shared" si="12"/>
        <v>19.179956300637748</v>
      </c>
      <c r="AD8" s="175">
        <f t="shared" si="13"/>
        <v>43.154901676434932</v>
      </c>
      <c r="AE8" s="175">
        <f t="shared" si="14"/>
        <v>53.002330045226579</v>
      </c>
      <c r="AF8" s="158">
        <f t="shared" si="26"/>
        <v>2.7634228782608963</v>
      </c>
      <c r="AG8" s="151"/>
      <c r="AH8" s="228">
        <f t="shared" si="15"/>
        <v>1.7777777777777779</v>
      </c>
      <c r="AI8" s="228">
        <f t="shared" si="16"/>
        <v>64</v>
      </c>
      <c r="AJ8" s="229">
        <f t="shared" si="17"/>
        <v>29373.233457459148</v>
      </c>
      <c r="AK8" s="229">
        <f t="shared" si="18"/>
        <v>63.74399621844433</v>
      </c>
      <c r="AL8" s="229">
        <f t="shared" si="19"/>
        <v>42.918885282894202</v>
      </c>
      <c r="AM8" s="229">
        <f t="shared" si="20"/>
        <v>63.746627012295448</v>
      </c>
      <c r="AN8" s="2">
        <f t="shared" si="32"/>
        <v>42.918885282894202</v>
      </c>
      <c r="AO8" s="3">
        <f t="shared" si="21"/>
        <v>19777.022338357649</v>
      </c>
      <c r="AP8" s="227">
        <f t="shared" si="27"/>
        <v>1.0114695134871853E-2</v>
      </c>
      <c r="AQ8" s="227">
        <f t="shared" si="33"/>
        <v>5.6569173942806014E-2</v>
      </c>
      <c r="AR8" s="231">
        <f t="shared" si="28"/>
        <v>7.5511249930799505E-7</v>
      </c>
      <c r="AS8" s="228">
        <f t="shared" si="34"/>
        <v>4.9564558312960312E-2</v>
      </c>
      <c r="AT8" s="232">
        <f t="shared" si="35"/>
        <v>-2.4416505214991937E-7</v>
      </c>
      <c r="AU8" s="165">
        <f t="shared" si="36"/>
        <v>0.1532849077918651</v>
      </c>
      <c r="AV8">
        <f t="shared" si="22"/>
        <v>1.2749999999999999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1.5</v>
      </c>
      <c r="D9" s="73">
        <v>90</v>
      </c>
      <c r="E9" s="73">
        <v>1.597</v>
      </c>
      <c r="F9" s="73">
        <v>11.95</v>
      </c>
      <c r="G9" s="73">
        <v>5.94</v>
      </c>
      <c r="H9" s="73">
        <v>1860</v>
      </c>
      <c r="I9" s="73">
        <v>2690</v>
      </c>
      <c r="J9" s="61"/>
      <c r="K9" s="2">
        <f t="shared" si="2"/>
        <v>70.983000000000004</v>
      </c>
      <c r="L9" s="1">
        <f t="shared" si="3"/>
        <v>90</v>
      </c>
      <c r="M9" s="234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3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58">
        <f t="shared" si="0"/>
        <v>70.983000000000004</v>
      </c>
      <c r="V9" s="229">
        <f t="shared" si="24"/>
        <v>70.750439999999998</v>
      </c>
      <c r="W9" s="234">
        <f t="shared" si="25"/>
        <v>9.4877896549679999E-2</v>
      </c>
      <c r="X9" s="230">
        <f t="shared" si="29"/>
        <v>1.54472600930465E-2</v>
      </c>
      <c r="Y9" s="230">
        <f t="shared" si="30"/>
        <v>1.2257834183808764E-2</v>
      </c>
      <c r="Z9" s="228">
        <f t="shared" si="10"/>
        <v>1.5180502575687365</v>
      </c>
      <c r="AA9" s="229">
        <f t="shared" si="11"/>
        <v>18.345263410826512</v>
      </c>
      <c r="AB9" s="2">
        <f t="shared" si="31"/>
        <v>25.844587310801899</v>
      </c>
      <c r="AC9" s="158">
        <f t="shared" si="12"/>
        <v>24.169507326071976</v>
      </c>
      <c r="AD9" s="175">
        <f t="shared" si="13"/>
        <v>54.381391483661943</v>
      </c>
      <c r="AE9" s="175">
        <f t="shared" si="14"/>
        <v>64.233307043657476</v>
      </c>
      <c r="AF9" s="165">
        <f t="shared" si="26"/>
        <v>2.6576175582349637</v>
      </c>
      <c r="AG9" s="151"/>
      <c r="AH9" s="228">
        <f t="shared" si="15"/>
        <v>2.5</v>
      </c>
      <c r="AI9" s="228">
        <f t="shared" si="16"/>
        <v>90</v>
      </c>
      <c r="AJ9" s="229">
        <f t="shared" si="17"/>
        <v>33623.412187161055</v>
      </c>
      <c r="AK9" s="229">
        <f t="shared" si="18"/>
        <v>72.967474364498813</v>
      </c>
      <c r="AL9" s="229">
        <f t="shared" si="19"/>
        <v>51.657671855688882</v>
      </c>
      <c r="AM9" s="229">
        <f t="shared" si="20"/>
        <v>72.965809212818343</v>
      </c>
      <c r="AN9" s="2">
        <f t="shared" si="32"/>
        <v>51.657671855688875</v>
      </c>
      <c r="AO9" s="3">
        <f t="shared" si="21"/>
        <v>23803.855191101433</v>
      </c>
      <c r="AP9" s="227">
        <f t="shared" si="27"/>
        <v>1.3562109097944107E-2</v>
      </c>
      <c r="AQ9" s="227">
        <f t="shared" si="33"/>
        <v>8.6824901814055916E-2</v>
      </c>
      <c r="AR9" s="231">
        <f t="shared" si="28"/>
        <v>8.6713173196650656E-7</v>
      </c>
      <c r="AS9" s="228">
        <f t="shared" si="34"/>
        <v>4.3161628302909295E-2</v>
      </c>
      <c r="AT9" s="232">
        <f t="shared" si="35"/>
        <v>-3.0768313150494497E-7</v>
      </c>
      <c r="AU9" s="165">
        <f t="shared" si="36"/>
        <v>0.12164078453613508</v>
      </c>
      <c r="AV9">
        <f t="shared" si="22"/>
        <v>1.597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1.6944444444444444</v>
      </c>
      <c r="D10" s="73">
        <v>125</v>
      </c>
      <c r="E10" s="73">
        <v>1.95</v>
      </c>
      <c r="F10" s="73">
        <v>11.84</v>
      </c>
      <c r="G10" s="73">
        <v>8.59</v>
      </c>
      <c r="H10" s="73">
        <v>1620</v>
      </c>
      <c r="I10" s="73">
        <v>2210</v>
      </c>
      <c r="J10" s="61"/>
      <c r="K10" s="2">
        <f t="shared" si="2"/>
        <v>101.7056</v>
      </c>
      <c r="L10" s="1">
        <f t="shared" si="3"/>
        <v>125</v>
      </c>
      <c r="M10" s="234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3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58">
        <f t="shared" si="0"/>
        <v>101.7056</v>
      </c>
      <c r="V10" s="229">
        <f t="shared" si="24"/>
        <v>101.47304</v>
      </c>
      <c r="W10" s="234">
        <f t="shared" si="25"/>
        <v>0.13607757904688</v>
      </c>
      <c r="X10" s="230">
        <f t="shared" si="29"/>
        <v>1.9296345019163774E-2</v>
      </c>
      <c r="Y10" s="230">
        <f t="shared" si="30"/>
        <v>1.6106919109926038E-2</v>
      </c>
      <c r="Z10" s="228">
        <f t="shared" si="10"/>
        <v>2.297629183723529</v>
      </c>
      <c r="AA10" s="229">
        <f t="shared" si="11"/>
        <v>34.159746215144743</v>
      </c>
      <c r="AB10" s="2">
        <f t="shared" si="31"/>
        <v>33.586888249166954</v>
      </c>
      <c r="AC10" s="158">
        <f t="shared" si="12"/>
        <v>29.734777445493261</v>
      </c>
      <c r="AD10" s="175">
        <f t="shared" si="13"/>
        <v>66.903249252359842</v>
      </c>
      <c r="AE10" s="175">
        <f t="shared" si="14"/>
        <v>78.184432555402111</v>
      </c>
      <c r="AF10" s="165">
        <f t="shared" si="26"/>
        <v>2.629393567808664</v>
      </c>
      <c r="AG10" s="151"/>
      <c r="AH10" s="228">
        <f t="shared" si="15"/>
        <v>3.4722222222222223</v>
      </c>
      <c r="AI10" s="228">
        <f t="shared" si="16"/>
        <v>125</v>
      </c>
      <c r="AJ10" s="229">
        <f t="shared" si="17"/>
        <v>37718.724936077138</v>
      </c>
      <c r="AK10" s="229">
        <f t="shared" si="18"/>
        <v>81.854871823084068</v>
      </c>
      <c r="AL10" s="229">
        <f t="shared" si="19"/>
        <v>60.078038700857462</v>
      </c>
      <c r="AM10" s="229">
        <f t="shared" si="20"/>
        <v>81.849067259481657</v>
      </c>
      <c r="AN10" s="2">
        <f t="shared" si="32"/>
        <v>60.078038700857462</v>
      </c>
      <c r="AO10" s="3">
        <f t="shared" si="21"/>
        <v>27683.960233355119</v>
      </c>
      <c r="AP10" s="227">
        <f t="shared" si="27"/>
        <v>1.7334303704993573E-2</v>
      </c>
      <c r="AQ10" s="227">
        <f t="shared" si="33"/>
        <v>0.12449120971193363</v>
      </c>
      <c r="AR10" s="231">
        <f t="shared" si="28"/>
        <v>9.7506926137538719E-7</v>
      </c>
      <c r="AS10" s="228">
        <f t="shared" si="34"/>
        <v>3.8383752813624543E-2</v>
      </c>
      <c r="AT10" s="232">
        <f t="shared" si="35"/>
        <v>-3.785302412500127E-7</v>
      </c>
      <c r="AU10" s="165">
        <f t="shared" si="36"/>
        <v>9.8874048692126973E-2</v>
      </c>
      <c r="AV10">
        <f t="shared" si="22"/>
        <v>1.95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1.8611111111111112</v>
      </c>
      <c r="D11" s="73">
        <v>155</v>
      </c>
      <c r="E11" s="73">
        <v>2.2599999999999998</v>
      </c>
      <c r="F11" s="73">
        <v>11.66</v>
      </c>
      <c r="G11" s="73">
        <v>12.52</v>
      </c>
      <c r="H11" s="73">
        <v>1430</v>
      </c>
      <c r="I11" s="73">
        <v>1900</v>
      </c>
      <c r="J11" s="61"/>
      <c r="K11" s="2">
        <f t="shared" si="2"/>
        <v>145.98320000000001</v>
      </c>
      <c r="L11" s="1">
        <f t="shared" si="3"/>
        <v>155</v>
      </c>
      <c r="M11" s="234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3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58">
        <f t="shared" si="0"/>
        <v>145.98320000000001</v>
      </c>
      <c r="V11" s="229">
        <f t="shared" si="24"/>
        <v>145.75064</v>
      </c>
      <c r="W11" s="234">
        <f t="shared" si="25"/>
        <v>0.19545481475408003</v>
      </c>
      <c r="X11" s="230">
        <f t="shared" si="29"/>
        <v>2.4465600375607542E-2</v>
      </c>
      <c r="Y11" s="230">
        <f t="shared" si="30"/>
        <v>2.1276174466369806E-2</v>
      </c>
      <c r="Z11" s="228">
        <f t="shared" si="10"/>
        <v>3.3405414897843171</v>
      </c>
      <c r="AA11" s="229">
        <f t="shared" si="11"/>
        <v>59.885272810955158</v>
      </c>
      <c r="AB11" s="2">
        <f t="shared" si="31"/>
        <v>41.022030487724038</v>
      </c>
      <c r="AC11" s="158">
        <f t="shared" si="12"/>
        <v>35.853632109698282</v>
      </c>
      <c r="AD11" s="175">
        <f t="shared" si="13"/>
        <v>80.670672246821127</v>
      </c>
      <c r="AE11" s="175">
        <f t="shared" si="14"/>
        <v>90.940839972336121</v>
      </c>
      <c r="AF11" s="163">
        <f t="shared" si="26"/>
        <v>2.5364470660627139</v>
      </c>
      <c r="AG11" s="159">
        <f>$M$41/($Q$27*$Q$36*$Q$33*($AC11-$Q$46)^2/4/$AF11)/(PI()*$Q$36/60/($AC11-$Q$46))</f>
        <v>-0.42538158829966621</v>
      </c>
      <c r="AH11" s="228">
        <f t="shared" si="15"/>
        <v>4.3055555555555554</v>
      </c>
      <c r="AI11" s="228">
        <f t="shared" si="16"/>
        <v>155</v>
      </c>
      <c r="AJ11" s="229">
        <f t="shared" si="17"/>
        <v>40400.421949761876</v>
      </c>
      <c r="AK11" s="229">
        <f t="shared" si="18"/>
        <v>87.674526800698516</v>
      </c>
      <c r="AL11" s="229">
        <f t="shared" si="19"/>
        <v>65.591872199604325</v>
      </c>
      <c r="AM11" s="229">
        <f t="shared" si="20"/>
        <v>87.666011663015411</v>
      </c>
      <c r="AN11" s="2">
        <f t="shared" si="32"/>
        <v>65.591872199604325</v>
      </c>
      <c r="AO11" s="3">
        <f t="shared" si="21"/>
        <v>30224.734709577675</v>
      </c>
      <c r="AP11" s="227">
        <f t="shared" si="27"/>
        <v>2.0043914891207496E-2</v>
      </c>
      <c r="AQ11" s="227">
        <f t="shared" si="33"/>
        <v>0.1541855710452967</v>
      </c>
      <c r="AR11" s="231">
        <f t="shared" si="28"/>
        <v>1.0457490282276053E-6</v>
      </c>
      <c r="AS11" s="228">
        <f t="shared" si="34"/>
        <v>3.578948341766993E-2</v>
      </c>
      <c r="AT11" s="232">
        <f t="shared" si="35"/>
        <v>-4.5642460371702829E-7</v>
      </c>
      <c r="AU11" s="165">
        <f t="shared" si="36"/>
        <v>8.2000000000000017E-2</v>
      </c>
      <c r="AV11">
        <f t="shared" si="22"/>
        <v>2.2599999999999998</v>
      </c>
      <c r="AX11" s="127"/>
      <c r="AY11" s="96"/>
    </row>
    <row r="12" spans="1:51" ht="13.95" customHeight="1" x14ac:dyDescent="0.3">
      <c r="A12" t="s">
        <v>231</v>
      </c>
      <c r="B12" s="176">
        <v>52</v>
      </c>
      <c r="C12" s="220">
        <f t="shared" ref="C12" si="37">D12/180+1</f>
        <v>1.9166666666666665</v>
      </c>
      <c r="D12" s="73">
        <v>165</v>
      </c>
      <c r="E12" s="73">
        <v>2.34</v>
      </c>
      <c r="F12" s="73">
        <v>11.56</v>
      </c>
      <c r="G12" s="73">
        <v>14.28</v>
      </c>
      <c r="H12" s="73">
        <v>1380</v>
      </c>
      <c r="I12" s="73">
        <v>1815</v>
      </c>
      <c r="J12" s="61"/>
      <c r="K12" s="2">
        <f t="shared" ref="K12" si="38">F12*G12</f>
        <v>165.07679999999999</v>
      </c>
      <c r="L12" s="1">
        <f t="shared" ref="L12" si="39">D12</f>
        <v>165</v>
      </c>
      <c r="M12" s="234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58">
        <f t="shared" ref="U12" si="48">K12</f>
        <v>165.07679999999999</v>
      </c>
      <c r="V12" s="229">
        <f t="shared" si="24"/>
        <v>164.84423999999999</v>
      </c>
      <c r="W12" s="234">
        <f t="shared" si="25"/>
        <v>0.22105975241327999</v>
      </c>
      <c r="X12" s="230">
        <f t="shared" si="29"/>
        <v>2.6703133852514566E-2</v>
      </c>
      <c r="Y12" s="230">
        <f t="shared" ref="Y12" si="49">X12-$X$3</f>
        <v>2.351370794327683E-2</v>
      </c>
      <c r="Z12" s="228">
        <f t="shared" ref="Z12" si="50">$Q$37*(P12/$Q$30/100)^3</f>
        <v>3.716958594824546</v>
      </c>
      <c r="AA12" s="229">
        <f t="shared" ref="AA12" si="51">SQRT(Z12^3/4/$Q$27/$Q$33)</f>
        <v>70.287211211306257</v>
      </c>
      <c r="AB12" s="2">
        <f t="shared" ref="AB12" si="52">AA12/U12*100</f>
        <v>42.578491472639556</v>
      </c>
      <c r="AC12" s="158">
        <f t="shared" ref="AC12" si="53">SQRT(Z12/$Q$33/$Q$27)</f>
        <v>37.819743975180906</v>
      </c>
      <c r="AD12" s="175">
        <f t="shared" ref="AD12" si="54">AC12*1/1.6/1000*3600</f>
        <v>85.094423944157029</v>
      </c>
      <c r="AE12" s="175">
        <f t="shared" ref="AE12" si="55">Q12/60*PI()*$C$39/1000</f>
        <v>95.199777381508866</v>
      </c>
      <c r="AF12" s="165">
        <f t="shared" ref="AF12" si="56">AE12/AC12</f>
        <v>2.5171978277796763</v>
      </c>
      <c r="AG12" s="151">
        <f>$M$41/($Q$27*$Q$36*$Q$33*($AC12-$Q$46)^2/4/$AF12)/(PI()*$Q$36/60/($AC12-$Q$46))</f>
        <v>-0.40020711638543943</v>
      </c>
      <c r="AH12" s="228">
        <f t="shared" ref="AH12" si="57">D12/$Q$31*$Q$23</f>
        <v>4.583333333333333</v>
      </c>
      <c r="AI12" s="228">
        <f t="shared" ref="AI12" si="58">AH12/$Q$23*$Q$31</f>
        <v>165</v>
      </c>
      <c r="AJ12" s="229">
        <f t="shared" si="17"/>
        <v>41179.83517703932</v>
      </c>
      <c r="AK12" s="229">
        <f t="shared" ref="AK12" si="59">MAX(($Q$41+$R$41*LN(AI12))/$Q$30,0)</f>
        <v>89.365961755727696</v>
      </c>
      <c r="AL12" s="229">
        <f t="shared" ref="AL12" si="60">($Q$42+$R$42*AK12*$Q$30)/$Q$30</f>
        <v>67.194422651798703</v>
      </c>
      <c r="AM12" s="229">
        <f t="shared" ref="AM12" si="61">($Q$43+$R$43*AL12*$Q$30)/$Q$30</f>
        <v>89.356658811934821</v>
      </c>
      <c r="AN12" s="2">
        <f t="shared" ref="AN12" si="62">AO12/$Q$30</f>
        <v>67.194422651798703</v>
      </c>
      <c r="AO12" s="3">
        <f t="shared" ref="AO12" si="63">MAX($Q$42+$R$42*AJ12, 0)</f>
        <v>30963.189957948842</v>
      </c>
      <c r="AP12" s="227">
        <f t="shared" si="27"/>
        <v>2.0866991062047129E-2</v>
      </c>
      <c r="AQ12" s="227">
        <f t="shared" ref="AQ12" si="64">AJ12*AP12/5252</f>
        <v>0.1636137190738487</v>
      </c>
      <c r="AR12" s="231">
        <f t="shared" ref="AR12" si="65">MAX($K$47+$L$47*2*AJ12,1E-32)</f>
        <v>1.0662915223663488E-6</v>
      </c>
      <c r="AS12" s="228">
        <f t="shared" ref="AS12" si="66">$Q$35/AR12</f>
        <v>3.50999859979544E-2</v>
      </c>
      <c r="AT12" s="232">
        <f t="shared" si="35"/>
        <v>-4.8145363916650839E-7</v>
      </c>
      <c r="AU12" s="165">
        <f t="shared" ref="AU12" si="67">-$Q$35/AT12</f>
        <v>7.7737116224917441E-2</v>
      </c>
      <c r="AV12">
        <f t="shared" ref="AV12" si="68">E12</f>
        <v>2.34</v>
      </c>
      <c r="AX12" s="127"/>
      <c r="AY12" s="96"/>
    </row>
    <row r="13" spans="1:51" ht="13.95" customHeight="1" x14ac:dyDescent="0.3">
      <c r="A13" t="s">
        <v>233</v>
      </c>
      <c r="B13" t="s">
        <v>234</v>
      </c>
      <c r="C13" s="220">
        <f t="shared" si="1"/>
        <v>2</v>
      </c>
      <c r="D13" s="73">
        <v>180</v>
      </c>
      <c r="E13" s="73">
        <v>2.4</v>
      </c>
      <c r="F13" s="73">
        <v>11.53</v>
      </c>
      <c r="G13" s="73">
        <v>14.92</v>
      </c>
      <c r="H13" s="73">
        <v>1368</v>
      </c>
      <c r="I13" s="73">
        <v>1790</v>
      </c>
      <c r="J13" s="61"/>
      <c r="K13" s="2">
        <f t="shared" si="2"/>
        <v>172.02759999999998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3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58">
        <f t="shared" si="0"/>
        <v>172.02759999999998</v>
      </c>
      <c r="V13" s="229">
        <f t="shared" si="24"/>
        <v>171.79503999999997</v>
      </c>
      <c r="W13" s="234">
        <f t="shared" si="25"/>
        <v>0.23038092813087999</v>
      </c>
      <c r="X13" s="230">
        <f t="shared" si="29"/>
        <v>2.7587102467589102E-2</v>
      </c>
      <c r="Y13" s="230">
        <f t="shared" si="30"/>
        <v>2.4397676558351365E-2</v>
      </c>
      <c r="Z13" s="163">
        <f>C33/0.224</f>
        <v>4.4249528005034611</v>
      </c>
      <c r="AA13" s="229">
        <f t="shared" si="11"/>
        <v>91.297248929319878</v>
      </c>
      <c r="AB13" s="2">
        <f t="shared" si="31"/>
        <v>53.071279800055272</v>
      </c>
      <c r="AC13" s="158">
        <f t="shared" si="12"/>
        <v>41.264733453849395</v>
      </c>
      <c r="AD13" s="175">
        <f t="shared" si="13"/>
        <v>92.845650271161119</v>
      </c>
      <c r="AE13" s="175">
        <f t="shared" si="14"/>
        <v>96.529383210859564</v>
      </c>
      <c r="AF13" s="165">
        <f t="shared" si="26"/>
        <v>2.3392707314786927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42264.566957595045</v>
      </c>
      <c r="AK13" s="229">
        <f t="shared" si="18"/>
        <v>91.71998037672536</v>
      </c>
      <c r="AL13" s="229">
        <f t="shared" si="19"/>
        <v>69.424738156593676</v>
      </c>
      <c r="AM13" s="229">
        <f t="shared" si="20"/>
        <v>91.709581020536177</v>
      </c>
      <c r="AN13" s="2">
        <f t="shared" si="32"/>
        <v>69.424738156593676</v>
      </c>
      <c r="AO13" s="3">
        <f t="shared" si="21"/>
        <v>31990.919342558369</v>
      </c>
      <c r="AP13" s="227">
        <f t="shared" si="27"/>
        <v>2.2039137376307687E-2</v>
      </c>
      <c r="AQ13" s="227">
        <f t="shared" si="33"/>
        <v>0.17735616856980041</v>
      </c>
      <c r="AR13" s="231">
        <f t="shared" si="28"/>
        <v>1.0948811016348599E-6</v>
      </c>
      <c r="AS13" s="228">
        <f t="shared" si="34"/>
        <v>3.4183453754851705E-2</v>
      </c>
      <c r="AT13" s="232">
        <f t="shared" si="35"/>
        <v>-5.2530911112538066E-7</v>
      </c>
      <c r="AU13" s="165">
        <f t="shared" si="36"/>
        <v>7.1247227036698585E-2</v>
      </c>
      <c r="AV13">
        <f t="shared" si="22"/>
        <v>2.4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F37" s="6"/>
      <c r="G37" s="6" t="s">
        <v>305</v>
      </c>
      <c r="H37" s="6"/>
      <c r="I37" s="45" t="s">
        <v>304</v>
      </c>
      <c r="J37" s="45"/>
      <c r="K37" s="45"/>
      <c r="L37" s="45"/>
      <c r="M37" s="6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336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83.875</v>
      </c>
      <c r="J39" s="253">
        <f t="shared" ref="J39:J44" si="69">(I39*$Q$30*$R$43+$Q$43)/$Q$30</f>
        <v>106.95421431943859</v>
      </c>
      <c r="K39" s="242">
        <v>0</v>
      </c>
      <c r="L39" s="213"/>
      <c r="M39" s="216"/>
      <c r="P39" s="226" t="s">
        <v>303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69"/>
        <v>83.87668416619394</v>
      </c>
      <c r="K40" s="243">
        <v>0.05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13952.048063061469</v>
      </c>
      <c r="S40" s="205">
        <f>INDEX(LINEST($Q$4:$Q$13,$E$4:$E$13^{1,2},FALSE,FALSE),1)</f>
        <v>27.100402751216251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69"/>
        <v>69.107064868117362</v>
      </c>
      <c r="K41" s="243">
        <v>8.2000000000000003E-2</v>
      </c>
      <c r="L41" s="251">
        <f>$Q$35/K41</f>
        <v>4.5642460371702835E-7</v>
      </c>
      <c r="M41" s="252">
        <f>-L41/$Q$34</f>
        <v>-6.1872919279880365E-7</v>
      </c>
      <c r="N41" s="265" t="s">
        <v>291</v>
      </c>
      <c r="P41" s="65" t="s">
        <v>21</v>
      </c>
      <c r="Q41" s="205">
        <f>INDEX(LINEST($P$3:$P$13,$M$3:$M$13),2)</f>
        <v>-22473.695165144814</v>
      </c>
      <c r="R41" s="67">
        <f>INDEX(LINEST($P$3:$P$13,$M$3:$M$13),1)</f>
        <v>12466.551134859134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69"/>
        <v>44.842690306991543</v>
      </c>
      <c r="K42" s="243">
        <v>0.19600000000000001</v>
      </c>
      <c r="L42" s="61"/>
      <c r="M42" s="250"/>
      <c r="P42" s="65" t="s">
        <v>122</v>
      </c>
      <c r="Q42" s="205">
        <f>INDEX(LINEST($Q$5:$Q$13,$P$5:$P$13),2)</f>
        <v>-8052.6547176247004</v>
      </c>
      <c r="R42" s="291">
        <f>INDEX(LINEST($Q$5:$Q$13,$P$5:$P$13),1)</f>
        <v>0.94745023888118041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69"/>
        <v>35.347935043942314</v>
      </c>
      <c r="K43" s="243">
        <v>0.249</v>
      </c>
      <c r="L43" s="61"/>
      <c r="M43" s="250"/>
      <c r="P43" s="65" t="s">
        <v>123</v>
      </c>
      <c r="Q43" s="205">
        <f>INDEX(LINEST($P$5:$P$13,$Q$5:$Q$13),2)</f>
        <v>8510.2249567586878</v>
      </c>
      <c r="R43" s="291">
        <f>INDEX(LINEST($P$5:$P$13,$Q$5:$Q$13),1)</f>
        <v>1.05497280700547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-26.622641509433969</v>
      </c>
      <c r="J44" s="257">
        <f t="shared" si="69"/>
        <v>-9.6177927112531076</v>
      </c>
      <c r="K44" s="246">
        <v>0.5</v>
      </c>
      <c r="L44" s="255"/>
      <c r="M44" s="256"/>
      <c r="P44" s="65" t="s">
        <v>180</v>
      </c>
      <c r="Q44" s="206">
        <f>AG11</f>
        <v>-0.42538158829966621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AF11</f>
        <v>2.5364470660627139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0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-6.9544107802021679E-4</v>
      </c>
      <c r="K47" s="180">
        <f>INDEX(LINEST($Y$3:$Y$13,$P$3:$P$13^{1,2}),2)</f>
        <v>-1.9058960731914022E-8</v>
      </c>
      <c r="L47" s="180">
        <f>INDEX(LINEST($Y$3:$Y$13,$P$3:$P$13^{1,2}),1)</f>
        <v>1.3178179058174358E-11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-0.13207547169810141</v>
      </c>
      <c r="S50" s="258">
        <f ca="1">J54</f>
        <v>27.219298245614041</v>
      </c>
      <c r="T50" s="258">
        <f ca="1">J53</f>
        <v>47.39473684210526</v>
      </c>
      <c r="U50" s="259">
        <f ca="1">J52</f>
        <v>75.125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70">FORECAST(I51,OFFSET(MeasNt,MATCH(I51,MeasTauT,1)-1,0,2),OFFSET(MeasTauT,MATCH(I51,MeasTauT,1)-1,0,2))</f>
        <v>83.875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70"/>
        <v>75.125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70"/>
        <v>47.39473684210526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70"/>
        <v>27.219298245614041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70"/>
        <v>-0.13207547169810141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70"/>
        <v>-26.622641509433961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E1" zoomScale="70" zoomScaleNormal="70" workbookViewId="0">
      <selection activeCell="AX5" sqref="AX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3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332031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15.8867187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V1" t="str">
        <f>E1</f>
        <v>v4, vdc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1.029890722454599</v>
      </c>
      <c r="D2" s="262">
        <f>EXP((0-$Q$41)/$R$41)</f>
        <v>5.3803300418278059</v>
      </c>
      <c r="E2" s="109">
        <v>3.2000000000000002E-3</v>
      </c>
      <c r="F2" s="109">
        <v>12.24</v>
      </c>
      <c r="G2" s="109">
        <v>1.9E-2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0.23255999999999999</v>
      </c>
      <c r="L2" s="229">
        <f t="shared" ref="L2:L13" si="3">D2</f>
        <v>5.3803300418278059</v>
      </c>
      <c r="M2" s="234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58">
        <f t="shared" si="0"/>
        <v>0.23255999999999999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9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0.14945361227299461</v>
      </c>
      <c r="AI2" s="228">
        <f t="shared" ref="AI2:AI13" si="16">AH2/$Q$23*$Q$31</f>
        <v>5.3803300418278059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-12.585815469150777</v>
      </c>
      <c r="AM2" s="229">
        <f t="shared" ref="AM2:AM13" si="20">($Q$43+$R$43*AL2*$Q$30)/$Q$30</f>
        <v>3.923181115926945E-2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  <c r="AV2">
        <f t="shared" ref="AV2:AV13" si="22">E2</f>
        <v>3.2000000000000002E-3</v>
      </c>
    </row>
    <row r="3" spans="1:51" ht="15" customHeight="1" x14ac:dyDescent="0.3">
      <c r="A3" t="s">
        <v>223</v>
      </c>
      <c r="B3" t="s">
        <v>201</v>
      </c>
      <c r="C3" s="220">
        <f t="shared" si="1"/>
        <v>1.0444444444444445</v>
      </c>
      <c r="D3" s="73">
        <v>8</v>
      </c>
      <c r="E3" s="109">
        <v>4.5999999999999999E-3</v>
      </c>
      <c r="F3" s="73">
        <v>12.23</v>
      </c>
      <c r="G3" s="106">
        <v>0.27700000000000002</v>
      </c>
      <c r="H3" s="73">
        <v>8000</v>
      </c>
      <c r="I3" s="191">
        <v>1.0000000000000001E+32</v>
      </c>
      <c r="J3" s="61"/>
      <c r="K3" s="2">
        <f t="shared" si="2"/>
        <v>3.3877100000000002</v>
      </c>
      <c r="L3" s="1">
        <f t="shared" si="3"/>
        <v>8</v>
      </c>
      <c r="M3" s="234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3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58">
        <f>K3</f>
        <v>3.3877100000000002</v>
      </c>
      <c r="V3" s="1">
        <f t="shared" ref="V3:V13" si="24">($U3-$U$2)</f>
        <v>3.1551500000000003</v>
      </c>
      <c r="W3" s="234">
        <f t="shared" ref="W3:W13" si="25">($U3-$U$2)*0.001341022</f>
        <v>4.2311255633000009E-3</v>
      </c>
      <c r="X3" s="230">
        <f>$W3/$P3*5252</f>
        <v>2.9629161944602139E-3</v>
      </c>
      <c r="Y3" s="230">
        <f>X3-$X$3</f>
        <v>0</v>
      </c>
      <c r="Z3" s="228">
        <f t="shared" si="10"/>
        <v>1.9078974234800265E-2</v>
      </c>
      <c r="AA3" s="229">
        <f t="shared" si="11"/>
        <v>2.584801871638143E-2</v>
      </c>
      <c r="AB3" s="2">
        <f>AA3/U3*100</f>
        <v>0.76299384293169803</v>
      </c>
      <c r="AC3" s="158">
        <f t="shared" si="12"/>
        <v>2.7095815947205746</v>
      </c>
      <c r="AD3" s="175">
        <f t="shared" si="13"/>
        <v>6.096558588121292</v>
      </c>
      <c r="AE3" s="4">
        <f t="shared" si="14"/>
        <v>1.7278759594743859E-27</v>
      </c>
      <c r="AF3" s="158">
        <f t="shared" ref="AF3:AF13" si="26">AE3/AC3</f>
        <v>6.3769106006662739E-28</v>
      </c>
      <c r="AH3" s="228">
        <f t="shared" si="15"/>
        <v>0.22222222222222224</v>
      </c>
      <c r="AI3" s="228">
        <f t="shared" si="16"/>
        <v>8</v>
      </c>
      <c r="AJ3" s="229">
        <f t="shared" si="17"/>
        <v>4555.170672024622</v>
      </c>
      <c r="AK3" s="229">
        <f t="shared" si="18"/>
        <v>9.8853530208867664</v>
      </c>
      <c r="AL3" s="229">
        <f t="shared" si="19"/>
        <v>-2.9289255895124828</v>
      </c>
      <c r="AM3" s="229">
        <f t="shared" si="20"/>
        <v>9.9172706414521858</v>
      </c>
      <c r="AN3" s="1"/>
      <c r="AO3" s="1">
        <f t="shared" si="21"/>
        <v>0</v>
      </c>
      <c r="AP3" s="227">
        <f t="shared" ref="AP3:AP13" si="27">MAX($J$47+$AJ3*($K$47+$AJ3*$L$47), 0)</f>
        <v>0</v>
      </c>
      <c r="AQ3" s="227">
        <f>AJ3*AP3/5252</f>
        <v>0</v>
      </c>
      <c r="AR3" s="231">
        <f t="shared" ref="AR3:AR13" si="28">MAX($K$47+$L$47*2*AJ3,1E-32)</f>
        <v>2.8272318367231825E-7</v>
      </c>
      <c r="AS3" s="228"/>
      <c r="AT3" s="1"/>
      <c r="AU3" s="228"/>
      <c r="AV3">
        <f t="shared" si="22"/>
        <v>4.5999999999999999E-3</v>
      </c>
      <c r="AX3" s="128">
        <f>0.21/0.15*9-25</f>
        <v>-12.4</v>
      </c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0.23799999999999999</v>
      </c>
      <c r="F4" s="73">
        <v>12.25</v>
      </c>
      <c r="G4" s="106">
        <v>0.52800000000000002</v>
      </c>
      <c r="H4" s="73">
        <v>5540</v>
      </c>
      <c r="I4" s="78">
        <v>13200</v>
      </c>
      <c r="J4" s="61"/>
      <c r="K4" s="2">
        <f t="shared" si="2"/>
        <v>6.468</v>
      </c>
      <c r="L4" s="1">
        <f t="shared" si="3"/>
        <v>12</v>
      </c>
      <c r="M4" s="234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3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58">
        <f t="shared" si="0"/>
        <v>6.468</v>
      </c>
      <c r="V4" s="229">
        <f t="shared" si="24"/>
        <v>6.2354399999999996</v>
      </c>
      <c r="W4" s="234">
        <f t="shared" si="25"/>
        <v>8.3618622196799993E-3</v>
      </c>
      <c r="X4" s="230">
        <f t="shared" ref="X4:X13" si="29">$W4/$P4*5252</f>
        <v>4.0549568682131136E-3</v>
      </c>
      <c r="Y4" s="230">
        <f t="shared" ref="Y4:Y13" si="30">X4-$X$3</f>
        <v>1.0920406737528997E-3</v>
      </c>
      <c r="Z4" s="228">
        <f t="shared" si="10"/>
        <v>5.7450748105172637E-2</v>
      </c>
      <c r="AA4" s="229">
        <f t="shared" si="11"/>
        <v>0.13506358084086184</v>
      </c>
      <c r="AB4" s="2">
        <f t="shared" ref="AB4:AB11" si="31">AA4/U4*100</f>
        <v>2.0881815219675608</v>
      </c>
      <c r="AC4" s="158">
        <f t="shared" si="12"/>
        <v>4.7018911083144355</v>
      </c>
      <c r="AD4" s="175">
        <f t="shared" si="13"/>
        <v>10.57925499370748</v>
      </c>
      <c r="AE4" s="175">
        <f t="shared" si="14"/>
        <v>13.089969389957473</v>
      </c>
      <c r="AF4" s="158">
        <f t="shared" si="26"/>
        <v>2.7839796984686127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9211.0840546388536</v>
      </c>
      <c r="AK4" s="229">
        <f t="shared" si="18"/>
        <v>19.989331715796123</v>
      </c>
      <c r="AL4" s="229">
        <f t="shared" si="19"/>
        <v>6.941537245430192</v>
      </c>
      <c r="AM4" s="229">
        <f t="shared" si="20"/>
        <v>20.013773384235744</v>
      </c>
      <c r="AN4" s="2">
        <f t="shared" ref="AN4:AN13" si="32">AO4/$Q$30</f>
        <v>6.941537245430192</v>
      </c>
      <c r="AO4" s="3">
        <f t="shared" si="21"/>
        <v>3198.6603626942324</v>
      </c>
      <c r="AP4" s="227">
        <f t="shared" si="27"/>
        <v>3.2994267727491818E-4</v>
      </c>
      <c r="AQ4" s="227">
        <f t="shared" ref="AQ4:AQ13" si="33">AJ4*AP4/5252</f>
        <v>5.7866141157499084E-4</v>
      </c>
      <c r="AR4" s="231">
        <f t="shared" si="28"/>
        <v>3.6957404609849427E-7</v>
      </c>
      <c r="AS4" s="228">
        <f t="shared" ref="AS4:AS13" si="34">$Q$35/AR4</f>
        <v>0.10127014572560596</v>
      </c>
      <c r="AT4" s="1"/>
      <c r="AU4" s="228"/>
      <c r="AV4">
        <f t="shared" si="22"/>
        <v>0.23799999999999999</v>
      </c>
      <c r="AX4" s="127">
        <f>47+0.085/0.05*15</f>
        <v>72.5</v>
      </c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1.0944444444444446</v>
      </c>
      <c r="D5" s="73">
        <v>17</v>
      </c>
      <c r="E5" s="73">
        <v>0.434</v>
      </c>
      <c r="F5" s="73">
        <v>12.24</v>
      </c>
      <c r="G5" s="73">
        <v>0.65500000000000003</v>
      </c>
      <c r="H5" s="73">
        <v>4900</v>
      </c>
      <c r="I5" s="78">
        <v>10000</v>
      </c>
      <c r="J5" s="61"/>
      <c r="K5" s="2">
        <f t="shared" si="2"/>
        <v>8.0172000000000008</v>
      </c>
      <c r="L5" s="1">
        <f t="shared" si="3"/>
        <v>17</v>
      </c>
      <c r="M5" s="234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3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58">
        <f t="shared" si="0"/>
        <v>8.0172000000000008</v>
      </c>
      <c r="V5" s="229">
        <f t="shared" si="24"/>
        <v>7.7846400000000004</v>
      </c>
      <c r="W5" s="234">
        <f t="shared" si="25"/>
        <v>1.0439373502080001E-2</v>
      </c>
      <c r="X5" s="230">
        <f t="shared" si="29"/>
        <v>4.477586486688806E-3</v>
      </c>
      <c r="Y5" s="230">
        <f t="shared" si="30"/>
        <v>1.5146702922285921E-3</v>
      </c>
      <c r="Z5" s="228">
        <f t="shared" si="10"/>
        <v>8.3030325869473912E-2</v>
      </c>
      <c r="AA5" s="229">
        <f t="shared" si="11"/>
        <v>0.23466582178855083</v>
      </c>
      <c r="AB5" s="2">
        <f t="shared" si="31"/>
        <v>2.9270296585909144</v>
      </c>
      <c r="AC5" s="158">
        <f t="shared" si="12"/>
        <v>5.6525328386029061</v>
      </c>
      <c r="AD5" s="175">
        <f t="shared" si="13"/>
        <v>12.718198886856539</v>
      </c>
      <c r="AE5" s="175">
        <f t="shared" si="14"/>
        <v>17.278759594743867</v>
      </c>
      <c r="AF5" s="158">
        <f t="shared" si="26"/>
        <v>3.056817198255239</v>
      </c>
      <c r="AG5" s="151"/>
      <c r="AH5" s="228">
        <f t="shared" si="15"/>
        <v>0.47222222222222221</v>
      </c>
      <c r="AI5" s="228">
        <f t="shared" si="16"/>
        <v>17</v>
      </c>
      <c r="AJ5" s="229">
        <f t="shared" si="17"/>
        <v>13210.653355839728</v>
      </c>
      <c r="AK5" s="229">
        <f t="shared" si="18"/>
        <v>28.668952595138297</v>
      </c>
      <c r="AL5" s="229">
        <f t="shared" si="19"/>
        <v>15.420560994174144</v>
      </c>
      <c r="AM5" s="229">
        <f t="shared" si="20"/>
        <v>28.686972196378115</v>
      </c>
      <c r="AN5" s="2">
        <f t="shared" si="32"/>
        <v>15.420560994174144</v>
      </c>
      <c r="AO5" s="3">
        <f t="shared" si="21"/>
        <v>7105.794506115446</v>
      </c>
      <c r="AP5" s="227">
        <f t="shared" si="27"/>
        <v>1.9572786136409217E-3</v>
      </c>
      <c r="AQ5" s="227">
        <f t="shared" si="33"/>
        <v>4.9232538624540689E-3</v>
      </c>
      <c r="AR5" s="231">
        <f t="shared" si="28"/>
        <v>4.4418154297325635E-7</v>
      </c>
      <c r="AS5" s="228">
        <f t="shared" si="34"/>
        <v>8.4260181668669082E-2</v>
      </c>
      <c r="AT5" s="232"/>
      <c r="AU5" s="165"/>
      <c r="AV5">
        <f t="shared" si="22"/>
        <v>0.434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1.1166666666666667</v>
      </c>
      <c r="D6" s="73">
        <v>21</v>
      </c>
      <c r="E6" s="73">
        <v>0.58599999999999997</v>
      </c>
      <c r="F6" s="73">
        <v>12.24</v>
      </c>
      <c r="G6" s="73">
        <v>0.877</v>
      </c>
      <c r="H6" s="73">
        <v>4180</v>
      </c>
      <c r="I6" s="78">
        <v>7500</v>
      </c>
      <c r="J6" s="61"/>
      <c r="K6" s="2">
        <f t="shared" si="2"/>
        <v>10.73448</v>
      </c>
      <c r="L6" s="1">
        <f t="shared" si="3"/>
        <v>21</v>
      </c>
      <c r="M6" s="234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3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58">
        <f t="shared" si="0"/>
        <v>10.73448</v>
      </c>
      <c r="V6" s="229">
        <f t="shared" si="24"/>
        <v>10.50192</v>
      </c>
      <c r="W6" s="234">
        <f t="shared" si="25"/>
        <v>1.4083305762240001E-2</v>
      </c>
      <c r="X6" s="230">
        <f t="shared" si="29"/>
        <v>5.1529313564754849E-3</v>
      </c>
      <c r="Y6" s="230">
        <f t="shared" si="30"/>
        <v>2.190015162015271E-3</v>
      </c>
      <c r="Z6" s="228">
        <f t="shared" si="10"/>
        <v>0.13375072264645263</v>
      </c>
      <c r="AA6" s="229">
        <f t="shared" si="11"/>
        <v>0.47977645696176557</v>
      </c>
      <c r="AB6" s="2">
        <f t="shared" si="31"/>
        <v>4.4694895044917464</v>
      </c>
      <c r="AC6" s="158">
        <f t="shared" si="12"/>
        <v>7.1741886319369401</v>
      </c>
      <c r="AD6" s="175">
        <f t="shared" si="13"/>
        <v>16.141924421858114</v>
      </c>
      <c r="AE6" s="175">
        <f t="shared" si="14"/>
        <v>23.038346126325152</v>
      </c>
      <c r="AF6" s="158">
        <f t="shared" si="26"/>
        <v>3.21128246109485</v>
      </c>
      <c r="AG6" s="151"/>
      <c r="AH6" s="228">
        <f t="shared" si="15"/>
        <v>0.58333333333333337</v>
      </c>
      <c r="AI6" s="228">
        <f t="shared" si="16"/>
        <v>21</v>
      </c>
      <c r="AJ6" s="229">
        <f t="shared" si="17"/>
        <v>15637.093553526916</v>
      </c>
      <c r="AK6" s="229">
        <f t="shared" si="18"/>
        <v>33.934664829702506</v>
      </c>
      <c r="AL6" s="229">
        <f t="shared" si="19"/>
        <v>20.56457588970785</v>
      </c>
      <c r="AM6" s="229">
        <f t="shared" si="20"/>
        <v>33.948788320928394</v>
      </c>
      <c r="AN6" s="2">
        <f t="shared" si="32"/>
        <v>20.564575889707857</v>
      </c>
      <c r="AO6" s="3">
        <f t="shared" si="21"/>
        <v>9476.1565699773801</v>
      </c>
      <c r="AP6" s="227">
        <f t="shared" si="27"/>
        <v>3.0899719769106734E-3</v>
      </c>
      <c r="AQ6" s="227">
        <f t="shared" si="33"/>
        <v>9.1999582788897007E-3</v>
      </c>
      <c r="AR6" s="231">
        <f t="shared" si="28"/>
        <v>4.8944407396912864E-7</v>
      </c>
      <c r="AS6" s="228">
        <f t="shared" si="34"/>
        <v>7.6468016460562963E-2</v>
      </c>
      <c r="AT6" s="232">
        <f t="shared" ref="AT6:AT13" si="35">$Q$44*$Q$27*$Q$36^2*$Q$33*PI()/240*($AC6-$Q$46)/$Q$45*$Q$34</f>
        <v>-1.0314509239179901E-7</v>
      </c>
      <c r="AU6" s="165">
        <f t="shared" ref="AU6:AU13" si="36">-$Q$35/AT6</f>
        <v>0.36285601803166451</v>
      </c>
      <c r="AV6">
        <f t="shared" si="22"/>
        <v>0.58599999999999997</v>
      </c>
      <c r="AW6">
        <v>0.44</v>
      </c>
      <c r="AX6" s="232">
        <f>-$Q$35/AW6</f>
        <v>-8.5060948874537106E-8</v>
      </c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1.1499999999999999</v>
      </c>
      <c r="D7" s="73">
        <v>27</v>
      </c>
      <c r="E7" s="73">
        <v>0.79300000000000004</v>
      </c>
      <c r="F7" s="73">
        <v>12.23</v>
      </c>
      <c r="G7" s="73">
        <v>1.23</v>
      </c>
      <c r="H7" s="73">
        <v>3540</v>
      </c>
      <c r="I7" s="78">
        <v>5580</v>
      </c>
      <c r="J7" s="61"/>
      <c r="K7" s="2">
        <f t="shared" si="2"/>
        <v>15.042899999999999</v>
      </c>
      <c r="L7" s="1">
        <f t="shared" si="3"/>
        <v>27</v>
      </c>
      <c r="M7" s="234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3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58">
        <f t="shared" si="0"/>
        <v>15.042899999999999</v>
      </c>
      <c r="V7" s="229">
        <f t="shared" si="24"/>
        <v>14.81034</v>
      </c>
      <c r="W7" s="234">
        <f t="shared" si="25"/>
        <v>1.9860991767480001E-2</v>
      </c>
      <c r="X7" s="230">
        <f t="shared" si="29"/>
        <v>6.1542857970054926E-3</v>
      </c>
      <c r="Y7" s="230">
        <f t="shared" si="30"/>
        <v>3.1913696025452788E-3</v>
      </c>
      <c r="Z7" s="228">
        <f t="shared" si="10"/>
        <v>0.22019892600134502</v>
      </c>
      <c r="AA7" s="229">
        <f t="shared" si="11"/>
        <v>1.0134854585355983</v>
      </c>
      <c r="AB7" s="2">
        <f t="shared" si="31"/>
        <v>6.737301042588852</v>
      </c>
      <c r="AC7" s="158">
        <f t="shared" si="12"/>
        <v>9.2051807603222162</v>
      </c>
      <c r="AD7" s="175">
        <f t="shared" si="13"/>
        <v>20.711656710724984</v>
      </c>
      <c r="AE7" s="175">
        <f t="shared" si="14"/>
        <v>30.965518986996173</v>
      </c>
      <c r="AF7" s="158">
        <f t="shared" si="26"/>
        <v>3.363922968299458</v>
      </c>
      <c r="AG7" s="151"/>
      <c r="AH7" s="228">
        <f t="shared" si="15"/>
        <v>0.75</v>
      </c>
      <c r="AI7" s="228">
        <f t="shared" si="16"/>
        <v>27</v>
      </c>
      <c r="AJ7" s="229">
        <f t="shared" si="17"/>
        <v>18522.910819867313</v>
      </c>
      <c r="AK7" s="233">
        <f t="shared" si="18"/>
        <v>40.197289105614828</v>
      </c>
      <c r="AL7" s="233">
        <f t="shared" si="19"/>
        <v>26.682462915315533</v>
      </c>
      <c r="AM7" s="233">
        <f t="shared" si="20"/>
        <v>40.206778869802854</v>
      </c>
      <c r="AN7" s="9">
        <f t="shared" si="32"/>
        <v>26.682462915315533</v>
      </c>
      <c r="AO7" s="10">
        <f t="shared" si="21"/>
        <v>12295.278911377398</v>
      </c>
      <c r="AP7" s="230">
        <f t="shared" si="27"/>
        <v>4.5800923567918947E-3</v>
      </c>
      <c r="AQ7" s="230">
        <f t="shared" si="33"/>
        <v>1.6153206830086093E-2</v>
      </c>
      <c r="AR7" s="232">
        <f t="shared" si="28"/>
        <v>5.432757709508463E-7</v>
      </c>
      <c r="AS7" s="228">
        <f t="shared" si="34"/>
        <v>6.889101172189506E-2</v>
      </c>
      <c r="AT7" s="232">
        <f t="shared" si="35"/>
        <v>-1.4363199490561306E-7</v>
      </c>
      <c r="AU7" s="165">
        <f t="shared" si="36"/>
        <v>0.26057437640820308</v>
      </c>
      <c r="AV7">
        <f t="shared" si="22"/>
        <v>0.79300000000000004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1.2333333333333334</v>
      </c>
      <c r="D8" s="73">
        <v>42</v>
      </c>
      <c r="E8" s="73">
        <v>1.175</v>
      </c>
      <c r="F8" s="73">
        <v>12.19</v>
      </c>
      <c r="G8" s="73">
        <v>2.41</v>
      </c>
      <c r="H8" s="73">
        <v>2770</v>
      </c>
      <c r="I8" s="78">
        <v>3760</v>
      </c>
      <c r="J8" s="61"/>
      <c r="K8" s="2">
        <f t="shared" si="2"/>
        <v>29.3779</v>
      </c>
      <c r="L8" s="1">
        <f t="shared" si="3"/>
        <v>42</v>
      </c>
      <c r="M8" s="234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3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58">
        <f t="shared" si="0"/>
        <v>29.3779</v>
      </c>
      <c r="V8" s="229">
        <f t="shared" si="24"/>
        <v>29.145340000000001</v>
      </c>
      <c r="W8" s="234">
        <f t="shared" si="25"/>
        <v>3.9084542137480006E-2</v>
      </c>
      <c r="X8" s="230">
        <f t="shared" si="29"/>
        <v>9.476724706629077E-3</v>
      </c>
      <c r="Y8" s="230">
        <f t="shared" si="30"/>
        <v>6.5138085121688631E-3</v>
      </c>
      <c r="Z8" s="228">
        <f t="shared" si="10"/>
        <v>0.4596059848413811</v>
      </c>
      <c r="AA8" s="229">
        <f t="shared" si="11"/>
        <v>3.0561399649251477</v>
      </c>
      <c r="AB8" s="2">
        <f t="shared" si="31"/>
        <v>10.402853726526224</v>
      </c>
      <c r="AC8" s="158">
        <f t="shared" si="12"/>
        <v>13.298956348359477</v>
      </c>
      <c r="AD8" s="175">
        <f t="shared" si="13"/>
        <v>29.922651783808821</v>
      </c>
      <c r="AE8" s="175">
        <f t="shared" si="14"/>
        <v>45.954147858361345</v>
      </c>
      <c r="AF8" s="158">
        <f t="shared" si="26"/>
        <v>3.4554702380108289</v>
      </c>
      <c r="AG8" s="151"/>
      <c r="AH8" s="228">
        <f t="shared" si="15"/>
        <v>1.1666666666666667</v>
      </c>
      <c r="AI8" s="228">
        <f t="shared" si="16"/>
        <v>42</v>
      </c>
      <c r="AJ8" s="229">
        <f t="shared" si="17"/>
        <v>23596.430052660289</v>
      </c>
      <c r="AK8" s="229">
        <f t="shared" si="18"/>
        <v>51.207530496224585</v>
      </c>
      <c r="AL8" s="229">
        <f t="shared" si="19"/>
        <v>37.438243556907246</v>
      </c>
      <c r="AM8" s="229">
        <f t="shared" si="20"/>
        <v>51.208873762877822</v>
      </c>
      <c r="AN8" s="2">
        <f t="shared" si="32"/>
        <v>37.438243556907246</v>
      </c>
      <c r="AO8" s="3">
        <f t="shared" si="21"/>
        <v>17251.542631022858</v>
      </c>
      <c r="AP8" s="227">
        <f t="shared" si="27"/>
        <v>7.5764934726365541E-3</v>
      </c>
      <c r="AQ8" s="227">
        <f t="shared" si="33"/>
        <v>3.4040022519327057E-2</v>
      </c>
      <c r="AR8" s="231">
        <f t="shared" si="28"/>
        <v>6.3791660395028843E-7</v>
      </c>
      <c r="AS8" s="228">
        <f t="shared" si="34"/>
        <v>5.8670392451037258E-2</v>
      </c>
      <c r="AT8" s="232">
        <f t="shared" si="35"/>
        <v>-2.2523954563406911E-7</v>
      </c>
      <c r="AU8" s="165">
        <f t="shared" si="36"/>
        <v>0.16616450454753204</v>
      </c>
      <c r="AV8">
        <f t="shared" si="22"/>
        <v>1.175</v>
      </c>
      <c r="AW8">
        <v>0.28899999999999998</v>
      </c>
      <c r="AX8" s="232">
        <f>-$Q$35/AW8</f>
        <v>-1.2950455884012569E-7</v>
      </c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1.3722222222222222</v>
      </c>
      <c r="D9" s="73">
        <v>67</v>
      </c>
      <c r="E9" s="73">
        <v>1.6240000000000001</v>
      </c>
      <c r="F9" s="73">
        <v>12.13</v>
      </c>
      <c r="G9" s="73">
        <v>4.2699999999999996</v>
      </c>
      <c r="H9" s="73">
        <v>2170</v>
      </c>
      <c r="I9" s="78">
        <v>2810</v>
      </c>
      <c r="J9" s="61"/>
      <c r="K9" s="2">
        <f t="shared" si="2"/>
        <v>51.795099999999998</v>
      </c>
      <c r="L9" s="1">
        <f t="shared" si="3"/>
        <v>67</v>
      </c>
      <c r="M9" s="234">
        <f t="shared" si="4"/>
        <v>4.2046926193909657</v>
      </c>
      <c r="N9" s="3">
        <f t="shared" si="5"/>
        <v>460.82949308755764</v>
      </c>
      <c r="O9" s="3">
        <f t="shared" si="5"/>
        <v>355.87188612099646</v>
      </c>
      <c r="P9" s="3">
        <f t="shared" si="6"/>
        <v>27649.76958525346</v>
      </c>
      <c r="Q9" s="3">
        <f t="shared" si="23"/>
        <v>21352.313167259788</v>
      </c>
      <c r="R9" s="3">
        <f t="shared" si="7"/>
        <v>60.003840245775734</v>
      </c>
      <c r="S9" s="3">
        <f t="shared" si="8"/>
        <v>46.337485172004747</v>
      </c>
      <c r="T9" s="3">
        <f t="shared" si="9"/>
        <v>67</v>
      </c>
      <c r="U9" s="158">
        <f t="shared" si="0"/>
        <v>51.795099999999998</v>
      </c>
      <c r="V9" s="229">
        <f t="shared" si="24"/>
        <v>51.562539999999998</v>
      </c>
      <c r="W9" s="234">
        <f t="shared" si="25"/>
        <v>6.9146500515880005E-2</v>
      </c>
      <c r="X9" s="230">
        <f t="shared" si="29"/>
        <v>1.3134193382323363E-2</v>
      </c>
      <c r="Y9" s="230">
        <f t="shared" si="30"/>
        <v>1.0171277187863148E-2</v>
      </c>
      <c r="Z9" s="228">
        <f t="shared" si="10"/>
        <v>0.95597334004328605</v>
      </c>
      <c r="AA9" s="229">
        <f t="shared" si="11"/>
        <v>9.1677634433024693</v>
      </c>
      <c r="AB9" s="2">
        <f t="shared" si="31"/>
        <v>17.700059355619487</v>
      </c>
      <c r="AC9" s="158">
        <f t="shared" si="12"/>
        <v>19.179956300637748</v>
      </c>
      <c r="AD9" s="175">
        <f t="shared" si="13"/>
        <v>43.154901676434932</v>
      </c>
      <c r="AE9" s="175">
        <f t="shared" si="14"/>
        <v>61.49024766812763</v>
      </c>
      <c r="AF9" s="165">
        <f t="shared" si="26"/>
        <v>3.2059639085873743</v>
      </c>
      <c r="AG9" s="151"/>
      <c r="AH9" s="228">
        <f t="shared" si="15"/>
        <v>1.8611111111111112</v>
      </c>
      <c r="AI9" s="228">
        <f t="shared" si="16"/>
        <v>67</v>
      </c>
      <c r="AJ9" s="229">
        <f t="shared" si="17"/>
        <v>28959.20627523346</v>
      </c>
      <c r="AK9" s="229">
        <f t="shared" si="18"/>
        <v>62.845499729239279</v>
      </c>
      <c r="AL9" s="229">
        <f t="shared" si="19"/>
        <v>48.807244448264356</v>
      </c>
      <c r="AM9" s="229">
        <f t="shared" si="20"/>
        <v>62.838232041390853</v>
      </c>
      <c r="AN9" s="2">
        <f t="shared" si="32"/>
        <v>48.807244448264363</v>
      </c>
      <c r="AO9" s="3">
        <f t="shared" si="21"/>
        <v>22490.37824176022</v>
      </c>
      <c r="AP9" s="227">
        <f t="shared" si="27"/>
        <v>1.1265734415476743E-2</v>
      </c>
      <c r="AQ9" s="227">
        <f t="shared" si="33"/>
        <v>6.2118569455405115E-2</v>
      </c>
      <c r="AR9" s="231">
        <f t="shared" si="28"/>
        <v>7.3795320292746935E-7</v>
      </c>
      <c r="AS9" s="228">
        <f t="shared" si="34"/>
        <v>5.0717060860124577E-2</v>
      </c>
      <c r="AT9" s="232">
        <f t="shared" si="35"/>
        <v>-3.4247459958818648E-7</v>
      </c>
      <c r="AU9" s="165">
        <f t="shared" si="36"/>
        <v>0.10928348423445342</v>
      </c>
      <c r="AV9">
        <f t="shared" si="22"/>
        <v>1.6240000000000001</v>
      </c>
      <c r="AX9" s="127"/>
      <c r="AY9" s="96"/>
    </row>
    <row r="10" spans="1:51" ht="13.95" customHeight="1" x14ac:dyDescent="0.3">
      <c r="A10" t="s">
        <v>231</v>
      </c>
      <c r="B10" s="176">
        <v>52</v>
      </c>
      <c r="C10" s="220">
        <f t="shared" si="1"/>
        <v>1.4388888888888889</v>
      </c>
      <c r="D10" s="73">
        <v>79</v>
      </c>
      <c r="E10" s="73">
        <v>1.786</v>
      </c>
      <c r="F10" s="73">
        <v>12.09</v>
      </c>
      <c r="G10" s="73">
        <v>5.32</v>
      </c>
      <c r="H10" s="73">
        <v>2020</v>
      </c>
      <c r="I10" s="78">
        <v>2560</v>
      </c>
      <c r="J10" s="61"/>
      <c r="K10" s="2">
        <f t="shared" si="2"/>
        <v>64.318799999999996</v>
      </c>
      <c r="L10" s="1">
        <f t="shared" si="3"/>
        <v>79</v>
      </c>
      <c r="M10" s="234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3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58">
        <f t="shared" ref="U10:U12" si="39">K10</f>
        <v>64.318799999999996</v>
      </c>
      <c r="V10" s="229">
        <f t="shared" si="24"/>
        <v>64.086239999999989</v>
      </c>
      <c r="W10" s="234">
        <f t="shared" si="25"/>
        <v>8.5941057737279988E-2</v>
      </c>
      <c r="X10" s="230">
        <f t="shared" si="29"/>
        <v>1.5195868652951881E-2</v>
      </c>
      <c r="Y10" s="230">
        <f t="shared" ref="Y10:Y12" si="40">X10-$X$3</f>
        <v>1.2232952458491667E-2</v>
      </c>
      <c r="Z10" s="228">
        <f t="shared" si="10"/>
        <v>1.1851433231911994</v>
      </c>
      <c r="AA10" s="229">
        <f t="shared" si="11"/>
        <v>12.654676236558226</v>
      </c>
      <c r="AB10" s="2">
        <f t="shared" si="31"/>
        <v>19.674925895007721</v>
      </c>
      <c r="AC10" s="158">
        <f t="shared" si="12"/>
        <v>21.355520448756128</v>
      </c>
      <c r="AD10" s="175">
        <f t="shared" ref="AD10:AD13" si="41">AC10*1/1.6/1000*3600</f>
        <v>48.049921009701286</v>
      </c>
      <c r="AE10" s="175">
        <f t="shared" si="14"/>
        <v>67.495154666968219</v>
      </c>
      <c r="AF10" s="163">
        <f t="shared" ref="AF10:AF12" si="42">AE10/AC10</f>
        <v>3.1605483382588102</v>
      </c>
      <c r="AG10" s="159">
        <f>$M$41/($Q$27*$Q$36*$Q$33*($AC10-$Q$46)^2/4/$AF10)/(PI()*$Q$36/60/($AC10-$Q$46))</f>
        <v>-0.83001462470815057</v>
      </c>
      <c r="AH10" s="228">
        <f t="shared" si="15"/>
        <v>2.1944444444444446</v>
      </c>
      <c r="AI10" s="228">
        <f t="shared" si="16"/>
        <v>79.000000000000014</v>
      </c>
      <c r="AJ10" s="229">
        <f t="shared" si="17"/>
        <v>30851.073366124794</v>
      </c>
      <c r="AK10" s="229">
        <f t="shared" si="18"/>
        <v>66.951114075791651</v>
      </c>
      <c r="AL10" s="229">
        <f t="shared" si="19"/>
        <v>52.817972800519279</v>
      </c>
      <c r="AM10" s="229">
        <f t="shared" si="20"/>
        <v>66.940808636456552</v>
      </c>
      <c r="AN10" s="2">
        <f t="shared" si="32"/>
        <v>52.817972800519286</v>
      </c>
      <c r="AO10" s="3">
        <f t="shared" si="21"/>
        <v>24338.521866479288</v>
      </c>
      <c r="AP10" s="227">
        <f t="shared" si="27"/>
        <v>1.2695226420403077E-2</v>
      </c>
      <c r="AQ10" s="227">
        <f t="shared" ref="AQ10:AQ12" si="43">AJ10*AP10/5252</f>
        <v>7.4573755082905785E-2</v>
      </c>
      <c r="AR10" s="231">
        <f t="shared" si="28"/>
        <v>7.7324386985722134E-7</v>
      </c>
      <c r="AS10" s="228">
        <f t="shared" si="34"/>
        <v>4.8402346224493374E-2</v>
      </c>
      <c r="AT10" s="232">
        <f t="shared" si="35"/>
        <v>-3.8584347943088994E-7</v>
      </c>
      <c r="AU10" s="165">
        <f t="shared" si="36"/>
        <v>9.7000000000000003E-2</v>
      </c>
      <c r="AV10">
        <f t="shared" si="22"/>
        <v>1.786</v>
      </c>
      <c r="AX10" s="127"/>
      <c r="AY10" s="96"/>
    </row>
    <row r="11" spans="1:51" ht="13.95" customHeight="1" x14ac:dyDescent="0.3">
      <c r="A11" t="s">
        <v>232</v>
      </c>
      <c r="B11" s="176">
        <v>55</v>
      </c>
      <c r="C11" s="220">
        <f t="shared" si="1"/>
        <v>1.4666666666666668</v>
      </c>
      <c r="D11" s="73">
        <v>84</v>
      </c>
      <c r="E11" s="73">
        <v>1.8420000000000001</v>
      </c>
      <c r="F11" s="73">
        <v>12.08</v>
      </c>
      <c r="G11" s="73">
        <v>5.63</v>
      </c>
      <c r="H11" s="73">
        <v>1970</v>
      </c>
      <c r="I11" s="78">
        <v>2480</v>
      </c>
      <c r="J11" s="61"/>
      <c r="K11" s="2">
        <f t="shared" si="2"/>
        <v>68.010400000000004</v>
      </c>
      <c r="L11" s="1">
        <f t="shared" si="3"/>
        <v>84</v>
      </c>
      <c r="M11" s="234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3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58">
        <f t="shared" si="39"/>
        <v>68.010400000000004</v>
      </c>
      <c r="V11" s="229">
        <f t="shared" si="24"/>
        <v>67.777839999999998</v>
      </c>
      <c r="W11" s="234">
        <f t="shared" si="25"/>
        <v>9.0891574552480009E-2</v>
      </c>
      <c r="X11" s="230">
        <f t="shared" si="29"/>
        <v>1.5673403710212686E-2</v>
      </c>
      <c r="Y11" s="230">
        <f t="shared" si="40"/>
        <v>1.2710487515752471E-2</v>
      </c>
      <c r="Z11" s="228">
        <f t="shared" si="10"/>
        <v>1.2776923778889189</v>
      </c>
      <c r="AA11" s="229">
        <f t="shared" si="11"/>
        <v>14.165574197505515</v>
      </c>
      <c r="AB11" s="2">
        <f t="shared" si="31"/>
        <v>20.828541219439252</v>
      </c>
      <c r="AC11" s="158">
        <f t="shared" si="12"/>
        <v>22.173685063239933</v>
      </c>
      <c r="AD11" s="175">
        <f t="shared" si="41"/>
        <v>49.890791392289849</v>
      </c>
      <c r="AE11" s="175">
        <f t="shared" si="14"/>
        <v>69.672417720741393</v>
      </c>
      <c r="AF11" s="165">
        <f t="shared" si="42"/>
        <v>3.1421217322260069</v>
      </c>
      <c r="AG11" s="151"/>
      <c r="AH11" s="228">
        <f t="shared" si="15"/>
        <v>2.3333333333333335</v>
      </c>
      <c r="AI11" s="228">
        <f t="shared" si="16"/>
        <v>84</v>
      </c>
      <c r="AJ11" s="229">
        <f t="shared" si="17"/>
        <v>31555.766551793655</v>
      </c>
      <c r="AK11" s="229">
        <f t="shared" si="18"/>
        <v>68.480396162746644</v>
      </c>
      <c r="AL11" s="229">
        <f t="shared" si="19"/>
        <v>54.311911224106609</v>
      </c>
      <c r="AM11" s="229">
        <f t="shared" si="20"/>
        <v>68.468959204827215</v>
      </c>
      <c r="AN11" s="2">
        <f t="shared" si="32"/>
        <v>54.311911224106609</v>
      </c>
      <c r="AO11" s="3">
        <f t="shared" si="21"/>
        <v>25026.928692068326</v>
      </c>
      <c r="AP11" s="227">
        <f t="shared" si="27"/>
        <v>1.3244757795360145E-2</v>
      </c>
      <c r="AQ11" s="227">
        <f t="shared" si="43"/>
        <v>7.9578919464096329E-2</v>
      </c>
      <c r="AR11" s="231">
        <f t="shared" si="28"/>
        <v>7.863891339314479E-7</v>
      </c>
      <c r="AS11" s="228">
        <f t="shared" si="34"/>
        <v>4.7593253632188338E-2</v>
      </c>
      <c r="AT11" s="232">
        <f t="shared" si="35"/>
        <v>-4.0215321816591598E-7</v>
      </c>
      <c r="AU11" s="165">
        <f t="shared" si="36"/>
        <v>9.3066064908015181E-2</v>
      </c>
      <c r="AV11">
        <f t="shared" si="22"/>
        <v>1.8420000000000001</v>
      </c>
      <c r="AW11">
        <v>8.5000000000000006E-2</v>
      </c>
      <c r="AX11" s="232">
        <f>-$Q$35/AW11</f>
        <v>-4.4031550005642732E-7</v>
      </c>
      <c r="AY11" s="96"/>
    </row>
    <row r="12" spans="1:51" ht="13.95" customHeight="1" x14ac:dyDescent="0.3">
      <c r="A12" t="s">
        <v>232</v>
      </c>
      <c r="B12" s="176">
        <v>62</v>
      </c>
      <c r="C12" s="220">
        <f t="shared" ref="C12" si="44">D12/180+1</f>
        <v>1.6722222222222223</v>
      </c>
      <c r="D12" s="73">
        <v>121</v>
      </c>
      <c r="E12" s="73">
        <v>2.19</v>
      </c>
      <c r="F12" s="73">
        <v>11.97</v>
      </c>
      <c r="G12" s="73">
        <v>8.66</v>
      </c>
      <c r="H12" s="73">
        <v>1650</v>
      </c>
      <c r="I12" s="78">
        <v>2040</v>
      </c>
      <c r="J12" s="61"/>
      <c r="K12" s="2">
        <f t="shared" ref="K12" si="45">F12*G12</f>
        <v>103.6602</v>
      </c>
      <c r="L12" s="1">
        <f t="shared" ref="L12" si="46">D12</f>
        <v>121</v>
      </c>
      <c r="M12" s="234">
        <f t="shared" si="37"/>
        <v>4.7957905455967413</v>
      </c>
      <c r="N12" s="3">
        <f t="shared" ref="N12" si="47">1/H12/0.000001</f>
        <v>606.06060606060612</v>
      </c>
      <c r="O12" s="3">
        <f t="shared" ref="O12" si="48">1/I12/0.000001</f>
        <v>490.19607843137254</v>
      </c>
      <c r="P12" s="3">
        <f t="shared" si="6"/>
        <v>36363.636363636368</v>
      </c>
      <c r="Q12" s="3">
        <f t="shared" si="23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58">
        <f t="shared" si="39"/>
        <v>103.6602</v>
      </c>
      <c r="V12" s="229">
        <f t="shared" si="24"/>
        <v>103.42764</v>
      </c>
      <c r="W12" s="234">
        <f t="shared" si="25"/>
        <v>0.13869874064807999</v>
      </c>
      <c r="X12" s="230">
        <f t="shared" si="29"/>
        <v>2.0032259111802193E-2</v>
      </c>
      <c r="Y12" s="230">
        <f t="shared" si="40"/>
        <v>1.7069342917341978E-2</v>
      </c>
      <c r="Z12" s="228">
        <f t="shared" si="10"/>
        <v>2.174568786090711</v>
      </c>
      <c r="AA12" s="229">
        <f t="shared" si="11"/>
        <v>31.452447925513269</v>
      </c>
      <c r="AB12" s="2">
        <f t="shared" ref="AB12" si="49">AA12/U12*100</f>
        <v>30.341874630295202</v>
      </c>
      <c r="AC12" s="158">
        <f t="shared" si="12"/>
        <v>28.927526346091174</v>
      </c>
      <c r="AD12" s="175">
        <f t="shared" si="41"/>
        <v>65.086934278705144</v>
      </c>
      <c r="AE12" s="175">
        <f t="shared" si="14"/>
        <v>84.699801935018925</v>
      </c>
      <c r="AF12" s="165">
        <f t="shared" si="42"/>
        <v>2.9280001657128891</v>
      </c>
      <c r="AG12" s="151"/>
      <c r="AH12" s="228">
        <f t="shared" si="15"/>
        <v>3.3611111111111116</v>
      </c>
      <c r="AI12" s="228">
        <f t="shared" si="16"/>
        <v>121.00000000000001</v>
      </c>
      <c r="AJ12" s="229">
        <f t="shared" si="17"/>
        <v>35746.721871576265</v>
      </c>
      <c r="AK12" s="229">
        <f t="shared" si="18"/>
        <v>77.575351283802661</v>
      </c>
      <c r="AL12" s="229">
        <f t="shared" si="19"/>
        <v>63.196670309464153</v>
      </c>
      <c r="AM12" s="229">
        <f t="shared" si="20"/>
        <v>77.557184952126192</v>
      </c>
      <c r="AN12" s="2">
        <f t="shared" si="32"/>
        <v>63.196670309464153</v>
      </c>
      <c r="AO12" s="3">
        <f t="shared" si="21"/>
        <v>29121.025678601083</v>
      </c>
      <c r="AP12" s="227">
        <f t="shared" si="27"/>
        <v>1.6704298911363304E-2</v>
      </c>
      <c r="AQ12" s="227">
        <f t="shared" si="43"/>
        <v>0.11369457868320224</v>
      </c>
      <c r="AR12" s="231">
        <f t="shared" si="28"/>
        <v>8.6456672316063497E-7</v>
      </c>
      <c r="AS12" s="228">
        <f t="shared" si="34"/>
        <v>4.3289680833392991E-2</v>
      </c>
      <c r="AT12" s="232">
        <f t="shared" si="35"/>
        <v>-5.3678796627297485E-7</v>
      </c>
      <c r="AU12" s="165">
        <f t="shared" si="36"/>
        <v>6.9723652273090492E-2</v>
      </c>
      <c r="AV12">
        <f t="shared" si="22"/>
        <v>2.19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2.66</v>
      </c>
      <c r="F13" s="80">
        <v>11.7</v>
      </c>
      <c r="G13" s="80">
        <v>14.72</v>
      </c>
      <c r="H13" s="80">
        <v>1360</v>
      </c>
      <c r="I13" s="81">
        <v>1620</v>
      </c>
      <c r="J13" s="61"/>
      <c r="K13" s="2">
        <f t="shared" si="2"/>
        <v>172.22399999999999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3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58">
        <f t="shared" si="0"/>
        <v>172.22399999999999</v>
      </c>
      <c r="V13" s="229">
        <f t="shared" si="24"/>
        <v>171.99143999999998</v>
      </c>
      <c r="W13" s="234">
        <f t="shared" si="25"/>
        <v>0.23064430485168</v>
      </c>
      <c r="X13" s="230">
        <f t="shared" si="29"/>
        <v>2.7457128152503195E-2</v>
      </c>
      <c r="Y13" s="230">
        <f t="shared" si="30"/>
        <v>2.449421195804298E-2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53.010758622096731</v>
      </c>
      <c r="AC13" s="158">
        <f t="shared" si="12"/>
        <v>41.264733453849395</v>
      </c>
      <c r="AD13" s="175">
        <f t="shared" si="41"/>
        <v>92.845650271161119</v>
      </c>
      <c r="AE13" s="175">
        <f t="shared" si="14"/>
        <v>106.65900984409792</v>
      </c>
      <c r="AF13" s="165">
        <f t="shared" si="26"/>
        <v>2.5847497588560868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39983.857739779705</v>
      </c>
      <c r="AK13" s="229">
        <f t="shared" si="18"/>
        <v>86.770524608896935</v>
      </c>
      <c r="AL13" s="229">
        <f t="shared" si="19"/>
        <v>72.179331428091302</v>
      </c>
      <c r="AM13" s="229">
        <f t="shared" si="20"/>
        <v>86.745554751832856</v>
      </c>
      <c r="AN13" s="2">
        <f t="shared" si="32"/>
        <v>72.179331428091302</v>
      </c>
      <c r="AO13" s="3">
        <f t="shared" si="21"/>
        <v>33260.235922064472</v>
      </c>
      <c r="AP13" s="227">
        <f t="shared" si="27"/>
        <v>2.0535035151237838E-2</v>
      </c>
      <c r="AQ13" s="227">
        <f t="shared" si="33"/>
        <v>0.15633471518820818</v>
      </c>
      <c r="AR13" s="231">
        <f t="shared" si="28"/>
        <v>9.4360575892631468E-7</v>
      </c>
      <c r="AS13" s="228">
        <f t="shared" si="34"/>
        <v>3.9663617088753857E-2</v>
      </c>
      <c r="AT13" s="232">
        <f t="shared" si="35"/>
        <v>-7.8272456764309463E-7</v>
      </c>
      <c r="AU13" s="165">
        <f t="shared" si="36"/>
        <v>4.7816076116652749E-2</v>
      </c>
      <c r="AV13">
        <f t="shared" si="22"/>
        <v>2.66</v>
      </c>
      <c r="AW13">
        <v>3.5000000000000003E-2</v>
      </c>
      <c r="AX13" s="232">
        <f>-$Q$35/AW13</f>
        <v>-1.0693376429941806E-6</v>
      </c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E25" s="61"/>
      <c r="F25" s="189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E26" s="61"/>
      <c r="F26" s="189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E27" s="61"/>
      <c r="F27" s="61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E28" s="61"/>
      <c r="F28" s="61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E29" s="61"/>
      <c r="F29" s="61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E30" s="61"/>
      <c r="F30" s="61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E31" s="61"/>
      <c r="F31" s="6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E32" s="61"/>
      <c r="F32" s="61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E33" s="61"/>
      <c r="F33" s="61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E34" s="61"/>
      <c r="F34" s="61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E35" s="61"/>
      <c r="F35" s="61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242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298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68.268656716417908</v>
      </c>
      <c r="J39" s="253">
        <f t="shared" ref="J39:J44" si="50">(I39*$Q$30*$R$43+$Q$43)/$Q$30</f>
        <v>82.745323089669455</v>
      </c>
      <c r="K39" s="242">
        <v>0</v>
      </c>
      <c r="L39" s="213"/>
      <c r="M39" s="216"/>
      <c r="P39" s="226" t="s">
        <v>302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50"/>
        <v>76.333110127697495</v>
      </c>
      <c r="K40" s="243">
        <v>0.03</v>
      </c>
      <c r="L40" s="249"/>
      <c r="M40" s="250"/>
      <c r="P40" s="65" t="s">
        <v>121</v>
      </c>
      <c r="Q40" s="205">
        <f>INDEX(LINEST($Q$4:$Q$13,$E$4:$E$13^{1,2},FALSE,FALSE),3)</f>
        <v>0</v>
      </c>
      <c r="R40" s="205">
        <f>INDEX(LINEST($Q$4:$Q$13,$E$4:$E$13^{1,2},FALSE,FALSE),2)</f>
        <v>12959.722951697393</v>
      </c>
      <c r="S40" s="205">
        <f>INDEX(LINEST($Q$4:$Q$13,$E$4:$E$13^{1,2},FALSE,FALSE),1)</f>
        <v>264.09253191549305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50"/>
        <v>62.012501179293423</v>
      </c>
      <c r="K41" s="243">
        <v>9.7000000000000003E-2</v>
      </c>
      <c r="L41" s="251">
        <f>$Q$35/K41</f>
        <v>3.8584347943088994E-7</v>
      </c>
      <c r="M41" s="252">
        <f>-L41/$Q$34</f>
        <v>-5.2304942071651441E-7</v>
      </c>
      <c r="N41" s="265" t="s">
        <v>291</v>
      </c>
      <c r="P41" s="65" t="s">
        <v>21</v>
      </c>
      <c r="Q41" s="205">
        <f>INDEX(LINEST($P$3:$P$13,$M$3:$M$13),2)</f>
        <v>-19322.838825375489</v>
      </c>
      <c r="R41" s="67">
        <f>INDEX(LINEST($P$3:$P$13,$M$3:$M$13),1)</f>
        <v>11482.895296066237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50"/>
        <v>38.485786478343883</v>
      </c>
      <c r="K42" s="243">
        <v>0.28699999999999998</v>
      </c>
      <c r="L42" s="61"/>
      <c r="M42" s="250"/>
      <c r="P42" s="65" t="s">
        <v>122</v>
      </c>
      <c r="Q42" s="205">
        <f>INDEX(LINEST($Q$4:$Q$13,$P$4:$P$13),2)</f>
        <v>-5799.5437681846779</v>
      </c>
      <c r="R42" s="69">
        <f>INDEX(LINEST($Q$4:$Q$13,$P$4:$P$13),1)</f>
        <v>0.97688872205517074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16</v>
      </c>
      <c r="J43" s="253">
        <f t="shared" si="50"/>
        <v>29.279680725798411</v>
      </c>
      <c r="K43" s="243">
        <v>0.442</v>
      </c>
      <c r="L43" s="61"/>
      <c r="M43" s="250"/>
      <c r="P43" s="65" t="s">
        <v>123</v>
      </c>
      <c r="Q43" s="205">
        <f>INDEX(LINEST($P$4:$P$13,$Q$4:$Q$13),2)</f>
        <v>5950.4350459626585</v>
      </c>
      <c r="R43" s="69">
        <f>INDEX(LINEST($P$4:$P$13,$Q$4:$Q$13),1)</f>
        <v>1.022900639171719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12.63225806451613</v>
      </c>
      <c r="J44" s="257">
        <f t="shared" si="50"/>
        <v>25.834815347426559</v>
      </c>
      <c r="K44" s="246">
        <v>0.5</v>
      </c>
      <c r="L44" s="255"/>
      <c r="M44" s="256"/>
      <c r="P44" s="65" t="s">
        <v>180</v>
      </c>
      <c r="Q44" s="206">
        <f>AG10</f>
        <v>-0.83001462470815057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AF10</f>
        <v>3.1605483382588102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2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-2.2828992630213674E-3</v>
      </c>
      <c r="K47" s="180">
        <f>INDEX(LINEST($Y$3:$Y$13,$P$3:$P$13^{1,2}),2)</f>
        <v>1.9775156395940451E-7</v>
      </c>
      <c r="L47" s="180">
        <f>INDEX(LINEST($Y$3:$Y$13,$P$3:$P$13^{1,2}),1)</f>
        <v>9.3269413849587629E-12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21.690322580645159</v>
      </c>
      <c r="S50" s="258">
        <f ca="1">J54</f>
        <v>37.347368421052636</v>
      </c>
      <c r="T50" s="258">
        <f ca="1">J53</f>
        <v>50.507462686567166</v>
      </c>
      <c r="U50" s="259">
        <f ca="1">J52</f>
        <v>64.089552238805979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51">FORECAST(I51,OFFSET(MeasNt,MATCH(I51,MeasTauT,1)-1,0,2),OFFSET(MeasTauT,MATCH(I51,MeasTauT,1)-1,0,2))</f>
        <v>68.268656716417922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51"/>
        <v>64.089552238805979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51"/>
        <v>50.507462686567166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51"/>
        <v>37.347368421052636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51"/>
        <v>21.690322580645159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51"/>
        <v>12.632258064516126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N10" zoomScale="60" zoomScaleNormal="60" workbookViewId="0">
      <selection activeCell="AJ6" sqref="AJ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1.0322055169770046</v>
      </c>
      <c r="D2" s="262">
        <f>EXP((0-$Q$41)/$R$41)</f>
        <v>5.7969930558608072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5.7969930558608072</v>
      </c>
      <c r="M2" s="234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0.16102758488502239</v>
      </c>
      <c r="AI2" s="228">
        <f t="shared" ref="AI2:AI13" si="16">AH2/$Q$23*$Q$31</f>
        <v>5.7969930558608063</v>
      </c>
      <c r="AJ2" s="229">
        <f t="shared" ref="AJ2:AJ13" si="17">MAX(($Q$41+$R$41*LN($AI2)),0)</f>
        <v>0</v>
      </c>
      <c r="AK2" s="229">
        <f t="shared" ref="AK2:AK13" si="18">MAX(($Q$41+$R$41*LN(AI2))/$Q$30,0)</f>
        <v>0</v>
      </c>
      <c r="AL2" s="229">
        <f t="shared" ref="AL2:AL13" si="19">($Q$42+$R$42*AK2*$Q$30)/$Q$30</f>
        <v>-12.051452687191878</v>
      </c>
      <c r="AM2" s="229">
        <f t="shared" ref="AM2:AM13" si="20">($Q$43+$R$43*AL2*$Q$30)/$Q$30</f>
        <v>6.141569148348304E-2</v>
      </c>
      <c r="AN2" s="1"/>
      <c r="AO2" s="1">
        <f t="shared" ref="AO2:AO13" si="21">MAX($Q$42+$R$42*AJ2,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3.0000000000000001E-3</v>
      </c>
      <c r="F3" s="73">
        <v>12.2</v>
      </c>
      <c r="G3" s="106">
        <v>0.39</v>
      </c>
      <c r="H3" s="73">
        <v>7000</v>
      </c>
      <c r="I3" s="191">
        <v>1.0000000000000001E+32</v>
      </c>
      <c r="J3" s="61"/>
      <c r="K3" s="2">
        <f t="shared" si="2"/>
        <v>4.758</v>
      </c>
      <c r="L3" s="1">
        <f t="shared" si="3"/>
        <v>9</v>
      </c>
      <c r="M3" s="234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2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58">
        <f>K3</f>
        <v>4.758</v>
      </c>
      <c r="V3" s="1">
        <f t="shared" ref="V3:V13" si="23">($U3-$U$2)</f>
        <v>4.1347800000000001</v>
      </c>
      <c r="W3" s="234">
        <f t="shared" ref="W3:W13" si="24">($U3-$U$2)*0.001341022</f>
        <v>5.5448309451600003E-3</v>
      </c>
      <c r="X3" s="230">
        <f>$W3/$P3*5252</f>
        <v>3.3975027477977041E-3</v>
      </c>
      <c r="Y3" s="230">
        <f>X3-$X$3</f>
        <v>0</v>
      </c>
      <c r="Z3" s="228">
        <f t="shared" si="10"/>
        <v>2.8479401773229537E-2</v>
      </c>
      <c r="AA3" s="229">
        <f t="shared" si="11"/>
        <v>4.71401565954883E-2</v>
      </c>
      <c r="AB3" s="2">
        <f>AA3/U3*100</f>
        <v>0.9907557081859667</v>
      </c>
      <c r="AC3" s="158">
        <f t="shared" si="12"/>
        <v>3.3104737923111678</v>
      </c>
      <c r="AD3" s="175">
        <f t="shared" si="13"/>
        <v>7.4485660327001275</v>
      </c>
      <c r="AE3" s="4">
        <f t="shared" si="14"/>
        <v>1.7278759594743859E-27</v>
      </c>
      <c r="AF3" s="158">
        <f t="shared" ref="AF3:AF13" si="25">AE3/AC3</f>
        <v>5.2194219555143798E-28</v>
      </c>
      <c r="AH3" s="228">
        <f t="shared" si="15"/>
        <v>0.25</v>
      </c>
      <c r="AI3" s="228">
        <f t="shared" si="16"/>
        <v>9</v>
      </c>
      <c r="AJ3" s="229">
        <f t="shared" si="17"/>
        <v>5341.5559957732476</v>
      </c>
      <c r="AK3" s="229">
        <f t="shared" si="18"/>
        <v>11.591918393605138</v>
      </c>
      <c r="AL3" s="229">
        <f t="shared" si="19"/>
        <v>-1.2570730193706521</v>
      </c>
      <c r="AM3" s="229">
        <f t="shared" si="20"/>
        <v>11.641491887218354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2.511671370675344E-7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1.0666666666666667</v>
      </c>
      <c r="D4" s="73">
        <v>12</v>
      </c>
      <c r="E4" s="109">
        <v>0.46200000000000002</v>
      </c>
      <c r="F4" s="73">
        <v>12.19</v>
      </c>
      <c r="G4" s="106">
        <v>0.44</v>
      </c>
      <c r="H4" s="73">
        <v>6040</v>
      </c>
      <c r="I4" s="78">
        <v>19200</v>
      </c>
      <c r="J4" s="61"/>
      <c r="K4" s="2">
        <f t="shared" si="2"/>
        <v>5.3635999999999999</v>
      </c>
      <c r="L4" s="1">
        <f t="shared" si="3"/>
        <v>12</v>
      </c>
      <c r="M4" s="234">
        <f t="shared" si="4"/>
        <v>2.4849066497880004</v>
      </c>
      <c r="N4" s="3">
        <f t="shared" si="5"/>
        <v>165.56291390728478</v>
      </c>
      <c r="O4" s="3">
        <f t="shared" si="5"/>
        <v>52.083333333333336</v>
      </c>
      <c r="P4" s="3">
        <f t="shared" si="6"/>
        <v>9933.7748344370866</v>
      </c>
      <c r="Q4" s="3">
        <f t="shared" si="22"/>
        <v>3125</v>
      </c>
      <c r="R4" s="3">
        <f t="shared" si="7"/>
        <v>21.557671081677704</v>
      </c>
      <c r="S4" s="3">
        <f t="shared" si="8"/>
        <v>6.7816840277777777</v>
      </c>
      <c r="T4" s="3">
        <f t="shared" si="9"/>
        <v>12</v>
      </c>
      <c r="U4" s="158">
        <f t="shared" si="0"/>
        <v>5.3635999999999999</v>
      </c>
      <c r="V4" s="229">
        <f t="shared" si="23"/>
        <v>4.74038</v>
      </c>
      <c r="W4" s="234">
        <f t="shared" si="24"/>
        <v>6.3569538683600005E-3</v>
      </c>
      <c r="X4" s="230">
        <f t="shared" ref="X4:X13" si="28">$W4/$P4*5252</f>
        <v>3.3609299861404236E-3</v>
      </c>
      <c r="Y4" s="230">
        <f t="shared" ref="Y4:Y13" si="29">X4-$X$3</f>
        <v>-3.6572761657280555E-5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2" si="30">AA4/U4*100</f>
        <v>1.706905960862604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8.9993539555957618</v>
      </c>
      <c r="AF4" s="158">
        <f t="shared" si="25"/>
        <v>2.1788610095230641</v>
      </c>
      <c r="AG4" s="151"/>
      <c r="AH4" s="228">
        <f t="shared" si="15"/>
        <v>0.33333333333333331</v>
      </c>
      <c r="AI4" s="228">
        <f t="shared" si="16"/>
        <v>12</v>
      </c>
      <c r="AJ4" s="229">
        <f t="shared" si="17"/>
        <v>8834.8987683306477</v>
      </c>
      <c r="AK4" s="229">
        <f t="shared" si="18"/>
        <v>19.172957396550885</v>
      </c>
      <c r="AL4" s="229">
        <f t="shared" si="19"/>
        <v>5.8023808601098592</v>
      </c>
      <c r="AM4" s="229">
        <f t="shared" si="20"/>
        <v>19.214786170016261</v>
      </c>
      <c r="AN4" s="2">
        <f t="shared" ref="AN4:AN13" si="31">AO4/$Q$30</f>
        <v>5.8023808601098592</v>
      </c>
      <c r="AO4" s="3">
        <f t="shared" si="21"/>
        <v>2673.7371003386233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3.1894909088325442E-7</v>
      </c>
      <c r="AS4" s="228">
        <f t="shared" ref="AS4:AS13" si="33">$Q$35/AR4</f>
        <v>0.11734417364586795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0.72499999999999998</v>
      </c>
      <c r="F5" s="73">
        <v>12.17</v>
      </c>
      <c r="G5" s="73">
        <v>1.1299999999999999</v>
      </c>
      <c r="H5" s="73">
        <v>3720</v>
      </c>
      <c r="I5" s="78">
        <v>6440</v>
      </c>
      <c r="J5" s="61"/>
      <c r="K5" s="2">
        <f t="shared" si="2"/>
        <v>13.752099999999999</v>
      </c>
      <c r="L5" s="1">
        <f t="shared" si="3"/>
        <v>24</v>
      </c>
      <c r="M5" s="234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2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58">
        <f t="shared" si="0"/>
        <v>13.752099999999999</v>
      </c>
      <c r="V5" s="229">
        <f t="shared" si="23"/>
        <v>13.128879999999999</v>
      </c>
      <c r="W5" s="234">
        <f t="shared" si="24"/>
        <v>1.7606116915360001E-2</v>
      </c>
      <c r="X5" s="230">
        <f t="shared" si="28"/>
        <v>5.7329742144471858E-3</v>
      </c>
      <c r="Y5" s="230">
        <f t="shared" si="29"/>
        <v>2.3354714666494816E-3</v>
      </c>
      <c r="Z5" s="228">
        <f t="shared" si="10"/>
        <v>0.18975628219609206</v>
      </c>
      <c r="AA5" s="229">
        <f t="shared" si="11"/>
        <v>0.81075376002805499</v>
      </c>
      <c r="AB5" s="2">
        <f t="shared" si="30"/>
        <v>5.8954905798245729</v>
      </c>
      <c r="AC5" s="158">
        <f t="shared" si="12"/>
        <v>8.5452112641017166</v>
      </c>
      <c r="AD5" s="175">
        <f t="shared" si="13"/>
        <v>19.226725344228864</v>
      </c>
      <c r="AE5" s="175">
        <f t="shared" si="14"/>
        <v>26.830372041527738</v>
      </c>
      <c r="AF5" s="158">
        <f t="shared" si="25"/>
        <v>3.1398137754933764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17251.831644582377</v>
      </c>
      <c r="AK5" s="229">
        <f t="shared" si="18"/>
        <v>37.43887075647217</v>
      </c>
      <c r="AL5" s="229">
        <f t="shared" si="19"/>
        <v>22.811576153900912</v>
      </c>
      <c r="AM5" s="229">
        <f t="shared" si="20"/>
        <v>37.462039239816058</v>
      </c>
      <c r="AN5" s="2">
        <f t="shared" si="31"/>
        <v>22.811576153900912</v>
      </c>
      <c r="AO5" s="3">
        <f t="shared" si="21"/>
        <v>10511.574291717541</v>
      </c>
      <c r="AP5" s="227">
        <f t="shared" si="26"/>
        <v>3.0617544365980232E-3</v>
      </c>
      <c r="AQ5" s="227">
        <f t="shared" si="32"/>
        <v>1.0057287143420081E-2</v>
      </c>
      <c r="AR5" s="231">
        <f t="shared" si="27"/>
        <v>4.822643429592618E-7</v>
      </c>
      <c r="AS5" s="228">
        <f t="shared" si="33"/>
        <v>7.7606437322607261E-2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0.81899999999999995</v>
      </c>
      <c r="F6" s="73">
        <v>12.16</v>
      </c>
      <c r="G6" s="73">
        <v>1.33</v>
      </c>
      <c r="H6" s="73">
        <v>3460</v>
      </c>
      <c r="I6" s="78">
        <v>5580</v>
      </c>
      <c r="J6" s="61"/>
      <c r="K6" s="2">
        <f t="shared" si="2"/>
        <v>16.172800000000002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2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58">
        <f t="shared" si="0"/>
        <v>16.172800000000002</v>
      </c>
      <c r="V6" s="229">
        <f t="shared" si="23"/>
        <v>15.549580000000002</v>
      </c>
      <c r="W6" s="234">
        <f t="shared" si="24"/>
        <v>2.0852328870760006E-2</v>
      </c>
      <c r="X6" s="230">
        <f t="shared" si="28"/>
        <v>6.3154475342190189E-3</v>
      </c>
      <c r="Y6" s="230">
        <f t="shared" si="29"/>
        <v>2.9179447864213148E-3</v>
      </c>
      <c r="Z6" s="228">
        <f t="shared" si="10"/>
        <v>0.23582871582730708</v>
      </c>
      <c r="AA6" s="229">
        <f t="shared" si="11"/>
        <v>1.1232844746570794</v>
      </c>
      <c r="AB6" s="2">
        <f t="shared" si="30"/>
        <v>6.9455163895990752</v>
      </c>
      <c r="AC6" s="158">
        <f t="shared" si="12"/>
        <v>9.526273937561017</v>
      </c>
      <c r="AD6" s="175">
        <f t="shared" si="13"/>
        <v>21.434116359512288</v>
      </c>
      <c r="AE6" s="175">
        <f t="shared" si="14"/>
        <v>30.965518986996173</v>
      </c>
      <c r="AF6" s="158">
        <f t="shared" si="25"/>
        <v>3.2505383731306159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19123.693727158348</v>
      </c>
      <c r="AK6" s="229">
        <f t="shared" si="18"/>
        <v>41.501071456506828</v>
      </c>
      <c r="AL6" s="229">
        <f t="shared" si="19"/>
        <v>26.594292280271606</v>
      </c>
      <c r="AM6" s="229">
        <f t="shared" si="20"/>
        <v>41.520090032747753</v>
      </c>
      <c r="AN6" s="2">
        <f t="shared" si="31"/>
        <v>26.594292280271613</v>
      </c>
      <c r="AO6" s="3">
        <f t="shared" si="21"/>
        <v>12254.64988274916</v>
      </c>
      <c r="AP6" s="227">
        <f t="shared" si="26"/>
        <v>3.9984798589682664E-3</v>
      </c>
      <c r="AQ6" s="227">
        <f t="shared" si="32"/>
        <v>1.4559349618644407E-2</v>
      </c>
      <c r="AR6" s="231">
        <f t="shared" si="27"/>
        <v>5.1858441730961745E-7</v>
      </c>
      <c r="AS6" s="228">
        <f t="shared" si="33"/>
        <v>7.2171118636699963E-2</v>
      </c>
      <c r="AT6" s="232">
        <f t="shared" ref="AT6:AT13" si="34">$Q$44*$Q$27*$Q$36^2*$Q$33*PI()/240*($AC6-$Q$46)/$Q$45*$Q$34</f>
        <v>-1.3026398899235102E-7</v>
      </c>
      <c r="AU6" s="165">
        <f t="shared" ref="AU6:AU13" si="35">-$Q$35/AT6</f>
        <v>0.28731514975327521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0.94799999999999995</v>
      </c>
      <c r="F7" s="73">
        <v>12.16</v>
      </c>
      <c r="G7" s="73">
        <v>1.607</v>
      </c>
      <c r="H7" s="73">
        <v>3180</v>
      </c>
      <c r="I7" s="78">
        <v>4940</v>
      </c>
      <c r="J7" s="61"/>
      <c r="K7" s="2">
        <f t="shared" si="2"/>
        <v>19.541119999999999</v>
      </c>
      <c r="L7" s="1">
        <f t="shared" si="3"/>
        <v>32</v>
      </c>
      <c r="M7" s="234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2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58">
        <f t="shared" si="0"/>
        <v>19.541119999999999</v>
      </c>
      <c r="V7" s="229">
        <f t="shared" si="23"/>
        <v>18.917899999999999</v>
      </c>
      <c r="W7" s="234">
        <f t="shared" si="24"/>
        <v>2.53693200938E-2</v>
      </c>
      <c r="X7" s="230">
        <f t="shared" si="28"/>
        <v>7.0617024640297916E-3</v>
      </c>
      <c r="Y7" s="230">
        <f t="shared" si="29"/>
        <v>3.6641997162320875E-3</v>
      </c>
      <c r="Z7" s="228">
        <f t="shared" si="10"/>
        <v>0.30376911963050202</v>
      </c>
      <c r="AA7" s="229">
        <f t="shared" si="11"/>
        <v>1.6421399283325013</v>
      </c>
      <c r="AB7" s="2">
        <f t="shared" si="30"/>
        <v>8.4035097698212873</v>
      </c>
      <c r="AC7" s="158">
        <f t="shared" si="12"/>
        <v>10.811763423023141</v>
      </c>
      <c r="AD7" s="175">
        <f t="shared" si="13"/>
        <v>24.326467701802066</v>
      </c>
      <c r="AE7" s="175">
        <f t="shared" si="14"/>
        <v>34.977246143206202</v>
      </c>
      <c r="AF7" s="158">
        <f t="shared" si="25"/>
        <v>3.2351102012391246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20745.174417139777</v>
      </c>
      <c r="AK7" s="233">
        <f t="shared" si="18"/>
        <v>45.019909759417921</v>
      </c>
      <c r="AL7" s="233">
        <f t="shared" si="19"/>
        <v>29.87103003338143</v>
      </c>
      <c r="AM7" s="233">
        <f t="shared" si="20"/>
        <v>45.035333522613982</v>
      </c>
      <c r="AN7" s="9">
        <f t="shared" si="31"/>
        <v>29.871030033381423</v>
      </c>
      <c r="AO7" s="10">
        <f t="shared" si="21"/>
        <v>13764.57063938216</v>
      </c>
      <c r="AP7" s="230">
        <f t="shared" si="26"/>
        <v>4.8648618927728876E-3</v>
      </c>
      <c r="AQ7" s="230">
        <f t="shared" si="32"/>
        <v>1.9215995521871726E-2</v>
      </c>
      <c r="AR7" s="232">
        <f t="shared" si="27"/>
        <v>5.5004629677498183E-7</v>
      </c>
      <c r="AS7" s="228">
        <f t="shared" si="33"/>
        <v>6.8043031512504196E-2</v>
      </c>
      <c r="AT7" s="232">
        <f t="shared" si="34"/>
        <v>-1.6056523537933803E-7</v>
      </c>
      <c r="AU7" s="165">
        <f t="shared" si="35"/>
        <v>0.23309415276834272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1.343</v>
      </c>
      <c r="F8" s="73">
        <v>12.11</v>
      </c>
      <c r="G8" s="73">
        <v>2.95</v>
      </c>
      <c r="H8" s="73">
        <v>2480</v>
      </c>
      <c r="I8" s="78">
        <v>3420</v>
      </c>
      <c r="J8" s="61"/>
      <c r="K8" s="2">
        <f t="shared" si="2"/>
        <v>35.724499999999999</v>
      </c>
      <c r="L8" s="1">
        <f t="shared" si="3"/>
        <v>50</v>
      </c>
      <c r="M8" s="234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2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58">
        <f t="shared" si="0"/>
        <v>35.724499999999999</v>
      </c>
      <c r="V8" s="229">
        <f t="shared" si="23"/>
        <v>35.101279999999996</v>
      </c>
      <c r="W8" s="234">
        <f t="shared" si="24"/>
        <v>4.707158870816E-2</v>
      </c>
      <c r="X8" s="230">
        <f t="shared" si="28"/>
        <v>1.0218426001003927E-2</v>
      </c>
      <c r="Y8" s="230">
        <f t="shared" si="29"/>
        <v>6.8209232532062229E-3</v>
      </c>
      <c r="Z8" s="228">
        <f t="shared" si="10"/>
        <v>0.64042745241181076</v>
      </c>
      <c r="AA8" s="229">
        <f t="shared" si="11"/>
        <v>5.0268929546262759</v>
      </c>
      <c r="AB8" s="2">
        <f t="shared" si="30"/>
        <v>14.071275888049591</v>
      </c>
      <c r="AC8" s="158">
        <f t="shared" si="12"/>
        <v>15.698555505999325</v>
      </c>
      <c r="AD8" s="175">
        <f t="shared" si="13"/>
        <v>35.321749888498474</v>
      </c>
      <c r="AE8" s="175">
        <f t="shared" si="14"/>
        <v>50.522688873520067</v>
      </c>
      <c r="AF8" s="158">
        <f t="shared" si="25"/>
        <v>3.21830176376498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26164.468748432828</v>
      </c>
      <c r="AK8" s="229">
        <f t="shared" si="18"/>
        <v>56.780531138092073</v>
      </c>
      <c r="AL8" s="229">
        <f t="shared" si="19"/>
        <v>40.822505706375907</v>
      </c>
      <c r="AM8" s="229">
        <f t="shared" si="20"/>
        <v>56.78394035799041</v>
      </c>
      <c r="AN8" s="2">
        <f t="shared" si="31"/>
        <v>40.822505706375907</v>
      </c>
      <c r="AO8" s="3">
        <f t="shared" si="21"/>
        <v>18811.010629498018</v>
      </c>
      <c r="AP8" s="227">
        <f t="shared" si="26"/>
        <v>8.1306482321405645E-3</v>
      </c>
      <c r="AQ8" s="227">
        <f t="shared" si="32"/>
        <v>4.0505348738450575E-2</v>
      </c>
      <c r="AR8" s="231">
        <f t="shared" si="27"/>
        <v>6.5519783270873869E-7</v>
      </c>
      <c r="AS8" s="228">
        <f t="shared" si="33"/>
        <v>5.7122926292453143E-2</v>
      </c>
      <c r="AT8" s="232">
        <f t="shared" si="34"/>
        <v>-2.7575551318624402E-7</v>
      </c>
      <c r="AU8" s="165">
        <f t="shared" si="35"/>
        <v>0.13572463909186985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1.74</v>
      </c>
      <c r="F9" s="73">
        <v>12.04</v>
      </c>
      <c r="G9" s="73">
        <v>5.14</v>
      </c>
      <c r="H9" s="73">
        <v>1990</v>
      </c>
      <c r="I9" s="78">
        <v>2650</v>
      </c>
      <c r="J9" s="61"/>
      <c r="K9" s="2">
        <f t="shared" si="2"/>
        <v>61.88559999999999</v>
      </c>
      <c r="L9" s="1">
        <f t="shared" si="3"/>
        <v>78</v>
      </c>
      <c r="M9" s="234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2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58">
        <f t="shared" si="0"/>
        <v>61.88559999999999</v>
      </c>
      <c r="V9" s="229">
        <f t="shared" si="23"/>
        <v>61.262379999999986</v>
      </c>
      <c r="W9" s="234">
        <f t="shared" si="24"/>
        <v>8.2154199352359986E-2</v>
      </c>
      <c r="X9" s="230">
        <f t="shared" si="28"/>
        <v>1.4310549524120055E-2</v>
      </c>
      <c r="Y9" s="230">
        <f t="shared" si="29"/>
        <v>1.0913046776322351E-2</v>
      </c>
      <c r="Z9" s="228">
        <f t="shared" si="10"/>
        <v>1.2395548622912713</v>
      </c>
      <c r="AA9" s="229">
        <f t="shared" si="11"/>
        <v>13.536093859157535</v>
      </c>
      <c r="AB9" s="2">
        <f t="shared" si="30"/>
        <v>21.87276823551446</v>
      </c>
      <c r="AC9" s="158">
        <f t="shared" si="12"/>
        <v>21.84024970728051</v>
      </c>
      <c r="AD9" s="175">
        <f t="shared" si="13"/>
        <v>49.14056184138115</v>
      </c>
      <c r="AE9" s="175">
        <f t="shared" si="14"/>
        <v>65.202866395259861</v>
      </c>
      <c r="AF9" s="163">
        <f t="shared" si="25"/>
        <v>2.9854450965148214</v>
      </c>
      <c r="AG9" s="159">
        <f>$M$41/($Q$27*$Q$36*$Q$33*($AC9-$Q$46)^2/4/$AF9)/(PI()*$Q$36/60/($AC9-$Q$46))</f>
        <v>-0.92708178600141067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31564.318612288345</v>
      </c>
      <c r="AK9" s="229">
        <f t="shared" si="18"/>
        <v>68.498955321806307</v>
      </c>
      <c r="AL9" s="229">
        <f t="shared" si="19"/>
        <v>51.734687405081729</v>
      </c>
      <c r="AM9" s="229">
        <f t="shared" si="20"/>
        <v>68.490393106675569</v>
      </c>
      <c r="AN9" s="2">
        <f t="shared" si="31"/>
        <v>51.734687405081729</v>
      </c>
      <c r="AO9" s="3">
        <f t="shared" si="21"/>
        <v>23839.343956261662</v>
      </c>
      <c r="AP9" s="227">
        <f t="shared" si="26"/>
        <v>1.1951500773628936E-2</v>
      </c>
      <c r="AQ9" s="227">
        <f t="shared" si="32"/>
        <v>7.1828061369732368E-2</v>
      </c>
      <c r="AR9" s="231">
        <f t="shared" si="27"/>
        <v>7.5997208416752902E-7</v>
      </c>
      <c r="AS9" s="228">
        <f t="shared" si="33"/>
        <v>4.9247621438349994E-2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2.08</v>
      </c>
      <c r="F10" s="73">
        <v>11.94</v>
      </c>
      <c r="G10" s="73">
        <v>7.9</v>
      </c>
      <c r="H10" s="73">
        <v>1700</v>
      </c>
      <c r="I10" s="78">
        <v>2175</v>
      </c>
      <c r="J10" s="61"/>
      <c r="K10" s="2">
        <f t="shared" si="2"/>
        <v>94.325999999999993</v>
      </c>
      <c r="L10" s="1">
        <f t="shared" si="3"/>
        <v>115</v>
      </c>
      <c r="M10" s="234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2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58">
        <f t="shared" si="0"/>
        <v>94.325999999999993</v>
      </c>
      <c r="V10" s="229">
        <f t="shared" si="23"/>
        <v>93.70277999999999</v>
      </c>
      <c r="W10" s="234">
        <f t="shared" si="24"/>
        <v>0.12565748944116001</v>
      </c>
      <c r="X10" s="230">
        <f t="shared" si="28"/>
        <v>1.8698672145440881E-2</v>
      </c>
      <c r="Y10" s="230">
        <f t="shared" si="29"/>
        <v>1.5301169397643177E-2</v>
      </c>
      <c r="Z10" s="228">
        <f t="shared" si="10"/>
        <v>1.9882830873636748</v>
      </c>
      <c r="AA10" s="229">
        <f t="shared" si="11"/>
        <v>27.498693141424127</v>
      </c>
      <c r="AB10" s="2">
        <f t="shared" si="30"/>
        <v>29.152824397752614</v>
      </c>
      <c r="AC10" s="158">
        <f t="shared" si="12"/>
        <v>27.660742392458292</v>
      </c>
      <c r="AD10" s="175">
        <f t="shared" si="13"/>
        <v>62.236670383031161</v>
      </c>
      <c r="AE10" s="175">
        <f t="shared" si="14"/>
        <v>79.442572849397052</v>
      </c>
      <c r="AF10" s="165">
        <f t="shared" si="25"/>
        <v>2.872033285377658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36278.540299728964</v>
      </c>
      <c r="AK10" s="229">
        <f t="shared" si="18"/>
        <v>78.729471136564584</v>
      </c>
      <c r="AL10" s="229">
        <f t="shared" si="19"/>
        <v>61.261330722642683</v>
      </c>
      <c r="AM10" s="229">
        <f t="shared" si="20"/>
        <v>78.710457519993682</v>
      </c>
      <c r="AN10" s="2">
        <f t="shared" si="31"/>
        <v>61.261330722642697</v>
      </c>
      <c r="AO10" s="3">
        <f t="shared" si="21"/>
        <v>28229.221196993756</v>
      </c>
      <c r="AP10" s="227">
        <f t="shared" si="26"/>
        <v>1.5749784670713377E-2</v>
      </c>
      <c r="AQ10" s="227">
        <f t="shared" si="32"/>
        <v>0.10879268809758733</v>
      </c>
      <c r="AR10" s="231">
        <f t="shared" si="27"/>
        <v>8.5144296964872615E-7</v>
      </c>
      <c r="AS10" s="228">
        <f t="shared" si="33"/>
        <v>4.39569282253129E-2</v>
      </c>
      <c r="AT10" s="232">
        <f t="shared" si="34"/>
        <v>-5.5772528133527934E-7</v>
      </c>
      <c r="AU10" s="165">
        <f t="shared" si="35"/>
        <v>6.7106187862222805E-2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2.2999999999999998</v>
      </c>
      <c r="F11" s="73">
        <v>11.86</v>
      </c>
      <c r="G11" s="73">
        <v>10.14</v>
      </c>
      <c r="H11" s="73">
        <v>1550</v>
      </c>
      <c r="I11" s="78">
        <v>1955</v>
      </c>
      <c r="J11" s="61"/>
      <c r="K11" s="2">
        <f t="shared" si="2"/>
        <v>120.2604</v>
      </c>
      <c r="L11" s="1">
        <f t="shared" si="3"/>
        <v>140</v>
      </c>
      <c r="M11" s="234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2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58">
        <f t="shared" si="0"/>
        <v>120.2604</v>
      </c>
      <c r="V11" s="229">
        <f t="shared" si="23"/>
        <v>119.63718</v>
      </c>
      <c r="W11" s="234">
        <f t="shared" si="24"/>
        <v>0.16043609039796</v>
      </c>
      <c r="X11" s="230">
        <f t="shared" si="28"/>
        <v>2.1767433958227219E-2</v>
      </c>
      <c r="Y11" s="230">
        <f t="shared" si="29"/>
        <v>1.8369931210429513E-2</v>
      </c>
      <c r="Z11" s="228">
        <f t="shared" si="10"/>
        <v>2.6231908450787782</v>
      </c>
      <c r="AA11" s="229">
        <f t="shared" si="11"/>
        <v>41.671540842096242</v>
      </c>
      <c r="AB11" s="2">
        <f t="shared" si="30"/>
        <v>34.651091167247273</v>
      </c>
      <c r="AC11" s="158">
        <f t="shared" si="12"/>
        <v>31.77164247906239</v>
      </c>
      <c r="AD11" s="175">
        <f t="shared" si="13"/>
        <v>71.486195577890371</v>
      </c>
      <c r="AE11" s="175">
        <f t="shared" si="14"/>
        <v>88.382402019150192</v>
      </c>
      <c r="AF11" s="165">
        <f t="shared" si="25"/>
        <v>2.7818014783905007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38667.206645308324</v>
      </c>
      <c r="AK11" s="229">
        <f t="shared" si="18"/>
        <v>83.913208865686471</v>
      </c>
      <c r="AL11" s="229">
        <f t="shared" si="19"/>
        <v>66.088420704350938</v>
      </c>
      <c r="AM11" s="229">
        <f t="shared" si="20"/>
        <v>83.88889959003555</v>
      </c>
      <c r="AN11" s="2">
        <f t="shared" si="31"/>
        <v>66.088420704350938</v>
      </c>
      <c r="AO11" s="3">
        <f t="shared" si="21"/>
        <v>30453.544260564915</v>
      </c>
      <c r="AP11" s="227">
        <f t="shared" si="26"/>
        <v>1.7838952456709595E-2</v>
      </c>
      <c r="AQ11" s="227">
        <f t="shared" si="32"/>
        <v>0.13133710224284473</v>
      </c>
      <c r="AR11" s="231">
        <f t="shared" si="27"/>
        <v>8.9779068942851048E-7</v>
      </c>
      <c r="AS11" s="228">
        <f t="shared" si="33"/>
        <v>4.1687687281119393E-2</v>
      </c>
      <c r="AT11" s="232">
        <f t="shared" si="34"/>
        <v>-6.5462642117750578E-7</v>
      </c>
      <c r="AU11" s="165">
        <f t="shared" si="35"/>
        <v>5.7172787858875355E-2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2.71</v>
      </c>
      <c r="F12" s="73">
        <v>11.76</v>
      </c>
      <c r="G12" s="73">
        <v>12.23</v>
      </c>
      <c r="H12" s="73">
        <v>1430</v>
      </c>
      <c r="I12" s="78">
        <v>1800</v>
      </c>
      <c r="J12" s="61"/>
      <c r="K12" s="2">
        <f t="shared" si="2"/>
        <v>143.82480000000001</v>
      </c>
      <c r="L12" s="1">
        <f t="shared" si="3"/>
        <v>155</v>
      </c>
      <c r="M12" s="234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2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58">
        <f t="shared" si="0"/>
        <v>143.82480000000001</v>
      </c>
      <c r="V12" s="229">
        <f t="shared" si="23"/>
        <v>143.20158000000001</v>
      </c>
      <c r="W12" s="234">
        <f t="shared" si="24"/>
        <v>0.19203646921476003</v>
      </c>
      <c r="X12" s="230">
        <f t="shared" si="28"/>
        <v>2.4037716948862753E-2</v>
      </c>
      <c r="Y12" s="230">
        <f t="shared" si="29"/>
        <v>2.0640214201065051E-2</v>
      </c>
      <c r="Z12" s="228">
        <f t="shared" si="10"/>
        <v>3.3405414897843171</v>
      </c>
      <c r="AA12" s="229">
        <f t="shared" si="11"/>
        <v>59.885272810955158</v>
      </c>
      <c r="AB12" s="2">
        <f t="shared" si="30"/>
        <v>41.637654153494495</v>
      </c>
      <c r="AC12" s="158">
        <f t="shared" si="12"/>
        <v>35.853632109698282</v>
      </c>
      <c r="AD12" s="175">
        <f t="shared" si="13"/>
        <v>80.670672246821127</v>
      </c>
      <c r="AE12" s="175">
        <f t="shared" si="14"/>
        <v>95.993108859688135</v>
      </c>
      <c r="AF12" s="165">
        <f t="shared" si="25"/>
        <v>2.677360791955087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39903.160754331417</v>
      </c>
      <c r="AK12" s="229">
        <f t="shared" si="18"/>
        <v>86.595400942559493</v>
      </c>
      <c r="AL12" s="229">
        <f t="shared" si="19"/>
        <v>68.586074555654932</v>
      </c>
      <c r="AM12" s="229">
        <f t="shared" si="20"/>
        <v>86.568351564000523</v>
      </c>
      <c r="AN12" s="2">
        <f t="shared" si="31"/>
        <v>68.586074555654932</v>
      </c>
      <c r="AO12" s="3">
        <f t="shared" si="21"/>
        <v>31604.463155245794</v>
      </c>
      <c r="AP12" s="227">
        <f t="shared" si="26"/>
        <v>1.8963400526986033E-2</v>
      </c>
      <c r="AQ12" s="227">
        <f t="shared" si="32"/>
        <v>0.14407837389129793</v>
      </c>
      <c r="AR12" s="231">
        <f t="shared" si="27"/>
        <v>9.2177212777869636E-7</v>
      </c>
      <c r="AS12" s="228">
        <f t="shared" si="33"/>
        <v>4.060311260982491E-2</v>
      </c>
      <c r="AT12" s="232">
        <f t="shared" si="34"/>
        <v>-7.5084609076318016E-7</v>
      </c>
      <c r="AU12" s="165">
        <f t="shared" si="35"/>
        <v>4.9846190804236197E-2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2</v>
      </c>
      <c r="D13" s="80">
        <v>180</v>
      </c>
      <c r="E13" s="80">
        <v>3.57</v>
      </c>
      <c r="F13" s="80">
        <v>11.66</v>
      </c>
      <c r="G13" s="80">
        <v>14.37</v>
      </c>
      <c r="H13" s="80">
        <v>1350</v>
      </c>
      <c r="I13" s="81">
        <v>1700</v>
      </c>
      <c r="J13" s="61"/>
      <c r="K13" s="2">
        <f t="shared" si="2"/>
        <v>167.55419999999998</v>
      </c>
      <c r="L13" s="1">
        <f t="shared" si="3"/>
        <v>180</v>
      </c>
      <c r="M13" s="234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2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58">
        <f t="shared" si="0"/>
        <v>167.55419999999998</v>
      </c>
      <c r="V13" s="229">
        <f t="shared" si="23"/>
        <v>166.93097999999998</v>
      </c>
      <c r="W13" s="234">
        <f t="shared" si="24"/>
        <v>0.22385811666156</v>
      </c>
      <c r="X13" s="230">
        <f t="shared" si="28"/>
        <v>2.6453313645896544E-2</v>
      </c>
      <c r="Y13" s="230">
        <f t="shared" si="29"/>
        <v>2.3055810898098841E-2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54.488188854304987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101.6397623220227</v>
      </c>
      <c r="AF13" s="165">
        <f t="shared" si="25"/>
        <v>2.4631144760863881</v>
      </c>
      <c r="AG13" s="151"/>
      <c r="AH13" s="228">
        <f t="shared" si="15"/>
        <v>5</v>
      </c>
      <c r="AI13" s="228">
        <f t="shared" si="16"/>
        <v>180</v>
      </c>
      <c r="AJ13" s="229">
        <f t="shared" si="17"/>
        <v>41718.934666426678</v>
      </c>
      <c r="AK13" s="229">
        <f t="shared" si="18"/>
        <v>90.535882522627332</v>
      </c>
      <c r="AL13" s="229">
        <f t="shared" si="19"/>
        <v>72.255445992290788</v>
      </c>
      <c r="AM13" s="229">
        <f t="shared" si="20"/>
        <v>90.504807584105748</v>
      </c>
      <c r="AN13" s="2">
        <f t="shared" si="31"/>
        <v>72.255445992290788</v>
      </c>
      <c r="AO13" s="3">
        <f t="shared" si="21"/>
        <v>33295.309513247594</v>
      </c>
      <c r="AP13" s="227">
        <f t="shared" si="26"/>
        <v>2.0669116788051091E-2</v>
      </c>
      <c r="AQ13" s="227">
        <f t="shared" si="32"/>
        <v>0.16418384099265923</v>
      </c>
      <c r="AR13" s="231">
        <f t="shared" si="27"/>
        <v>9.5700391333844219E-7</v>
      </c>
      <c r="AS13" s="228">
        <f t="shared" si="33"/>
        <v>3.9108322320475633E-2</v>
      </c>
      <c r="AT13" s="232">
        <f t="shared" si="34"/>
        <v>-8.7839525931599473E-7</v>
      </c>
      <c r="AU13" s="165">
        <f t="shared" si="35"/>
        <v>4.2608173379647493E-2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276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274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297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275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290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294</v>
      </c>
      <c r="K38" s="292" t="s">
        <v>299</v>
      </c>
      <c r="L38" s="263" t="s">
        <v>272</v>
      </c>
      <c r="M38" s="264" t="s">
        <v>273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 t="shared" ref="J39:J44" si="36">(I39*$Q$30*$R$43+$Q$43)/$Q$30</f>
        <v>91.763321955226317</v>
      </c>
      <c r="K39" s="242">
        <v>0</v>
      </c>
      <c r="L39" s="213"/>
      <c r="M39" s="216"/>
      <c r="P39" s="226" t="s">
        <v>289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si="36"/>
        <v>79.502892729656168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INDEX(LINEST($Q$5:$Q$13,$E$5:$E$13^{1,2},FALSE,FALSE),2)</f>
        <v>15929.364786667767</v>
      </c>
      <c r="S40" s="67">
        <f>INDEX(LINEST($Q$5:$Q$13,$E$5:$E$13^{1,2},FALSE,FALSE),1)</f>
        <v>-1553.3720910828754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64.483866928332702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291</v>
      </c>
      <c r="P41" s="65" t="s">
        <v>21</v>
      </c>
      <c r="Q41" s="205">
        <f>INDEX(LINEST($P$3:$P$13,$M$3:$M$13),2)</f>
        <v>-21339.489964118849</v>
      </c>
      <c r="R41" s="67">
        <f>INDEX(LINEST($P$3:$P$13,$M$3:$M$13),1)</f>
        <v>12143.067320063643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39.809753111872752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-5553.3093982580176</v>
      </c>
      <c r="R42" s="69">
        <f>INDEX(LINEST($Q$4:$Q$13,$P$4:$P$13),1)</f>
        <v>0.93119872839823603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34.445815325685807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5985.8215745762427</v>
      </c>
      <c r="R43" s="69">
        <f>INDEX(LINEST($P$4:$P$13,$Q$4:$Q$13),1)</f>
        <v>1.0727875572373891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28.622111443539978</v>
      </c>
      <c r="K44" s="246">
        <v>0.5</v>
      </c>
      <c r="L44" s="255"/>
      <c r="M44" s="256"/>
      <c r="P44" s="65" t="s">
        <v>180</v>
      </c>
      <c r="Q44" s="206">
        <f>AG9</f>
        <v>-0.92708178600141067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2.9854450965148214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4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-2.3707465536193552E-3</v>
      </c>
      <c r="K47" s="180">
        <f>INDEX(LINEST($Y$3:$Y$13,$P$3:$P$13^{1,2}),2)</f>
        <v>1.4752397194391045E-7</v>
      </c>
      <c r="L47" s="180">
        <f>INDEX(LINEST($Y$3:$Y$13,$P$3:$P$13^{1,2}),1)</f>
        <v>9.7015893127055435E-12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283</v>
      </c>
      <c r="M49" s="237" t="s">
        <v>282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277</v>
      </c>
      <c r="J50" s="236" t="s">
        <v>100</v>
      </c>
      <c r="K50" s="239" t="s">
        <v>278</v>
      </c>
      <c r="L50" s="239" t="s">
        <v>279</v>
      </c>
      <c r="M50" s="239" t="s">
        <v>280</v>
      </c>
      <c r="N50" s="240" t="s">
        <v>281</v>
      </c>
      <c r="P50" s="235" t="s">
        <v>286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278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287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279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284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285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280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288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281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abSelected="1" topLeftCell="A26" zoomScaleNormal="100" workbookViewId="0">
      <selection activeCell="O38" sqref="O38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1.037117754097554</v>
      </c>
      <c r="D2" s="262">
        <f>EXP((0-$Q$42)/$R$42)</f>
        <v>6.6811957375597357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6.6811957375597357</v>
      </c>
      <c r="M2" s="234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0.18558877048777042</v>
      </c>
      <c r="AI2" s="228">
        <f t="shared" ref="AI2:AI14" si="15">AH2/$Q$24*$Q$32</f>
        <v>6.6811957375597357</v>
      </c>
      <c r="AJ2" s="229">
        <f t="shared" ref="AJ2:AJ14" si="16">MAX(($Q$42+$R$42*LN($AI2)),0)</f>
        <v>0</v>
      </c>
      <c r="AK2" s="229">
        <f t="shared" ref="AK2:AK14" si="17">MAX(($Q$42+$R$42*LN(AI2))/$Q$31,0)</f>
        <v>0</v>
      </c>
      <c r="AL2" s="229">
        <f t="shared" ref="AL2:AL14" si="18">($Q$43+$R$43*AK2*$Q$31)/$Q$31</f>
        <v>-13.269598334813466</v>
      </c>
      <c r="AM2" s="229">
        <f t="shared" ref="AM2:AM14" si="19">($Q$44+$R$44*AL2*$Q$31)/$Q$31</f>
        <v>4.5404925744912582E-2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1.05</v>
      </c>
      <c r="D3" s="73">
        <v>9</v>
      </c>
      <c r="E3" s="109">
        <v>3.6</v>
      </c>
      <c r="F3" s="73">
        <v>12.17</v>
      </c>
      <c r="G3" s="106">
        <v>0.32</v>
      </c>
      <c r="H3" s="73">
        <v>7340</v>
      </c>
      <c r="I3" s="191">
        <v>1.0000000000000001E+32</v>
      </c>
      <c r="J3" s="61"/>
      <c r="K3" s="2">
        <f t="shared" si="2"/>
        <v>3.8944000000000001</v>
      </c>
      <c r="L3" s="1">
        <f t="shared" si="3"/>
        <v>9</v>
      </c>
      <c r="M3" s="234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58">
        <f>K3</f>
        <v>3.8944000000000001</v>
      </c>
      <c r="V3" s="1">
        <f t="shared" ref="V3:V14" si="21">($U3-$U$2)</f>
        <v>2.1634200000000003</v>
      </c>
      <c r="W3" s="234">
        <f t="shared" ref="W3:W14" si="22">($U3-$U$2)*0.001341022</f>
        <v>2.9011938152400008E-3</v>
      </c>
      <c r="X3" s="230">
        <f>$W3/$P3*5252</f>
        <v>1.8640015532580192E-3</v>
      </c>
      <c r="Y3" s="230">
        <f>X3-$X$3</f>
        <v>0</v>
      </c>
      <c r="Z3" s="228">
        <f t="shared" si="9"/>
        <v>2.4702266497496038E-2</v>
      </c>
      <c r="AA3" s="229">
        <f t="shared" si="10"/>
        <v>3.8080262312436351E-2</v>
      </c>
      <c r="AB3" s="2">
        <f>AA3/U3*100</f>
        <v>0.97782103308433521</v>
      </c>
      <c r="AC3" s="158">
        <f t="shared" si="11"/>
        <v>3.083139137560222</v>
      </c>
      <c r="AD3" s="175">
        <f t="shared" si="12"/>
        <v>6.937063059510499</v>
      </c>
      <c r="AE3" s="4">
        <f t="shared" si="13"/>
        <v>1.7278759594743859E-27</v>
      </c>
      <c r="AF3" s="158">
        <f t="shared" ref="AF3:AF14" si="23">AE3/AC3</f>
        <v>5.6042750014898925E-28</v>
      </c>
      <c r="AH3" s="228">
        <f t="shared" si="14"/>
        <v>0.25</v>
      </c>
      <c r="AI3" s="228">
        <f t="shared" si="15"/>
        <v>9</v>
      </c>
      <c r="AJ3" s="229">
        <f t="shared" si="16"/>
        <v>3729.6385021300412</v>
      </c>
      <c r="AK3" s="229">
        <f t="shared" si="17"/>
        <v>8.0938335549697076</v>
      </c>
      <c r="AL3" s="229">
        <f t="shared" si="18"/>
        <v>-5.5215603472329233</v>
      </c>
      <c r="AM3" s="229">
        <f t="shared" si="19"/>
        <v>8.1330184277578077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2.1320278842575145E-7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1.0722222222222222</v>
      </c>
      <c r="D4" s="73">
        <v>13</v>
      </c>
      <c r="E4" s="109">
        <v>0.26</v>
      </c>
      <c r="F4" s="73">
        <v>12.17</v>
      </c>
      <c r="G4" s="106">
        <v>0.45400000000000001</v>
      </c>
      <c r="H4" s="73">
        <v>5820</v>
      </c>
      <c r="I4" s="78">
        <v>17300</v>
      </c>
      <c r="J4" s="61"/>
      <c r="K4" s="2">
        <f t="shared" si="2"/>
        <v>5.5251799999999998</v>
      </c>
      <c r="L4" s="1">
        <f t="shared" si="3"/>
        <v>13</v>
      </c>
      <c r="M4" s="234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58">
        <f t="shared" si="0"/>
        <v>5.5251799999999998</v>
      </c>
      <c r="V4" s="229">
        <f t="shared" si="21"/>
        <v>3.7942</v>
      </c>
      <c r="W4" s="234">
        <f t="shared" si="22"/>
        <v>5.0881056724000001E-3</v>
      </c>
      <c r="X4" s="230">
        <f t="shared" ref="X4:X14" si="26">$W4/$P4*5252</f>
        <v>2.592104906170145E-3</v>
      </c>
      <c r="Y4" s="230">
        <f t="shared" ref="Y4:Y14" si="27">X4-$X$3</f>
        <v>7.2810335291212586E-4</v>
      </c>
      <c r="Z4" s="228">
        <f t="shared" si="9"/>
        <v>4.9551411319530933E-2</v>
      </c>
      <c r="AA4" s="229">
        <f t="shared" si="10"/>
        <v>0.10818791970271985</v>
      </c>
      <c r="AB4" s="2">
        <f t="shared" ref="AB4:AB13" si="28">AA4/U4*100</f>
        <v>1.9580885998776485</v>
      </c>
      <c r="AC4" s="158">
        <f t="shared" si="11"/>
        <v>4.3666937760893623</v>
      </c>
      <c r="AD4" s="175">
        <f t="shared" si="12"/>
        <v>9.8250609962010635</v>
      </c>
      <c r="AE4" s="175">
        <f t="shared" si="13"/>
        <v>9.9877223091004996</v>
      </c>
      <c r="AF4" s="158">
        <f t="shared" si="23"/>
        <v>2.2872504510827198</v>
      </c>
      <c r="AG4" s="151"/>
      <c r="AH4" s="228">
        <f t="shared" si="14"/>
        <v>0.36111111111111105</v>
      </c>
      <c r="AI4" s="228">
        <f t="shared" si="15"/>
        <v>12.999999999999998</v>
      </c>
      <c r="AJ4" s="229">
        <f t="shared" si="16"/>
        <v>8333.0404142488842</v>
      </c>
      <c r="AK4" s="229">
        <f t="shared" si="17"/>
        <v>18.083855065644279</v>
      </c>
      <c r="AL4" s="229">
        <f t="shared" si="18"/>
        <v>4.0416541216298496</v>
      </c>
      <c r="AM4" s="229">
        <f t="shared" si="19"/>
        <v>18.11536267865009</v>
      </c>
      <c r="AN4" s="2">
        <f t="shared" ref="AN4:AN14" si="29">AO4/$Q$31</f>
        <v>4.0416541216298523</v>
      </c>
      <c r="AO4" s="3">
        <f t="shared" si="20"/>
        <v>1862.3942192470358</v>
      </c>
      <c r="AP4" s="227">
        <f t="shared" si="24"/>
        <v>9.692031962258243E-5</v>
      </c>
      <c r="AQ4" s="227">
        <f t="shared" ref="AQ4:AQ14" si="30">AJ4*AP4/5252</f>
        <v>1.5377778758128306E-4</v>
      </c>
      <c r="AR4" s="231">
        <f t="shared" si="25"/>
        <v>3.1333590050170288E-7</v>
      </c>
      <c r="AS4" s="228">
        <f t="shared" ref="AS4:AS14" si="31">$Q$36/AR4</f>
        <v>0.11944631127448137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0.7</v>
      </c>
      <c r="F5" s="73">
        <v>12.14</v>
      </c>
      <c r="G5" s="73">
        <v>1.0900000000000001</v>
      </c>
      <c r="H5" s="73">
        <v>3740</v>
      </c>
      <c r="I5" s="78">
        <v>6700</v>
      </c>
      <c r="J5" s="61"/>
      <c r="K5" s="2">
        <f t="shared" si="2"/>
        <v>13.232600000000001</v>
      </c>
      <c r="L5" s="1">
        <f t="shared" si="3"/>
        <v>24</v>
      </c>
      <c r="M5" s="234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58">
        <f t="shared" si="0"/>
        <v>13.232600000000001</v>
      </c>
      <c r="V5" s="229">
        <f t="shared" si="21"/>
        <v>11.501620000000003</v>
      </c>
      <c r="W5" s="234">
        <f t="shared" si="22"/>
        <v>1.5423925455640005E-2</v>
      </c>
      <c r="X5" s="230">
        <f t="shared" si="26"/>
        <v>5.0494024547316609E-3</v>
      </c>
      <c r="Y5" s="230">
        <f t="shared" si="27"/>
        <v>3.185400901473642E-3</v>
      </c>
      <c r="Z5" s="228">
        <f t="shared" si="9"/>
        <v>0.18672831398982662</v>
      </c>
      <c r="AA5" s="229">
        <f t="shared" si="10"/>
        <v>0.79142541210756745</v>
      </c>
      <c r="AB5" s="2">
        <f t="shared" si="28"/>
        <v>5.9808761098164176</v>
      </c>
      <c r="AC5" s="158">
        <f t="shared" si="11"/>
        <v>8.4767585075575198</v>
      </c>
      <c r="AD5" s="175">
        <f t="shared" si="12"/>
        <v>19.07270664200442</v>
      </c>
      <c r="AE5" s="175">
        <f t="shared" si="13"/>
        <v>25.789193424990842</v>
      </c>
      <c r="AF5" s="158">
        <f t="shared" si="23"/>
        <v>3.0423414093958541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16008.254202811288</v>
      </c>
      <c r="AK5" s="229">
        <f t="shared" si="17"/>
        <v>34.740134988739776</v>
      </c>
      <c r="AL5" s="229">
        <f t="shared" si="18"/>
        <v>19.986322207456581</v>
      </c>
      <c r="AM5" s="229">
        <f t="shared" si="19"/>
        <v>34.75884237025064</v>
      </c>
      <c r="AN5" s="2">
        <f t="shared" si="29"/>
        <v>19.986322207456581</v>
      </c>
      <c r="AO5" s="3">
        <f t="shared" si="20"/>
        <v>9209.6972731959922</v>
      </c>
      <c r="AP5" s="227">
        <f t="shared" si="24"/>
        <v>3.1425330605874798E-3</v>
      </c>
      <c r="AQ5" s="227">
        <f t="shared" si="30"/>
        <v>9.5785354292884511E-3</v>
      </c>
      <c r="AR5" s="231">
        <f t="shared" si="25"/>
        <v>4.8028700691579907E-7</v>
      </c>
      <c r="AS5" s="228">
        <f t="shared" si="31"/>
        <v>7.7925942126012504E-2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0.78</v>
      </c>
      <c r="F6" s="73">
        <v>12.14</v>
      </c>
      <c r="G6" s="73">
        <v>1.29</v>
      </c>
      <c r="H6" s="73">
        <v>3460</v>
      </c>
      <c r="I6" s="78">
        <v>5640</v>
      </c>
      <c r="J6" s="61"/>
      <c r="K6" s="2">
        <f t="shared" si="2"/>
        <v>15.660600000000001</v>
      </c>
      <c r="L6" s="1">
        <f t="shared" si="3"/>
        <v>28</v>
      </c>
      <c r="M6" s="234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58">
        <f t="shared" si="0"/>
        <v>15.660600000000001</v>
      </c>
      <c r="V6" s="229">
        <f t="shared" si="21"/>
        <v>13.92962</v>
      </c>
      <c r="W6" s="234">
        <f t="shared" si="22"/>
        <v>1.8679926871640003E-2</v>
      </c>
      <c r="X6" s="230">
        <f t="shared" si="26"/>
        <v>5.6575022786215391E-3</v>
      </c>
      <c r="Y6" s="230">
        <f t="shared" si="27"/>
        <v>3.7935007253635201E-3</v>
      </c>
      <c r="Z6" s="228">
        <f t="shared" si="9"/>
        <v>0.23582871582730708</v>
      </c>
      <c r="AA6" s="229">
        <f t="shared" si="10"/>
        <v>1.1232844746570794</v>
      </c>
      <c r="AB6" s="2">
        <f t="shared" si="28"/>
        <v>7.1726784073220653</v>
      </c>
      <c r="AC6" s="158">
        <f t="shared" si="11"/>
        <v>9.526273937561017</v>
      </c>
      <c r="AD6" s="175">
        <f t="shared" si="12"/>
        <v>21.434116359512288</v>
      </c>
      <c r="AE6" s="175">
        <f t="shared" si="13"/>
        <v>30.63609857224089</v>
      </c>
      <c r="AF6" s="158">
        <f t="shared" si="23"/>
        <v>3.2159581776717787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17938.005942765791</v>
      </c>
      <c r="AK6" s="229">
        <f t="shared" si="17"/>
        <v>38.92796428551604</v>
      </c>
      <c r="AL6" s="229">
        <f t="shared" si="18"/>
        <v>23.995233467684084</v>
      </c>
      <c r="AM6" s="229">
        <f t="shared" si="19"/>
        <v>38.943453350289467</v>
      </c>
      <c r="AN6" s="2">
        <f t="shared" si="29"/>
        <v>23.995233467684077</v>
      </c>
      <c r="AO6" s="3">
        <f t="shared" si="20"/>
        <v>11057.003581908823</v>
      </c>
      <c r="AP6" s="227">
        <f t="shared" si="24"/>
        <v>4.1098693037237254E-3</v>
      </c>
      <c r="AQ6" s="227">
        <f t="shared" si="30"/>
        <v>1.4037102055252645E-2</v>
      </c>
      <c r="AR6" s="231">
        <f t="shared" si="25"/>
        <v>5.2226293057932422E-7</v>
      </c>
      <c r="AS6" s="228">
        <f t="shared" si="31"/>
        <v>7.1662787675319667E-2</v>
      </c>
      <c r="AT6" s="232">
        <f t="shared" ref="AT6:AT14" si="32">$Q$45*$Q$28*$Q$37^2*$Q$34*PI()/240*($AC6-$Q$47)/$Q$46*$Q$35</f>
        <v>-1.170257314108135E-7</v>
      </c>
      <c r="AU6" s="165">
        <f t="shared" ref="AU6:AU14" si="33">-$Q$36/AT6</f>
        <v>0.31981699284075554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1.012</v>
      </c>
      <c r="F7" s="73">
        <v>12.11</v>
      </c>
      <c r="G7" s="73">
        <v>1.8839999999999999</v>
      </c>
      <c r="H7" s="73">
        <v>2980</v>
      </c>
      <c r="I7" s="78">
        <v>4440</v>
      </c>
      <c r="J7" s="61"/>
      <c r="K7" s="2">
        <f t="shared" si="2"/>
        <v>22.815239999999999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58">
        <f t="shared" si="0"/>
        <v>22.815239999999999</v>
      </c>
      <c r="V7" s="229">
        <f t="shared" si="21"/>
        <v>21.08426</v>
      </c>
      <c r="W7" s="234">
        <f t="shared" si="22"/>
        <v>2.8274456513720004E-2</v>
      </c>
      <c r="X7" s="230">
        <f t="shared" si="26"/>
        <v>7.3753731319661864E-3</v>
      </c>
      <c r="Y7" s="230">
        <f t="shared" si="27"/>
        <v>5.5113715787081675E-3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9.6412639110610101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38.916125213387083</v>
      </c>
      <c r="AF7" s="158">
        <f t="shared" si="23"/>
        <v>3.2652525257983149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21084.112439306809</v>
      </c>
      <c r="AK7" s="233">
        <f t="shared" si="17"/>
        <v>45.755452342245682</v>
      </c>
      <c r="AL7" s="233">
        <f t="shared" si="18"/>
        <v>30.531028460751699</v>
      </c>
      <c r="AM7" s="233">
        <f t="shared" si="19"/>
        <v>45.765694531482751</v>
      </c>
      <c r="AN7" s="9">
        <f t="shared" si="29"/>
        <v>30.531028460751699</v>
      </c>
      <c r="AO7" s="10">
        <f t="shared" si="20"/>
        <v>14068.697914714383</v>
      </c>
      <c r="AP7" s="230">
        <f t="shared" si="24"/>
        <v>5.8606145064138918E-3</v>
      </c>
      <c r="AQ7" s="230">
        <f t="shared" si="30"/>
        <v>2.3527390559151384E-2</v>
      </c>
      <c r="AR7" s="232">
        <f t="shared" si="25"/>
        <v>5.9069698010076173E-7</v>
      </c>
      <c r="AS7" s="228">
        <f t="shared" si="31"/>
        <v>6.336043481788585E-2</v>
      </c>
      <c r="AT7" s="232">
        <f t="shared" si="32"/>
        <v>-1.5991755619886186E-7</v>
      </c>
      <c r="AU7" s="165">
        <f t="shared" si="33"/>
        <v>0.2340382031492218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1.34</v>
      </c>
      <c r="F8" s="73">
        <v>12.06</v>
      </c>
      <c r="G8" s="73">
        <v>3.07</v>
      </c>
      <c r="H8" s="73">
        <v>2430</v>
      </c>
      <c r="I8" s="78">
        <v>3360</v>
      </c>
      <c r="J8" s="61"/>
      <c r="K8" s="2">
        <f t="shared" si="2"/>
        <v>37.0242</v>
      </c>
      <c r="L8" s="1">
        <f t="shared" si="3"/>
        <v>52</v>
      </c>
      <c r="M8" s="234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58">
        <f t="shared" si="0"/>
        <v>37.0242</v>
      </c>
      <c r="V8" s="229">
        <f t="shared" si="21"/>
        <v>35.293219999999998</v>
      </c>
      <c r="W8" s="234">
        <f t="shared" si="22"/>
        <v>4.7328984470840003E-2</v>
      </c>
      <c r="X8" s="230">
        <f t="shared" si="26"/>
        <v>1.0067158970854492E-2</v>
      </c>
      <c r="Y8" s="230">
        <f t="shared" si="27"/>
        <v>8.2031574175964721E-3</v>
      </c>
      <c r="Z8" s="228">
        <f t="shared" si="9"/>
        <v>0.68077901739956448</v>
      </c>
      <c r="AA8" s="229">
        <f t="shared" si="10"/>
        <v>5.5093957511159575</v>
      </c>
      <c r="AB8" s="2">
        <f t="shared" si="28"/>
        <v>14.880526118365712</v>
      </c>
      <c r="AC8" s="158">
        <f t="shared" si="11"/>
        <v>16.185562745928078</v>
      </c>
      <c r="AD8" s="175">
        <f t="shared" si="12"/>
        <v>36.417516178338168</v>
      </c>
      <c r="AE8" s="175">
        <f t="shared" si="13"/>
        <v>51.424879746261503</v>
      </c>
      <c r="AF8" s="158">
        <f t="shared" si="23"/>
        <v>3.1772067831993573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25687.514351425656</v>
      </c>
      <c r="AK8" s="229">
        <f t="shared" si="17"/>
        <v>55.745473852920256</v>
      </c>
      <c r="AL8" s="229">
        <f t="shared" si="18"/>
        <v>40.094242929614474</v>
      </c>
      <c r="AM8" s="229">
        <f t="shared" si="19"/>
        <v>55.748038782375041</v>
      </c>
      <c r="AN8" s="2">
        <f t="shared" si="29"/>
        <v>40.094242929614481</v>
      </c>
      <c r="AO8" s="3">
        <f t="shared" si="20"/>
        <v>18475.427141966353</v>
      </c>
      <c r="AP8" s="227">
        <f t="shared" si="24"/>
        <v>8.8103065938909889E-3</v>
      </c>
      <c r="AQ8" s="227">
        <f t="shared" si="30"/>
        <v>4.3091179944979983E-2</v>
      </c>
      <c r="AR8" s="231">
        <f t="shared" si="25"/>
        <v>6.9083009217671322E-7</v>
      </c>
      <c r="AS8" s="228">
        <f t="shared" si="31"/>
        <v>5.4176588322708163E-2</v>
      </c>
      <c r="AT8" s="232">
        <f t="shared" si="32"/>
        <v>-2.3643661592637232E-7</v>
      </c>
      <c r="AU8" s="165">
        <f t="shared" si="33"/>
        <v>0.15829535268112299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1.65</v>
      </c>
      <c r="F9" s="73">
        <v>11.98</v>
      </c>
      <c r="G9" s="73">
        <v>4.68</v>
      </c>
      <c r="H9" s="73">
        <v>2040</v>
      </c>
      <c r="I9" s="78">
        <v>2740</v>
      </c>
      <c r="J9" s="61"/>
      <c r="K9" s="2">
        <f t="shared" si="2"/>
        <v>56.066400000000002</v>
      </c>
      <c r="L9" s="1">
        <f t="shared" si="3"/>
        <v>73</v>
      </c>
      <c r="M9" s="234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58">
        <f t="shared" si="0"/>
        <v>56.066400000000002</v>
      </c>
      <c r="V9" s="229">
        <f t="shared" si="21"/>
        <v>54.335419999999999</v>
      </c>
      <c r="W9" s="234">
        <f t="shared" si="22"/>
        <v>7.2864993599240008E-2</v>
      </c>
      <c r="X9" s="230">
        <f t="shared" si="26"/>
        <v>1.3011356177029089E-2</v>
      </c>
      <c r="Y9" s="230">
        <f t="shared" si="27"/>
        <v>1.1147354623771069E-2</v>
      </c>
      <c r="Z9" s="228">
        <f t="shared" si="9"/>
        <v>1.1506267866687925</v>
      </c>
      <c r="AA9" s="229">
        <f t="shared" si="10"/>
        <v>12.105882310531264</v>
      </c>
      <c r="AB9" s="2">
        <f t="shared" si="28"/>
        <v>21.592044986892798</v>
      </c>
      <c r="AC9" s="158">
        <f t="shared" si="11"/>
        <v>21.042239674567803</v>
      </c>
      <c r="AD9" s="175">
        <f t="shared" si="12"/>
        <v>47.345039267777551</v>
      </c>
      <c r="AE9" s="175">
        <f t="shared" si="13"/>
        <v>63.061166404174671</v>
      </c>
      <c r="AF9" s="165">
        <f t="shared" si="23"/>
        <v>2.9968847128184759</v>
      </c>
      <c r="AG9" s="151">
        <f>$M$42/($Q$28*$Q$37*$Q$34*($AC9-$Q$47)^2/4/$AF9)/(PI()*$Q$37/60/($AC9-$Q$47))</f>
        <v>-0.86209649393412002</v>
      </c>
      <c r="AH9" s="228">
        <f t="shared" si="14"/>
        <v>2.0277777777777777</v>
      </c>
      <c r="AI9" s="228">
        <f t="shared" si="15"/>
        <v>73</v>
      </c>
      <c r="AJ9" s="229">
        <f t="shared" si="16"/>
        <v>29934.022583352191</v>
      </c>
      <c r="AK9" s="229">
        <f t="shared" si="17"/>
        <v>64.960986509010823</v>
      </c>
      <c r="AL9" s="229">
        <f t="shared" si="18"/>
        <v>48.916038145625215</v>
      </c>
      <c r="AM9" s="229">
        <f t="shared" si="19"/>
        <v>64.956469383175516</v>
      </c>
      <c r="AN9" s="2">
        <f t="shared" si="29"/>
        <v>48.916038145625222</v>
      </c>
      <c r="AO9" s="3">
        <f t="shared" si="20"/>
        <v>22540.510377504103</v>
      </c>
      <c r="AP9" s="227">
        <f t="shared" si="24"/>
        <v>1.1940047180732638E-2</v>
      </c>
      <c r="AQ9" s="227">
        <f t="shared" si="30"/>
        <v>6.8052864043096239E-2</v>
      </c>
      <c r="AR9" s="231">
        <f t="shared" si="25"/>
        <v>7.8320005961308517E-7</v>
      </c>
      <c r="AS9" s="228">
        <f t="shared" si="31"/>
        <v>4.7787046292215356E-2</v>
      </c>
      <c r="AT9" s="232">
        <f t="shared" si="32"/>
        <v>-3.2352400686915766E-7</v>
      </c>
      <c r="AU9" s="165">
        <f t="shared" si="33"/>
        <v>0.1156848231047435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1.89</v>
      </c>
      <c r="F10" s="73">
        <v>11.91</v>
      </c>
      <c r="G10" s="73">
        <v>6.33</v>
      </c>
      <c r="H10" s="73">
        <v>1850</v>
      </c>
      <c r="I10" s="78">
        <v>2380</v>
      </c>
      <c r="J10" s="61"/>
      <c r="K10" s="2">
        <f t="shared" si="2"/>
        <v>75.390299999999996</v>
      </c>
      <c r="L10" s="1">
        <f t="shared" si="3"/>
        <v>94</v>
      </c>
      <c r="M10" s="234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58">
        <f t="shared" si="0"/>
        <v>75.390299999999996</v>
      </c>
      <c r="V10" s="229">
        <f t="shared" si="21"/>
        <v>73.659319999999994</v>
      </c>
      <c r="W10" s="234">
        <f t="shared" si="22"/>
        <v>9.8778768625039995E-2</v>
      </c>
      <c r="X10" s="230">
        <f t="shared" si="26"/>
        <v>1.5995904528576896E-2</v>
      </c>
      <c r="Y10" s="230">
        <f t="shared" si="27"/>
        <v>1.4131902975318876E-2</v>
      </c>
      <c r="Z10" s="228">
        <f t="shared" si="9"/>
        <v>1.5428005935629054</v>
      </c>
      <c r="AA10" s="229">
        <f t="shared" si="10"/>
        <v>18.795739753258349</v>
      </c>
      <c r="AB10" s="2">
        <f t="shared" si="28"/>
        <v>24.93124414315681</v>
      </c>
      <c r="AC10" s="158">
        <f t="shared" si="11"/>
        <v>24.365740889238232</v>
      </c>
      <c r="AD10" s="175">
        <f t="shared" si="12"/>
        <v>54.82291700078602</v>
      </c>
      <c r="AE10" s="175">
        <f t="shared" si="13"/>
        <v>72.599830230016238</v>
      </c>
      <c r="AF10" s="165">
        <f t="shared" si="23"/>
        <v>2.9795864020733247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33099.1687896367</v>
      </c>
      <c r="AK10" s="229">
        <f t="shared" si="17"/>
        <v>71.829793380287981</v>
      </c>
      <c r="AL10" s="229">
        <f t="shared" si="18"/>
        <v>55.491386675659186</v>
      </c>
      <c r="AM10" s="229">
        <f t="shared" si="19"/>
        <v>71.81999762570409</v>
      </c>
      <c r="AN10" s="2">
        <f t="shared" si="29"/>
        <v>55.491386675659186</v>
      </c>
      <c r="AO10" s="3">
        <f t="shared" si="20"/>
        <v>25570.430980143752</v>
      </c>
      <c r="AP10" s="227">
        <f t="shared" si="24"/>
        <v>1.452794718917157E-2</v>
      </c>
      <c r="AQ10" s="227">
        <f t="shared" si="30"/>
        <v>9.1558068579839655E-2</v>
      </c>
      <c r="AR10" s="231">
        <f t="shared" si="25"/>
        <v>8.5204826054385741E-7</v>
      </c>
      <c r="AS10" s="228">
        <f t="shared" si="31"/>
        <v>4.3925701439619165E-2</v>
      </c>
      <c r="AT10" s="232">
        <f t="shared" si="32"/>
        <v>-3.8311929266509618E-7</v>
      </c>
      <c r="AU10" s="165">
        <f t="shared" si="33"/>
        <v>9.7689722813079499E-2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1.93</v>
      </c>
      <c r="F11" s="73">
        <v>11.89</v>
      </c>
      <c r="G11" s="73">
        <v>6.65</v>
      </c>
      <c r="H11" s="73">
        <v>1820</v>
      </c>
      <c r="I11" s="78">
        <v>2345</v>
      </c>
      <c r="J11" s="61"/>
      <c r="K11" s="2">
        <f t="shared" si="2"/>
        <v>79.068500000000014</v>
      </c>
      <c r="L11" s="1">
        <f t="shared" si="3"/>
        <v>99</v>
      </c>
      <c r="M11" s="234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58">
        <f t="shared" si="0"/>
        <v>79.068500000000014</v>
      </c>
      <c r="V11" s="229">
        <f t="shared" si="21"/>
        <v>77.337520000000012</v>
      </c>
      <c r="W11" s="234">
        <f t="shared" si="22"/>
        <v>0.10371131574544003</v>
      </c>
      <c r="X11" s="230">
        <f t="shared" si="26"/>
        <v>1.6522318852283214E-2</v>
      </c>
      <c r="Y11" s="230">
        <f t="shared" si="27"/>
        <v>1.4658317299025194E-2</v>
      </c>
      <c r="Z11" s="228">
        <f t="shared" si="9"/>
        <v>1.6203574063057316</v>
      </c>
      <c r="AA11" s="229">
        <f t="shared" si="10"/>
        <v>20.230702096643892</v>
      </c>
      <c r="AB11" s="2">
        <f t="shared" si="28"/>
        <v>25.586298079062946</v>
      </c>
      <c r="AC11" s="158">
        <f t="shared" si="11"/>
        <v>24.970666370165908</v>
      </c>
      <c r="AD11" s="175">
        <f t="shared" si="12"/>
        <v>56.183999332873292</v>
      </c>
      <c r="AE11" s="175">
        <f t="shared" si="13"/>
        <v>73.683409785688113</v>
      </c>
      <c r="AF11" s="163">
        <f t="shared" si="23"/>
        <v>2.9507986968951103</v>
      </c>
      <c r="AG11" s="159">
        <f>$M$42/($Q$28*$Q$37*$Q$34*($AC11-$Q$47)^2/4/$AF11)/(PI()*$Q$37/60/($AC11-$Q$47))</f>
        <v>-0.69706398367606981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33747.946433673147</v>
      </c>
      <c r="AK11" s="229">
        <f t="shared" si="17"/>
        <v>73.237730975853182</v>
      </c>
      <c r="AL11" s="229">
        <f t="shared" si="18"/>
        <v>56.839172480802645</v>
      </c>
      <c r="AM11" s="229">
        <f t="shared" si="19"/>
        <v>73.226853231338964</v>
      </c>
      <c r="AN11" s="2">
        <f t="shared" si="29"/>
        <v>56.839172480802645</v>
      </c>
      <c r="AO11" s="3">
        <f t="shared" si="20"/>
        <v>26191.49067915386</v>
      </c>
      <c r="AP11" s="227">
        <f t="shared" si="24"/>
        <v>1.5085314891910312E-2</v>
      </c>
      <c r="AQ11" s="227">
        <f t="shared" si="30"/>
        <v>9.6934196288515045E-2</v>
      </c>
      <c r="AR11" s="231">
        <f t="shared" si="25"/>
        <v>8.6616045969198081E-7</v>
      </c>
      <c r="AS11" s="228">
        <f t="shared" si="31"/>
        <v>4.321002775641114E-2</v>
      </c>
      <c r="AT11" s="232">
        <f t="shared" si="32"/>
        <v>-3.9396650005048754E-7</v>
      </c>
      <c r="AU11" s="165">
        <f t="shared" si="33"/>
        <v>9.5000000000000029E-2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2.02</v>
      </c>
      <c r="F12" s="73">
        <v>11.85</v>
      </c>
      <c r="G12" s="73">
        <v>7.55</v>
      </c>
      <c r="H12" s="73">
        <v>1710</v>
      </c>
      <c r="I12" s="78">
        <v>2220</v>
      </c>
      <c r="J12" s="61"/>
      <c r="K12" s="2">
        <f t="shared" si="2"/>
        <v>89.467500000000001</v>
      </c>
      <c r="L12" s="1">
        <f t="shared" si="3"/>
        <v>110</v>
      </c>
      <c r="M12" s="234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58">
        <f t="shared" si="0"/>
        <v>89.467500000000001</v>
      </c>
      <c r="V12" s="229">
        <f t="shared" si="21"/>
        <v>87.736519999999999</v>
      </c>
      <c r="W12" s="234">
        <f t="shared" si="22"/>
        <v>0.11765660352344001</v>
      </c>
      <c r="X12" s="230">
        <f t="shared" si="26"/>
        <v>1.7611075728595545E-2</v>
      </c>
      <c r="Y12" s="230">
        <f t="shared" si="27"/>
        <v>1.5747074175337526E-2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29.935354272230107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77.832250426774166</v>
      </c>
      <c r="AF12" s="165">
        <f t="shared" si="23"/>
        <v>2.8386806619152343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35066.913295454338</v>
      </c>
      <c r="AK12" s="229">
        <f t="shared" si="17"/>
        <v>76.100072255760281</v>
      </c>
      <c r="AL12" s="229">
        <f t="shared" si="18"/>
        <v>59.579224993560686</v>
      </c>
      <c r="AM12" s="229">
        <f t="shared" si="19"/>
        <v>76.086994822529888</v>
      </c>
      <c r="AN12" s="2">
        <f t="shared" si="29"/>
        <v>59.579224993560686</v>
      </c>
      <c r="AO12" s="3">
        <f t="shared" si="20"/>
        <v>27454.106877032766</v>
      </c>
      <c r="AP12" s="227">
        <f t="shared" si="24"/>
        <v>1.6246672508802271E-2</v>
      </c>
      <c r="AQ12" s="227">
        <f t="shared" si="30"/>
        <v>0.1084768956979838</v>
      </c>
      <c r="AR12" s="231">
        <f t="shared" si="25"/>
        <v>8.9485060213805108E-7</v>
      </c>
      <c r="AS12" s="228">
        <f t="shared" si="31"/>
        <v>4.1824654769604085E-2</v>
      </c>
      <c r="AT12" s="232">
        <f t="shared" si="32"/>
        <v>-4.3785904429174298E-7</v>
      </c>
      <c r="AU12" s="165">
        <f t="shared" si="33"/>
        <v>8.5476862914493204E-2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2.2200000000000002</v>
      </c>
      <c r="F13" s="73">
        <v>11.77</v>
      </c>
      <c r="G13" s="73">
        <v>9.31</v>
      </c>
      <c r="H13" s="73">
        <v>1610</v>
      </c>
      <c r="I13" s="78">
        <v>2030</v>
      </c>
      <c r="J13" s="61"/>
      <c r="K13" s="2">
        <f t="shared" si="2"/>
        <v>109.5787</v>
      </c>
      <c r="L13" s="1">
        <f t="shared" si="3"/>
        <v>132</v>
      </c>
      <c r="M13" s="234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58">
        <f t="shared" si="0"/>
        <v>109.5787</v>
      </c>
      <c r="V13" s="229">
        <f t="shared" si="21"/>
        <v>107.84772</v>
      </c>
      <c r="W13" s="234">
        <f t="shared" si="22"/>
        <v>0.14462616516984</v>
      </c>
      <c r="X13" s="230">
        <f t="shared" si="26"/>
        <v>2.0381972622498658E-2</v>
      </c>
      <c r="Y13" s="230">
        <f t="shared" si="27"/>
        <v>1.8517971069240639E-2</v>
      </c>
      <c r="Z13" s="228">
        <f t="shared" si="9"/>
        <v>2.3407086194813465</v>
      </c>
      <c r="AA13" s="229">
        <f t="shared" si="10"/>
        <v>35.124953566728934</v>
      </c>
      <c r="AB13" s="2">
        <f t="shared" si="28"/>
        <v>32.054544876631077</v>
      </c>
      <c r="AC13" s="158">
        <f t="shared" si="11"/>
        <v>30.012239263263716</v>
      </c>
      <c r="AD13" s="175">
        <f t="shared" si="12"/>
        <v>67.527538342343348</v>
      </c>
      <c r="AE13" s="175">
        <f t="shared" si="13"/>
        <v>85.117042338639706</v>
      </c>
      <c r="AF13" s="165">
        <f t="shared" si="23"/>
        <v>2.8360776945699837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37349.325165766008</v>
      </c>
      <c r="AK13" s="229">
        <f t="shared" si="17"/>
        <v>81.053223015985253</v>
      </c>
      <c r="AL13" s="229">
        <f t="shared" si="18"/>
        <v>64.320760631499823</v>
      </c>
      <c r="AM13" s="229">
        <f t="shared" si="19"/>
        <v>81.036339121969291</v>
      </c>
      <c r="AN13" s="2">
        <f t="shared" si="29"/>
        <v>64.320760631499837</v>
      </c>
      <c r="AO13" s="3">
        <f t="shared" si="20"/>
        <v>29639.006498995124</v>
      </c>
      <c r="AP13" s="227">
        <f t="shared" si="24"/>
        <v>1.8345747573751899E-2</v>
      </c>
      <c r="AQ13" s="227">
        <f t="shared" si="30"/>
        <v>0.13046483083418173</v>
      </c>
      <c r="AR13" s="231">
        <f t="shared" si="25"/>
        <v>9.4449758234452328E-7</v>
      </c>
      <c r="AS13" s="228">
        <f t="shared" si="31"/>
        <v>3.962616549201943E-2</v>
      </c>
      <c r="AT13" s="232">
        <f t="shared" si="32"/>
        <v>-4.8436934873878421E-7</v>
      </c>
      <c r="AU13" s="165">
        <f t="shared" si="33"/>
        <v>7.7269169905670995E-2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2</v>
      </c>
      <c r="D14" s="80">
        <v>180</v>
      </c>
      <c r="E14" s="80">
        <v>2.65</v>
      </c>
      <c r="F14" s="80">
        <v>11.51</v>
      </c>
      <c r="G14" s="80">
        <v>14.62</v>
      </c>
      <c r="H14" s="80">
        <v>1370</v>
      </c>
      <c r="I14" s="81">
        <v>1680</v>
      </c>
      <c r="J14" s="61"/>
      <c r="K14" s="2">
        <f t="shared" si="2"/>
        <v>168.27619999999999</v>
      </c>
      <c r="L14" s="1">
        <f t="shared" si="3"/>
        <v>180</v>
      </c>
      <c r="M14" s="234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58">
        <f t="shared" si="0"/>
        <v>168.27619999999999</v>
      </c>
      <c r="V14" s="229">
        <f t="shared" si="21"/>
        <v>166.54522</v>
      </c>
      <c r="W14" s="234">
        <f t="shared" si="22"/>
        <v>0.22334080401484002</v>
      </c>
      <c r="X14" s="230">
        <f t="shared" si="26"/>
        <v>2.6783178111328961E-2</v>
      </c>
      <c r="Y14" s="230">
        <f t="shared" si="27"/>
        <v>2.4919176558070941E-2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54.254403729891621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102.84975949252301</v>
      </c>
      <c r="AF14" s="165">
        <f t="shared" si="23"/>
        <v>2.4924372674683695</v>
      </c>
      <c r="AG14" s="151"/>
      <c r="AH14" s="228">
        <f t="shared" si="14"/>
        <v>5</v>
      </c>
      <c r="AI14" s="228">
        <f t="shared" si="15"/>
        <v>180</v>
      </c>
      <c r="AJ14" s="229">
        <f t="shared" si="16"/>
        <v>41232.032742667434</v>
      </c>
      <c r="AK14" s="229">
        <f t="shared" si="17"/>
        <v>89.479237722802594</v>
      </c>
      <c r="AL14" s="229">
        <f t="shared" si="18"/>
        <v>72.386787884092314</v>
      </c>
      <c r="AM14" s="229">
        <f t="shared" si="19"/>
        <v>89.455878497000398</v>
      </c>
      <c r="AN14" s="2">
        <f t="shared" si="29"/>
        <v>72.386787884092286</v>
      </c>
      <c r="AO14" s="3">
        <f t="shared" si="20"/>
        <v>33355.831856989724</v>
      </c>
      <c r="AP14" s="227">
        <f t="shared" si="24"/>
        <v>2.2176915599306801E-2</v>
      </c>
      <c r="AQ14" s="227">
        <f t="shared" si="30"/>
        <v>0.174104971462679</v>
      </c>
      <c r="AR14" s="231">
        <f t="shared" si="25"/>
        <v>1.0289541647542625E-6</v>
      </c>
      <c r="AS14" s="228">
        <f t="shared" si="31"/>
        <v>3.6373648882343262E-2</v>
      </c>
      <c r="AT14" s="232">
        <f t="shared" si="32"/>
        <v>-6.8614319020602452E-7</v>
      </c>
      <c r="AU14" s="165">
        <f t="shared" si="33"/>
        <v>5.4546657372724745E-2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294</v>
      </c>
      <c r="K39" s="292" t="s">
        <v>300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 t="shared" ref="J40:J45" si="34">(I40*$Q$31*$R$44+$Q$44)/$Q$31</f>
        <v>94.180507611575763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4"/>
        <v>78.613865839269394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13129.73420728842</v>
      </c>
      <c r="S41" s="67">
        <f>INDEX(LINEST($Q$4:$Q$14,$E$4:$E$14^{1,2},FALSE,FALSE),1)</f>
        <v>110.96926069752767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64.000283767308289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291</v>
      </c>
      <c r="P42" s="65" t="s">
        <v>21</v>
      </c>
      <c r="Q42" s="205">
        <f>INDEX(LINEST($P$4:$P$14,$M$4:$M$14),2)</f>
        <v>-23776.551908037785</v>
      </c>
      <c r="R42" s="67">
        <f>INDEX(LINEST($P$4:$P$14,$M$4:$M$14),1)</f>
        <v>12518.606743200846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39.992256077657927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-6114.6309126820452</v>
      </c>
      <c r="R43" s="69">
        <f>INDEX(LINEST($Q$4:$Q$14,$P$4:$P$14),1)</f>
        <v>0.95727666438398118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30.597810459968649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6403.5412099425012</v>
      </c>
      <c r="R44" s="69">
        <f>INDEX(LINEST($P$4:$P$14,$Q$4:$Q$14),1)</f>
        <v>1.0438272908543638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27.408338182358097</v>
      </c>
      <c r="K45" s="246">
        <v>0.5</v>
      </c>
      <c r="L45" s="255"/>
      <c r="M45" s="256"/>
      <c r="P45" s="65" t="s">
        <v>180</v>
      </c>
      <c r="Q45" s="206">
        <f>AG11</f>
        <v>-0.69706398367606981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2.9507986968951103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3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-1.7588963712643103E-3</v>
      </c>
      <c r="K48" s="180">
        <f>INDEX(LINEST($Y$3:$Y$14,$P$3:$P$14^{1,2}),2)</f>
        <v>1.3207576166030541E-7</v>
      </c>
      <c r="L48" s="180">
        <f>INDEX(LINEST($Y$3:$Y$14,$P$3:$P$14^{1,2}),1)</f>
        <v>1.0875990624709801E-11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A14" zoomScale="90" zoomScaleNormal="90" workbookViewId="0">
      <selection activeCell="Q46" sqref="Q46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2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2" si="1">D2/180+1</f>
        <v>1.0505883567628869</v>
      </c>
      <c r="D2" s="262">
        <f>EXP((0-$Q$40)/$R$40)</f>
        <v>9.1059042173196207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2" si="2">F2*G2</f>
        <v>0.92947999999999997</v>
      </c>
      <c r="L2" s="229">
        <f t="shared" ref="L2:L12" si="3">D2</f>
        <v>9.1059042173196207</v>
      </c>
      <c r="M2" s="234">
        <f t="shared" ref="M2:M12" si="4">LN(L2)</f>
        <v>2.2089230182233597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9.1059042173196207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1" si="10">$Q$36*(P2/$Q$29/100)^3</f>
        <v>9.76843480821773E-87</v>
      </c>
      <c r="AA2" s="229">
        <f t="shared" ref="AA2:AA12" si="11">SQRT(Z2^3/4/$Q$26/$Q$32)</f>
        <v>9.469612348787209E-129</v>
      </c>
      <c r="AB2" s="1"/>
      <c r="AC2" s="158">
        <f t="shared" ref="AC2:AC12" si="12">SQRT(Z2/$Q$32/$Q$26)</f>
        <v>1.9388187636407961E-42</v>
      </c>
      <c r="AD2" s="175">
        <f t="shared" ref="AD2:AD11" si="13">AC2*1/1.6/1000*3600</f>
        <v>4.3623422181917907E-42</v>
      </c>
      <c r="AE2" s="4">
        <f t="shared" ref="AE2:AE12" si="14">Q2/60*PI()*$C$38/1000</f>
        <v>0</v>
      </c>
      <c r="AF2" s="158">
        <f>AE2/AC2</f>
        <v>0</v>
      </c>
      <c r="AH2" s="228">
        <f t="shared" ref="AH2:AH13" si="15">D2/$Q$30*$Q$22</f>
        <v>0.25294178381443388</v>
      </c>
      <c r="AI2" s="228">
        <f t="shared" ref="AI2:AI13" si="16">AH2/$Q$22*$Q$30</f>
        <v>9.105904217319619</v>
      </c>
      <c r="AJ2" s="229">
        <f t="shared" ref="AJ2:AJ13" si="17">MAX(($Q$40+$R$40*LN($AI2)),0)</f>
        <v>0</v>
      </c>
      <c r="AK2" s="229">
        <f t="shared" ref="AK2:AK13" si="18">MAX(($Q$40+$R$40*LN(AI2))/$Q$29,0)</f>
        <v>0</v>
      </c>
      <c r="AL2" s="229">
        <f t="shared" ref="AL2:AL13" si="19">($Q$41+$R$41*AK2*$Q$29)/$Q$29</f>
        <v>-16.322696673317804</v>
      </c>
      <c r="AM2" s="229">
        <f t="shared" ref="AM2:AM13" si="20">($Q$42+$R$42*AL2*$Q$29)/$Q$29</f>
        <v>0.28055245175112969</v>
      </c>
      <c r="AN2" s="1"/>
      <c r="AO2" s="1">
        <f t="shared" ref="AO2:AO13" si="21">MAX($Q$41+$R$41*AJ2,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ref="Q3:Q12" si="22">O3*60/$C$24</f>
        <v>5.9999999999999995E-25</v>
      </c>
      <c r="R3" s="3">
        <f t="shared" si="7"/>
        <v>17.22332451499118</v>
      </c>
      <c r="S3" s="3">
        <f t="shared" si="8"/>
        <v>1.3020833333333332E-27</v>
      </c>
      <c r="T3" s="3">
        <f>L3</f>
        <v>11</v>
      </c>
      <c r="U3" s="158">
        <f>K3</f>
        <v>3.9959400000000005</v>
      </c>
      <c r="V3" s="1">
        <f t="shared" ref="V3:V12" si="23">($U3-$U$2)</f>
        <v>3.0664600000000006</v>
      </c>
      <c r="W3" s="234">
        <f t="shared" ref="W3:W12" si="24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10"/>
        <v>2.2607867332556594E-2</v>
      </c>
      <c r="AA3" s="229">
        <f t="shared" si="11"/>
        <v>3.3341422214415065E-2</v>
      </c>
      <c r="AB3" s="2">
        <f>AA3/U3*100</f>
        <v>0.83438245355073049</v>
      </c>
      <c r="AC3" s="158">
        <f t="shared" si="12"/>
        <v>2.9495415665679845</v>
      </c>
      <c r="AD3" s="175">
        <f t="shared" si="13"/>
        <v>6.636468524777964</v>
      </c>
      <c r="AE3" s="4">
        <f t="shared" si="14"/>
        <v>1.7278759594743859E-27</v>
      </c>
      <c r="AF3" s="158">
        <f t="shared" ref="AF3:AF12" si="25">AE3/AC3</f>
        <v>5.8581170004832332E-28</v>
      </c>
      <c r="AH3" s="228">
        <f t="shared" si="15"/>
        <v>0.30555555555555552</v>
      </c>
      <c r="AI3" s="228">
        <f t="shared" si="16"/>
        <v>10.999999999999998</v>
      </c>
      <c r="AJ3" s="229">
        <f t="shared" si="17"/>
        <v>2702.6697175951012</v>
      </c>
      <c r="AK3" s="229">
        <f t="shared" si="18"/>
        <v>5.86516865797548</v>
      </c>
      <c r="AL3" s="229">
        <f t="shared" si="19"/>
        <v>-10.403603149045443</v>
      </c>
      <c r="AM3" s="229">
        <f t="shared" si="20"/>
        <v>6.117839865509465</v>
      </c>
      <c r="AN3" s="1"/>
      <c r="AO3" s="1">
        <f t="shared" si="21"/>
        <v>0</v>
      </c>
      <c r="AP3" s="227">
        <f t="shared" ref="AP3:AP13" si="26">MAX($J$46+$AJ3*($K$46+$AJ3*$L$46), 0)</f>
        <v>0</v>
      </c>
      <c r="AQ3" s="227">
        <f>AJ3*AP3/5252</f>
        <v>0</v>
      </c>
      <c r="AR3" s="231">
        <f t="shared" ref="AR3:AR13" si="27">MAX($K$46+$L$46*2*AJ3,1E-32)</f>
        <v>2.1589455983921055E-7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22"/>
        <v>750.00000000000011</v>
      </c>
      <c r="R4" s="3">
        <f t="shared" si="7"/>
        <v>21.557671081677704</v>
      </c>
      <c r="S4" s="3">
        <f t="shared" si="8"/>
        <v>1.627604166666667</v>
      </c>
      <c r="T4" s="3">
        <f t="shared" si="9"/>
        <v>15</v>
      </c>
      <c r="U4" s="158">
        <f t="shared" si="0"/>
        <v>5.16906</v>
      </c>
      <c r="V4" s="229">
        <f t="shared" si="23"/>
        <v>4.2395800000000001</v>
      </c>
      <c r="W4" s="234">
        <f t="shared" si="24"/>
        <v>5.6853700507600007E-3</v>
      </c>
      <c r="X4" s="230">
        <f t="shared" ref="X4:X12" si="28">$W4/$P4*5252</f>
        <v>3.0058627263302132E-3</v>
      </c>
      <c r="Y4" s="230">
        <f t="shared" ref="Y4:Y12" si="29">X4-$X$3</f>
        <v>2.8461255628665872E-4</v>
      </c>
      <c r="Z4" s="228">
        <f t="shared" si="10"/>
        <v>4.4331677644672267E-2</v>
      </c>
      <c r="AA4" s="229">
        <f t="shared" si="11"/>
        <v>9.1551608116826624E-2</v>
      </c>
      <c r="AB4" s="2">
        <f t="shared" ref="AB4:AB11" si="30">AA4/U4*100</f>
        <v>1.7711461681007112</v>
      </c>
      <c r="AC4" s="158">
        <f t="shared" si="12"/>
        <v>4.1303019863417774</v>
      </c>
      <c r="AD4" s="175">
        <f t="shared" si="13"/>
        <v>9.2931794692689991</v>
      </c>
      <c r="AE4" s="175">
        <f t="shared" si="14"/>
        <v>2.1598449493429834</v>
      </c>
      <c r="AF4" s="158">
        <f t="shared" si="25"/>
        <v>0.52292664228553554</v>
      </c>
      <c r="AG4" s="151"/>
      <c r="AH4" s="228">
        <f t="shared" si="15"/>
        <v>0.41666666666666663</v>
      </c>
      <c r="AI4" s="228">
        <f t="shared" si="16"/>
        <v>15</v>
      </c>
      <c r="AJ4" s="229">
        <f t="shared" si="17"/>
        <v>7138.4866811744396</v>
      </c>
      <c r="AK4" s="229">
        <f t="shared" si="18"/>
        <v>15.49150755463203</v>
      </c>
      <c r="AL4" s="229">
        <f t="shared" si="19"/>
        <v>-0.68875886265473696</v>
      </c>
      <c r="AM4" s="229">
        <f t="shared" si="20"/>
        <v>15.698418048136123</v>
      </c>
      <c r="AN4" s="2">
        <f t="shared" ref="AN4:AN13" si="31">AO4/$Q$29</f>
        <v>0</v>
      </c>
      <c r="AO4" s="3">
        <f t="shared" si="21"/>
        <v>0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2.9746648396618457E-7</v>
      </c>
      <c r="AS4" s="228">
        <f t="shared" ref="AS4:AS13" si="33">$Q$34/AR4</f>
        <v>0.125818603177664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22"/>
        <v>7317.0731707317073</v>
      </c>
      <c r="R5" s="3">
        <f t="shared" si="7"/>
        <v>30.709512578616351</v>
      </c>
      <c r="S5" s="3">
        <f t="shared" si="8"/>
        <v>15.879065040650406</v>
      </c>
      <c r="T5" s="3">
        <f t="shared" si="9"/>
        <v>26</v>
      </c>
      <c r="U5" s="158">
        <f t="shared" si="0"/>
        <v>9.6257999999999999</v>
      </c>
      <c r="V5" s="229">
        <f t="shared" si="23"/>
        <v>8.6963200000000001</v>
      </c>
      <c r="W5" s="234">
        <f t="shared" si="24"/>
        <v>1.1661956439040002E-2</v>
      </c>
      <c r="X5" s="230">
        <f t="shared" si="28"/>
        <v>4.3282340620605583E-3</v>
      </c>
      <c r="Y5" s="230">
        <f t="shared" si="29"/>
        <v>1.6069838920170039E-3</v>
      </c>
      <c r="Z5" s="228">
        <f t="shared" si="10"/>
        <v>0.12815259734411796</v>
      </c>
      <c r="AA5" s="229">
        <f t="shared" si="11"/>
        <v>0.44997236896437842</v>
      </c>
      <c r="AB5" s="2">
        <f t="shared" si="30"/>
        <v>4.6746490573705914</v>
      </c>
      <c r="AC5" s="158">
        <f t="shared" si="12"/>
        <v>7.0224463380340776</v>
      </c>
      <c r="AD5" s="175">
        <f t="shared" si="13"/>
        <v>15.800504260576671</v>
      </c>
      <c r="AE5" s="175">
        <f t="shared" si="14"/>
        <v>21.071658042370565</v>
      </c>
      <c r="AF5" s="158">
        <f t="shared" si="25"/>
        <v>3.0006150318650269</v>
      </c>
      <c r="AG5" s="151"/>
      <c r="AH5" s="228">
        <f t="shared" si="15"/>
        <v>0.7222222222222221</v>
      </c>
      <c r="AI5" s="228">
        <f t="shared" si="16"/>
        <v>25.999999999999996</v>
      </c>
      <c r="AJ5" s="229">
        <f t="shared" si="17"/>
        <v>15005.216013525915</v>
      </c>
      <c r="AK5" s="229">
        <f t="shared" si="18"/>
        <v>32.563402807130892</v>
      </c>
      <c r="AL5" s="229">
        <f t="shared" si="19"/>
        <v>16.540096866619766</v>
      </c>
      <c r="AM5" s="229">
        <f t="shared" si="20"/>
        <v>32.689158655552923</v>
      </c>
      <c r="AN5" s="2">
        <f t="shared" si="31"/>
        <v>16.540096866619763</v>
      </c>
      <c r="AO5" s="3">
        <f t="shared" si="21"/>
        <v>7621.676636138387</v>
      </c>
      <c r="AP5" s="227">
        <f t="shared" si="26"/>
        <v>2.3095905283023526E-3</v>
      </c>
      <c r="AQ5" s="227">
        <f t="shared" si="32"/>
        <v>6.5986109634368307E-3</v>
      </c>
      <c r="AR5" s="231">
        <f t="shared" si="27"/>
        <v>4.4213075967791568E-7</v>
      </c>
      <c r="AS5" s="228">
        <f t="shared" si="33"/>
        <v>8.4651014853752968E-2</v>
      </c>
      <c r="AT5" s="232"/>
      <c r="AU5" s="165"/>
      <c r="AX5" s="127"/>
      <c r="AY5" s="96"/>
    </row>
    <row r="6" spans="1:51" ht="13.95" customHeight="1" x14ac:dyDescent="0.3">
      <c r="A6" t="s">
        <v>227</v>
      </c>
      <c r="B6" s="176">
        <v>25</v>
      </c>
      <c r="C6" s="220">
        <f t="shared" si="1"/>
        <v>1.1888888888888889</v>
      </c>
      <c r="D6" s="73">
        <v>34</v>
      </c>
      <c r="E6" s="73">
        <v>0.88100000000000001</v>
      </c>
      <c r="F6" s="73">
        <v>12.18</v>
      </c>
      <c r="G6" s="73">
        <v>1.3280000000000001</v>
      </c>
      <c r="H6" s="73">
        <v>3350</v>
      </c>
      <c r="I6" s="78">
        <v>5360</v>
      </c>
      <c r="J6" s="61"/>
      <c r="K6" s="2">
        <f t="shared" si="2"/>
        <v>16.175039999999999</v>
      </c>
      <c r="L6" s="1">
        <f t="shared" si="3"/>
        <v>34</v>
      </c>
      <c r="M6" s="234">
        <f t="shared" si="4"/>
        <v>3.5263605246161616</v>
      </c>
      <c r="N6" s="3">
        <f t="shared" si="5"/>
        <v>298.50746268656718</v>
      </c>
      <c r="O6" s="3">
        <f t="shared" si="5"/>
        <v>186.56716417910448</v>
      </c>
      <c r="P6" s="3">
        <f t="shared" si="6"/>
        <v>17910.447761194031</v>
      </c>
      <c r="Q6" s="3">
        <f t="shared" si="22"/>
        <v>11194.029850746268</v>
      </c>
      <c r="R6" s="3">
        <f t="shared" si="7"/>
        <v>38.868159203980099</v>
      </c>
      <c r="S6" s="3">
        <f t="shared" si="8"/>
        <v>24.292599502487562</v>
      </c>
      <c r="T6" s="3">
        <f t="shared" si="9"/>
        <v>34</v>
      </c>
      <c r="U6" s="158">
        <f t="shared" si="0"/>
        <v>16.175039999999999</v>
      </c>
      <c r="V6" s="229">
        <f t="shared" si="23"/>
        <v>15.245559999999999</v>
      </c>
      <c r="W6" s="234">
        <f t="shared" si="24"/>
        <v>2.0444631362320002E-2</v>
      </c>
      <c r="X6" s="230">
        <f t="shared" si="28"/>
        <v>5.9951155519155095E-3</v>
      </c>
      <c r="Y6" s="230">
        <f t="shared" si="29"/>
        <v>3.273865381871955E-3</v>
      </c>
      <c r="Z6" s="228">
        <f t="shared" si="10"/>
        <v>0.25983075865629035</v>
      </c>
      <c r="AA6" s="229">
        <f t="shared" si="11"/>
        <v>1.2990640646721523</v>
      </c>
      <c r="AB6" s="2">
        <f t="shared" si="30"/>
        <v>8.0312881122529056</v>
      </c>
      <c r="AC6" s="158">
        <f t="shared" si="12"/>
        <v>9.9993093303520837</v>
      </c>
      <c r="AD6" s="175">
        <f t="shared" si="13"/>
        <v>22.49844599329219</v>
      </c>
      <c r="AE6" s="175">
        <f t="shared" si="14"/>
        <v>32.236491781238549</v>
      </c>
      <c r="AF6" s="158">
        <f t="shared" si="25"/>
        <v>3.2238718411668015</v>
      </c>
      <c r="AG6" s="151"/>
      <c r="AH6" s="228">
        <f t="shared" si="15"/>
        <v>0.94444444444444442</v>
      </c>
      <c r="AI6" s="228">
        <f t="shared" si="16"/>
        <v>34</v>
      </c>
      <c r="AJ6" s="233">
        <f t="shared" si="17"/>
        <v>18841.911270834102</v>
      </c>
      <c r="AK6" s="233">
        <f t="shared" si="18"/>
        <v>40.889564389830952</v>
      </c>
      <c r="AL6" s="233">
        <f t="shared" si="19"/>
        <v>24.942809896736911</v>
      </c>
      <c r="AM6" s="233">
        <f t="shared" si="20"/>
        <v>40.975740175339872</v>
      </c>
      <c r="AN6" s="9">
        <f t="shared" si="31"/>
        <v>24.942809896736904</v>
      </c>
      <c r="AO6" s="10">
        <f t="shared" si="21"/>
        <v>11493.646800416365</v>
      </c>
      <c r="AP6" s="230">
        <f t="shared" si="26"/>
        <v>4.1412594738406304E-3</v>
      </c>
      <c r="AQ6" s="230">
        <f t="shared" si="32"/>
        <v>1.485705322840942E-2</v>
      </c>
      <c r="AR6" s="232">
        <f t="shared" si="27"/>
        <v>5.1268520703160597E-7</v>
      </c>
      <c r="AS6" s="228">
        <f t="shared" si="33"/>
        <v>7.3001555323770131E-2</v>
      </c>
      <c r="AT6" s="232">
        <f t="shared" ref="AT6:AT12" si="34">$Q$43*$Q$26*$Q$35^2*$Q$32*PI()/240*($AC6-$Q$45)/$Q$44*$Q$33</f>
        <v>-1.2605004939959085E-7</v>
      </c>
      <c r="AU6" s="165">
        <f t="shared" ref="AU6:AU12" si="35">-$Q$34/AT6</f>
        <v>0.29692029224161343</v>
      </c>
      <c r="AX6" s="127"/>
      <c r="AY6" s="96"/>
    </row>
    <row r="7" spans="1:51" ht="13.95" customHeight="1" x14ac:dyDescent="0.3">
      <c r="A7" t="s">
        <v>228</v>
      </c>
      <c r="B7" s="176">
        <v>36</v>
      </c>
      <c r="C7" s="220">
        <f t="shared" si="1"/>
        <v>1.2833333333333332</v>
      </c>
      <c r="D7" s="73">
        <v>51</v>
      </c>
      <c r="E7" s="73">
        <v>1.2849999999999999</v>
      </c>
      <c r="F7" s="73">
        <v>12.14</v>
      </c>
      <c r="G7" s="73">
        <v>2.54</v>
      </c>
      <c r="H7" s="73">
        <v>2620</v>
      </c>
      <c r="I7" s="78">
        <v>3640</v>
      </c>
      <c r="J7" s="61"/>
      <c r="K7" s="2">
        <f t="shared" si="2"/>
        <v>30.835600000000003</v>
      </c>
      <c r="L7" s="1">
        <f t="shared" si="3"/>
        <v>51</v>
      </c>
      <c r="M7" s="234">
        <f t="shared" si="4"/>
        <v>3.9318256327243257</v>
      </c>
      <c r="N7" s="3">
        <f t="shared" si="5"/>
        <v>381.67938931297709</v>
      </c>
      <c r="O7" s="3">
        <f t="shared" si="5"/>
        <v>274.72527472527474</v>
      </c>
      <c r="P7" s="3">
        <f t="shared" si="6"/>
        <v>22900.763358778626</v>
      </c>
      <c r="Q7" s="3">
        <f t="shared" si="22"/>
        <v>16483.516483516483</v>
      </c>
      <c r="R7" s="3">
        <f t="shared" si="7"/>
        <v>49.697837150127228</v>
      </c>
      <c r="S7" s="3">
        <f t="shared" si="8"/>
        <v>35.771520146520146</v>
      </c>
      <c r="T7" s="3">
        <f t="shared" si="9"/>
        <v>51</v>
      </c>
      <c r="U7" s="158">
        <f t="shared" si="0"/>
        <v>30.835600000000003</v>
      </c>
      <c r="V7" s="229">
        <f t="shared" si="23"/>
        <v>29.906120000000001</v>
      </c>
      <c r="W7" s="234">
        <f t="shared" si="24"/>
        <v>4.0104764854640006E-2</v>
      </c>
      <c r="X7" s="230">
        <f t="shared" si="28"/>
        <v>9.1975198257235272E-3</v>
      </c>
      <c r="Y7" s="230">
        <f t="shared" si="29"/>
        <v>6.4762696556799728E-3</v>
      </c>
      <c r="Z7" s="228">
        <f t="shared" si="10"/>
        <v>0.54315165668436749</v>
      </c>
      <c r="AA7" s="229">
        <f t="shared" si="11"/>
        <v>3.9262359022114204</v>
      </c>
      <c r="AB7" s="2">
        <f t="shared" si="30"/>
        <v>12.732802028212262</v>
      </c>
      <c r="AC7" s="158">
        <f t="shared" si="12"/>
        <v>14.457236220833282</v>
      </c>
      <c r="AD7" s="175">
        <f t="shared" si="13"/>
        <v>32.528781496874885</v>
      </c>
      <c r="AE7" s="175">
        <f t="shared" si="14"/>
        <v>47.469119765779844</v>
      </c>
      <c r="AF7" s="158">
        <f t="shared" si="25"/>
        <v>3.2834159337713187</v>
      </c>
      <c r="AG7" s="151"/>
      <c r="AH7" s="228">
        <f t="shared" si="15"/>
        <v>1.4166666666666665</v>
      </c>
      <c r="AI7" s="228">
        <f t="shared" si="16"/>
        <v>51</v>
      </c>
      <c r="AJ7" s="229">
        <f t="shared" si="17"/>
        <v>24640.848642300854</v>
      </c>
      <c r="AK7" s="229">
        <f t="shared" si="18"/>
        <v>53.474063893882061</v>
      </c>
      <c r="AL7" s="229">
        <f t="shared" si="19"/>
        <v>37.643012374179307</v>
      </c>
      <c r="AM7" s="229">
        <f t="shared" si="20"/>
        <v>53.500416761332886</v>
      </c>
      <c r="AN7" s="2">
        <f t="shared" si="31"/>
        <v>37.643012374179307</v>
      </c>
      <c r="AO7" s="3">
        <f t="shared" si="21"/>
        <v>17345.900102021824</v>
      </c>
      <c r="AP7" s="227">
        <f t="shared" si="26"/>
        <v>7.4234849258282935E-3</v>
      </c>
      <c r="AQ7" s="227">
        <f t="shared" si="32"/>
        <v>3.4828821107337579E-2</v>
      </c>
      <c r="AR7" s="231">
        <f t="shared" si="27"/>
        <v>6.1932407043968115E-7</v>
      </c>
      <c r="AS7" s="228">
        <f t="shared" si="33"/>
        <v>6.0431717885961765E-2</v>
      </c>
      <c r="AT7" s="232">
        <f t="shared" si="34"/>
        <v>-2.3844995659344025E-7</v>
      </c>
      <c r="AU7" s="165">
        <f t="shared" si="35"/>
        <v>0.15695879353255432</v>
      </c>
      <c r="AX7" s="127"/>
      <c r="AY7" s="96"/>
    </row>
    <row r="8" spans="1:51" ht="13.95" customHeight="1" x14ac:dyDescent="0.3">
      <c r="A8" t="s">
        <v>229</v>
      </c>
      <c r="B8" s="176">
        <v>45</v>
      </c>
      <c r="C8" s="220">
        <f t="shared" si="1"/>
        <v>1.4222222222222223</v>
      </c>
      <c r="D8" s="73">
        <v>76</v>
      </c>
      <c r="E8" s="73">
        <v>1.702</v>
      </c>
      <c r="F8" s="73">
        <v>12.07</v>
      </c>
      <c r="G8" s="73">
        <v>4.46</v>
      </c>
      <c r="H8" s="73">
        <v>2100</v>
      </c>
      <c r="I8" s="78">
        <v>2740</v>
      </c>
      <c r="J8" s="61"/>
      <c r="K8" s="2">
        <f t="shared" si="2"/>
        <v>53.8322</v>
      </c>
      <c r="L8" s="1">
        <f t="shared" si="3"/>
        <v>76</v>
      </c>
      <c r="M8" s="234">
        <f t="shared" si="4"/>
        <v>4.3307333402863311</v>
      </c>
      <c r="N8" s="3">
        <f t="shared" si="5"/>
        <v>476.1904761904762</v>
      </c>
      <c r="O8" s="3">
        <f t="shared" si="5"/>
        <v>364.96350364963502</v>
      </c>
      <c r="P8" s="3">
        <f t="shared" si="6"/>
        <v>28571.428571428572</v>
      </c>
      <c r="Q8" s="3">
        <f t="shared" si="22"/>
        <v>21897.810218978102</v>
      </c>
      <c r="R8" s="3">
        <f t="shared" si="7"/>
        <v>62.003968253968253</v>
      </c>
      <c r="S8" s="3">
        <f t="shared" si="8"/>
        <v>47.521289537712896</v>
      </c>
      <c r="T8" s="3">
        <f t="shared" si="9"/>
        <v>76</v>
      </c>
      <c r="U8" s="158">
        <f t="shared" si="0"/>
        <v>53.8322</v>
      </c>
      <c r="V8" s="229">
        <f t="shared" si="23"/>
        <v>52.902720000000002</v>
      </c>
      <c r="W8" s="234">
        <f t="shared" si="24"/>
        <v>7.0943711379840013E-2</v>
      </c>
      <c r="X8" s="230">
        <f t="shared" si="28"/>
        <v>1.3040873025842191E-2</v>
      </c>
      <c r="Y8" s="230">
        <f t="shared" si="29"/>
        <v>1.0319622855798637E-2</v>
      </c>
      <c r="Z8" s="228">
        <f t="shared" si="10"/>
        <v>1.0547926582677607</v>
      </c>
      <c r="AA8" s="229">
        <f t="shared" si="11"/>
        <v>10.62540211180036</v>
      </c>
      <c r="AB8" s="2">
        <f t="shared" si="30"/>
        <v>19.73800459910678</v>
      </c>
      <c r="AC8" s="158">
        <f t="shared" si="12"/>
        <v>20.146901911983324</v>
      </c>
      <c r="AD8" s="175">
        <f t="shared" si="13"/>
        <v>45.330529301962478</v>
      </c>
      <c r="AE8" s="175">
        <f t="shared" si="14"/>
        <v>63.061166404174671</v>
      </c>
      <c r="AF8" s="163">
        <f t="shared" si="25"/>
        <v>3.1300676739119901</v>
      </c>
      <c r="AG8" s="159">
        <f>$M$40/($Q$26*$Q$35*$Q$32*($AC8-$Q$45)^2/4/$AF8)/(PI()*$Q$35/60/($AC8-$Q$45))</f>
        <v>-1.0396896822678605</v>
      </c>
      <c r="AH8" s="228">
        <f t="shared" si="15"/>
        <v>2.1111111111111112</v>
      </c>
      <c r="AI8" s="228">
        <f t="shared" si="16"/>
        <v>76</v>
      </c>
      <c r="AJ8" s="229">
        <f t="shared" si="17"/>
        <v>30346.002469076866</v>
      </c>
      <c r="AK8" s="229">
        <f t="shared" si="18"/>
        <v>65.855040080461947</v>
      </c>
      <c r="AL8" s="229">
        <f t="shared" si="19"/>
        <v>50.137820323223224</v>
      </c>
      <c r="AM8" s="229">
        <f t="shared" si="20"/>
        <v>65.822537518370197</v>
      </c>
      <c r="AN8" s="2">
        <f t="shared" si="31"/>
        <v>50.137820323223224</v>
      </c>
      <c r="AO8" s="3">
        <f t="shared" si="21"/>
        <v>23103.507604941264</v>
      </c>
      <c r="AP8" s="227">
        <f t="shared" si="26"/>
        <v>1.1256099961380434E-2</v>
      </c>
      <c r="AQ8" s="227">
        <f t="shared" si="32"/>
        <v>6.5037630849243466E-2</v>
      </c>
      <c r="AR8" s="231">
        <f t="shared" si="27"/>
        <v>7.2423831259879962E-7</v>
      </c>
      <c r="AS8" s="228">
        <f t="shared" si="33"/>
        <v>5.167748909954361E-2</v>
      </c>
      <c r="AT8" s="232">
        <f t="shared" si="34"/>
        <v>-3.8190630106935038E-7</v>
      </c>
      <c r="AU8" s="165">
        <f t="shared" si="35"/>
        <v>9.7999999999999962E-2</v>
      </c>
      <c r="AX8" s="127"/>
      <c r="AY8" s="96"/>
    </row>
    <row r="9" spans="1:51" ht="13.95" customHeight="1" x14ac:dyDescent="0.3">
      <c r="A9" t="s">
        <v>230</v>
      </c>
      <c r="B9" s="176">
        <v>50</v>
      </c>
      <c r="C9" s="220">
        <f t="shared" si="1"/>
        <v>1.5055555555555555</v>
      </c>
      <c r="D9" s="73">
        <v>91</v>
      </c>
      <c r="E9" s="73">
        <v>1.9330000000000001</v>
      </c>
      <c r="F9" s="73">
        <v>12</v>
      </c>
      <c r="G9" s="73">
        <v>5.81</v>
      </c>
      <c r="H9" s="73">
        <v>1870</v>
      </c>
      <c r="I9" s="78">
        <v>2420</v>
      </c>
      <c r="J9" s="61"/>
      <c r="K9" s="2">
        <f t="shared" si="2"/>
        <v>69.72</v>
      </c>
      <c r="L9" s="1">
        <f t="shared" si="3"/>
        <v>91</v>
      </c>
      <c r="M9" s="234">
        <f t="shared" si="4"/>
        <v>4.5108595065168497</v>
      </c>
      <c r="N9" s="3">
        <f t="shared" si="5"/>
        <v>534.75935828877004</v>
      </c>
      <c r="O9" s="3">
        <f t="shared" si="5"/>
        <v>413.22314049586777</v>
      </c>
      <c r="P9" s="3">
        <f t="shared" si="6"/>
        <v>32085.561497326202</v>
      </c>
      <c r="Q9" s="3">
        <f t="shared" si="22"/>
        <v>24793.388429752067</v>
      </c>
      <c r="R9" s="3">
        <f t="shared" si="7"/>
        <v>69.630124777183596</v>
      </c>
      <c r="S9" s="3">
        <f t="shared" si="8"/>
        <v>53.805096418732781</v>
      </c>
      <c r="T9" s="3">
        <f t="shared" si="9"/>
        <v>91</v>
      </c>
      <c r="U9" s="158">
        <f t="shared" si="0"/>
        <v>69.72</v>
      </c>
      <c r="V9" s="229">
        <f t="shared" si="23"/>
        <v>68.790520000000001</v>
      </c>
      <c r="W9" s="234">
        <f t="shared" si="24"/>
        <v>9.2249600711440005E-2</v>
      </c>
      <c r="X9" s="230">
        <f t="shared" si="28"/>
        <v>1.5100091141520385E-2</v>
      </c>
      <c r="Y9" s="230">
        <f t="shared" si="29"/>
        <v>1.2378840971476832E-2</v>
      </c>
      <c r="Z9" s="228">
        <f t="shared" si="10"/>
        <v>1.4938265119186129</v>
      </c>
      <c r="AA9" s="229">
        <f t="shared" si="11"/>
        <v>17.907912822547804</v>
      </c>
      <c r="AB9" s="2">
        <f t="shared" si="30"/>
        <v>25.685474501646304</v>
      </c>
      <c r="AC9" s="158">
        <f t="shared" si="12"/>
        <v>23.975893692698723</v>
      </c>
      <c r="AD9" s="175">
        <f t="shared" si="13"/>
        <v>53.945760808572125</v>
      </c>
      <c r="AE9" s="175">
        <f t="shared" si="14"/>
        <v>71.399833036131668</v>
      </c>
      <c r="AF9" s="165">
        <f t="shared" si="25"/>
        <v>2.9779842182848331</v>
      </c>
      <c r="AG9" s="151"/>
      <c r="AH9" s="228">
        <f t="shared" si="15"/>
        <v>2.5277777777777777</v>
      </c>
      <c r="AI9" s="228">
        <f t="shared" si="16"/>
        <v>91</v>
      </c>
      <c r="AJ9" s="229">
        <f t="shared" si="17"/>
        <v>32922.1559679731</v>
      </c>
      <c r="AK9" s="229">
        <f t="shared" si="18"/>
        <v>71.445650972163847</v>
      </c>
      <c r="AL9" s="229">
        <f t="shared" si="19"/>
        <v>55.779831773448365</v>
      </c>
      <c r="AM9" s="229">
        <f t="shared" si="20"/>
        <v>71.386572330732491</v>
      </c>
      <c r="AN9" s="2">
        <f t="shared" si="31"/>
        <v>55.779831773448365</v>
      </c>
      <c r="AO9" s="3">
        <f t="shared" si="21"/>
        <v>25703.346481205008</v>
      </c>
      <c r="AP9" s="227">
        <f t="shared" si="26"/>
        <v>1.3182870199544647E-2</v>
      </c>
      <c r="AQ9" s="227">
        <f t="shared" si="32"/>
        <v>8.2636806705055896E-2</v>
      </c>
      <c r="AR9" s="231">
        <f t="shared" si="27"/>
        <v>7.7161217844511155E-7</v>
      </c>
      <c r="AS9" s="228">
        <f t="shared" si="33"/>
        <v>4.8504700353765438E-2</v>
      </c>
      <c r="AT9" s="232">
        <f t="shared" si="34"/>
        <v>-4.7844855745255605E-7</v>
      </c>
      <c r="AU9" s="165">
        <f t="shared" si="35"/>
        <v>7.8225374330881212E-2</v>
      </c>
      <c r="AX9" s="150"/>
      <c r="AY9" s="152"/>
    </row>
    <row r="10" spans="1:51" ht="13.95" customHeight="1" x14ac:dyDescent="0.3">
      <c r="A10" t="s">
        <v>232</v>
      </c>
      <c r="B10" s="176">
        <v>55</v>
      </c>
      <c r="C10" s="220">
        <f t="shared" si="1"/>
        <v>1.588888888888889</v>
      </c>
      <c r="D10" s="73">
        <v>106</v>
      </c>
      <c r="E10" s="73">
        <v>2.1789999999999998</v>
      </c>
      <c r="F10" s="73">
        <v>11.96</v>
      </c>
      <c r="G10" s="73">
        <v>7.56</v>
      </c>
      <c r="H10" s="73">
        <v>1710</v>
      </c>
      <c r="I10" s="78">
        <v>2150</v>
      </c>
      <c r="J10" s="61"/>
      <c r="K10" s="2">
        <f t="shared" si="2"/>
        <v>90.417600000000007</v>
      </c>
      <c r="L10" s="1">
        <f t="shared" si="3"/>
        <v>106</v>
      </c>
      <c r="M10" s="234">
        <f t="shared" si="4"/>
        <v>4.6634390941120669</v>
      </c>
      <c r="N10" s="3">
        <f t="shared" si="5"/>
        <v>584.79532163742692</v>
      </c>
      <c r="O10" s="3">
        <f t="shared" si="5"/>
        <v>465.11627906976747</v>
      </c>
      <c r="P10" s="3">
        <f t="shared" si="6"/>
        <v>35087.719298245618</v>
      </c>
      <c r="Q10" s="3">
        <f t="shared" si="22"/>
        <v>27906.976744186049</v>
      </c>
      <c r="R10" s="3">
        <f t="shared" si="7"/>
        <v>76.145224171539965</v>
      </c>
      <c r="S10" s="3">
        <f t="shared" si="8"/>
        <v>60.562015503875976</v>
      </c>
      <c r="T10" s="3">
        <f t="shared" si="9"/>
        <v>106</v>
      </c>
      <c r="U10" s="158">
        <f t="shared" si="0"/>
        <v>90.417600000000007</v>
      </c>
      <c r="V10" s="229">
        <f t="shared" si="23"/>
        <v>89.488120000000009</v>
      </c>
      <c r="W10" s="234">
        <f t="shared" si="24"/>
        <v>0.12000553765864003</v>
      </c>
      <c r="X10" s="230">
        <f t="shared" si="28"/>
        <v>1.7962668887820554E-2</v>
      </c>
      <c r="Y10" s="230">
        <f t="shared" si="29"/>
        <v>1.5241418717777001E-2</v>
      </c>
      <c r="Z10" s="228">
        <f t="shared" si="10"/>
        <v>1.953604519532822</v>
      </c>
      <c r="AA10" s="229">
        <f t="shared" si="11"/>
        <v>26.782413083507471</v>
      </c>
      <c r="AB10" s="2">
        <f t="shared" si="30"/>
        <v>29.620796264784143</v>
      </c>
      <c r="AC10" s="158">
        <f t="shared" si="12"/>
        <v>27.418459381852905</v>
      </c>
      <c r="AD10" s="175">
        <f t="shared" si="13"/>
        <v>61.691533609169035</v>
      </c>
      <c r="AE10" s="175">
        <f t="shared" si="14"/>
        <v>80.366323696483093</v>
      </c>
      <c r="AF10" s="165">
        <f t="shared" si="25"/>
        <v>2.9311028230008462</v>
      </c>
      <c r="AG10" s="151"/>
      <c r="AH10" s="228">
        <f t="shared" si="15"/>
        <v>2.9444444444444446</v>
      </c>
      <c r="AI10" s="228">
        <f t="shared" si="16"/>
        <v>106</v>
      </c>
      <c r="AJ10" s="229">
        <f t="shared" si="17"/>
        <v>35104.339970826579</v>
      </c>
      <c r="AK10" s="229">
        <f t="shared" si="18"/>
        <v>76.181293339467402</v>
      </c>
      <c r="AL10" s="229">
        <f t="shared" si="19"/>
        <v>60.559014044952193</v>
      </c>
      <c r="AM10" s="229">
        <f t="shared" si="20"/>
        <v>76.09970288140002</v>
      </c>
      <c r="AN10" s="2">
        <f t="shared" si="31"/>
        <v>60.559014044952193</v>
      </c>
      <c r="AO10" s="3">
        <f t="shared" si="21"/>
        <v>27905.593671913972</v>
      </c>
      <c r="AP10" s="227">
        <f t="shared" si="26"/>
        <v>1.4910454394727607E-2</v>
      </c>
      <c r="AQ10" s="227">
        <f t="shared" si="32"/>
        <v>9.9661397599395116E-2</v>
      </c>
      <c r="AR10" s="231">
        <f t="shared" si="27"/>
        <v>8.1174118948713279E-7</v>
      </c>
      <c r="AS10" s="228">
        <f t="shared" si="33"/>
        <v>4.6106835515446754E-2</v>
      </c>
      <c r="AT10" s="232">
        <f t="shared" si="34"/>
        <v>-5.6524766238984967E-7</v>
      </c>
      <c r="AU10" s="165">
        <f t="shared" si="35"/>
        <v>6.6213130977944956E-2</v>
      </c>
      <c r="AX10" s="127"/>
      <c r="AY10" s="96"/>
    </row>
    <row r="11" spans="1:51" ht="13.95" customHeight="1" x14ac:dyDescent="0.3">
      <c r="A11" t="s">
        <v>232</v>
      </c>
      <c r="B11" s="176">
        <v>62</v>
      </c>
      <c r="C11" s="220">
        <f t="shared" si="1"/>
        <v>1.7333333333333334</v>
      </c>
      <c r="D11" s="73">
        <v>132</v>
      </c>
      <c r="E11" s="73">
        <v>2.5299999999999998</v>
      </c>
      <c r="F11" s="73">
        <v>11.83</v>
      </c>
      <c r="G11" s="73">
        <v>10.54</v>
      </c>
      <c r="H11" s="73">
        <v>1500</v>
      </c>
      <c r="I11" s="78">
        <v>1840</v>
      </c>
      <c r="J11" s="61"/>
      <c r="K11" s="2">
        <f t="shared" si="2"/>
        <v>124.68819999999999</v>
      </c>
      <c r="L11" s="1">
        <f t="shared" si="3"/>
        <v>132</v>
      </c>
      <c r="M11" s="234">
        <f t="shared" si="4"/>
        <v>4.8828019225863706</v>
      </c>
      <c r="N11" s="3">
        <f t="shared" si="5"/>
        <v>666.66666666666663</v>
      </c>
      <c r="O11" s="3">
        <f t="shared" si="5"/>
        <v>543.47826086956525</v>
      </c>
      <c r="P11" s="3">
        <f t="shared" si="6"/>
        <v>40000</v>
      </c>
      <c r="Q11" s="3">
        <f t="shared" si="22"/>
        <v>32608.695652173916</v>
      </c>
      <c r="R11" s="3">
        <f t="shared" si="7"/>
        <v>86.805555555555557</v>
      </c>
      <c r="S11" s="3">
        <f t="shared" si="8"/>
        <v>70.76539855072464</v>
      </c>
      <c r="T11" s="3">
        <f t="shared" si="9"/>
        <v>132</v>
      </c>
      <c r="U11" s="158">
        <f t="shared" si="0"/>
        <v>124.68819999999999</v>
      </c>
      <c r="V11" s="229">
        <f t="shared" si="23"/>
        <v>123.75872</v>
      </c>
      <c r="W11" s="234">
        <f t="shared" si="24"/>
        <v>0.16596316621184001</v>
      </c>
      <c r="X11" s="230">
        <f t="shared" si="28"/>
        <v>2.1790963723614595E-2</v>
      </c>
      <c r="Y11" s="230">
        <f t="shared" si="29"/>
        <v>1.9069713553571042E-2</v>
      </c>
      <c r="Z11" s="228">
        <f t="shared" si="10"/>
        <v>2.894351054286735</v>
      </c>
      <c r="AA11" s="229">
        <f t="shared" si="11"/>
        <v>48.297153477389912</v>
      </c>
      <c r="AB11" s="2">
        <f t="shared" si="30"/>
        <v>38.734341723908052</v>
      </c>
      <c r="AC11" s="158">
        <f t="shared" si="12"/>
        <v>33.373390146201146</v>
      </c>
      <c r="AD11" s="175">
        <f t="shared" si="13"/>
        <v>75.090127828952575</v>
      </c>
      <c r="AE11" s="175">
        <f t="shared" si="14"/>
        <v>93.906302145347084</v>
      </c>
      <c r="AF11" s="165">
        <f t="shared" si="25"/>
        <v>2.8138076993066985</v>
      </c>
      <c r="AG11" s="151"/>
      <c r="AH11" s="228">
        <f t="shared" si="15"/>
        <v>3.6666666666666665</v>
      </c>
      <c r="AI11" s="228">
        <f t="shared" si="16"/>
        <v>132</v>
      </c>
      <c r="AJ11" s="229">
        <f t="shared" si="17"/>
        <v>38241.653832148877</v>
      </c>
      <c r="AK11" s="229">
        <f t="shared" si="18"/>
        <v>82.989700156573079</v>
      </c>
      <c r="AL11" s="229">
        <f t="shared" si="19"/>
        <v>67.430017941309458</v>
      </c>
      <c r="AM11" s="229">
        <f t="shared" si="20"/>
        <v>82.875744584343238</v>
      </c>
      <c r="AN11" s="2">
        <f t="shared" si="31"/>
        <v>67.430017941309458</v>
      </c>
      <c r="AO11" s="3">
        <f t="shared" si="21"/>
        <v>31071.752267355398</v>
      </c>
      <c r="AP11" s="227">
        <f t="shared" si="26"/>
        <v>1.7547642207818674E-2</v>
      </c>
      <c r="AQ11" s="227">
        <f t="shared" si="32"/>
        <v>0.12777053672540106</v>
      </c>
      <c r="AR11" s="231">
        <f t="shared" si="27"/>
        <v>8.6943444652625607E-7</v>
      </c>
      <c r="AS11" s="228">
        <f t="shared" si="33"/>
        <v>4.3047313865158747E-2</v>
      </c>
      <c r="AT11" s="232">
        <f t="shared" si="34"/>
        <v>-7.1539226585738016E-7</v>
      </c>
      <c r="AU11" s="165">
        <f t="shared" si="35"/>
        <v>5.2316497243566365E-2</v>
      </c>
      <c r="AX11" s="127"/>
      <c r="AY11" s="96"/>
    </row>
    <row r="12" spans="1:51" ht="13.95" customHeight="1" thickBot="1" x14ac:dyDescent="0.35">
      <c r="A12" t="s">
        <v>233</v>
      </c>
      <c r="B12" t="s">
        <v>234</v>
      </c>
      <c r="C12" s="221">
        <f t="shared" si="1"/>
        <v>1.9888888888888889</v>
      </c>
      <c r="D12" s="80">
        <v>178</v>
      </c>
      <c r="E12" s="80">
        <v>2.82</v>
      </c>
      <c r="F12" s="80">
        <v>11.66</v>
      </c>
      <c r="G12" s="80">
        <v>13.79</v>
      </c>
      <c r="H12" s="80">
        <v>1360</v>
      </c>
      <c r="I12" s="81">
        <v>1650</v>
      </c>
      <c r="J12" s="61"/>
      <c r="K12" s="2">
        <f t="shared" si="2"/>
        <v>160.79139999999998</v>
      </c>
      <c r="L12" s="1">
        <f t="shared" si="3"/>
        <v>178</v>
      </c>
      <c r="M12" s="234">
        <f t="shared" si="4"/>
        <v>5.181783550292085</v>
      </c>
      <c r="N12" s="3">
        <f t="shared" si="5"/>
        <v>735.2941176470589</v>
      </c>
      <c r="O12" s="3">
        <f t="shared" si="5"/>
        <v>606.06060606060612</v>
      </c>
      <c r="P12" s="3">
        <f t="shared" si="6"/>
        <v>44117.647058823532</v>
      </c>
      <c r="Q12" s="3">
        <f t="shared" si="22"/>
        <v>36363.636363636368</v>
      </c>
      <c r="R12" s="3">
        <f t="shared" si="7"/>
        <v>95.741421568627459</v>
      </c>
      <c r="S12" s="3">
        <f t="shared" si="8"/>
        <v>78.914141414141426</v>
      </c>
      <c r="T12" s="3">
        <f t="shared" si="9"/>
        <v>178</v>
      </c>
      <c r="U12" s="158">
        <f t="shared" si="0"/>
        <v>160.79139999999998</v>
      </c>
      <c r="V12" s="229">
        <f t="shared" si="23"/>
        <v>159.86191999999997</v>
      </c>
      <c r="W12" s="234">
        <f t="shared" si="24"/>
        <v>0.21437835168223998</v>
      </c>
      <c r="X12" s="230">
        <f t="shared" si="28"/>
        <v>2.5520742335462816E-2</v>
      </c>
      <c r="Y12" s="230">
        <f t="shared" si="29"/>
        <v>2.2799492165419263E-2</v>
      </c>
      <c r="Z12" s="163">
        <f>C32/0.224</f>
        <v>4.4249528005034611</v>
      </c>
      <c r="AA12" s="229">
        <f t="shared" si="11"/>
        <v>91.297248929319878</v>
      </c>
      <c r="AB12" s="2">
        <f>AA12/U12*100</f>
        <v>56.779932838024848</v>
      </c>
      <c r="AC12" s="158">
        <f t="shared" si="12"/>
        <v>41.264733453849395</v>
      </c>
      <c r="AD12" s="175">
        <f>AC12*1/1.6/1000*3600</f>
        <v>92.845650271161119</v>
      </c>
      <c r="AE12" s="175">
        <f t="shared" si="14"/>
        <v>104.71975511965978</v>
      </c>
      <c r="AF12" s="165">
        <f t="shared" si="25"/>
        <v>2.5377543086950669</v>
      </c>
      <c r="AG12" s="151"/>
      <c r="AH12" s="228">
        <f t="shared" si="15"/>
        <v>4.9444444444444446</v>
      </c>
      <c r="AI12" s="228">
        <f t="shared" si="16"/>
        <v>178</v>
      </c>
      <c r="AJ12" s="229">
        <f t="shared" si="17"/>
        <v>42517.670928599298</v>
      </c>
      <c r="AK12" s="229">
        <f t="shared" si="18"/>
        <v>92.269251147133886</v>
      </c>
      <c r="AL12" s="229">
        <f t="shared" si="19"/>
        <v>76.794885923698061</v>
      </c>
      <c r="AM12" s="229">
        <f t="shared" si="20"/>
        <v>92.111183386068433</v>
      </c>
      <c r="AN12" s="2">
        <f t="shared" si="31"/>
        <v>76.794885923698061</v>
      </c>
      <c r="AO12" s="3">
        <f t="shared" si="21"/>
        <v>35387.083433640066</v>
      </c>
      <c r="AP12" s="227">
        <f t="shared" si="26"/>
        <v>2.1433477440750276E-2</v>
      </c>
      <c r="AQ12" s="227">
        <f t="shared" si="32"/>
        <v>0.17351514483651501</v>
      </c>
      <c r="AR12" s="231">
        <f t="shared" si="27"/>
        <v>9.4806775015920004E-7</v>
      </c>
      <c r="AS12" s="228">
        <f t="shared" si="33"/>
        <v>3.9476944024845896E-2</v>
      </c>
      <c r="AT12" s="232">
        <f t="shared" si="34"/>
        <v>-9.1436059288589362E-7</v>
      </c>
      <c r="AU12" s="165">
        <f t="shared" si="35"/>
        <v>4.0932229358955928E-2</v>
      </c>
      <c r="AX12" s="127"/>
      <c r="AY12" s="96"/>
    </row>
    <row r="13" spans="1:51" ht="13.95" customHeight="1" x14ac:dyDescent="0.3">
      <c r="C13" s="267"/>
      <c r="AE13" s="45"/>
      <c r="AF13" s="30"/>
      <c r="AH13" s="228">
        <f t="shared" si="15"/>
        <v>0</v>
      </c>
      <c r="AI13" s="228">
        <f t="shared" si="16"/>
        <v>0</v>
      </c>
      <c r="AJ13" s="229" t="e">
        <f t="shared" si="17"/>
        <v>#NUM!</v>
      </c>
      <c r="AK13" s="229" t="e">
        <f t="shared" si="18"/>
        <v>#NUM!</v>
      </c>
      <c r="AL13" s="229" t="e">
        <f t="shared" si="19"/>
        <v>#NUM!</v>
      </c>
      <c r="AM13" s="229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227" t="e">
        <f t="shared" si="26"/>
        <v>#NUM!</v>
      </c>
      <c r="AQ13" s="227" t="e">
        <f t="shared" si="32"/>
        <v>#NUM!</v>
      </c>
      <c r="AR13" s="231" t="e">
        <f t="shared" si="27"/>
        <v>#NUM!</v>
      </c>
      <c r="AS13" s="228" t="e">
        <f t="shared" si="33"/>
        <v>#NUM!</v>
      </c>
      <c r="AV13" s="146"/>
      <c r="AW13" s="95"/>
      <c r="AX13" s="128"/>
      <c r="AY13" s="96"/>
    </row>
    <row r="14" spans="1:51" x14ac:dyDescent="0.3">
      <c r="A14" t="s">
        <v>235</v>
      </c>
      <c r="AE14" s="194"/>
      <c r="AF14" s="30"/>
    </row>
    <row r="15" spans="1:51" ht="13.95" customHeight="1" x14ac:dyDescent="0.3">
      <c r="A15">
        <v>1</v>
      </c>
      <c r="C15" t="s">
        <v>236</v>
      </c>
      <c r="I15" s="3" t="s">
        <v>28</v>
      </c>
      <c r="J15" s="11" t="s">
        <v>29</v>
      </c>
      <c r="K15" s="12"/>
      <c r="L15" s="12"/>
      <c r="AE15" s="45"/>
      <c r="AF15" s="30"/>
    </row>
    <row r="16" spans="1:51" ht="13.95" customHeight="1" x14ac:dyDescent="0.3">
      <c r="A16">
        <v>2</v>
      </c>
      <c r="C16" t="s">
        <v>237</v>
      </c>
      <c r="I16" s="3"/>
      <c r="J16" s="13" t="s">
        <v>276</v>
      </c>
      <c r="K16" s="14"/>
      <c r="L16" s="14"/>
      <c r="AE16" s="149"/>
      <c r="AF16" s="30"/>
    </row>
    <row r="17" spans="1:48" ht="13.95" customHeight="1" x14ac:dyDescent="0.3">
      <c r="A17">
        <v>3</v>
      </c>
      <c r="C17" t="s">
        <v>239</v>
      </c>
      <c r="I17" s="3"/>
      <c r="J17" s="15" t="s">
        <v>274</v>
      </c>
      <c r="K17" s="16"/>
      <c r="L17" s="16"/>
      <c r="AE17" s="149"/>
      <c r="AF17" s="30"/>
    </row>
    <row r="18" spans="1:48" ht="13.95" customHeight="1" x14ac:dyDescent="0.3">
      <c r="A18">
        <v>4</v>
      </c>
      <c r="C18" t="s">
        <v>238</v>
      </c>
      <c r="J18" s="288" t="s">
        <v>297</v>
      </c>
      <c r="K18" s="287"/>
      <c r="L18" s="287"/>
      <c r="M18" s="287"/>
      <c r="N18" s="287"/>
      <c r="O18" s="289"/>
      <c r="AE18" s="149"/>
      <c r="AF18" s="30"/>
      <c r="AN18" s="45"/>
    </row>
    <row r="19" spans="1:48" ht="13.95" customHeight="1" x14ac:dyDescent="0.3">
      <c r="A19">
        <v>5</v>
      </c>
      <c r="C19" t="s">
        <v>240</v>
      </c>
      <c r="O19" s="188"/>
      <c r="AE19" s="149"/>
      <c r="AF19" s="30"/>
      <c r="AN19" s="45"/>
      <c r="AO19" s="5"/>
      <c r="AU19" s="5"/>
      <c r="AV19" s="5"/>
    </row>
    <row r="20" spans="1:48" ht="13.95" customHeight="1" thickBot="1" x14ac:dyDescent="0.35">
      <c r="A20">
        <v>6</v>
      </c>
      <c r="C20" t="s">
        <v>241</v>
      </c>
      <c r="O20" s="188"/>
      <c r="AN20" s="45"/>
      <c r="AO20" s="5"/>
      <c r="AV20" s="5"/>
    </row>
    <row r="21" spans="1:48" ht="13.95" customHeight="1" x14ac:dyDescent="0.3">
      <c r="A21">
        <v>7</v>
      </c>
      <c r="C21" t="s">
        <v>243</v>
      </c>
      <c r="O21" s="188"/>
      <c r="P21" s="214" t="s">
        <v>270</v>
      </c>
      <c r="Q21" s="64"/>
      <c r="R21" s="64"/>
      <c r="S21" s="64"/>
      <c r="T21" s="29"/>
      <c r="AN21" s="45"/>
      <c r="AO21" s="5"/>
      <c r="AV21" s="5"/>
    </row>
    <row r="22" spans="1:48" ht="13.95" customHeight="1" x14ac:dyDescent="0.3">
      <c r="A22" s="45">
        <v>8</v>
      </c>
      <c r="B22" s="45"/>
      <c r="C22" s="45" t="s">
        <v>275</v>
      </c>
      <c r="D22" s="61"/>
      <c r="E22" s="61"/>
      <c r="F22" s="61"/>
      <c r="G22" s="61"/>
      <c r="O22" s="188"/>
      <c r="P22" s="268" t="s">
        <v>15</v>
      </c>
      <c r="Q22" s="269">
        <f>C44</f>
        <v>5</v>
      </c>
      <c r="R22" s="45"/>
      <c r="S22" s="30"/>
      <c r="T22" s="31" t="s">
        <v>265</v>
      </c>
      <c r="AN22" s="45"/>
      <c r="AO22" s="5"/>
      <c r="AV22" s="5"/>
    </row>
    <row r="23" spans="1:48" ht="13.95" customHeight="1" thickBot="1" x14ac:dyDescent="0.35">
      <c r="H23" s="61"/>
      <c r="I23" s="61"/>
      <c r="J23" s="61"/>
      <c r="K23" s="187"/>
      <c r="L23" s="61"/>
      <c r="M23" s="61"/>
      <c r="N23" s="188"/>
      <c r="O23" s="188"/>
      <c r="P23" s="268" t="s">
        <v>17</v>
      </c>
      <c r="Q23" s="269">
        <f>C36</f>
        <v>5</v>
      </c>
      <c r="R23" s="30"/>
      <c r="S23" s="30"/>
      <c r="T23" s="31" t="s">
        <v>265</v>
      </c>
      <c r="AN23" s="45"/>
      <c r="AO23" s="5"/>
      <c r="AV23" s="5"/>
    </row>
    <row r="24" spans="1:48" ht="13.95" customHeight="1" x14ac:dyDescent="0.3">
      <c r="A24" t="s">
        <v>32</v>
      </c>
      <c r="B24" s="17" t="s">
        <v>3</v>
      </c>
      <c r="C24" s="18">
        <v>1</v>
      </c>
      <c r="D24"/>
      <c r="F24"/>
      <c r="G24" s="61"/>
      <c r="I24" s="17" t="s">
        <v>134</v>
      </c>
      <c r="J24" s="28"/>
      <c r="K24" s="28"/>
      <c r="L24" s="29"/>
      <c r="M24" s="61"/>
      <c r="N24" s="188"/>
      <c r="O24" s="188"/>
      <c r="P24" s="268" t="s">
        <v>16</v>
      </c>
      <c r="Q24" s="269">
        <f>C35</f>
        <v>0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s="189"/>
      <c r="B25" s="19" t="s">
        <v>4</v>
      </c>
      <c r="C25" s="20">
        <v>4800</v>
      </c>
      <c r="D25" t="s">
        <v>77</v>
      </c>
      <c r="F25"/>
      <c r="G25" s="61"/>
      <c r="I25" s="19" t="s">
        <v>128</v>
      </c>
      <c r="J25" s="208">
        <v>25</v>
      </c>
      <c r="K25" s="30" t="s">
        <v>93</v>
      </c>
      <c r="L25" s="31"/>
      <c r="M25" s="61"/>
      <c r="N25" s="188"/>
      <c r="O25" s="188"/>
      <c r="P25" s="268" t="s">
        <v>14</v>
      </c>
      <c r="Q25" s="269">
        <f>C43</f>
        <v>0</v>
      </c>
      <c r="R25" s="45"/>
      <c r="S25" s="30"/>
      <c r="T25" s="31" t="s">
        <v>265</v>
      </c>
      <c r="AN25" s="45"/>
      <c r="AO25" s="5"/>
      <c r="AP25" s="5"/>
    </row>
    <row r="26" spans="1:48" ht="13.95" customHeight="1" x14ac:dyDescent="0.3">
      <c r="A26" s="189"/>
      <c r="B26" s="19" t="s">
        <v>5</v>
      </c>
      <c r="C26" s="20">
        <v>12</v>
      </c>
      <c r="D26"/>
      <c r="F26"/>
      <c r="G26" s="61"/>
      <c r="I26" s="19" t="s">
        <v>144</v>
      </c>
      <c r="J26" s="208">
        <v>2.1797</v>
      </c>
      <c r="K26" s="30" t="s">
        <v>94</v>
      </c>
      <c r="L26" s="31"/>
      <c r="M26" s="61"/>
      <c r="N26" s="188"/>
      <c r="O26" s="188"/>
      <c r="P26" s="268" t="s">
        <v>177</v>
      </c>
      <c r="Q26" s="270">
        <f>$C$41</f>
        <v>1.2250000000000001</v>
      </c>
      <c r="R26" s="30"/>
      <c r="S26" s="30"/>
      <c r="T26" s="31" t="s">
        <v>161</v>
      </c>
      <c r="AN26" s="45"/>
      <c r="AO26" s="5"/>
      <c r="AP26" s="5"/>
    </row>
    <row r="27" spans="1:48" ht="13.95" customHeight="1" x14ac:dyDescent="0.3">
      <c r="A27" s="189"/>
      <c r="B27" s="57" t="s">
        <v>69</v>
      </c>
      <c r="C27" s="20">
        <v>3.9899999999999998E-2</v>
      </c>
      <c r="D27" t="s">
        <v>76</v>
      </c>
      <c r="F27"/>
      <c r="G27" s="6"/>
      <c r="I27" s="19" t="s">
        <v>129</v>
      </c>
      <c r="J27" s="44">
        <f>($J$25/25.4)^2*$J$26/1000*2.2/3</f>
        <v>1.5484983053299442E-3</v>
      </c>
      <c r="K27" s="30" t="s">
        <v>96</v>
      </c>
      <c r="L27" s="177" t="s">
        <v>146</v>
      </c>
      <c r="N27" s="3"/>
      <c r="O27" s="3"/>
      <c r="P27" s="215"/>
      <c r="Q27" s="213"/>
      <c r="R27" s="213"/>
      <c r="S27" s="213"/>
      <c r="T27" s="216"/>
      <c r="AN27" s="45"/>
      <c r="AO27" s="5"/>
      <c r="AP27" s="5"/>
      <c r="AQ27" s="5"/>
      <c r="AR27" s="5"/>
      <c r="AS27" s="151"/>
      <c r="AT27" s="153"/>
      <c r="AU27" s="5"/>
    </row>
    <row r="28" spans="1:48" ht="13.95" customHeight="1" x14ac:dyDescent="0.3">
      <c r="A28" s="189"/>
      <c r="B28" s="57" t="s">
        <v>70</v>
      </c>
      <c r="C28" s="129">
        <v>4.1999999999999996E-6</v>
      </c>
      <c r="D28" t="s">
        <v>75</v>
      </c>
      <c r="F28"/>
      <c r="G28" s="6"/>
      <c r="I28" s="19" t="s">
        <v>141</v>
      </c>
      <c r="J28" s="210">
        <f>3/8/2*25.4</f>
        <v>4.7624999999999993</v>
      </c>
      <c r="K28" s="30" t="s">
        <v>93</v>
      </c>
      <c r="L28" s="31" t="s">
        <v>142</v>
      </c>
      <c r="N28" s="3"/>
      <c r="O28" s="3"/>
      <c r="P28" s="217" t="s">
        <v>271</v>
      </c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19" t="s">
        <v>255</v>
      </c>
      <c r="C29" s="20">
        <v>240</v>
      </c>
      <c r="D29" t="s">
        <v>256</v>
      </c>
      <c r="F29"/>
      <c r="G29" s="6"/>
      <c r="I29" s="19" t="s">
        <v>143</v>
      </c>
      <c r="J29" s="210">
        <f>3/4*25.4</f>
        <v>19.049999999999997</v>
      </c>
      <c r="K29" s="30" t="s">
        <v>93</v>
      </c>
      <c r="L29" s="31" t="s">
        <v>142</v>
      </c>
      <c r="N29" s="3"/>
      <c r="O29" s="3"/>
      <c r="P29" s="268" t="s">
        <v>27</v>
      </c>
      <c r="Q29" s="269">
        <f>$C$25*$C$26/$B$48/100</f>
        <v>460.8</v>
      </c>
      <c r="R29" s="30"/>
      <c r="S29" s="30"/>
      <c r="T29" s="31" t="s">
        <v>266</v>
      </c>
      <c r="AN29" s="45"/>
      <c r="AO29" s="5"/>
    </row>
    <row r="30" spans="1:48" x14ac:dyDescent="0.3">
      <c r="A30" s="189"/>
      <c r="B30" s="57" t="s">
        <v>71</v>
      </c>
      <c r="C30" s="130">
        <f>C25*2*PI()/60</f>
        <v>502.6548245743669</v>
      </c>
      <c r="D30" t="s">
        <v>73</v>
      </c>
      <c r="F30"/>
      <c r="G30" s="6"/>
      <c r="I30" s="19" t="s">
        <v>145</v>
      </c>
      <c r="J30" s="44">
        <f>PI()*($J$28/25.4)^2/4*3/4*0.3</f>
        <v>6.2126221909368446E-3</v>
      </c>
      <c r="K30" s="30" t="s">
        <v>148</v>
      </c>
      <c r="L30" s="31" t="s">
        <v>142</v>
      </c>
      <c r="N30" s="3"/>
      <c r="O30" s="3"/>
      <c r="P30" s="268" t="s">
        <v>18</v>
      </c>
      <c r="Q30" s="269">
        <f>C46</f>
        <v>180</v>
      </c>
      <c r="R30" s="30"/>
      <c r="S30" s="30"/>
      <c r="T30" s="31" t="s">
        <v>175</v>
      </c>
    </row>
    <row r="31" spans="1:48" ht="13.95" customHeight="1" x14ac:dyDescent="0.3">
      <c r="A31" s="189"/>
      <c r="B31" s="57" t="s">
        <v>72</v>
      </c>
      <c r="C31" s="132">
        <f>7/C30</f>
        <v>1.3926057520540842E-2</v>
      </c>
      <c r="D31" t="s">
        <v>74</v>
      </c>
      <c r="F31"/>
      <c r="G31" s="6"/>
      <c r="I31" s="19" t="s">
        <v>135</v>
      </c>
      <c r="J31" s="44">
        <f>($J$28/25.4)^2*$J$30/2</f>
        <v>1.0920624945006168E-4</v>
      </c>
      <c r="K31" s="30" t="s">
        <v>96</v>
      </c>
      <c r="L31" s="31" t="s">
        <v>147</v>
      </c>
      <c r="N31" s="3"/>
      <c r="O31" s="3"/>
      <c r="P31" s="268" t="s">
        <v>13</v>
      </c>
      <c r="Q31" s="269">
        <f>C45</f>
        <v>0</v>
      </c>
      <c r="R31" s="30"/>
      <c r="S31" s="30"/>
      <c r="T31" s="31" t="s">
        <v>175</v>
      </c>
    </row>
    <row r="32" spans="1:48" ht="13.95" customHeight="1" thickBot="1" x14ac:dyDescent="0.35">
      <c r="B32" s="131" t="s">
        <v>257</v>
      </c>
      <c r="C32" s="204">
        <f>450/454</f>
        <v>0.99118942731277537</v>
      </c>
      <c r="D32" s="6" t="s">
        <v>155</v>
      </c>
      <c r="F32" s="6"/>
      <c r="G32" s="6"/>
      <c r="I32" s="19" t="s">
        <v>95</v>
      </c>
      <c r="J32" s="44">
        <f>$J$27+$J$31</f>
        <v>1.6577045547800059E-3</v>
      </c>
      <c r="K32" s="30" t="s">
        <v>96</v>
      </c>
      <c r="L32" s="31"/>
      <c r="N32" s="3"/>
      <c r="O32" s="3"/>
      <c r="P32" s="268" t="s">
        <v>178</v>
      </c>
      <c r="Q32" s="270">
        <f>(C38^2-C39^2)*PI()/4/1000^2</f>
        <v>2.1213604393365078E-3</v>
      </c>
      <c r="R32" s="30"/>
      <c r="S32" s="30"/>
      <c r="T32" s="31" t="s">
        <v>264</v>
      </c>
    </row>
    <row r="33" spans="1:50" ht="15" customHeight="1" thickBot="1" x14ac:dyDescent="0.35">
      <c r="D33"/>
      <c r="F33" s="6"/>
      <c r="G33" s="6"/>
      <c r="I33" s="19" t="s">
        <v>95</v>
      </c>
      <c r="J33" s="44">
        <f>$J$32/144</f>
        <v>1.1511837185972264E-5</v>
      </c>
      <c r="K33" s="30" t="s">
        <v>97</v>
      </c>
      <c r="L33" s="31"/>
      <c r="N33" s="3"/>
      <c r="O33" s="3"/>
      <c r="P33" s="268" t="s">
        <v>183</v>
      </c>
      <c r="Q33" s="271">
        <f>1/1.3556</f>
        <v>0.73768073177928595</v>
      </c>
      <c r="R33" s="30"/>
      <c r="S33" s="30"/>
      <c r="T33" s="31" t="s">
        <v>269</v>
      </c>
    </row>
    <row r="34" spans="1:50" ht="15" customHeight="1" thickBot="1" x14ac:dyDescent="0.35">
      <c r="A34" t="s">
        <v>33</v>
      </c>
      <c r="B34" s="17"/>
      <c r="C34" s="222" t="s">
        <v>22</v>
      </c>
      <c r="D34"/>
      <c r="F34" s="6"/>
      <c r="G34" s="6"/>
      <c r="I34" s="21" t="s">
        <v>95</v>
      </c>
      <c r="J34" s="108">
        <f>$J$33/2048.5*6.66</f>
        <v>3.7426817504796325E-8</v>
      </c>
      <c r="K34" s="32" t="s">
        <v>98</v>
      </c>
      <c r="L34" s="33"/>
      <c r="N34" s="3"/>
      <c r="O34" s="3"/>
      <c r="P34" s="268" t="s">
        <v>184</v>
      </c>
      <c r="Q34" s="272">
        <f>$J$33/2048.5*6.66</f>
        <v>3.7426817504796325E-8</v>
      </c>
      <c r="R34" s="30"/>
      <c r="S34" s="30"/>
      <c r="T34" s="31" t="s">
        <v>80</v>
      </c>
    </row>
    <row r="35" spans="1:50" ht="15" customHeight="1" x14ac:dyDescent="0.3">
      <c r="B35" s="24" t="s">
        <v>16</v>
      </c>
      <c r="C35" s="203">
        <v>0</v>
      </c>
      <c r="D35"/>
      <c r="F35" s="6"/>
      <c r="G35" s="6"/>
      <c r="I35" s="30"/>
      <c r="J35" s="45"/>
      <c r="K35" s="30"/>
      <c r="L35" s="30"/>
      <c r="N35" s="3"/>
      <c r="O35" s="3"/>
      <c r="P35" s="268" t="s">
        <v>199</v>
      </c>
      <c r="Q35" s="270">
        <f>C38/1000</f>
        <v>5.5E-2</v>
      </c>
      <c r="R35" s="30"/>
      <c r="S35" s="30"/>
      <c r="T35" s="31" t="s">
        <v>262</v>
      </c>
    </row>
    <row r="36" spans="1:50" ht="15" thickBot="1" x14ac:dyDescent="0.35">
      <c r="B36" s="26" t="s">
        <v>17</v>
      </c>
      <c r="C36" s="200">
        <v>5</v>
      </c>
      <c r="I36" s="208" t="s">
        <v>293</v>
      </c>
      <c r="J36" s="208"/>
      <c r="K36" s="208"/>
      <c r="L36" s="208"/>
      <c r="N36" s="3"/>
      <c r="O36" s="3"/>
      <c r="P36" s="268" t="s">
        <v>218</v>
      </c>
      <c r="Q36" s="271">
        <f>$Z$12</f>
        <v>4.4249528005034611</v>
      </c>
      <c r="R36" s="30"/>
      <c r="S36" s="30"/>
      <c r="T36" s="31" t="s">
        <v>158</v>
      </c>
      <c r="AI36" s="5"/>
    </row>
    <row r="37" spans="1:50" ht="43.8" thickBot="1" x14ac:dyDescent="0.35">
      <c r="I37" s="193" t="s">
        <v>100</v>
      </c>
      <c r="J37" s="236" t="s">
        <v>294</v>
      </c>
      <c r="K37" s="292" t="s">
        <v>301</v>
      </c>
      <c r="L37" s="263" t="s">
        <v>272</v>
      </c>
      <c r="M37" s="264" t="s">
        <v>273</v>
      </c>
      <c r="P37" s="215"/>
      <c r="Q37" s="213"/>
      <c r="R37" s="213"/>
      <c r="S37" s="213"/>
      <c r="T37" s="216"/>
      <c r="AI37" s="5"/>
    </row>
    <row r="38" spans="1:50" ht="18" x14ac:dyDescent="0.35">
      <c r="A38" s="3" t="s">
        <v>246</v>
      </c>
      <c r="B38" s="17" t="s">
        <v>247</v>
      </c>
      <c r="C38" s="199">
        <v>55</v>
      </c>
      <c r="D38" t="s">
        <v>93</v>
      </c>
      <c r="E38"/>
      <c r="I38" s="248">
        <f>(K38-K40)/(K39-K40)*(I39-I40)+I40</f>
        <v>72.945454545454538</v>
      </c>
      <c r="J38" s="253">
        <f t="shared" ref="J38:J43" si="36">(I38*$Q$29*$R$42+$Q$42)/$Q$29</f>
        <v>88.314953905624549</v>
      </c>
      <c r="K38" s="242">
        <v>0</v>
      </c>
      <c r="L38" s="213"/>
      <c r="M38" s="216"/>
      <c r="P38" s="226" t="s">
        <v>295</v>
      </c>
      <c r="Q38" s="58"/>
      <c r="R38" s="58"/>
      <c r="S38" s="58"/>
      <c r="T38" s="25"/>
      <c r="AI38" s="5"/>
    </row>
    <row r="39" spans="1:50" ht="15" thickBot="1" x14ac:dyDescent="0.35">
      <c r="B39" s="21" t="s">
        <v>248</v>
      </c>
      <c r="C39" s="200">
        <v>18</v>
      </c>
      <c r="D39" t="s">
        <v>93</v>
      </c>
      <c r="E39"/>
      <c r="I39" s="241">
        <v>62</v>
      </c>
      <c r="J39" s="253">
        <f t="shared" si="36"/>
        <v>77.520773378818305</v>
      </c>
      <c r="K39" s="243">
        <v>4.2999999999999997E-2</v>
      </c>
      <c r="L39" s="249"/>
      <c r="M39" s="250"/>
      <c r="P39" s="65" t="s">
        <v>121</v>
      </c>
      <c r="Q39" s="205">
        <f>INDEX(LINEST($Q$4:$Q$12,$E$4:$E$12^{1,2},FALSE,FALSE),3)</f>
        <v>0</v>
      </c>
      <c r="R39" s="67">
        <f>INDEX(LINEST($Q$4:$Q$12,$E$4:$E$12^{1,2},FALSE,FALSE),2)</f>
        <v>12813.411080914857</v>
      </c>
      <c r="S39" s="67">
        <f>INDEX(LINEST($Q$4:$Q$12,$E$4:$E$12^{1,2},FALSE,FALSE),1)</f>
        <v>22.268575818648586</v>
      </c>
      <c r="T39" s="31" t="s">
        <v>267</v>
      </c>
      <c r="AI39" s="5"/>
    </row>
    <row r="40" spans="1:50" ht="15" thickBot="1" x14ac:dyDescent="0.35">
      <c r="B40" s="30"/>
      <c r="C40" s="201"/>
      <c r="D40"/>
      <c r="E40"/>
      <c r="H40" s="10"/>
      <c r="I40" s="241">
        <v>48</v>
      </c>
      <c r="J40" s="253">
        <f t="shared" si="36"/>
        <v>63.714263402670746</v>
      </c>
      <c r="K40" s="243">
        <v>9.8000000000000004E-2</v>
      </c>
      <c r="L40" s="251">
        <f>$Q$34/K40</f>
        <v>3.8190630106935023E-7</v>
      </c>
      <c r="M40" s="252">
        <f>-L40/$Q$33</f>
        <v>-5.1771218172961117E-7</v>
      </c>
      <c r="N40" s="265" t="s">
        <v>291</v>
      </c>
      <c r="P40" s="65" t="s">
        <v>21</v>
      </c>
      <c r="Q40" s="205">
        <f>INDEX(LINEST($P$4:$P$12,$M$4:$M$12),2)</f>
        <v>-31591.882963333705</v>
      </c>
      <c r="R40" s="67">
        <f>INDEX(LINEST($P$4:$P$12,$M$4:$M$12),1)</f>
        <v>14301.939317352539</v>
      </c>
      <c r="S40" s="30"/>
      <c r="T40" s="31" t="s">
        <v>267</v>
      </c>
      <c r="AI40" s="5"/>
      <c r="AW40" s="151"/>
      <c r="AX40" s="164"/>
    </row>
    <row r="41" spans="1:50" ht="15" thickBot="1" x14ac:dyDescent="0.35">
      <c r="A41" s="10" t="s">
        <v>249</v>
      </c>
      <c r="B41" s="197" t="s">
        <v>250</v>
      </c>
      <c r="C41" s="202">
        <v>1.2250000000000001</v>
      </c>
      <c r="D41" t="s">
        <v>161</v>
      </c>
      <c r="E41" t="s">
        <v>169</v>
      </c>
      <c r="G41" s="6"/>
      <c r="I41" s="241">
        <v>25</v>
      </c>
      <c r="J41" s="253">
        <f t="shared" si="36"/>
        <v>41.032139870428352</v>
      </c>
      <c r="K41" s="243">
        <v>0.28899999999999998</v>
      </c>
      <c r="L41" s="61"/>
      <c r="M41" s="250"/>
      <c r="P41" s="65" t="s">
        <v>122</v>
      </c>
      <c r="Q41" s="205">
        <f>INDEX(LINEST($Q$4:$Q$12,$P$4:$P$12),2)</f>
        <v>-7521.4986270648442</v>
      </c>
      <c r="R41" s="69">
        <f>INDEX(LINEST($Q$4:$Q$12,$P$4:$P$12),1)</f>
        <v>1.0091940862132847</v>
      </c>
      <c r="S41" s="30"/>
      <c r="T41" s="31" t="s">
        <v>267</v>
      </c>
      <c r="AI41" s="5"/>
    </row>
    <row r="42" spans="1:50" ht="15" thickBot="1" x14ac:dyDescent="0.35">
      <c r="C42" s="198"/>
      <c r="D42"/>
      <c r="E42"/>
      <c r="G42" s="6"/>
      <c r="I42" s="241">
        <v>16</v>
      </c>
      <c r="J42" s="253">
        <f t="shared" si="36"/>
        <v>32.156526314333505</v>
      </c>
      <c r="K42" s="243">
        <v>0.436</v>
      </c>
      <c r="L42" s="61"/>
      <c r="M42" s="250"/>
      <c r="P42" s="65" t="s">
        <v>123</v>
      </c>
      <c r="Q42" s="205">
        <f>INDEX(LINEST($P$4:$P$12,$Q$4:$Q$12),2)</f>
        <v>7546.8247004919795</v>
      </c>
      <c r="R42" s="69">
        <f>INDEX(LINEST($P$4:$P$12,$Q$4:$Q$12),1)</f>
        <v>0.98617928401053878</v>
      </c>
      <c r="S42" s="30"/>
      <c r="T42" s="31" t="s">
        <v>267</v>
      </c>
      <c r="AI42" s="5"/>
    </row>
    <row r="43" spans="1:50" ht="15" thickBot="1" x14ac:dyDescent="0.35">
      <c r="A43" s="188" t="s">
        <v>251</v>
      </c>
      <c r="B43" s="193" t="s">
        <v>252</v>
      </c>
      <c r="C43" s="199">
        <v>0</v>
      </c>
      <c r="D43" s="30" t="s">
        <v>258</v>
      </c>
      <c r="E43"/>
      <c r="F43" s="6"/>
      <c r="I43" s="254">
        <f>(K43-K41)/(K42-K41)*(I42-I41)+I41</f>
        <v>12.081632653061224</v>
      </c>
      <c r="J43" s="257">
        <f t="shared" si="36"/>
        <v>28.292313609639148</v>
      </c>
      <c r="K43" s="246">
        <v>0.5</v>
      </c>
      <c r="L43" s="255"/>
      <c r="M43" s="256"/>
      <c r="P43" s="65" t="s">
        <v>180</v>
      </c>
      <c r="Q43" s="206">
        <f>AG8</f>
        <v>-1.0396896822678605</v>
      </c>
      <c r="R43" s="30"/>
      <c r="S43" s="30"/>
      <c r="T43" s="31" t="s">
        <v>261</v>
      </c>
      <c r="U43" s="5"/>
      <c r="AI43" s="5"/>
      <c r="AJ43" s="5"/>
      <c r="AK43" s="151"/>
    </row>
    <row r="44" spans="1:50" x14ac:dyDescent="0.3">
      <c r="A44" s="30"/>
      <c r="B44" s="57" t="s">
        <v>253</v>
      </c>
      <c r="C44" s="203">
        <v>5</v>
      </c>
      <c r="D44" s="45" t="s">
        <v>258</v>
      </c>
      <c r="E44"/>
      <c r="F44" s="6"/>
      <c r="P44" s="65" t="s">
        <v>182</v>
      </c>
      <c r="Q44" s="207">
        <f>AF8</f>
        <v>3.1300676739119901</v>
      </c>
      <c r="R44" s="30"/>
      <c r="S44" s="30"/>
      <c r="T44" s="31" t="s">
        <v>261</v>
      </c>
      <c r="AI44" s="5"/>
      <c r="AJ44" s="5"/>
      <c r="AK44" s="151"/>
      <c r="AX44" s="164"/>
    </row>
    <row r="45" spans="1:50" ht="15" thickBot="1" x14ac:dyDescent="0.35">
      <c r="A45" s="188"/>
      <c r="B45" s="57" t="s">
        <v>252</v>
      </c>
      <c r="C45" s="203">
        <v>0</v>
      </c>
      <c r="D45" s="45" t="s">
        <v>254</v>
      </c>
      <c r="E45"/>
      <c r="H45" s="6"/>
      <c r="I45" s="6"/>
      <c r="J45" s="6"/>
      <c r="K45" s="9"/>
      <c r="L45" s="6"/>
      <c r="M45" s="6"/>
      <c r="N45" s="10"/>
      <c r="O45" s="10"/>
      <c r="P45" s="218" t="s">
        <v>211</v>
      </c>
      <c r="Q45" s="219">
        <v>5</v>
      </c>
      <c r="R45" s="32"/>
      <c r="S45" s="32"/>
      <c r="T45" s="33" t="s">
        <v>263</v>
      </c>
      <c r="W45" s="45"/>
      <c r="X45" s="195"/>
      <c r="Y45" s="45"/>
      <c r="AI45" s="5"/>
      <c r="AJ45" s="5"/>
      <c r="AK45" s="151"/>
    </row>
    <row r="46" spans="1:50" ht="15" thickBot="1" x14ac:dyDescent="0.35">
      <c r="A46" s="188"/>
      <c r="B46" s="131" t="s">
        <v>253</v>
      </c>
      <c r="C46" s="200">
        <v>180</v>
      </c>
      <c r="D46" s="45" t="s">
        <v>254</v>
      </c>
      <c r="E46"/>
      <c r="H46" s="6"/>
      <c r="I46" s="212" t="s">
        <v>92</v>
      </c>
      <c r="J46" s="211">
        <f>INDEX(LINEST($Y$3:$Y$12,$P$3:$P$12^{1,2}),3)</f>
        <v>-2.2544327284355296E-3</v>
      </c>
      <c r="K46" s="180">
        <f>INDEX(LINEST($Y$3:$Y$12,$P$3:$P$12^{1,2}),2)</f>
        <v>1.6619413916043592E-7</v>
      </c>
      <c r="L46" s="180">
        <f>INDEX(LINEST($Y$3:$Y$12,$P$3:$P$12^{1,2}),1)</f>
        <v>9.1946900420742566E-12</v>
      </c>
      <c r="M46" s="44" t="s">
        <v>268</v>
      </c>
      <c r="N46" s="10"/>
      <c r="O46" s="10"/>
      <c r="U46" s="10"/>
      <c r="V46" s="3"/>
      <c r="W46" s="45"/>
      <c r="X46" s="61"/>
      <c r="Y46" s="45"/>
      <c r="AX46" s="164"/>
    </row>
    <row r="47" spans="1:50" ht="15" thickBot="1" x14ac:dyDescent="0.35">
      <c r="Q47" s="61"/>
      <c r="R47" s="213"/>
      <c r="T47" s="213"/>
      <c r="U47" s="188"/>
      <c r="V47" s="30"/>
    </row>
    <row r="48" spans="1:50" ht="15" thickBot="1" x14ac:dyDescent="0.35">
      <c r="A48" s="3" t="s">
        <v>244</v>
      </c>
      <c r="B48" s="209">
        <v>1.25</v>
      </c>
      <c r="C48" s="45" t="s">
        <v>245</v>
      </c>
      <c r="D48" s="5"/>
      <c r="E48" s="192">
        <f>C29</f>
        <v>240</v>
      </c>
      <c r="F48" s="192" t="s">
        <v>156</v>
      </c>
      <c r="I48" s="176" t="s">
        <v>283</v>
      </c>
      <c r="M48" s="237" t="s">
        <v>282</v>
      </c>
      <c r="N48" s="142"/>
      <c r="Q48" s="61"/>
      <c r="R48" s="213"/>
      <c r="T48" s="213"/>
      <c r="U48" s="188"/>
      <c r="V48" s="30"/>
      <c r="W48" s="194"/>
      <c r="X48" s="45"/>
      <c r="Y48" s="45"/>
    </row>
    <row r="49" spans="8:45" x14ac:dyDescent="0.3">
      <c r="I49" s="238" t="s">
        <v>277</v>
      </c>
      <c r="J49" s="236" t="s">
        <v>100</v>
      </c>
      <c r="K49" s="239" t="s">
        <v>278</v>
      </c>
      <c r="L49" s="239" t="s">
        <v>279</v>
      </c>
      <c r="M49" s="239" t="s">
        <v>280</v>
      </c>
      <c r="N49" s="240" t="s">
        <v>281</v>
      </c>
      <c r="P49" s="235" t="s">
        <v>286</v>
      </c>
      <c r="Q49" s="260">
        <v>0</v>
      </c>
      <c r="R49" s="258">
        <f ca="1">J54</f>
        <v>21.632653061224492</v>
      </c>
      <c r="S49" s="258">
        <f ca="1">J53</f>
        <v>37.523560209424083</v>
      </c>
      <c r="T49" s="258">
        <f ca="1">J52</f>
        <v>51.309090909090905</v>
      </c>
      <c r="U49" s="259">
        <f ca="1">J51</f>
        <v>67.854545454545445</v>
      </c>
      <c r="V49" s="261">
        <v>80</v>
      </c>
      <c r="W49" s="45"/>
      <c r="X49" s="45"/>
      <c r="Y49" s="45"/>
    </row>
    <row r="50" spans="8:45" x14ac:dyDescent="0.3">
      <c r="I50" s="241">
        <v>0</v>
      </c>
      <c r="J50" s="253">
        <f t="shared" ref="J50:J55" ca="1" si="37">FORECAST(I50,OFFSET(MeasNt,MATCH(I50,MeasTauT,1)-1,0,2),OFFSET(MeasTauT,MATCH(I50,MeasTauT,1)-1,0,2))</f>
        <v>72.945454545454538</v>
      </c>
      <c r="K50" s="58">
        <v>0.2</v>
      </c>
      <c r="L50" s="58">
        <v>4.4000000000000004</v>
      </c>
      <c r="M50" s="58">
        <v>0.09</v>
      </c>
      <c r="N50" s="25">
        <v>5</v>
      </c>
      <c r="P50" s="273" t="s">
        <v>278</v>
      </c>
      <c r="Q50" s="274">
        <f>K55</f>
        <v>0.47499999999999998</v>
      </c>
      <c r="R50" s="274">
        <f>K54</f>
        <v>0.47499999999999998</v>
      </c>
      <c r="S50" s="274">
        <f>K53</f>
        <v>0.32500000000000001</v>
      </c>
      <c r="T50" s="274">
        <f>K52</f>
        <v>0.22500000000000001</v>
      </c>
      <c r="U50" s="275">
        <f>K51</f>
        <v>0.2</v>
      </c>
      <c r="V50" s="276">
        <f>K50</f>
        <v>0.2</v>
      </c>
      <c r="W50" s="45" t="s">
        <v>287</v>
      </c>
      <c r="X50" s="45"/>
      <c r="Y50" s="45"/>
      <c r="AJ50" s="104"/>
      <c r="AR50" s="3"/>
    </row>
    <row r="51" spans="8:45" x14ac:dyDescent="0.3">
      <c r="I51" s="241">
        <v>0.02</v>
      </c>
      <c r="J51" s="253">
        <f t="shared" ca="1" si="37"/>
        <v>67.854545454545445</v>
      </c>
      <c r="K51" s="58">
        <v>0.2</v>
      </c>
      <c r="L51" s="58">
        <v>3.75</v>
      </c>
      <c r="M51" s="58">
        <v>0.09</v>
      </c>
      <c r="N51" s="25">
        <v>5</v>
      </c>
      <c r="P51" s="273" t="s">
        <v>279</v>
      </c>
      <c r="Q51" s="277">
        <f>L55</f>
        <v>2.4</v>
      </c>
      <c r="R51" s="277">
        <f>L54</f>
        <v>2.4</v>
      </c>
      <c r="S51" s="277">
        <f>L53</f>
        <v>2.7</v>
      </c>
      <c r="T51" s="277">
        <f>L52</f>
        <v>3.2</v>
      </c>
      <c r="U51" s="278">
        <f>L51</f>
        <v>3.75</v>
      </c>
      <c r="V51" s="279">
        <f>L50</f>
        <v>4.4000000000000004</v>
      </c>
      <c r="W51" s="45"/>
      <c r="X51" s="45"/>
      <c r="Y51" s="45"/>
      <c r="AS51" s="3"/>
    </row>
    <row r="52" spans="8:45" x14ac:dyDescent="0.3">
      <c r="I52" s="241">
        <v>8.5000000000000006E-2</v>
      </c>
      <c r="J52" s="253">
        <f t="shared" ca="1" si="37"/>
        <v>51.309090909090905</v>
      </c>
      <c r="K52" s="58">
        <v>0.22500000000000001</v>
      </c>
      <c r="L52" s="58">
        <v>3.2</v>
      </c>
      <c r="M52" s="243">
        <v>0.125</v>
      </c>
      <c r="N52" s="244">
        <v>4.05</v>
      </c>
      <c r="P52" s="273" t="s">
        <v>284</v>
      </c>
      <c r="Q52" s="280">
        <v>0.15</v>
      </c>
      <c r="R52" s="280"/>
      <c r="S52" s="280"/>
      <c r="T52" s="280"/>
      <c r="U52" s="281"/>
      <c r="V52" s="282"/>
      <c r="W52" s="45"/>
      <c r="X52" s="45"/>
      <c r="Y52" s="45"/>
    </row>
    <row r="53" spans="8:45" x14ac:dyDescent="0.3">
      <c r="I53" s="241">
        <v>0.185</v>
      </c>
      <c r="J53" s="253">
        <f t="shared" ca="1" si="37"/>
        <v>37.523560209424083</v>
      </c>
      <c r="K53" s="58">
        <v>0.32500000000000001</v>
      </c>
      <c r="L53" s="58">
        <v>2.7</v>
      </c>
      <c r="M53" s="58">
        <v>0.24</v>
      </c>
      <c r="N53" s="25">
        <v>3.75</v>
      </c>
      <c r="P53" s="273" t="s">
        <v>285</v>
      </c>
      <c r="Q53" s="280">
        <v>0.03</v>
      </c>
      <c r="R53" s="280"/>
      <c r="S53" s="280"/>
      <c r="T53" s="280"/>
      <c r="U53" s="281"/>
      <c r="V53" s="282"/>
      <c r="W53" s="45"/>
      <c r="X53" s="196"/>
      <c r="Y53" s="45"/>
    </row>
    <row r="54" spans="8:45" x14ac:dyDescent="0.3">
      <c r="I54" s="241">
        <v>0.34399999999999997</v>
      </c>
      <c r="J54" s="253">
        <f t="shared" ca="1" si="37"/>
        <v>21.632653061224492</v>
      </c>
      <c r="K54" s="58">
        <v>0.47499999999999998</v>
      </c>
      <c r="L54" s="58">
        <v>2.4</v>
      </c>
      <c r="M54" s="58">
        <v>0.42</v>
      </c>
      <c r="N54" s="25">
        <v>3.6</v>
      </c>
      <c r="P54" s="273" t="s">
        <v>280</v>
      </c>
      <c r="Q54" s="274">
        <f>M55</f>
        <v>0.42</v>
      </c>
      <c r="R54" s="274">
        <f>M54</f>
        <v>0.42</v>
      </c>
      <c r="S54" s="274">
        <f>M53</f>
        <v>0.24</v>
      </c>
      <c r="T54" s="274">
        <f>M52</f>
        <v>0.125</v>
      </c>
      <c r="U54" s="275">
        <f>M51</f>
        <v>0.09</v>
      </c>
      <c r="V54" s="276">
        <f>M50</f>
        <v>0.09</v>
      </c>
      <c r="W54" s="45" t="s">
        <v>288</v>
      </c>
      <c r="X54" s="196"/>
      <c r="Y54" s="45"/>
    </row>
    <row r="55" spans="8:45" ht="15" thickBot="1" x14ac:dyDescent="0.35">
      <c r="I55" s="245">
        <v>0.5</v>
      </c>
      <c r="J55" s="257">
        <f t="shared" ca="1" si="37"/>
        <v>12.081632653061224</v>
      </c>
      <c r="K55" s="247">
        <v>0.47499999999999998</v>
      </c>
      <c r="L55" s="247">
        <v>2.4</v>
      </c>
      <c r="M55" s="247">
        <v>0.42</v>
      </c>
      <c r="N55" s="27">
        <v>3.6</v>
      </c>
      <c r="P55" s="283" t="s">
        <v>281</v>
      </c>
      <c r="Q55" s="284">
        <f>N55</f>
        <v>3.6</v>
      </c>
      <c r="R55" s="284">
        <f>N54</f>
        <v>3.6</v>
      </c>
      <c r="S55" s="284">
        <f>N53</f>
        <v>3.75</v>
      </c>
      <c r="T55" s="284">
        <f>N52</f>
        <v>4.05</v>
      </c>
      <c r="U55" s="285">
        <f>N51</f>
        <v>5</v>
      </c>
      <c r="V55" s="286">
        <f>N50</f>
        <v>5</v>
      </c>
      <c r="W55" s="45"/>
      <c r="X55" s="196"/>
      <c r="Y55" s="45"/>
    </row>
    <row r="56" spans="8:45" x14ac:dyDescent="0.3">
      <c r="V56" s="45"/>
      <c r="W56" s="45"/>
      <c r="X56" s="196"/>
      <c r="Y56" s="45"/>
    </row>
    <row r="57" spans="8:45" x14ac:dyDescent="0.3">
      <c r="W57" s="45"/>
      <c r="X57" s="196"/>
      <c r="Y57" s="45"/>
    </row>
    <row r="58" spans="8:45" x14ac:dyDescent="0.3">
      <c r="W58" s="45"/>
      <c r="X58" s="149"/>
      <c r="Y58" s="45"/>
    </row>
    <row r="59" spans="8:45" x14ac:dyDescent="0.3">
      <c r="W59" s="45"/>
      <c r="X59" s="149"/>
      <c r="Y59" s="45"/>
    </row>
    <row r="60" spans="8:45" x14ac:dyDescent="0.3">
      <c r="W60" s="45"/>
      <c r="X60" s="149"/>
      <c r="Y60" s="45"/>
    </row>
    <row r="61" spans="8:45" x14ac:dyDescent="0.3">
      <c r="H61" s="176"/>
    </row>
    <row r="63" spans="8:45" x14ac:dyDescent="0.3">
      <c r="V63" s="45"/>
      <c r="W63" s="45"/>
      <c r="X63" s="45"/>
      <c r="Y63" s="45"/>
      <c r="Z63" s="45"/>
      <c r="AA63" s="45"/>
      <c r="AB63" s="45"/>
      <c r="AC63" s="45"/>
      <c r="AD63" s="45"/>
      <c r="AG63" s="45"/>
      <c r="AH63" s="149"/>
    </row>
    <row r="64" spans="8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</row>
    <row r="67" spans="1:36" x14ac:dyDescent="0.3">
      <c r="A67" s="45"/>
      <c r="B67" s="45"/>
      <c r="C67" s="45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190"/>
      <c r="J69" s="61"/>
      <c r="K69" s="187"/>
      <c r="L69" s="61"/>
      <c r="M69" s="61"/>
      <c r="N69" s="188"/>
      <c r="O69" s="188"/>
      <c r="P69" s="188"/>
      <c r="Q69" s="188"/>
      <c r="R69" s="188"/>
      <c r="S69" s="188"/>
      <c r="T69" s="188"/>
      <c r="U69" s="189"/>
      <c r="V69" s="189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104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149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61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186"/>
      <c r="Y75" s="186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V76" s="45"/>
      <c r="W76" s="45"/>
      <c r="X76" s="45"/>
      <c r="Y76" s="45"/>
      <c r="Z76" s="45"/>
      <c r="AA76" s="45"/>
      <c r="AB76" s="45"/>
      <c r="AC76" s="45"/>
      <c r="AD76" s="45"/>
    </row>
    <row r="91" spans="1:36" x14ac:dyDescent="0.3">
      <c r="A91" s="45"/>
      <c r="B91" s="45"/>
      <c r="C91" s="45"/>
      <c r="D91" s="61"/>
      <c r="E91" s="61"/>
      <c r="F91" s="61"/>
      <c r="G91" s="61"/>
      <c r="H91" s="61"/>
      <c r="I91" s="61"/>
      <c r="J91" s="61"/>
      <c r="K91" s="187"/>
      <c r="L91" s="61"/>
      <c r="M91" s="61"/>
      <c r="N91" s="188"/>
      <c r="O91" s="188"/>
      <c r="P91" s="188"/>
      <c r="Q91" s="188"/>
      <c r="R91" s="188"/>
      <c r="S91" s="188"/>
      <c r="T91" s="188"/>
      <c r="U91" s="189"/>
      <c r="V91" s="189"/>
      <c r="W91" s="45"/>
      <c r="X91" s="186"/>
      <c r="Y91" s="186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190"/>
      <c r="J105" s="61"/>
      <c r="K105" s="187"/>
      <c r="L105" s="61"/>
      <c r="M105" s="61"/>
      <c r="N105" s="188"/>
      <c r="O105" s="188"/>
      <c r="P105" s="188"/>
      <c r="Q105" s="188"/>
      <c r="R105" s="188"/>
      <c r="S105" s="188"/>
      <c r="T105" s="188"/>
      <c r="U105" s="189"/>
      <c r="V105" s="189"/>
      <c r="W105" s="45"/>
      <c r="X105" s="186"/>
      <c r="Y105" s="186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61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45"/>
      <c r="V120" s="45"/>
      <c r="W120" s="45"/>
      <c r="X120" s="186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A7" zoomScale="70" zoomScaleNormal="70" workbookViewId="0">
      <selection activeCell="Q20" sqref="Q20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2.332031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12.88671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10.66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  <col min="52" max="52" width="9.44140625" bestFit="1" customWidth="1"/>
    <col min="53" max="53" width="7.33203125" customWidth="1"/>
    <col min="54" max="54" width="16.88671875" bestFit="1" customWidth="1"/>
    <col min="55" max="57" width="13.44140625" bestFit="1" customWidth="1"/>
    <col min="58" max="58" width="14.33203125" bestFit="1" customWidth="1"/>
    <col min="59" max="59" width="13.88671875" bestFit="1" customWidth="1"/>
    <col min="60" max="60" width="14.33203125" bestFit="1" customWidth="1"/>
    <col min="61" max="61" width="13.88671875" bestFit="1" customWidth="1"/>
    <col min="62" max="62" width="13.44140625" bestFit="1" customWidth="1"/>
    <col min="63" max="64" width="13.88671875" bestFit="1" customWidth="1"/>
    <col min="65" max="65" width="13.441406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1.0484842824146261</v>
      </c>
      <c r="D2" s="262">
        <f>EXP((0-$Q$42)/$R$42)</f>
        <v>8.7271708346327035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8.7271708346327035</v>
      </c>
      <c r="M2" s="234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0.24242141207313064</v>
      </c>
      <c r="AI2" s="228">
        <f t="shared" ref="AI2:AI14" si="15">AH2/$Q$24*$Q$32</f>
        <v>8.7271708346327035</v>
      </c>
      <c r="AJ2" s="229">
        <f t="shared" ref="AJ2:AJ14" si="16">MAX(($Q$42+$R$42*LN($AI2)),0)</f>
        <v>3.637978807091713E-12</v>
      </c>
      <c r="AK2" s="229">
        <f t="shared" ref="AK2:AK14" si="17">MAX(($Q$42+$R$42*LN(AI2))/$Q$31,0)</f>
        <v>7.8949192862233357E-15</v>
      </c>
      <c r="AL2" s="229">
        <f t="shared" ref="AL2:AL14" si="18">($Q$43+$R$43*AK2*$Q$31)/$Q$31</f>
        <v>-15.642895125478793</v>
      </c>
      <c r="AM2" s="229">
        <f t="shared" ref="AM2:AM14" si="19">($Q$44+$R$44*AL2*$Q$31)/$Q$31</f>
        <v>7.8112427403221024E-2</v>
      </c>
      <c r="AN2" s="1"/>
      <c r="AO2" s="1">
        <f t="shared" ref="AO2:AO14" si="20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232">
        <f t="shared" ref="AT4:AT14" si="32">$Q$45*$Q$28*$Q$37^2*$Q$34*PI()/240*($AC4-$Q$47)/$Q$46*$Q$35</f>
        <v>-2.4892694785652227E-8</v>
      </c>
      <c r="AU4" s="165">
        <f t="shared" ref="AU4:AU5" si="33">-$Q$36/AT4</f>
        <v>1.5035261480154642</v>
      </c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>
        <f t="shared" si="32"/>
        <v>-7.718033804874377E-8</v>
      </c>
      <c r="AU5" s="165">
        <f t="shared" si="33"/>
        <v>0.48492684083813109</v>
      </c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si="32"/>
        <v>-1.1137431073219437E-7</v>
      </c>
      <c r="AU6" s="165">
        <f t="shared" ref="AU6:AU14" si="34">-$Q$36/AT6</f>
        <v>0.33604533450080026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-1.8769976975472293E-7</v>
      </c>
      <c r="AU7" s="165">
        <f t="shared" si="34"/>
        <v>0.19939724781604101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-2.8335035185837123E-7</v>
      </c>
      <c r="AU8" s="165">
        <f t="shared" si="34"/>
        <v>0.13208671617779957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5">
        <f t="shared" si="23"/>
        <v>3.0412714278435651</v>
      </c>
      <c r="AG9" s="151">
        <f>$M$42/($Q$28*$Q$37*$Q$34*($AC9-$Q$47)^2/4/$AF9)/(PI()*$Q$37/60/($AC9-$Q$47))</f>
        <v>-1.1274772604941929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-3.9590420031215084E-7</v>
      </c>
      <c r="AU9" s="165">
        <f t="shared" si="34"/>
        <v>9.4535035180953214E-2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-5.2851652133735734E-7</v>
      </c>
      <c r="AU10" s="165">
        <f t="shared" si="34"/>
        <v>7.0814848720512219E-2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3">
        <f t="shared" si="23"/>
        <v>2.8363274291711398</v>
      </c>
      <c r="AG11" s="159">
        <f>$M$42/($Q$28*$Q$37*$Q$34*($AC11-$Q$47)^2/4/$AF11)/(PI()*$Q$37/60/($AC11-$Q$47))</f>
        <v>-0.75615431600062422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-5.5053970857196504E-7</v>
      </c>
      <c r="AU11" s="165">
        <f t="shared" si="34"/>
        <v>6.7982049109367726E-2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-6.247798188578991E-7</v>
      </c>
      <c r="AU12" s="165">
        <f t="shared" si="34"/>
        <v>5.990401158157245E-2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-7.6550521145609418E-7</v>
      </c>
      <c r="AU13" s="165">
        <f t="shared" si="34"/>
        <v>4.8891656052354585E-2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-9.3023606076218221E-7</v>
      </c>
      <c r="AU14" s="165">
        <f t="shared" si="34"/>
        <v>4.0233677325012464E-2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65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65" ht="13.95" customHeight="1" x14ac:dyDescent="0.3">
      <c r="A18">
        <v>2</v>
      </c>
      <c r="C18" t="s">
        <v>237</v>
      </c>
      <c r="I18" s="3"/>
      <c r="J18" s="13" t="s">
        <v>276</v>
      </c>
      <c r="K18" s="14"/>
      <c r="L18" s="14"/>
      <c r="AE18" s="149"/>
      <c r="AF18" s="30"/>
    </row>
    <row r="19" spans="1:65" ht="13.95" customHeight="1" x14ac:dyDescent="0.3">
      <c r="A19">
        <v>3</v>
      </c>
      <c r="C19" t="s">
        <v>239</v>
      </c>
      <c r="I19" s="3"/>
      <c r="J19" s="15" t="s">
        <v>274</v>
      </c>
      <c r="K19" s="16"/>
      <c r="L19" s="16"/>
      <c r="AE19" s="149"/>
      <c r="AF19" s="30"/>
    </row>
    <row r="20" spans="1:65" ht="13.95" customHeight="1" x14ac:dyDescent="0.3">
      <c r="A20">
        <v>4</v>
      </c>
      <c r="C20" t="s">
        <v>238</v>
      </c>
      <c r="J20" s="288" t="s">
        <v>297</v>
      </c>
      <c r="K20" s="287"/>
      <c r="L20" s="287"/>
      <c r="M20" s="287"/>
      <c r="N20" s="287"/>
      <c r="O20" s="289"/>
      <c r="AE20" s="149"/>
      <c r="AF20" s="30"/>
      <c r="AN20" s="45"/>
    </row>
    <row r="21" spans="1:65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65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65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65" ht="13.95" customHeight="1" x14ac:dyDescent="0.3">
      <c r="A24" s="45">
        <v>8</v>
      </c>
      <c r="B24" s="45"/>
      <c r="C24" s="45" t="s">
        <v>275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65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65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65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  <c r="AY27" t="s">
        <v>326</v>
      </c>
      <c r="AZ27">
        <v>-25454</v>
      </c>
      <c r="BA27">
        <v>13061</v>
      </c>
    </row>
    <row r="28" spans="1:65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65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65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65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65" ht="15" thickBot="1" x14ac:dyDescent="0.35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  <c r="AY32" t="s">
        <v>342</v>
      </c>
      <c r="AZ32" s="262">
        <v>7.0220000000000002</v>
      </c>
      <c r="BA32" s="73">
        <v>14</v>
      </c>
      <c r="BB32" s="73">
        <v>18</v>
      </c>
      <c r="BC32" s="73">
        <v>24</v>
      </c>
      <c r="BD32" s="73">
        <v>28</v>
      </c>
      <c r="BE32" s="73">
        <v>36</v>
      </c>
      <c r="BF32" s="73">
        <v>52</v>
      </c>
      <c r="BG32" s="73">
        <v>73</v>
      </c>
      <c r="BH32" s="73">
        <v>94</v>
      </c>
      <c r="BI32" s="73">
        <v>99</v>
      </c>
      <c r="BJ32" s="73">
        <v>110</v>
      </c>
      <c r="BK32" s="73">
        <v>132</v>
      </c>
      <c r="BL32" s="80">
        <v>175</v>
      </c>
      <c r="BM32">
        <v>180</v>
      </c>
    </row>
    <row r="33" spans="1:65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  <c r="AZ33" s="174">
        <v>-0.27337168179292348</v>
      </c>
      <c r="BA33" s="174">
        <v>9014.727782104892</v>
      </c>
      <c r="BB33" s="174">
        <v>12297.145529881804</v>
      </c>
      <c r="BC33" s="174">
        <v>16054.56107817452</v>
      </c>
      <c r="BD33" s="174">
        <v>18067.923107398339</v>
      </c>
      <c r="BE33" s="174">
        <v>21350.340855175251</v>
      </c>
      <c r="BF33" s="174">
        <v>26153.194208392022</v>
      </c>
      <c r="BG33" s="174">
        <v>30583.69076083913</v>
      </c>
      <c r="BH33" s="174">
        <v>33885.973151228522</v>
      </c>
      <c r="BI33" s="174">
        <v>34562.860362607877</v>
      </c>
      <c r="BJ33" s="174">
        <v>35938.974057614752</v>
      </c>
      <c r="BK33" s="174">
        <v>38320.275910900586</v>
      </c>
      <c r="BL33" s="174">
        <v>42003.269605415029</v>
      </c>
      <c r="BM33" s="174">
        <v>42371.209429477036</v>
      </c>
    </row>
    <row r="34" spans="1:65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  <c r="AY34" s="262">
        <v>7.0205000000000002</v>
      </c>
      <c r="AZ34">
        <f>(LN($AY34)*$BA$27+$AZ$27)/$Q$31</f>
        <v>-5.9325451777978181E-4</v>
      </c>
      <c r="BA34" s="174">
        <f>AZ34*$Q$31</f>
        <v>-0.27337168179292348</v>
      </c>
      <c r="BB34" s="174">
        <v>-0.27337168179292348</v>
      </c>
    </row>
    <row r="35" spans="1:65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  <c r="AY35" s="73">
        <v>14</v>
      </c>
      <c r="AZ35">
        <f t="shared" ref="AZ35:AZ47" si="35">(LN($AY35)*$BA$27+$AZ$27)/$Q$31</f>
        <v>19.563211332692909</v>
      </c>
      <c r="BA35" s="174">
        <f t="shared" ref="BA35:BA47" si="36">AZ35*$Q$31</f>
        <v>9014.727782104892</v>
      </c>
      <c r="BB35" s="174">
        <v>9014.727782104892</v>
      </c>
    </row>
    <row r="36" spans="1:65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  <c r="AY36" s="73">
        <v>18</v>
      </c>
      <c r="AZ36">
        <f t="shared" si="35"/>
        <v>26.686513736722663</v>
      </c>
      <c r="BA36" s="174">
        <f t="shared" si="36"/>
        <v>12297.145529881804</v>
      </c>
      <c r="BB36" s="174">
        <v>12297.145529881804</v>
      </c>
    </row>
    <row r="37" spans="1:65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  <c r="AY37" s="73">
        <v>24</v>
      </c>
      <c r="AZ37">
        <f t="shared" si="35"/>
        <v>34.840627339788455</v>
      </c>
      <c r="BA37" s="174">
        <f t="shared" si="36"/>
        <v>16054.56107817452</v>
      </c>
      <c r="BB37" s="174">
        <v>16054.56107817452</v>
      </c>
    </row>
    <row r="38" spans="1:65" ht="15" thickBot="1" x14ac:dyDescent="0.35">
      <c r="B38" s="26" t="s">
        <v>17</v>
      </c>
      <c r="C38" s="200">
        <v>5</v>
      </c>
      <c r="I38" s="208" t="s">
        <v>292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  <c r="AY38" s="73">
        <v>28</v>
      </c>
      <c r="AZ38">
        <f t="shared" si="35"/>
        <v>39.20990257681931</v>
      </c>
      <c r="BA38" s="174">
        <f t="shared" si="36"/>
        <v>18067.923107398339</v>
      </c>
      <c r="BB38" s="174">
        <v>18067.923107398339</v>
      </c>
    </row>
    <row r="39" spans="1:65" ht="43.8" thickBot="1" x14ac:dyDescent="0.35">
      <c r="I39" s="193" t="s">
        <v>100</v>
      </c>
      <c r="J39" s="236" t="s">
        <v>294</v>
      </c>
      <c r="K39" s="292" t="s">
        <v>341</v>
      </c>
      <c r="L39" s="263" t="s">
        <v>272</v>
      </c>
      <c r="M39" s="264" t="s">
        <v>273</v>
      </c>
      <c r="P39" s="215"/>
      <c r="Q39" s="213"/>
      <c r="R39" s="213"/>
      <c r="S39" s="213"/>
      <c r="T39" s="216"/>
      <c r="AI39" s="5"/>
      <c r="AY39" s="73">
        <v>36</v>
      </c>
      <c r="AZ39">
        <f t="shared" si="35"/>
        <v>46.333204980849068</v>
      </c>
      <c r="BA39" s="174">
        <f t="shared" si="36"/>
        <v>21350.340855175251</v>
      </c>
      <c r="BB39" s="174">
        <v>21350.340855175251</v>
      </c>
      <c r="BC39" s="45"/>
      <c r="BD39" s="45"/>
      <c r="BE39" s="45"/>
    </row>
    <row r="40" spans="1:65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v>72.5</v>
      </c>
      <c r="J40" s="253">
        <f t="shared" ref="J40:J45" si="37">(I40*$Q$31*$R$44+$Q$44)/$Q$31</f>
        <v>90.170631844457375</v>
      </c>
      <c r="K40" s="242">
        <v>0</v>
      </c>
      <c r="L40" s="213"/>
      <c r="M40" s="216"/>
      <c r="P40" s="226" t="s">
        <v>343</v>
      </c>
      <c r="Q40" s="58"/>
      <c r="R40" s="58"/>
      <c r="S40" s="58"/>
      <c r="T40" s="25"/>
      <c r="AI40" s="5"/>
      <c r="AY40" s="73">
        <v>52</v>
      </c>
      <c r="AZ40">
        <f t="shared" si="35"/>
        <v>56.756063820295182</v>
      </c>
      <c r="BA40" s="174">
        <f t="shared" si="36"/>
        <v>26153.194208392022</v>
      </c>
      <c r="BB40" s="174">
        <v>26153.194208392022</v>
      </c>
      <c r="BC40" s="45"/>
      <c r="BD40" s="195"/>
      <c r="BE40" s="45"/>
    </row>
    <row r="41" spans="1:65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si="37"/>
        <v>79.438383345784871</v>
      </c>
      <c r="K41" s="243">
        <v>3.5000000000000003E-2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  <c r="AY41" s="73">
        <v>73</v>
      </c>
      <c r="AZ41">
        <f t="shared" si="35"/>
        <v>66.370856685848807</v>
      </c>
      <c r="BA41" s="174">
        <f t="shared" si="36"/>
        <v>30583.69076083913</v>
      </c>
      <c r="BB41" s="174">
        <v>30583.69076083913</v>
      </c>
      <c r="BC41" s="45"/>
      <c r="BD41" s="61"/>
      <c r="BE41" s="45"/>
    </row>
    <row r="42" spans="1:65" ht="15" thickBot="1" x14ac:dyDescent="0.35">
      <c r="B42" s="30"/>
      <c r="C42" s="201"/>
      <c r="D42"/>
      <c r="E42"/>
      <c r="H42" s="10"/>
      <c r="I42" s="241">
        <v>47</v>
      </c>
      <c r="J42" s="253">
        <f t="shared" si="37"/>
        <v>64.106599776252708</v>
      </c>
      <c r="K42" s="243">
        <v>8.5000000000000006E-2</v>
      </c>
      <c r="L42" s="251">
        <f>$Q$36/K42</f>
        <v>4.4031550005642732E-7</v>
      </c>
      <c r="M42" s="252">
        <f>-L42/$Q$35</f>
        <v>-5.9689169187649285E-7</v>
      </c>
      <c r="N42" s="266" t="s">
        <v>291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  <c r="AY42" s="73">
        <v>94</v>
      </c>
      <c r="AZ42">
        <f t="shared" si="35"/>
        <v>73.537268123325788</v>
      </c>
      <c r="BA42" s="174">
        <f t="shared" si="36"/>
        <v>33885.973151228522</v>
      </c>
      <c r="BB42" s="174">
        <v>33885.973151228522</v>
      </c>
      <c r="BC42" s="45">
        <f>(32000-BA41)/(BA42-BA41)*(AY42-AY41)+AY41</f>
        <v>82.006647677660041</v>
      </c>
      <c r="BD42" s="61"/>
      <c r="BE42" s="45"/>
    </row>
    <row r="43" spans="1:65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7"/>
        <v>41.619983874272194</v>
      </c>
      <c r="K43" s="243">
        <v>0.28999999999999998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  <c r="AY43" s="73">
        <v>99</v>
      </c>
      <c r="AZ43">
        <f t="shared" si="35"/>
        <v>75.00620738413167</v>
      </c>
      <c r="BA43" s="174">
        <f t="shared" si="36"/>
        <v>34562.860362607877</v>
      </c>
      <c r="BB43" s="174">
        <v>34562.860362607877</v>
      </c>
      <c r="BC43" s="45"/>
      <c r="BD43" s="61"/>
      <c r="BE43" s="45"/>
    </row>
    <row r="44" spans="1:65" ht="15" thickBot="1" x14ac:dyDescent="0.35">
      <c r="C44" s="198"/>
      <c r="D44"/>
      <c r="E44"/>
      <c r="G44" s="6"/>
      <c r="I44" s="241">
        <v>16</v>
      </c>
      <c r="J44" s="253">
        <f t="shared" si="37"/>
        <v>32.420913732552897</v>
      </c>
      <c r="K44" s="243">
        <v>0.44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  <c r="AY44" s="73">
        <v>110</v>
      </c>
      <c r="AZ44">
        <f t="shared" si="35"/>
        <v>77.992565229198675</v>
      </c>
      <c r="BA44" s="174">
        <f t="shared" si="36"/>
        <v>35938.974057614752</v>
      </c>
      <c r="BB44" s="174">
        <v>35938.974057614752</v>
      </c>
      <c r="BC44" s="45"/>
      <c r="BD44" s="61"/>
      <c r="BE44" s="45"/>
    </row>
    <row r="45" spans="1:65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12.4</v>
      </c>
      <c r="J45" s="257">
        <f t="shared" si="37"/>
        <v>28.741285675865178</v>
      </c>
      <c r="K45" s="246">
        <v>0.5</v>
      </c>
      <c r="L45" s="255"/>
      <c r="M45" s="256"/>
      <c r="P45" s="65" t="s">
        <v>180</v>
      </c>
      <c r="Q45" s="293">
        <v>-2</v>
      </c>
      <c r="R45" s="30"/>
      <c r="S45" s="30"/>
      <c r="T45" s="31" t="s">
        <v>261</v>
      </c>
      <c r="U45" s="5"/>
      <c r="AI45" s="5"/>
      <c r="AJ45" s="5"/>
      <c r="AK45" s="151"/>
      <c r="AY45" s="73">
        <v>132</v>
      </c>
      <c r="AZ45">
        <f t="shared" si="35"/>
        <v>83.160320987197451</v>
      </c>
      <c r="BA45" s="174">
        <f t="shared" si="36"/>
        <v>38320.275910900586</v>
      </c>
      <c r="BB45" s="174">
        <v>38320.275910900586</v>
      </c>
      <c r="BC45" s="45"/>
      <c r="BD45" s="61"/>
      <c r="BE45" s="45"/>
    </row>
    <row r="46" spans="1:65" ht="15" thickBot="1" x14ac:dyDescent="0.35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94">
        <v>6</v>
      </c>
      <c r="R46" s="30"/>
      <c r="S46" s="30"/>
      <c r="T46" s="31" t="s">
        <v>261</v>
      </c>
      <c r="AI46" s="5"/>
      <c r="AJ46" s="5"/>
      <c r="AK46" s="151"/>
      <c r="AX46" s="164"/>
      <c r="AY46" s="80">
        <v>175</v>
      </c>
      <c r="AZ46">
        <f t="shared" si="35"/>
        <v>91.152928831195808</v>
      </c>
      <c r="BA46" s="174">
        <f t="shared" si="36"/>
        <v>42003.269605415029</v>
      </c>
      <c r="BB46" s="174">
        <v>42003.269605415029</v>
      </c>
      <c r="BC46" s="45"/>
      <c r="BD46" s="61"/>
      <c r="BE46" s="45"/>
    </row>
    <row r="47" spans="1:65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95">
        <v>4.5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  <c r="AY47">
        <v>180</v>
      </c>
      <c r="AZ47">
        <f t="shared" si="35"/>
        <v>91.951409352163708</v>
      </c>
      <c r="BA47" s="174">
        <f t="shared" si="36"/>
        <v>42371.209429477036</v>
      </c>
      <c r="BB47" s="174">
        <v>42371.209429477036</v>
      </c>
      <c r="BC47" s="45"/>
      <c r="BD47" s="61"/>
      <c r="BE47" s="45"/>
    </row>
    <row r="48" spans="1:65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  <c r="BC48" s="45"/>
      <c r="BD48" s="61"/>
      <c r="BE48" s="45"/>
    </row>
    <row r="49" spans="1:57" ht="15" thickBot="1" x14ac:dyDescent="0.35">
      <c r="Q49" s="61"/>
      <c r="R49" s="213"/>
      <c r="T49" s="213"/>
      <c r="U49" s="188"/>
      <c r="V49" s="30"/>
      <c r="BC49" s="45"/>
      <c r="BD49" s="61"/>
      <c r="BE49" s="45"/>
    </row>
    <row r="50" spans="1:57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283</v>
      </c>
      <c r="M50" s="237" t="s">
        <v>282</v>
      </c>
      <c r="N50" s="142"/>
      <c r="Q50" s="61"/>
      <c r="R50" s="213"/>
      <c r="T50" s="213"/>
      <c r="U50" s="188"/>
      <c r="V50" s="30"/>
      <c r="W50" s="194"/>
      <c r="X50" s="45"/>
      <c r="Y50" s="45"/>
      <c r="BC50" s="45"/>
      <c r="BD50" s="61"/>
      <c r="BE50" s="45"/>
    </row>
    <row r="51" spans="1:57" x14ac:dyDescent="0.3">
      <c r="I51" s="238" t="s">
        <v>277</v>
      </c>
      <c r="J51" s="236" t="s">
        <v>100</v>
      </c>
      <c r="K51" s="239" t="s">
        <v>278</v>
      </c>
      <c r="L51" s="239" t="s">
        <v>279</v>
      </c>
      <c r="M51" s="239" t="s">
        <v>280</v>
      </c>
      <c r="N51" s="240" t="s">
        <v>281</v>
      </c>
      <c r="P51" s="235" t="s">
        <v>286</v>
      </c>
      <c r="Q51" s="260">
        <v>0</v>
      </c>
      <c r="R51" s="258">
        <f ca="1">J56</f>
        <v>21.759999999999998</v>
      </c>
      <c r="S51" s="258">
        <f ca="1">J55</f>
        <v>36.268292682926827</v>
      </c>
      <c r="T51" s="258">
        <f ca="1">J54</f>
        <v>47</v>
      </c>
      <c r="U51" s="259">
        <f ca="1">J53</f>
        <v>66.5</v>
      </c>
      <c r="V51" s="261">
        <v>80</v>
      </c>
      <c r="W51" s="45"/>
      <c r="X51" s="45"/>
      <c r="Y51" s="45"/>
      <c r="BC51" s="45"/>
      <c r="BD51" s="61"/>
      <c r="BE51" s="45"/>
    </row>
    <row r="52" spans="1:57" x14ac:dyDescent="0.3">
      <c r="I52" s="241">
        <v>0</v>
      </c>
      <c r="J52" s="253">
        <f t="shared" ref="J52:J57" ca="1" si="38">FORECAST(I52,OFFSET(MeasNt,MATCH(I52,MeasTauT,1)-1,0,2),OFFSET(MeasTauT,MATCH(I52,MeasTauT,1)-1,0,2))</f>
        <v>72.5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278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287</v>
      </c>
      <c r="X52" s="45"/>
      <c r="Y52" s="45"/>
      <c r="AJ52" s="104"/>
      <c r="AR52" s="3"/>
      <c r="BC52" s="45"/>
      <c r="BD52" s="61"/>
      <c r="BE52" s="45"/>
    </row>
    <row r="53" spans="1:57" x14ac:dyDescent="0.3">
      <c r="I53" s="241">
        <v>0.02</v>
      </c>
      <c r="J53" s="253">
        <f t="shared" ca="1" si="38"/>
        <v>66.5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279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  <c r="BC53" s="45"/>
      <c r="BD53" s="45"/>
      <c r="BE53" s="45"/>
    </row>
    <row r="54" spans="1:57" x14ac:dyDescent="0.3">
      <c r="I54" s="241">
        <v>8.5000000000000006E-2</v>
      </c>
      <c r="J54" s="253">
        <f t="shared" ca="1" si="38"/>
        <v>47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284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  <c r="BC54" s="45"/>
      <c r="BD54" s="45"/>
      <c r="BE54" s="45"/>
    </row>
    <row r="55" spans="1:57" x14ac:dyDescent="0.3">
      <c r="I55" s="241">
        <v>0.185</v>
      </c>
      <c r="J55" s="253">
        <f t="shared" ca="1" si="38"/>
        <v>36.268292682926827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285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57" x14ac:dyDescent="0.3">
      <c r="I56" s="241">
        <v>0.34399999999999997</v>
      </c>
      <c r="J56" s="253">
        <f t="shared" ca="1" si="38"/>
        <v>21.759999999999998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280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288</v>
      </c>
      <c r="X56" s="196"/>
      <c r="Y56" s="45"/>
    </row>
    <row r="57" spans="1:57" ht="15" thickBot="1" x14ac:dyDescent="0.35">
      <c r="I57" s="245">
        <v>0.5</v>
      </c>
      <c r="J57" s="257">
        <f t="shared" ca="1" si="38"/>
        <v>12.399999999999995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281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57" x14ac:dyDescent="0.3">
      <c r="V58" s="45"/>
      <c r="W58" s="45"/>
      <c r="X58" s="196"/>
      <c r="Y58" s="45"/>
    </row>
    <row r="59" spans="1:57" x14ac:dyDescent="0.3">
      <c r="W59" s="45"/>
      <c r="X59" s="196"/>
      <c r="Y59" s="45"/>
    </row>
    <row r="60" spans="1:57" x14ac:dyDescent="0.3">
      <c r="W60" s="45"/>
      <c r="X60" s="149"/>
      <c r="Y60" s="45"/>
    </row>
    <row r="61" spans="1:57" x14ac:dyDescent="0.3">
      <c r="W61" s="45"/>
      <c r="X61" s="149"/>
      <c r="Y61" s="45"/>
    </row>
    <row r="62" spans="1:57" x14ac:dyDescent="0.3">
      <c r="W62" s="45"/>
      <c r="X62" s="149"/>
      <c r="Y62" s="45"/>
    </row>
    <row r="63" spans="1:57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zoomScale="70" zoomScaleNormal="70" workbookViewId="0">
      <pane ySplit="1" topLeftCell="A2" activePane="bottomLeft" state="frozen"/>
      <selection pane="bottomLeft" activeCell="D3" sqref="D3:D19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10" style="1" bestFit="1" customWidth="1"/>
    <col min="11" max="12" width="5.109375" style="1" customWidth="1"/>
    <col min="13" max="13" width="6.6640625" style="1" customWidth="1"/>
    <col min="14" max="14" width="7.88671875" style="1" customWidth="1"/>
    <col min="15" max="15" width="7.33203125" style="1" bestFit="1" customWidth="1"/>
    <col min="16" max="16" width="7.44140625" style="1" customWidth="1"/>
    <col min="17" max="17" width="6.33203125" style="1" customWidth="1"/>
    <col min="18" max="18" width="5.6640625" style="1" customWidth="1"/>
    <col min="19" max="19" width="8" style="1" customWidth="1"/>
    <col min="20" max="21" width="7.6640625" customWidth="1"/>
    <col min="23" max="23" width="9.88671875" bestFit="1" customWidth="1"/>
    <col min="24" max="24" width="10.6640625" customWidth="1"/>
    <col min="25" max="25" width="8.6640625" customWidth="1"/>
    <col min="26" max="26" width="9.6640625" customWidth="1"/>
    <col min="27" max="27" width="7.6640625" customWidth="1"/>
    <col min="28" max="28" width="7.88671875" customWidth="1"/>
    <col min="29" max="29" width="10" customWidth="1"/>
    <col min="30" max="30" width="10.88671875" customWidth="1"/>
    <col min="31" max="31" width="10" customWidth="1"/>
    <col min="32" max="32" width="10.6640625" customWidth="1"/>
    <col min="33" max="33" width="11.88671875" customWidth="1"/>
    <col min="34" max="35" width="11.5546875" customWidth="1"/>
    <col min="36" max="36" width="8.6640625" customWidth="1"/>
    <col min="37" max="37" width="12.5546875" bestFit="1" customWidth="1"/>
    <col min="38" max="38" width="9.6640625" customWidth="1"/>
    <col min="39" max="44" width="12.5546875" bestFit="1" customWidth="1"/>
    <col min="45" max="45" width="13.33203125" bestFit="1" customWidth="1"/>
    <col min="46" max="47" width="12.5546875" bestFit="1" customWidth="1"/>
    <col min="48" max="48" width="10.33203125" customWidth="1"/>
    <col min="49" max="49" width="13.6640625" bestFit="1" customWidth="1"/>
    <col min="50" max="50" width="10.33203125" bestFit="1" customWidth="1"/>
  </cols>
  <sheetData>
    <row r="1" spans="2:50" ht="72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136</v>
      </c>
      <c r="Q1" s="4" t="s">
        <v>26</v>
      </c>
      <c r="R1" s="4" t="s">
        <v>100</v>
      </c>
      <c r="S1" s="4" t="s">
        <v>7</v>
      </c>
      <c r="T1" s="4" t="str">
        <f t="shared" ref="T1:T19" si="0">J1</f>
        <v>Charger Pwr, W</v>
      </c>
      <c r="U1" s="4" t="s">
        <v>170</v>
      </c>
      <c r="V1" s="4" t="s">
        <v>137</v>
      </c>
      <c r="W1" s="4" t="s">
        <v>149</v>
      </c>
      <c r="X1" s="4" t="s">
        <v>46</v>
      </c>
      <c r="Y1" s="4" t="s">
        <v>157</v>
      </c>
      <c r="Z1" s="4" t="s">
        <v>159</v>
      </c>
      <c r="AA1" s="4" t="s">
        <v>171</v>
      </c>
      <c r="AB1" s="4" t="s">
        <v>165</v>
      </c>
      <c r="AC1" s="4" t="s">
        <v>166</v>
      </c>
      <c r="AD1" s="4" t="s">
        <v>167</v>
      </c>
      <c r="AE1" s="4" t="s">
        <v>213</v>
      </c>
      <c r="AF1" s="4" t="s">
        <v>172</v>
      </c>
      <c r="AG1" s="4" t="s">
        <v>66</v>
      </c>
      <c r="AH1" s="4" t="s">
        <v>63</v>
      </c>
      <c r="AI1" s="4" t="s">
        <v>67</v>
      </c>
      <c r="AJ1" s="4" t="s">
        <v>64</v>
      </c>
      <c r="AK1" s="4" t="s">
        <v>107</v>
      </c>
      <c r="AL1" s="4" t="s">
        <v>108</v>
      </c>
      <c r="AM1" s="4" t="s">
        <v>101</v>
      </c>
      <c r="AN1" s="4" t="s">
        <v>102</v>
      </c>
      <c r="AO1" s="4" t="s">
        <v>85</v>
      </c>
      <c r="AP1" s="4" t="s">
        <v>138</v>
      </c>
      <c r="AQ1" s="4" t="s">
        <v>84</v>
      </c>
      <c r="AR1" s="4" t="s">
        <v>81</v>
      </c>
      <c r="AS1" s="4"/>
      <c r="AT1" s="4" t="s">
        <v>105</v>
      </c>
      <c r="AU1" s="4" t="s">
        <v>185</v>
      </c>
      <c r="AW1" s="4" t="s">
        <v>82</v>
      </c>
      <c r="AX1" s="4" t="s">
        <v>83</v>
      </c>
    </row>
    <row r="2" spans="2:50" x14ac:dyDescent="0.3">
      <c r="C2" s="113">
        <f>D2/180+1</f>
        <v>1.0000055555555556</v>
      </c>
      <c r="D2" s="110">
        <v>1E-3</v>
      </c>
      <c r="E2" s="110"/>
      <c r="F2" s="110"/>
      <c r="G2" s="110"/>
      <c r="H2" s="110"/>
      <c r="I2" s="110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95">
        <f t="shared" ref="AG2:AG8" si="5">D2/$AE$31*$AE$26</f>
        <v>2.7777777777777779E-5</v>
      </c>
      <c r="AH2" s="95">
        <f t="shared" ref="AH2:AH8" si="6">AG2/$AE$26*$AE$31</f>
        <v>1E-3</v>
      </c>
      <c r="AI2" s="96">
        <f t="shared" ref="AI2:AI19" si="7">MAX(($AE$34+$AF$34*LN($AH2)),0)</f>
        <v>0</v>
      </c>
      <c r="AJ2" s="96">
        <f>MAX(($AE$34+$AF$34*LN($AH2))/$AE$30,0)</f>
        <v>0</v>
      </c>
      <c r="AK2" s="96">
        <f t="shared" ref="AK2:AK19" si="8">($AE$35+$AF$35*AJ2*$AE$30)/$AE$30</f>
        <v>-10.046183440837153</v>
      </c>
      <c r="AL2" s="96">
        <f t="shared" ref="AL2:AL19" si="9">($AE$36+$AF$36*AK2*$AE$30)/$AE$30</f>
        <v>0.23225272009350995</v>
      </c>
      <c r="AN2">
        <f t="shared" ref="AN2:AN19" si="10">MAX($AE$35+$AF$35*AI2, 0)</f>
        <v>0</v>
      </c>
      <c r="AO2" s="127"/>
      <c r="AP2" s="127"/>
      <c r="AS2" s="127"/>
      <c r="AT2" s="127"/>
    </row>
    <row r="3" spans="2:50" x14ac:dyDescent="0.3">
      <c r="C3" s="113">
        <f>D3/180+1</f>
        <v>1.0559818143006103</v>
      </c>
      <c r="D3" s="111">
        <f>EXP((0-$AE$34)/$AF$34)</f>
        <v>10.076726574109877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127">
        <v>0</v>
      </c>
      <c r="X3" s="127">
        <v>0</v>
      </c>
      <c r="Y3" s="95">
        <f t="shared" ref="Y3:Y17" si="17">$AE$48*(O3/$AE$30/100)^3</f>
        <v>9.76843480821773E-87</v>
      </c>
      <c r="Z3" s="127">
        <f t="shared" ref="Z3:Z13" si="18">SQRT(Y3^3/4/$X$46/$X$47)</f>
        <v>9.469612348787209E-129</v>
      </c>
      <c r="AB3">
        <f t="shared" ref="AB3:AB19" si="19">SQRT(Y3/$AE$40/$AE$41)</f>
        <v>1.9388187636407961E-42</v>
      </c>
      <c r="AC3" s="4">
        <f t="shared" ref="AC3:AC17" si="20">AB3*1/1.6/1000*3600</f>
        <v>4.3623422181917907E-42</v>
      </c>
      <c r="AD3" s="4">
        <f t="shared" ref="AD3:AD19" si="21">P3/60*PI()*$AA$47/1000</f>
        <v>0</v>
      </c>
      <c r="AE3" s="158">
        <f>AD3/AB3</f>
        <v>0</v>
      </c>
      <c r="AG3" s="95">
        <f t="shared" si="5"/>
        <v>0.27990907150305216</v>
      </c>
      <c r="AH3" s="95">
        <f t="shared" si="6"/>
        <v>10.076726574109877</v>
      </c>
      <c r="AI3" s="96">
        <f t="shared" si="7"/>
        <v>0</v>
      </c>
      <c r="AJ3" s="96">
        <f t="shared" ref="AJ3:AJ19" si="22">MAX(($AE$34+$AF$34*LN(AH3))/$AE$30,0)</f>
        <v>0</v>
      </c>
      <c r="AK3" s="96">
        <f t="shared" si="8"/>
        <v>-10.046183440837153</v>
      </c>
      <c r="AL3" s="96">
        <f t="shared" si="9"/>
        <v>0.23225272009350995</v>
      </c>
      <c r="AN3">
        <f t="shared" si="10"/>
        <v>0</v>
      </c>
      <c r="AO3" s="127"/>
      <c r="AP3" s="127"/>
      <c r="AQ3" s="127"/>
      <c r="AS3" s="127"/>
      <c r="AT3" s="127"/>
    </row>
    <row r="4" spans="2:50" ht="15" customHeight="1" x14ac:dyDescent="0.3">
      <c r="C4" s="113">
        <f>D4/180+1</f>
        <v>1.0833333333333333</v>
      </c>
      <c r="D4" s="73">
        <v>15</v>
      </c>
      <c r="E4" s="109"/>
      <c r="F4" s="73">
        <v>13.78</v>
      </c>
      <c r="G4" s="106">
        <v>0.379</v>
      </c>
      <c r="H4" s="73">
        <v>7240</v>
      </c>
      <c r="I4" s="105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3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50">
        <f t="shared" ref="W4:W19" si="24">$V4/$O4*5252</f>
        <v>6.5658566569958454E-4</v>
      </c>
      <c r="X4" s="150">
        <f t="shared" ref="X4:X19" si="25">W4-$W$4</f>
        <v>0</v>
      </c>
      <c r="Y4" s="95">
        <f t="shared" si="17"/>
        <v>2.5740043937568603E-2</v>
      </c>
      <c r="Z4" s="127">
        <f t="shared" si="18"/>
        <v>4.0505001543378952E-2</v>
      </c>
      <c r="AA4" s="97">
        <f>Z4/U4*100</f>
        <v>5.2428229495170688</v>
      </c>
      <c r="AB4">
        <f t="shared" si="19"/>
        <v>3.147236394904541</v>
      </c>
      <c r="AC4" s="4">
        <f t="shared" si="20"/>
        <v>7.0812818885352167</v>
      </c>
      <c r="AD4" s="4">
        <f t="shared" si="21"/>
        <v>1.7278759594743859E-27</v>
      </c>
      <c r="AE4" s="158">
        <f t="shared" ref="AE4:AE19" si="26">AD4/AB4</f>
        <v>5.4901371955149687E-28</v>
      </c>
      <c r="AG4" s="95">
        <f t="shared" si="5"/>
        <v>0.41666666666666663</v>
      </c>
      <c r="AH4" s="95">
        <f t="shared" si="6"/>
        <v>15</v>
      </c>
      <c r="AI4" s="96">
        <f t="shared" si="7"/>
        <v>6193.6380340466058</v>
      </c>
      <c r="AJ4" s="96">
        <f t="shared" si="22"/>
        <v>13.441054761385862</v>
      </c>
      <c r="AK4" s="96">
        <f t="shared" si="8"/>
        <v>3.0962873406135314</v>
      </c>
      <c r="AL4" s="96">
        <f t="shared" si="9"/>
        <v>13.629561535587357</v>
      </c>
      <c r="AN4">
        <f t="shared" si="10"/>
        <v>1426.7692065547162</v>
      </c>
      <c r="AO4" s="127">
        <f t="shared" ref="AO4:AO19" si="27">MAX($AE$37+$AI4*($AF$37+$AI4*$AG$37), 0)</f>
        <v>0</v>
      </c>
      <c r="AP4" s="127">
        <f>AI4*AO4/5252</f>
        <v>0</v>
      </c>
      <c r="AQ4" s="146">
        <f t="shared" ref="AQ4:AQ19" si="28">MAX($AF$37+$AG$37*2*AI4,1E-32)</f>
        <v>5.4627781792346842E-7</v>
      </c>
      <c r="AR4" s="95"/>
      <c r="AS4" s="127"/>
      <c r="AU4" s="95"/>
      <c r="AW4" s="128">
        <f t="shared" ref="AW4:AW19" si="29">$X$37/$X$36</f>
        <v>1.0526315789473683E-4</v>
      </c>
      <c r="AX4" s="96"/>
    </row>
    <row r="5" spans="2:50" ht="15" customHeight="1" x14ac:dyDescent="0.3">
      <c r="C5" s="113">
        <f t="shared" ref="C5:C30" si="30">D5/180+1</f>
        <v>1.0944444444444446</v>
      </c>
      <c r="D5" s="140">
        <v>17</v>
      </c>
      <c r="E5" s="141">
        <v>0.159</v>
      </c>
      <c r="F5" s="73">
        <v>13.82</v>
      </c>
      <c r="G5" s="106">
        <v>0.497</v>
      </c>
      <c r="H5" s="73">
        <v>6400</v>
      </c>
      <c r="I5" s="140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3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58">
        <f t="shared" si="0"/>
        <v>6.8685400000000003</v>
      </c>
      <c r="U5" s="96">
        <f t="shared" si="15"/>
        <v>2.4184999999999999</v>
      </c>
      <c r="V5">
        <f t="shared" si="16"/>
        <v>3.2432617070000001E-3</v>
      </c>
      <c r="W5" s="150">
        <f t="shared" si="24"/>
        <v>1.8169184517508267E-3</v>
      </c>
      <c r="X5" s="150">
        <f t="shared" si="25"/>
        <v>1.1603327860512421E-3</v>
      </c>
      <c r="Y5" s="95">
        <f t="shared" si="17"/>
        <v>3.7263621552344237E-2</v>
      </c>
      <c r="Z5" s="147">
        <f t="shared" si="18"/>
        <v>7.055411002626423E-2</v>
      </c>
      <c r="AA5" s="97">
        <f t="shared" ref="AA5:AA19" si="32">Z5/U5*100</f>
        <v>2.9172673155370781</v>
      </c>
      <c r="AB5">
        <f t="shared" si="19"/>
        <v>3.7867553977359298</v>
      </c>
      <c r="AC5" s="175">
        <f t="shared" si="20"/>
        <v>8.5201996449058424</v>
      </c>
      <c r="AD5" s="175">
        <f t="shared" si="21"/>
        <v>10.600466009045316</v>
      </c>
      <c r="AE5" s="158">
        <f t="shared" si="26"/>
        <v>2.799353244570074</v>
      </c>
      <c r="AF5" s="151"/>
      <c r="AG5" s="95">
        <f t="shared" si="5"/>
        <v>0.47222222222222221</v>
      </c>
      <c r="AH5" s="95">
        <f t="shared" si="6"/>
        <v>17</v>
      </c>
      <c r="AI5" s="96">
        <f t="shared" si="7"/>
        <v>8142.287725194481</v>
      </c>
      <c r="AJ5" s="96">
        <f t="shared" si="22"/>
        <v>17.669895236967189</v>
      </c>
      <c r="AK5" s="96">
        <f t="shared" si="8"/>
        <v>7.2311869728514129</v>
      </c>
      <c r="AL5" s="96">
        <f t="shared" si="9"/>
        <v>17.844638610162221</v>
      </c>
      <c r="AM5" s="97">
        <f t="shared" ref="AM5:AM19" si="33">AN5/$AE$30</f>
        <v>7.2311869728514129</v>
      </c>
      <c r="AN5" s="174">
        <f t="shared" si="10"/>
        <v>3332.1309570899311</v>
      </c>
      <c r="AO5" s="127">
        <f t="shared" si="27"/>
        <v>4.2385969866061413E-7</v>
      </c>
      <c r="AP5" s="127">
        <f t="shared" ref="AP5:AP19" si="34">AI5*AO5/5252</f>
        <v>6.5711873983414897E-7</v>
      </c>
      <c r="AQ5" s="146">
        <f t="shared" si="28"/>
        <v>5.7065996888827122E-7</v>
      </c>
      <c r="AR5" s="95">
        <f>$X$40/AQ5</f>
        <v>6.5585146225885127E-2</v>
      </c>
      <c r="AS5" s="127"/>
      <c r="AT5" s="153">
        <f t="shared" ref="AT5:AT19" si="35">$AE$42*$AE$41*$AE$46^2*$AE$40*PI()/240*($AB5-$AE$47)/$AE$43*$AE$44</f>
        <v>5.1291448900881614E-8</v>
      </c>
      <c r="AU5" s="151" t="str">
        <f>IF(AT5&lt;0,-$AE$45/AT5,"")</f>
        <v/>
      </c>
      <c r="AW5" s="127">
        <f t="shared" si="29"/>
        <v>1.0526315789473683E-4</v>
      </c>
      <c r="AX5" s="96">
        <f t="shared" ref="AX5:AX19" si="36">$X$39/$X$36/$X$34/AQ5</f>
        <v>127.41971906685956</v>
      </c>
    </row>
    <row r="6" spans="2:50" ht="13.95" customHeight="1" x14ac:dyDescent="0.3">
      <c r="C6" s="113">
        <f>D6/180+1</f>
        <v>1.1111111111111112</v>
      </c>
      <c r="D6" s="73">
        <v>20</v>
      </c>
      <c r="E6" s="73">
        <v>0.21099999999999999</v>
      </c>
      <c r="F6" s="73">
        <v>13.8</v>
      </c>
      <c r="G6" s="73">
        <v>0.69399999999999995</v>
      </c>
      <c r="H6" s="73">
        <v>5080</v>
      </c>
      <c r="I6" s="73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3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58">
        <f>J6</f>
        <v>9.5771999999999995</v>
      </c>
      <c r="U6" s="96">
        <f t="shared" si="15"/>
        <v>5.1271599999999991</v>
      </c>
      <c r="V6">
        <f t="shared" si="16"/>
        <v>6.8756343575199991E-3</v>
      </c>
      <c r="W6" s="150">
        <f t="shared" si="24"/>
        <v>3.0573837460021792E-3</v>
      </c>
      <c r="X6" s="150">
        <f t="shared" si="25"/>
        <v>2.4007980803025944E-3</v>
      </c>
      <c r="Y6" s="95">
        <f t="shared" si="17"/>
        <v>7.4513308242844273E-2</v>
      </c>
      <c r="Z6" s="147">
        <f t="shared" si="18"/>
        <v>0.19950119235292085</v>
      </c>
      <c r="AA6" s="97">
        <f>Z6/U6*100</f>
        <v>3.8910662501837443</v>
      </c>
      <c r="AB6">
        <f t="shared" si="19"/>
        <v>5.354780160954121</v>
      </c>
      <c r="AC6" s="175">
        <f>AB6*1/1.6/1000*3600</f>
        <v>12.048255362146772</v>
      </c>
      <c r="AD6" s="175">
        <f t="shared" si="21"/>
        <v>20.185466816289562</v>
      </c>
      <c r="AE6" s="158">
        <f>AD6/AB6</f>
        <v>3.7696163445658417</v>
      </c>
      <c r="AF6" s="151"/>
      <c r="AG6" s="95">
        <f t="shared" si="5"/>
        <v>0.55555555555555558</v>
      </c>
      <c r="AH6" s="95">
        <f t="shared" si="6"/>
        <v>20</v>
      </c>
      <c r="AI6" s="96">
        <f t="shared" si="7"/>
        <v>10672.525096174351</v>
      </c>
      <c r="AJ6" s="96">
        <f t="shared" si="22"/>
        <v>23.16086175385059</v>
      </c>
      <c r="AK6" s="96">
        <f t="shared" si="8"/>
        <v>12.600175366335458</v>
      </c>
      <c r="AL6" s="96">
        <f t="shared" si="9"/>
        <v>23.317733945921322</v>
      </c>
      <c r="AM6" s="97">
        <f t="shared" si="33"/>
        <v>12.600175366335453</v>
      </c>
      <c r="AN6" s="174">
        <f t="shared" si="10"/>
        <v>5806.1608088073772</v>
      </c>
      <c r="AO6" s="127">
        <f t="shared" si="27"/>
        <v>1.4843816451516282E-3</v>
      </c>
      <c r="AP6" s="127">
        <f>AI6*AO6/5252</f>
        <v>3.0163938233399323E-3</v>
      </c>
      <c r="AQ6" s="146">
        <f t="shared" si="28"/>
        <v>6.0231913771490417E-7</v>
      </c>
      <c r="AR6" s="95">
        <f>$X$40/AQ6</f>
        <v>6.2137852114059124E-2</v>
      </c>
      <c r="AS6" s="127"/>
      <c r="AT6" s="153">
        <f>$AE$42*$AE$41*$AE$46^2*$AE$40*PI()/240*($AB6-$AE$47)/$AE$43*$AE$44</f>
        <v>-1.4998779687679272E-8</v>
      </c>
      <c r="AU6" s="151">
        <f t="shared" ref="AU6:AU19" si="37">IF(AT6&lt;0,-$AE$45/AT6,"")</f>
        <v>2.4953241719751733</v>
      </c>
      <c r="AW6" s="127">
        <f t="shared" si="29"/>
        <v>1.0526315789473683E-4</v>
      </c>
      <c r="AX6" s="96">
        <f t="shared" si="36"/>
        <v>120.72226891927805</v>
      </c>
    </row>
    <row r="7" spans="2:50" ht="13.95" customHeight="1" x14ac:dyDescent="0.3">
      <c r="C7" s="113">
        <f t="shared" si="30"/>
        <v>1.1944444444444444</v>
      </c>
      <c r="D7" s="73">
        <v>35</v>
      </c>
      <c r="E7" s="73">
        <v>0.49199999999999999</v>
      </c>
      <c r="F7" s="73">
        <v>13.7</v>
      </c>
      <c r="G7" s="73">
        <v>1.7889999999999999</v>
      </c>
      <c r="H7" s="73">
        <v>3100</v>
      </c>
      <c r="I7" s="73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3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58">
        <f t="shared" si="0"/>
        <v>24.509299999999996</v>
      </c>
      <c r="U7" s="96">
        <f t="shared" si="15"/>
        <v>20.059259999999995</v>
      </c>
      <c r="V7">
        <f t="shared" si="16"/>
        <v>2.6899908963719996E-2</v>
      </c>
      <c r="W7" s="150">
        <f t="shared" si="24"/>
        <v>7.2993799636686327E-3</v>
      </c>
      <c r="X7" s="150">
        <f t="shared" si="25"/>
        <v>6.6427942979690483E-3</v>
      </c>
      <c r="Y7" s="95">
        <f t="shared" si="17"/>
        <v>0.32789885563484727</v>
      </c>
      <c r="Z7" s="147">
        <f t="shared" si="18"/>
        <v>1.8416393194961516</v>
      </c>
      <c r="AA7" s="97">
        <f t="shared" si="32"/>
        <v>9.1809933142905162</v>
      </c>
      <c r="AB7">
        <f t="shared" si="19"/>
        <v>11.232971923189794</v>
      </c>
      <c r="AC7" s="175">
        <f t="shared" si="20"/>
        <v>25.274186827177036</v>
      </c>
      <c r="AD7" s="175">
        <f t="shared" si="21"/>
        <v>39.997128691536716</v>
      </c>
      <c r="AE7" s="158">
        <f t="shared" si="26"/>
        <v>3.560689812547742</v>
      </c>
      <c r="AF7" s="151"/>
      <c r="AG7" s="95">
        <f t="shared" si="5"/>
        <v>0.97222222222222221</v>
      </c>
      <c r="AH7" s="95">
        <f t="shared" si="6"/>
        <v>35</v>
      </c>
      <c r="AI7" s="96">
        <f t="shared" si="7"/>
        <v>19385.114973551928</v>
      </c>
      <c r="AJ7" s="96">
        <f t="shared" si="22"/>
        <v>42.068391869687346</v>
      </c>
      <c r="AK7" s="96">
        <f t="shared" si="8"/>
        <v>31.087687433518074</v>
      </c>
      <c r="AL7" s="96">
        <f t="shared" si="9"/>
        <v>42.163726644934563</v>
      </c>
      <c r="AM7" s="97">
        <f t="shared" si="33"/>
        <v>31.087687433518067</v>
      </c>
      <c r="AN7" s="174">
        <f t="shared" si="10"/>
        <v>14325.206369365125</v>
      </c>
      <c r="AO7" s="127">
        <f t="shared" si="27"/>
        <v>7.2070419454749604E-3</v>
      </c>
      <c r="AP7" s="127">
        <f t="shared" si="34"/>
        <v>2.6601168456253519E-2</v>
      </c>
      <c r="AQ7" s="146">
        <f t="shared" si="28"/>
        <v>7.1133395071574516E-7</v>
      </c>
      <c r="AR7" s="95">
        <f t="shared" ref="AR7:AR19" si="38">$X$40/AQ7</f>
        <v>5.2614974256658793E-2</v>
      </c>
      <c r="AS7" s="127"/>
      <c r="AT7" s="153">
        <f t="shared" si="35"/>
        <v>-2.6350676549668665E-7</v>
      </c>
      <c r="AU7" s="151">
        <f t="shared" si="37"/>
        <v>0.14203361129741821</v>
      </c>
      <c r="AW7" s="127">
        <f t="shared" si="29"/>
        <v>1.0526315789473683E-4</v>
      </c>
      <c r="AX7" s="96">
        <f t="shared" si="36"/>
        <v>102.22109157770704</v>
      </c>
    </row>
    <row r="8" spans="2:50" ht="13.95" customHeight="1" x14ac:dyDescent="0.3">
      <c r="C8" s="113">
        <f t="shared" si="30"/>
        <v>1.3</v>
      </c>
      <c r="D8" s="73">
        <v>54</v>
      </c>
      <c r="E8" s="73">
        <v>0.69099999999999995</v>
      </c>
      <c r="F8" s="73">
        <v>13.15</v>
      </c>
      <c r="G8" s="73">
        <v>3.26</v>
      </c>
      <c r="H8" s="73">
        <v>2420</v>
      </c>
      <c r="I8" s="73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3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58">
        <f t="shared" si="0"/>
        <v>42.869</v>
      </c>
      <c r="U8" s="96">
        <f t="shared" si="15"/>
        <v>38.418959999999998</v>
      </c>
      <c r="V8">
        <f t="shared" si="16"/>
        <v>5.1520670577120002E-2</v>
      </c>
      <c r="W8" s="150">
        <f t="shared" si="24"/>
        <v>1.0913657995465047E-2</v>
      </c>
      <c r="X8" s="150">
        <f t="shared" si="25"/>
        <v>1.0257072329765462E-2</v>
      </c>
      <c r="Y8" s="95">
        <f t="shared" si="17"/>
        <v>0.6892533483335973</v>
      </c>
      <c r="Z8" s="147">
        <f t="shared" si="18"/>
        <v>5.6125865867595603</v>
      </c>
      <c r="AA8" s="97">
        <f t="shared" si="32"/>
        <v>14.608897759750811</v>
      </c>
      <c r="AB8">
        <f t="shared" si="19"/>
        <v>16.285990050912538</v>
      </c>
      <c r="AC8" s="175">
        <f t="shared" si="20"/>
        <v>36.643477614553206</v>
      </c>
      <c r="AD8" s="175">
        <f t="shared" si="21"/>
        <v>57.982414747462627</v>
      </c>
      <c r="AE8" s="158">
        <f t="shared" si="26"/>
        <v>3.5602634267981608</v>
      </c>
      <c r="AF8" s="151"/>
      <c r="AG8" s="95">
        <f t="shared" si="5"/>
        <v>1.5</v>
      </c>
      <c r="AH8" s="95">
        <f t="shared" si="6"/>
        <v>54</v>
      </c>
      <c r="AI8" s="96">
        <f t="shared" si="7"/>
        <v>26136.340681404661</v>
      </c>
      <c r="AJ8" s="96">
        <f t="shared" si="22"/>
        <v>56.719489325964972</v>
      </c>
      <c r="AK8" s="96">
        <f t="shared" si="8"/>
        <v>45.413320626270703</v>
      </c>
      <c r="AL8" s="96">
        <f t="shared" si="9"/>
        <v>56.767139888331641</v>
      </c>
      <c r="AM8" s="97">
        <f t="shared" si="33"/>
        <v>45.413320626270711</v>
      </c>
      <c r="AN8" s="174">
        <f t="shared" si="10"/>
        <v>20926.458144585544</v>
      </c>
      <c r="AO8" s="127">
        <f t="shared" si="27"/>
        <v>1.2294568083529682E-2</v>
      </c>
      <c r="AP8" s="127">
        <f t="shared" si="34"/>
        <v>6.1183362521297822E-2</v>
      </c>
      <c r="AQ8" s="146">
        <f t="shared" si="28"/>
        <v>7.9580752498314336E-7</v>
      </c>
      <c r="AR8" s="95">
        <f t="shared" si="38"/>
        <v>4.7029986937594102E-2</v>
      </c>
      <c r="AS8" s="127"/>
      <c r="AT8" s="153">
        <f t="shared" si="35"/>
        <v>-4.7712949302389988E-7</v>
      </c>
      <c r="AU8" s="151">
        <f t="shared" si="37"/>
        <v>7.8441634927232592E-2</v>
      </c>
      <c r="AW8" s="127">
        <f t="shared" si="29"/>
        <v>1.0526315789473683E-4</v>
      </c>
      <c r="AX8" s="96">
        <f t="shared" si="36"/>
        <v>91.370501830812074</v>
      </c>
    </row>
    <row r="9" spans="2:50" ht="13.95" customHeight="1" x14ac:dyDescent="0.3">
      <c r="B9">
        <v>64</v>
      </c>
      <c r="C9" s="113">
        <f t="shared" si="30"/>
        <v>1.3555555555555556</v>
      </c>
      <c r="D9" s="140">
        <v>64</v>
      </c>
      <c r="E9" s="140">
        <v>0.77700000000000002</v>
      </c>
      <c r="F9" s="73">
        <v>13.37</v>
      </c>
      <c r="G9" s="140">
        <v>4.43</v>
      </c>
      <c r="H9" s="73">
        <v>2140</v>
      </c>
      <c r="I9" s="140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3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58">
        <f t="shared" si="0"/>
        <v>59.229099999999995</v>
      </c>
      <c r="U9" s="96">
        <f t="shared" si="15"/>
        <v>54.779059999999994</v>
      </c>
      <c r="V9">
        <f t="shared" si="16"/>
        <v>7.3459924599319992E-2</v>
      </c>
      <c r="W9" s="150">
        <f t="shared" si="24"/>
        <v>1.3760611022510751E-2</v>
      </c>
      <c r="X9" s="150">
        <f t="shared" si="25"/>
        <v>1.3104025356811166E-2</v>
      </c>
      <c r="Y9" s="95">
        <f t="shared" si="17"/>
        <v>0.99674407431185397</v>
      </c>
      <c r="Z9" s="147">
        <f t="shared" si="18"/>
        <v>9.7604585367043626</v>
      </c>
      <c r="AA9" s="97">
        <f t="shared" si="32"/>
        <v>17.817864228966986</v>
      </c>
      <c r="AB9">
        <f t="shared" si="19"/>
        <v>19.584683347012472</v>
      </c>
      <c r="AC9" s="175">
        <f t="shared" si="20"/>
        <v>44.065537530778059</v>
      </c>
      <c r="AD9" s="175">
        <f t="shared" si="21"/>
        <v>64.957742837382938</v>
      </c>
      <c r="AE9" s="158">
        <f t="shared" si="26"/>
        <v>3.3167624763916268</v>
      </c>
      <c r="AF9" s="151"/>
      <c r="AG9" s="95"/>
      <c r="AH9" s="151">
        <v>70.201599999999999</v>
      </c>
      <c r="AI9" s="152">
        <f t="shared" si="7"/>
        <v>30221.412724320267</v>
      </c>
      <c r="AJ9" s="152">
        <f t="shared" si="22"/>
        <v>65.584663030208915</v>
      </c>
      <c r="AK9" s="152">
        <f t="shared" si="8"/>
        <v>54.081560466735283</v>
      </c>
      <c r="AL9" s="152">
        <f t="shared" si="9"/>
        <v>65.603460543758075</v>
      </c>
      <c r="AM9" s="173">
        <f t="shared" si="33"/>
        <v>54.081560466735276</v>
      </c>
      <c r="AN9" s="8">
        <f t="shared" si="10"/>
        <v>24920.783063071616</v>
      </c>
      <c r="AO9" s="150">
        <f t="shared" si="27"/>
        <v>1.5649900883462433E-2</v>
      </c>
      <c r="AP9" s="150">
        <f t="shared" si="34"/>
        <v>9.0053715478641008E-2</v>
      </c>
      <c r="AQ9" s="153">
        <f t="shared" si="28"/>
        <v>8.4692130069405188E-7</v>
      </c>
      <c r="AR9" s="151">
        <f t="shared" si="38"/>
        <v>4.4191611988180078E-2</v>
      </c>
      <c r="AS9" s="150"/>
      <c r="AT9" s="153">
        <f t="shared" si="35"/>
        <v>-6.165859211183265E-7</v>
      </c>
      <c r="AU9" s="151">
        <f t="shared" si="37"/>
        <v>6.0700084486058022E-2</v>
      </c>
      <c r="AW9" s="150">
        <f t="shared" si="29"/>
        <v>1.0526315789473683E-4</v>
      </c>
      <c r="AX9" s="152">
        <f t="shared" si="36"/>
        <v>85.856068159884231</v>
      </c>
    </row>
    <row r="10" spans="2:50" ht="13.95" customHeight="1" x14ac:dyDescent="0.3">
      <c r="C10" s="113">
        <f t="shared" si="30"/>
        <v>1.4944444444444445</v>
      </c>
      <c r="D10" s="73">
        <v>89</v>
      </c>
      <c r="E10" s="73">
        <v>0.94299999999999995</v>
      </c>
      <c r="F10" s="73">
        <v>13.18</v>
      </c>
      <c r="G10" s="73">
        <v>6.68</v>
      </c>
      <c r="H10" s="73">
        <v>1870</v>
      </c>
      <c r="I10" s="73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3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58">
        <f t="shared" si="0"/>
        <v>88.042400000000001</v>
      </c>
      <c r="U10" s="96">
        <f t="shared" si="15"/>
        <v>83.592359999999999</v>
      </c>
      <c r="V10">
        <f t="shared" si="16"/>
        <v>0.11209919379192</v>
      </c>
      <c r="W10" s="150">
        <f t="shared" si="24"/>
        <v>1.834921810061594E-2</v>
      </c>
      <c r="X10" s="150">
        <f t="shared" si="25"/>
        <v>1.7692632434916356E-2</v>
      </c>
      <c r="Y10" s="95">
        <f t="shared" si="17"/>
        <v>1.4938265119186129</v>
      </c>
      <c r="Z10" s="147">
        <f t="shared" si="18"/>
        <v>17.907912822547804</v>
      </c>
      <c r="AA10" s="97">
        <f t="shared" si="32"/>
        <v>21.422906139446003</v>
      </c>
      <c r="AB10">
        <f t="shared" si="19"/>
        <v>23.975893692698723</v>
      </c>
      <c r="AC10" s="175">
        <f t="shared" si="20"/>
        <v>53.945760808572125</v>
      </c>
      <c r="AD10" s="175">
        <f t="shared" si="21"/>
        <v>79.260365113503937</v>
      </c>
      <c r="AE10" s="158">
        <f t="shared" si="26"/>
        <v>3.3058356918574745</v>
      </c>
      <c r="AF10" s="151"/>
      <c r="AG10" s="95">
        <f t="shared" ref="AG10:AG19" si="39">D10/$AE$31*$AE$26</f>
        <v>2.4722222222222223</v>
      </c>
      <c r="AH10" s="95">
        <f t="shared" ref="AH10:AH19" si="40">AG10/$AE$26*$AE$31</f>
        <v>89</v>
      </c>
      <c r="AI10" s="96">
        <f t="shared" si="7"/>
        <v>33915.366696916011</v>
      </c>
      <c r="AJ10" s="96">
        <f t="shared" si="22"/>
        <v>73.601056199904534</v>
      </c>
      <c r="AK10" s="96">
        <f t="shared" si="8"/>
        <v>61.919874860633549</v>
      </c>
      <c r="AL10" s="96">
        <f t="shared" si="9"/>
        <v>73.593763149277294</v>
      </c>
      <c r="AM10" s="97">
        <f t="shared" si="33"/>
        <v>61.919874860633534</v>
      </c>
      <c r="AN10" s="174">
        <f t="shared" si="10"/>
        <v>28532.678335779932</v>
      </c>
      <c r="AO10" s="127">
        <f t="shared" si="27"/>
        <v>1.886375641999986E-2</v>
      </c>
      <c r="AP10" s="127">
        <f t="shared" si="34"/>
        <v>0.1218147784207157</v>
      </c>
      <c r="AQ10" s="146">
        <f t="shared" si="28"/>
        <v>8.9314127744308335E-7</v>
      </c>
      <c r="AR10" s="95">
        <f t="shared" si="38"/>
        <v>4.1904700241761475E-2</v>
      </c>
      <c r="AS10" s="127"/>
      <c r="AT10" s="153">
        <f t="shared" si="35"/>
        <v>-8.0222988824455823E-7</v>
      </c>
      <c r="AU10" s="151">
        <f t="shared" si="37"/>
        <v>4.6653481817654281E-2</v>
      </c>
      <c r="AW10" s="127">
        <f t="shared" si="29"/>
        <v>1.0526315789473683E-4</v>
      </c>
      <c r="AX10" s="96">
        <f t="shared" si="36"/>
        <v>81.413024741855679</v>
      </c>
    </row>
    <row r="11" spans="2:50" ht="13.95" customHeight="1" x14ac:dyDescent="0.3">
      <c r="C11" s="113">
        <f>D11/180+1</f>
        <v>1.5611111111111111</v>
      </c>
      <c r="D11" s="73">
        <v>101</v>
      </c>
      <c r="E11" s="73">
        <v>1.018</v>
      </c>
      <c r="F11" s="73">
        <v>13.08</v>
      </c>
      <c r="G11" s="73">
        <v>7.79</v>
      </c>
      <c r="H11" s="73">
        <v>1760</v>
      </c>
      <c r="I11" s="73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3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58">
        <f>J11</f>
        <v>101.89320000000001</v>
      </c>
      <c r="U11" s="96">
        <f t="shared" si="15"/>
        <v>97.443160000000006</v>
      </c>
      <c r="V11">
        <f t="shared" si="16"/>
        <v>0.13067342130952</v>
      </c>
      <c r="W11" s="150">
        <f t="shared" si="24"/>
        <v>2.0131373055716242E-2</v>
      </c>
      <c r="X11" s="150">
        <f t="shared" si="25"/>
        <v>1.9474787390016658E-2</v>
      </c>
      <c r="Y11" s="95">
        <f t="shared" si="17"/>
        <v>1.7917894660781604</v>
      </c>
      <c r="Z11" s="147">
        <f t="shared" si="18"/>
        <v>23.524759693266088</v>
      </c>
      <c r="AA11" s="97">
        <f>Z11/U11*100</f>
        <v>24.142032845882756</v>
      </c>
      <c r="AB11">
        <f t="shared" si="19"/>
        <v>26.258397137200163</v>
      </c>
      <c r="AC11" s="175">
        <f>AB11*1/1.6/1000*3600</f>
        <v>59.081393558700363</v>
      </c>
      <c r="AD11" s="175">
        <f t="shared" si="21"/>
        <v>85.53841383536566</v>
      </c>
      <c r="AE11" s="158">
        <f>AD11/AB11</f>
        <v>3.2575641760777447</v>
      </c>
      <c r="AF11" s="151"/>
      <c r="AG11" s="95">
        <f t="shared" si="39"/>
        <v>2.8055555555555554</v>
      </c>
      <c r="AH11" s="95">
        <f t="shared" si="40"/>
        <v>101</v>
      </c>
      <c r="AI11" s="96">
        <f t="shared" si="7"/>
        <v>35884.582940469918</v>
      </c>
      <c r="AJ11" s="96">
        <f t="shared" si="22"/>
        <v>77.87452895067257</v>
      </c>
      <c r="AK11" s="96">
        <f t="shared" si="8"/>
        <v>66.098415292121516</v>
      </c>
      <c r="AL11" s="96">
        <f t="shared" si="9"/>
        <v>77.853327236547941</v>
      </c>
      <c r="AM11" s="97">
        <f t="shared" si="33"/>
        <v>66.098415292121501</v>
      </c>
      <c r="AN11" s="174">
        <f t="shared" si="10"/>
        <v>30458.149766609586</v>
      </c>
      <c r="AO11" s="127">
        <f t="shared" si="27"/>
        <v>2.064680496984065E-2</v>
      </c>
      <c r="AP11" s="127">
        <f>AI11*AO11/5252</f>
        <v>0.14107044657196369</v>
      </c>
      <c r="AQ11" s="146">
        <f t="shared" si="28"/>
        <v>9.1778076392994913E-7</v>
      </c>
      <c r="AR11" s="95">
        <f>$X$40/AQ11</f>
        <v>4.0779692684486224E-2</v>
      </c>
      <c r="AS11" s="127"/>
      <c r="AT11" s="153">
        <f t="shared" si="35"/>
        <v>-8.9872560606704742E-7</v>
      </c>
      <c r="AU11" s="151">
        <f t="shared" si="37"/>
        <v>4.1644320860714609E-2</v>
      </c>
      <c r="AW11" s="127">
        <f t="shared" si="29"/>
        <v>1.0526315789473683E-4</v>
      </c>
      <c r="AX11" s="96">
        <f t="shared" si="36"/>
        <v>79.227344673347588</v>
      </c>
    </row>
    <row r="12" spans="2:50" ht="13.95" customHeight="1" x14ac:dyDescent="0.3">
      <c r="C12" s="113">
        <f>D12/180+1</f>
        <v>1.6333333333333333</v>
      </c>
      <c r="D12" s="73">
        <v>114</v>
      </c>
      <c r="E12" s="73">
        <v>1.077</v>
      </c>
      <c r="F12" s="73">
        <v>13</v>
      </c>
      <c r="G12" s="73">
        <v>9.17</v>
      </c>
      <c r="H12" s="73">
        <v>1630</v>
      </c>
      <c r="I12" s="73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3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58">
        <f>J12</f>
        <v>119.21</v>
      </c>
      <c r="U12" s="96">
        <f t="shared" si="15"/>
        <v>114.75995999999999</v>
      </c>
      <c r="V12">
        <f t="shared" si="16"/>
        <v>0.15389563107911999</v>
      </c>
      <c r="W12" s="150">
        <f t="shared" si="24"/>
        <v>2.1957726045281456E-2</v>
      </c>
      <c r="X12" s="150">
        <f t="shared" si="25"/>
        <v>2.1301140379581873E-2</v>
      </c>
      <c r="Y12" s="95">
        <f t="shared" si="17"/>
        <v>2.2556004329548065</v>
      </c>
      <c r="Z12" s="147">
        <f t="shared" si="18"/>
        <v>33.226758975060008</v>
      </c>
      <c r="AA12" s="97">
        <f>Z12/U12*100</f>
        <v>28.953268173899687</v>
      </c>
      <c r="AB12">
        <f t="shared" si="19"/>
        <v>29.461564636723708</v>
      </c>
      <c r="AC12" s="175">
        <f>AB12*1/1.6/1000*3600</f>
        <v>66.288520432628331</v>
      </c>
      <c r="AD12" s="175">
        <f t="shared" si="21"/>
        <v>89.993539555957625</v>
      </c>
      <c r="AE12" s="158">
        <f>AD12/AB12</f>
        <v>3.0546082893296536</v>
      </c>
      <c r="AF12" s="151"/>
      <c r="AG12" s="95">
        <f t="shared" si="39"/>
        <v>3.1666666666666665</v>
      </c>
      <c r="AH12" s="95">
        <f t="shared" si="40"/>
        <v>114</v>
      </c>
      <c r="AI12" s="96">
        <f t="shared" si="7"/>
        <v>37769.630474093603</v>
      </c>
      <c r="AJ12" s="96">
        <f t="shared" si="22"/>
        <v>81.965343910793408</v>
      </c>
      <c r="AK12" s="96">
        <f t="shared" si="8"/>
        <v>70.098355552774535</v>
      </c>
      <c r="AL12" s="96">
        <f t="shared" si="9"/>
        <v>81.93082802058089</v>
      </c>
      <c r="AM12" s="97">
        <f t="shared" si="33"/>
        <v>70.098355552774535</v>
      </c>
      <c r="AN12" s="174">
        <f t="shared" si="10"/>
        <v>32301.322238718505</v>
      </c>
      <c r="AO12" s="127">
        <f t="shared" si="27"/>
        <v>2.2399096021018378E-2</v>
      </c>
      <c r="AP12" s="127">
        <f>AI12*AO12/5252</f>
        <v>0.16108255515377085</v>
      </c>
      <c r="AQ12" s="146">
        <f t="shared" si="28"/>
        <v>9.4136710361400359E-7</v>
      </c>
      <c r="AR12" s="95">
        <f>$X$40/AQ12</f>
        <v>3.9757940723773949E-2</v>
      </c>
      <c r="AS12" s="127"/>
      <c r="AT12" s="153">
        <f t="shared" si="35"/>
        <v>-1.0341435603824269E-6</v>
      </c>
      <c r="AU12" s="151">
        <f t="shared" si="37"/>
        <v>3.619112368785226E-2</v>
      </c>
      <c r="AW12" s="127">
        <f t="shared" si="29"/>
        <v>1.0526315789473683E-4</v>
      </c>
      <c r="AX12" s="96">
        <f t="shared" si="36"/>
        <v>77.242270990023428</v>
      </c>
    </row>
    <row r="13" spans="2:50" ht="13.95" customHeight="1" x14ac:dyDescent="0.3">
      <c r="C13" s="113">
        <f t="shared" si="30"/>
        <v>1.6944444444444444</v>
      </c>
      <c r="D13" s="73">
        <v>125</v>
      </c>
      <c r="E13" s="73">
        <v>1.1279999999999999</v>
      </c>
      <c r="F13" s="73">
        <v>12.92</v>
      </c>
      <c r="G13" s="73">
        <v>10.7</v>
      </c>
      <c r="H13" s="73">
        <v>1600</v>
      </c>
      <c r="I13" s="73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3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58">
        <f t="shared" si="0"/>
        <v>138.244</v>
      </c>
      <c r="U13" s="96">
        <f t="shared" si="15"/>
        <v>133.79396</v>
      </c>
      <c r="V13">
        <f t="shared" si="16"/>
        <v>0.17942064382712</v>
      </c>
      <c r="W13" s="150">
        <f t="shared" si="24"/>
        <v>2.5128459236800915E-2</v>
      </c>
      <c r="X13" s="150">
        <f t="shared" si="25"/>
        <v>2.4471873571101331E-2</v>
      </c>
      <c r="Y13" s="95">
        <f t="shared" si="17"/>
        <v>2.3848717793500311</v>
      </c>
      <c r="Z13" s="147">
        <f t="shared" si="18"/>
        <v>36.123704333447286</v>
      </c>
      <c r="AA13" s="97">
        <f t="shared" si="32"/>
        <v>26.999503066840454</v>
      </c>
      <c r="AB13">
        <f t="shared" si="19"/>
        <v>30.294043181887439</v>
      </c>
      <c r="AC13" s="175">
        <f t="shared" si="20"/>
        <v>68.161597159246739</v>
      </c>
      <c r="AD13" s="175">
        <f t="shared" si="21"/>
        <v>95.993108859688135</v>
      </c>
      <c r="AE13" s="163">
        <f t="shared" si="26"/>
        <v>3.1687123532286252</v>
      </c>
      <c r="AF13" s="159">
        <f>$AS$33/($AE$41*$AE$46*$AE$40*($AB13-$AE$47)^2/4/$AE13)/(PI()*$AE$46/60/($AB13-$AE$47))</f>
        <v>-1.764803727720339</v>
      </c>
      <c r="AG13" s="95">
        <f t="shared" si="39"/>
        <v>3.4722222222222223</v>
      </c>
      <c r="AH13" s="95">
        <f t="shared" si="40"/>
        <v>125</v>
      </c>
      <c r="AI13" s="96">
        <f t="shared" si="7"/>
        <v>39203.762160497106</v>
      </c>
      <c r="AJ13" s="96">
        <f t="shared" si="22"/>
        <v>85.077608855245458</v>
      </c>
      <c r="AK13" s="96">
        <f t="shared" si="8"/>
        <v>73.141483627373418</v>
      </c>
      <c r="AL13" s="96">
        <f t="shared" si="9"/>
        <v>85.032963627992174</v>
      </c>
      <c r="AM13" s="97">
        <f t="shared" si="33"/>
        <v>73.141483627373418</v>
      </c>
      <c r="AN13" s="174">
        <f t="shared" si="10"/>
        <v>33703.595655493671</v>
      </c>
      <c r="AO13" s="127">
        <f t="shared" si="27"/>
        <v>2.3762007679769385E-2</v>
      </c>
      <c r="AP13" s="127">
        <f t="shared" si="34"/>
        <v>0.17737244812139846</v>
      </c>
      <c r="AQ13" s="146">
        <f t="shared" si="28"/>
        <v>9.5931143472705205E-7</v>
      </c>
      <c r="AR13" s="95">
        <f t="shared" si="38"/>
        <v>3.9014251420285827E-2</v>
      </c>
      <c r="AS13" s="127"/>
      <c r="AT13" s="153">
        <f t="shared" si="35"/>
        <v>-1.0693376429941804E-6</v>
      </c>
      <c r="AU13" s="134">
        <f t="shared" si="37"/>
        <v>3.500000000000001E-2</v>
      </c>
      <c r="AW13" s="127">
        <f t="shared" si="29"/>
        <v>1.0526315789473683E-4</v>
      </c>
      <c r="AX13" s="96">
        <f t="shared" si="36"/>
        <v>75.797421240095076</v>
      </c>
    </row>
    <row r="14" spans="2:50" ht="13.95" customHeight="1" x14ac:dyDescent="0.3">
      <c r="C14" s="113">
        <f t="shared" si="30"/>
        <v>1.7222222222222223</v>
      </c>
      <c r="D14" s="73">
        <v>130</v>
      </c>
      <c r="E14" s="73">
        <v>1.1579999999999999</v>
      </c>
      <c r="F14" s="73">
        <v>12.87</v>
      </c>
      <c r="G14" s="73">
        <v>11.2</v>
      </c>
      <c r="H14" s="73">
        <v>1540</v>
      </c>
      <c r="I14" s="73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3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58">
        <f t="shared" si="0"/>
        <v>144.14399999999998</v>
      </c>
      <c r="U14" s="96">
        <f t="shared" si="15"/>
        <v>139.69395999999998</v>
      </c>
      <c r="V14">
        <f t="shared" si="16"/>
        <v>0.18733267362711997</v>
      </c>
      <c r="W14" s="150">
        <f t="shared" si="24"/>
        <v>2.5252694181833939E-2</v>
      </c>
      <c r="X14" s="150">
        <f t="shared" si="25"/>
        <v>2.4596108516134356E-2</v>
      </c>
      <c r="Y14" s="95">
        <f t="shared" si="17"/>
        <v>2.6746245091312479</v>
      </c>
      <c r="Z14" s="147">
        <f t="shared" ref="Z14:Z19" si="41">SQRT(Y14^3/4/$X$46/$X$47)</f>
        <v>42.903128010696648</v>
      </c>
      <c r="AA14" s="97">
        <f t="shared" si="32"/>
        <v>30.712228367423084</v>
      </c>
      <c r="AB14">
        <f t="shared" si="19"/>
        <v>32.08160836350978</v>
      </c>
      <c r="AC14" s="175">
        <f t="shared" si="20"/>
        <v>72.183618817896999</v>
      </c>
      <c r="AD14" s="175">
        <f t="shared" si="21"/>
        <v>97.620110704767598</v>
      </c>
      <c r="AE14" s="158">
        <f t="shared" si="26"/>
        <v>3.0428683499485185</v>
      </c>
      <c r="AF14" s="151"/>
      <c r="AG14" s="95">
        <f t="shared" si="39"/>
        <v>3.6111111111111112</v>
      </c>
      <c r="AH14" s="95">
        <f t="shared" si="40"/>
        <v>130</v>
      </c>
      <c r="AI14" s="96">
        <f t="shared" si="7"/>
        <v>39814.384655018715</v>
      </c>
      <c r="AJ14" s="96">
        <f t="shared" si="22"/>
        <v>86.402744477037146</v>
      </c>
      <c r="AK14" s="96">
        <f t="shared" si="8"/>
        <v>74.437182253711057</v>
      </c>
      <c r="AL14" s="96">
        <f t="shared" si="9"/>
        <v>86.353786395455103</v>
      </c>
      <c r="AM14" s="97">
        <f t="shared" si="33"/>
        <v>74.437182253711057</v>
      </c>
      <c r="AN14" s="174">
        <f t="shared" si="10"/>
        <v>34300.653582510058</v>
      </c>
      <c r="AO14" s="127">
        <f t="shared" si="27"/>
        <v>2.4350117493973571E-2</v>
      </c>
      <c r="AP14" s="127">
        <f t="shared" si="34"/>
        <v>0.18459347758948288</v>
      </c>
      <c r="AQ14" s="146">
        <f t="shared" si="28"/>
        <v>9.6695174581609167E-7</v>
      </c>
      <c r="AR14" s="95">
        <f t="shared" si="38"/>
        <v>3.8705982658119815E-2</v>
      </c>
      <c r="AS14" s="127"/>
      <c r="AT14" s="153">
        <f t="shared" si="35"/>
        <v>-1.1449092202334925E-6</v>
      </c>
      <c r="AU14" s="151">
        <f t="shared" si="37"/>
        <v>3.2689768623894486E-2</v>
      </c>
      <c r="AW14" s="127">
        <f t="shared" si="29"/>
        <v>1.0526315789473683E-4</v>
      </c>
      <c r="AX14" s="96">
        <f t="shared" si="36"/>
        <v>75.198512472902621</v>
      </c>
    </row>
    <row r="15" spans="2:50" ht="13.95" customHeight="1" x14ac:dyDescent="0.3">
      <c r="C15" s="113">
        <f>D15/180+1</f>
        <v>1.7777777777777777</v>
      </c>
      <c r="D15" s="73">
        <v>140</v>
      </c>
      <c r="E15" s="73">
        <v>1.2090000000000001</v>
      </c>
      <c r="F15" s="73">
        <v>12.75</v>
      </c>
      <c r="G15" s="73">
        <v>12.03</v>
      </c>
      <c r="H15" s="73">
        <v>1460</v>
      </c>
      <c r="I15" s="73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3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58">
        <f>J15</f>
        <v>153.38249999999999</v>
      </c>
      <c r="U15" s="96">
        <f t="shared" si="15"/>
        <v>148.93245999999999</v>
      </c>
      <c r="V15">
        <f t="shared" si="16"/>
        <v>0.19972170537412001</v>
      </c>
      <c r="W15" s="150">
        <f t="shared" si="24"/>
        <v>2.5524167651205371E-2</v>
      </c>
      <c r="X15" s="150">
        <f t="shared" si="25"/>
        <v>2.4867581985505788E-2</v>
      </c>
      <c r="Y15" s="95">
        <f t="shared" si="17"/>
        <v>3.138820028500596</v>
      </c>
      <c r="Z15" s="147">
        <f t="shared" si="41"/>
        <v>54.543669194719321</v>
      </c>
      <c r="AA15" s="97">
        <f>Z15/U15*100</f>
        <v>36.623090221379087</v>
      </c>
      <c r="AB15">
        <f t="shared" si="19"/>
        <v>34.754250769053904</v>
      </c>
      <c r="AC15" s="175">
        <f>AB15*1/1.6/1000*3600</f>
        <v>78.197064230371282</v>
      </c>
      <c r="AD15" s="175">
        <f t="shared" si="21"/>
        <v>101.6397623220227</v>
      </c>
      <c r="AE15" s="158">
        <f>AD15/AB15</f>
        <v>2.9245275059281499</v>
      </c>
      <c r="AF15" s="151"/>
      <c r="AG15" s="95">
        <f t="shared" si="39"/>
        <v>3.8888888888888888</v>
      </c>
      <c r="AH15" s="95">
        <f t="shared" si="40"/>
        <v>140</v>
      </c>
      <c r="AI15" s="96">
        <f t="shared" si="7"/>
        <v>40968.162625439392</v>
      </c>
      <c r="AJ15" s="96">
        <f t="shared" si="22"/>
        <v>88.906602919790345</v>
      </c>
      <c r="AK15" s="96">
        <f t="shared" si="8"/>
        <v>76.885419167328067</v>
      </c>
      <c r="AL15" s="96">
        <f t="shared" si="9"/>
        <v>88.849495652158367</v>
      </c>
      <c r="AM15" s="97">
        <f t="shared" si="33"/>
        <v>76.885419167328067</v>
      </c>
      <c r="AN15" s="174">
        <f t="shared" si="10"/>
        <v>35428.801152304775</v>
      </c>
      <c r="AO15" s="127">
        <f t="shared" si="27"/>
        <v>2.5474093347173737E-2</v>
      </c>
      <c r="AP15" s="127">
        <f>AI15*AO15/5252</f>
        <v>0.19871035776516324</v>
      </c>
      <c r="AQ15" s="146">
        <f t="shared" si="28"/>
        <v>9.8138819829005542E-7</v>
      </c>
      <c r="AR15" s="95">
        <f>$X$40/AQ15</f>
        <v>3.8136608500089784E-2</v>
      </c>
      <c r="AS15" s="127"/>
      <c r="AT15" s="153">
        <f t="shared" si="35"/>
        <v>-1.25789855570507E-6</v>
      </c>
      <c r="AU15" s="151">
        <f t="shared" si="37"/>
        <v>2.9753446599529693E-2</v>
      </c>
      <c r="AW15" s="127">
        <f t="shared" si="29"/>
        <v>1.0526315789473683E-4</v>
      </c>
      <c r="AX15" s="96">
        <f t="shared" si="36"/>
        <v>74.092324571601836</v>
      </c>
    </row>
    <row r="16" spans="2:50" ht="13.95" customHeight="1" x14ac:dyDescent="0.3">
      <c r="C16" s="113">
        <f>D16/180+1</f>
        <v>1.8055555555555556</v>
      </c>
      <c r="D16" s="73">
        <v>145</v>
      </c>
      <c r="E16" s="73">
        <v>1.248</v>
      </c>
      <c r="F16" s="73">
        <v>12.87</v>
      </c>
      <c r="G16" s="73">
        <v>12.77</v>
      </c>
      <c r="H16" s="73">
        <v>1410</v>
      </c>
      <c r="I16" s="73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3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58">
        <f>J16</f>
        <v>164.34989999999999</v>
      </c>
      <c r="U16" s="96">
        <f t="shared" si="15"/>
        <v>159.89985999999999</v>
      </c>
      <c r="V16">
        <f t="shared" si="16"/>
        <v>0.21442923005691999</v>
      </c>
      <c r="W16" s="150">
        <f t="shared" si="24"/>
        <v>2.6465284432085175E-2</v>
      </c>
      <c r="X16" s="150">
        <f t="shared" si="25"/>
        <v>2.5808698766385592E-2</v>
      </c>
      <c r="Y16" s="95">
        <f t="shared" si="17"/>
        <v>3.4847180469244972</v>
      </c>
      <c r="Z16" s="147">
        <f t="shared" si="41"/>
        <v>63.80374842945902</v>
      </c>
      <c r="AA16" s="97">
        <f>Z16/U16*100</f>
        <v>39.902316630833212</v>
      </c>
      <c r="AB16">
        <f t="shared" si="19"/>
        <v>36.619174102633757</v>
      </c>
      <c r="AC16" s="175">
        <f>AB16*1/1.6/1000*3600</f>
        <v>82.393141730925933</v>
      </c>
      <c r="AD16" s="175">
        <f t="shared" si="21"/>
        <v>105.35829021185282</v>
      </c>
      <c r="AE16" s="158">
        <f>AD16/AB16</f>
        <v>2.8771345283911018</v>
      </c>
      <c r="AF16" s="151"/>
      <c r="AG16" s="95">
        <f t="shared" si="39"/>
        <v>4.0277777777777777</v>
      </c>
      <c r="AH16" s="95">
        <f t="shared" si="40"/>
        <v>145</v>
      </c>
      <c r="AI16" s="96">
        <f t="shared" si="7"/>
        <v>41514.495099187916</v>
      </c>
      <c r="AJ16" s="96">
        <f t="shared" si="22"/>
        <v>90.092220267334881</v>
      </c>
      <c r="AK16" s="96">
        <f t="shared" si="8"/>
        <v>78.044698823925387</v>
      </c>
      <c r="AL16" s="96">
        <f t="shared" si="9"/>
        <v>90.031254228702039</v>
      </c>
      <c r="AM16" s="97">
        <f t="shared" si="33"/>
        <v>78.044698823925387</v>
      </c>
      <c r="AN16" s="174">
        <f t="shared" si="10"/>
        <v>35962.997218064818</v>
      </c>
      <c r="AO16" s="127">
        <f t="shared" si="27"/>
        <v>2.601212492442927E-2</v>
      </c>
      <c r="AP16" s="127">
        <f>AI16*AO16/5252</f>
        <v>0.20561314407743386</v>
      </c>
      <c r="AQ16" s="146">
        <f t="shared" si="28"/>
        <v>9.8822409132533155E-7</v>
      </c>
      <c r="AR16" s="95">
        <f>$X$40/AQ16</f>
        <v>3.7872804188169816E-2</v>
      </c>
      <c r="AS16" s="127"/>
      <c r="AT16" s="153">
        <f t="shared" si="35"/>
        <v>-1.3367405465862734E-6</v>
      </c>
      <c r="AU16" s="151">
        <f t="shared" si="37"/>
        <v>2.7998565316490004E-2</v>
      </c>
      <c r="AW16" s="127">
        <f t="shared" si="29"/>
        <v>1.0526315789473683E-4</v>
      </c>
      <c r="AX16" s="96">
        <f t="shared" si="36"/>
        <v>73.579801946468137</v>
      </c>
    </row>
    <row r="17" spans="1:50" ht="13.95" customHeight="1" x14ac:dyDescent="0.3">
      <c r="C17" s="113">
        <f t="shared" si="30"/>
        <v>1.8611111111111112</v>
      </c>
      <c r="D17" s="73">
        <v>155</v>
      </c>
      <c r="E17" s="73">
        <v>1.298</v>
      </c>
      <c r="F17" s="73">
        <v>12.77</v>
      </c>
      <c r="G17" s="73">
        <v>14.39</v>
      </c>
      <c r="H17" s="73">
        <v>1350</v>
      </c>
      <c r="I17" s="73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3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58">
        <f t="shared" si="0"/>
        <v>183.7603</v>
      </c>
      <c r="U17" s="96">
        <f t="shared" si="15"/>
        <v>179.31026</v>
      </c>
      <c r="V17">
        <f t="shared" si="16"/>
        <v>0.24045900348572002</v>
      </c>
      <c r="W17" s="150">
        <f t="shared" si="24"/>
        <v>2.8415040441907537E-2</v>
      </c>
      <c r="X17" s="150">
        <f t="shared" si="25"/>
        <v>2.7758454776207954E-2</v>
      </c>
      <c r="Y17" s="95">
        <f t="shared" si="17"/>
        <v>3.97030322947426</v>
      </c>
      <c r="Z17" s="147">
        <f t="shared" si="41"/>
        <v>77.594375598879097</v>
      </c>
      <c r="AA17" s="97">
        <f t="shared" si="32"/>
        <v>43.273806863521976</v>
      </c>
      <c r="AB17">
        <f t="shared" si="19"/>
        <v>39.087380038302008</v>
      </c>
      <c r="AC17" s="175">
        <f t="shared" si="20"/>
        <v>87.946605086179517</v>
      </c>
      <c r="AD17" s="175">
        <f t="shared" si="21"/>
        <v>109.35923794141685</v>
      </c>
      <c r="AE17" s="158">
        <f t="shared" si="26"/>
        <v>2.7978144821744242</v>
      </c>
      <c r="AF17" s="151"/>
      <c r="AG17" s="95">
        <f t="shared" si="39"/>
        <v>4.3055555555555554</v>
      </c>
      <c r="AH17" s="95">
        <f t="shared" si="40"/>
        <v>155</v>
      </c>
      <c r="AI17" s="96">
        <f t="shared" si="7"/>
        <v>42552.804966229378</v>
      </c>
      <c r="AJ17" s="96">
        <f t="shared" si="22"/>
        <v>92.34549688851861</v>
      </c>
      <c r="AK17" s="96">
        <f t="shared" si="8"/>
        <v>80.247920422390152</v>
      </c>
      <c r="AL17" s="96">
        <f t="shared" si="9"/>
        <v>92.27719722027858</v>
      </c>
      <c r="AM17" s="97">
        <f t="shared" si="33"/>
        <v>80.247920422390152</v>
      </c>
      <c r="AN17" s="174">
        <f t="shared" si="10"/>
        <v>36978.241730637383</v>
      </c>
      <c r="AO17" s="127">
        <f t="shared" si="27"/>
        <v>2.7044952442657005E-2</v>
      </c>
      <c r="AP17" s="127">
        <f t="shared" si="34"/>
        <v>0.21912387406956063</v>
      </c>
      <c r="AQ17" s="146">
        <f t="shared" si="28"/>
        <v>1.0012157686090697E-6</v>
      </c>
      <c r="AR17" s="95">
        <f t="shared" si="38"/>
        <v>3.7381370408090163E-2</v>
      </c>
      <c r="AS17" s="127"/>
      <c r="AT17" s="153">
        <f t="shared" si="35"/>
        <v>-1.4410870719200214E-6</v>
      </c>
      <c r="AU17" s="151">
        <f t="shared" si="37"/>
        <v>2.5971239513606203E-2</v>
      </c>
      <c r="AW17" s="127">
        <f t="shared" si="29"/>
        <v>1.0526315789473683E-4</v>
      </c>
      <c r="AX17" s="96">
        <f t="shared" si="36"/>
        <v>72.625037677405643</v>
      </c>
    </row>
    <row r="18" spans="1:50" ht="13.95" customHeight="1" x14ac:dyDescent="0.3">
      <c r="C18" s="113">
        <f>D18/180+1</f>
        <v>1.9222222222222223</v>
      </c>
      <c r="D18" s="73">
        <v>166</v>
      </c>
      <c r="E18" s="73">
        <v>1.3580000000000001</v>
      </c>
      <c r="F18" s="73">
        <v>12.58</v>
      </c>
      <c r="G18" s="73">
        <v>16.38</v>
      </c>
      <c r="H18" s="73">
        <v>1320</v>
      </c>
      <c r="I18" s="73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3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58">
        <f>J18</f>
        <v>206.06039999999999</v>
      </c>
      <c r="U18" s="96">
        <f t="shared" si="15"/>
        <v>201.61035999999999</v>
      </c>
      <c r="V18">
        <f t="shared" si="16"/>
        <v>0.27036392818791999</v>
      </c>
      <c r="W18" s="150">
        <f t="shared" si="24"/>
        <v>3.1238929718545028E-2</v>
      </c>
      <c r="X18" s="150">
        <f t="shared" si="25"/>
        <v>3.0582344052845444E-2</v>
      </c>
      <c r="Y18" s="134">
        <f>$Z$45</f>
        <v>4.4249528005034611</v>
      </c>
      <c r="Z18" s="147">
        <f t="shared" si="41"/>
        <v>91.297248929319878</v>
      </c>
      <c r="AA18" s="97">
        <f>Z18/U18*100</f>
        <v>45.284006699516773</v>
      </c>
      <c r="AB18">
        <f t="shared" si="19"/>
        <v>41.264733453849395</v>
      </c>
      <c r="AC18" s="175">
        <f>AB18*1/1.6/1000*3600</f>
        <v>92.845650271161119</v>
      </c>
      <c r="AD18" s="175">
        <f t="shared" si="21"/>
        <v>113.67604996542015</v>
      </c>
      <c r="AE18" s="165">
        <f>AD18/AB18</f>
        <v>2.7547990850966189</v>
      </c>
      <c r="AF18" s="151"/>
      <c r="AG18" s="95">
        <f t="shared" si="39"/>
        <v>4.6111111111111116</v>
      </c>
      <c r="AH18" s="95">
        <f t="shared" si="40"/>
        <v>166</v>
      </c>
      <c r="AI18" s="96">
        <f t="shared" si="7"/>
        <v>43620.248826836629</v>
      </c>
      <c r="AJ18" s="96">
        <f t="shared" si="22"/>
        <v>94.661998322128099</v>
      </c>
      <c r="AK18" s="96">
        <f t="shared" si="8"/>
        <v>82.512962336650034</v>
      </c>
      <c r="AL18" s="96">
        <f t="shared" si="9"/>
        <v>94.586159249565085</v>
      </c>
      <c r="AM18" s="97">
        <f t="shared" si="33"/>
        <v>82.512962336650034</v>
      </c>
      <c r="AN18" s="174">
        <f t="shared" si="10"/>
        <v>38021.973044728336</v>
      </c>
      <c r="AO18" s="127">
        <f t="shared" si="27"/>
        <v>2.8120822570969206E-2</v>
      </c>
      <c r="AP18" s="127">
        <f>AI18*AO18/5252</f>
        <v>0.23355622196515621</v>
      </c>
      <c r="AQ18" s="146">
        <f t="shared" si="28"/>
        <v>1.014571980078996E-6</v>
      </c>
      <c r="AR18" s="95">
        <f>$X$40/AQ18</f>
        <v>3.6889267828865355E-2</v>
      </c>
      <c r="AS18" s="127"/>
      <c r="AT18" s="153">
        <f t="shared" si="35"/>
        <v>-1.5331374393762624E-6</v>
      </c>
      <c r="AU18" s="151">
        <f t="shared" si="37"/>
        <v>2.4411912815867933E-2</v>
      </c>
      <c r="AW18" s="127">
        <f t="shared" si="29"/>
        <v>1.0526315789473683E-4</v>
      </c>
      <c r="AX18" s="96">
        <f t="shared" si="36"/>
        <v>71.668974056217053</v>
      </c>
    </row>
    <row r="19" spans="1:50" ht="13.95" customHeight="1" x14ac:dyDescent="0.3">
      <c r="A19">
        <f>E19*5/3.3</f>
        <v>2.1015151515151516</v>
      </c>
      <c r="C19" s="113">
        <f t="shared" si="30"/>
        <v>2</v>
      </c>
      <c r="D19" s="73">
        <v>180</v>
      </c>
      <c r="E19" s="73">
        <v>1.387</v>
      </c>
      <c r="F19" s="73">
        <v>12.5</v>
      </c>
      <c r="G19" s="73">
        <v>17.559999999999999</v>
      </c>
      <c r="H19" s="73">
        <v>1280</v>
      </c>
      <c r="I19" s="73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3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58">
        <f t="shared" si="0"/>
        <v>219.49999999999997</v>
      </c>
      <c r="U19" s="96">
        <f t="shared" si="15"/>
        <v>215.04995999999997</v>
      </c>
      <c r="V19">
        <f t="shared" si="16"/>
        <v>0.28838672745911997</v>
      </c>
      <c r="W19" s="150">
        <f t="shared" si="24"/>
        <v>3.2311617975793024E-2</v>
      </c>
      <c r="X19" s="150">
        <f t="shared" si="25"/>
        <v>3.1655032310093437E-2</v>
      </c>
      <c r="Y19" s="134">
        <f>$Z$45</f>
        <v>4.4249528005034611</v>
      </c>
      <c r="Z19" s="147">
        <f t="shared" si="41"/>
        <v>91.297248929319878</v>
      </c>
      <c r="AA19" s="97">
        <f t="shared" si="32"/>
        <v>42.453971593075345</v>
      </c>
      <c r="AB19">
        <f t="shared" si="19"/>
        <v>41.264733453849395</v>
      </c>
      <c r="AC19" s="175">
        <f>AB19*1/1.6/1000*3600</f>
        <v>92.845650271161119</v>
      </c>
      <c r="AD19" s="175">
        <f t="shared" si="21"/>
        <v>116.74837564016123</v>
      </c>
      <c r="AE19" s="165">
        <f t="shared" si="26"/>
        <v>2.8292531144235542</v>
      </c>
      <c r="AF19" s="151"/>
      <c r="AG19" s="95">
        <f t="shared" si="39"/>
        <v>5</v>
      </c>
      <c r="AH19" s="95">
        <f t="shared" si="40"/>
        <v>180</v>
      </c>
      <c r="AI19" s="96">
        <f t="shared" si="7"/>
        <v>44880.846275693781</v>
      </c>
      <c r="AJ19" s="96">
        <f t="shared" si="22"/>
        <v>97.397669869127128</v>
      </c>
      <c r="AK19" s="96">
        <f t="shared" si="8"/>
        <v>85.187862782511587</v>
      </c>
      <c r="AL19" s="96">
        <f t="shared" si="9"/>
        <v>97.312927139701031</v>
      </c>
      <c r="AM19" s="97">
        <f t="shared" si="33"/>
        <v>85.187862782511587</v>
      </c>
      <c r="AN19" s="174">
        <f t="shared" si="10"/>
        <v>39254.567170181341</v>
      </c>
      <c r="AO19" s="127">
        <f t="shared" si="27"/>
        <v>2.9409731130840132E-2</v>
      </c>
      <c r="AP19" s="127">
        <f t="shared" si="34"/>
        <v>0.25132018695596375</v>
      </c>
      <c r="AQ19" s="146">
        <f t="shared" si="28"/>
        <v>1.0303449932806531E-6</v>
      </c>
      <c r="AR19" s="95">
        <f t="shared" si="38"/>
        <v>3.6324549300354322E-2</v>
      </c>
      <c r="AS19" s="127"/>
      <c r="AT19" s="153">
        <f t="shared" si="35"/>
        <v>-1.5331374393762624E-6</v>
      </c>
      <c r="AU19" s="151">
        <f t="shared" si="37"/>
        <v>2.4411912815867933E-2</v>
      </c>
      <c r="AW19" s="127">
        <f t="shared" si="29"/>
        <v>1.0526315789473683E-4</v>
      </c>
      <c r="AX19" s="96">
        <f t="shared" si="36"/>
        <v>70.571831175618797</v>
      </c>
    </row>
    <row r="20" spans="1:50" ht="13.95" customHeight="1" thickBot="1" x14ac:dyDescent="0.35">
      <c r="C20" s="116">
        <f t="shared" si="30"/>
        <v>2</v>
      </c>
      <c r="D20" s="117">
        <v>180</v>
      </c>
      <c r="E20" s="117"/>
      <c r="F20" s="117"/>
      <c r="G20" s="117"/>
      <c r="H20" s="117"/>
      <c r="I20" s="117"/>
      <c r="O20" s="3"/>
      <c r="P20" s="3"/>
      <c r="Q20" s="3"/>
      <c r="R20" s="3"/>
      <c r="T20" s="4"/>
      <c r="AC20" s="4"/>
      <c r="AD20" s="97"/>
      <c r="AG20" s="95"/>
      <c r="AH20" s="95"/>
      <c r="AI20" s="96"/>
      <c r="AJ20" s="96"/>
      <c r="AK20" s="96"/>
      <c r="AL20" s="96"/>
      <c r="AO20" s="127"/>
      <c r="AP20" s="127"/>
      <c r="AQ20" s="146"/>
      <c r="AR20" s="95"/>
      <c r="AS20" s="127"/>
      <c r="AU20" s="146"/>
      <c r="AV20" s="95"/>
      <c r="AW20" s="128"/>
      <c r="AX20" s="96"/>
    </row>
    <row r="21" spans="1:50" ht="13.95" customHeight="1" x14ac:dyDescent="0.3"/>
    <row r="22" spans="1:50" ht="13.95" customHeight="1" x14ac:dyDescent="0.3">
      <c r="C22" s="120">
        <f t="shared" si="30"/>
        <v>1.05</v>
      </c>
      <c r="D22" s="73">
        <v>9</v>
      </c>
      <c r="E22" s="119"/>
      <c r="F22" s="73">
        <v>13.8</v>
      </c>
      <c r="G22" s="73">
        <v>0.42399999999999999</v>
      </c>
      <c r="H22" s="73">
        <v>6160</v>
      </c>
      <c r="I22" s="11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50">
        <f t="shared" ref="W22:W30" si="51">$V22/$O22*5252</f>
        <v>4.230922058383821E-3</v>
      </c>
      <c r="X22" s="150">
        <f t="shared" ref="X22:X30" si="52">W22-$W$4</f>
        <v>3.5743363926842367E-3</v>
      </c>
      <c r="AN22" s="157" t="s">
        <v>219</v>
      </c>
      <c r="AO22" s="157"/>
      <c r="AP22" s="157"/>
      <c r="AQ22" s="157"/>
      <c r="AR22" s="157"/>
    </row>
    <row r="23" spans="1:50" ht="13.95" customHeight="1" x14ac:dyDescent="0.3">
      <c r="C23" s="120">
        <f t="shared" si="30"/>
        <v>1.0722222222222222</v>
      </c>
      <c r="D23" s="73">
        <v>13</v>
      </c>
      <c r="E23" s="119"/>
      <c r="F23" s="73">
        <v>13.8</v>
      </c>
      <c r="G23" s="73">
        <v>0.56499999999999995</v>
      </c>
      <c r="H23" s="73">
        <v>5080</v>
      </c>
      <c r="I23" s="11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50">
        <f t="shared" si="51"/>
        <v>4.6494396639814237E-3</v>
      </c>
      <c r="X23" s="150">
        <f t="shared" si="52"/>
        <v>3.9928539982818393E-3</v>
      </c>
      <c r="AM23" s="5" t="s">
        <v>132</v>
      </c>
      <c r="AN23" s="157" t="s">
        <v>100</v>
      </c>
      <c r="AO23" s="157" t="s">
        <v>139</v>
      </c>
      <c r="AP23" s="157" t="s">
        <v>140</v>
      </c>
      <c r="AQ23" s="157" t="s">
        <v>131</v>
      </c>
      <c r="AR23" s="157" t="s">
        <v>164</v>
      </c>
      <c r="AS23" s="157" t="s">
        <v>173</v>
      </c>
    </row>
    <row r="24" spans="1:50" ht="13.95" customHeight="1" x14ac:dyDescent="0.3">
      <c r="C24" s="120">
        <f t="shared" si="30"/>
        <v>1.1444444444444444</v>
      </c>
      <c r="D24" s="73">
        <v>26</v>
      </c>
      <c r="E24" s="119"/>
      <c r="F24" s="73">
        <v>13.75</v>
      </c>
      <c r="G24" s="73">
        <v>1.32</v>
      </c>
      <c r="H24" s="73">
        <v>3180</v>
      </c>
      <c r="I24" s="11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50">
        <f t="shared" si="51"/>
        <v>6.7750595849508004E-3</v>
      </c>
      <c r="X24" s="150">
        <f t="shared" si="52"/>
        <v>6.1184739192512161E-3</v>
      </c>
      <c r="AM24" s="5"/>
      <c r="AN24" s="157"/>
      <c r="AO24" s="157" t="s">
        <v>152</v>
      </c>
      <c r="AP24" s="157" t="s">
        <v>153</v>
      </c>
      <c r="AQ24" s="157"/>
      <c r="AR24" s="157"/>
      <c r="AS24" s="157"/>
    </row>
    <row r="25" spans="1:50" ht="13.95" customHeight="1" thickBot="1" x14ac:dyDescent="0.35">
      <c r="C25" s="120">
        <f t="shared" si="30"/>
        <v>1.2</v>
      </c>
      <c r="D25" s="73">
        <v>36</v>
      </c>
      <c r="E25" s="119"/>
      <c r="F25" s="73">
        <v>13.71</v>
      </c>
      <c r="G25" s="73">
        <v>2.08</v>
      </c>
      <c r="H25" s="73">
        <v>2650</v>
      </c>
      <c r="I25" s="11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50">
        <f t="shared" si="51"/>
        <v>8.8706620372876483E-3</v>
      </c>
      <c r="X25" s="150">
        <f t="shared" si="52"/>
        <v>8.2140763715880631E-3</v>
      </c>
      <c r="AD25" s="5" t="s">
        <v>56</v>
      </c>
      <c r="AE25" s="5"/>
      <c r="AF25" s="5"/>
      <c r="AG25" s="5"/>
      <c r="AM25" s="5">
        <f t="shared" ref="AM25:AM33" si="53">AN25*$AE$30</f>
        <v>7372.8</v>
      </c>
      <c r="AN25" s="157">
        <v>16</v>
      </c>
      <c r="AO25" s="157">
        <v>3.3218574470251366E-4</v>
      </c>
      <c r="AP25" s="157">
        <v>7.3801227827272476E-4</v>
      </c>
      <c r="AQ25" s="172">
        <v>0.34399999999999997</v>
      </c>
      <c r="AR25" s="185">
        <f t="shared" ref="AR25:AR33" si="54">$AE$45/AQ25</f>
        <v>1.0879888809533816E-7</v>
      </c>
      <c r="AS25" s="157" t="s">
        <v>201</v>
      </c>
    </row>
    <row r="26" spans="1:50" ht="13.95" customHeight="1" x14ac:dyDescent="0.3">
      <c r="C26" s="120">
        <f t="shared" si="30"/>
        <v>1.3111111111111111</v>
      </c>
      <c r="D26" s="73">
        <v>56</v>
      </c>
      <c r="E26" s="119"/>
      <c r="F26" s="73">
        <v>13.6</v>
      </c>
      <c r="G26" s="73">
        <v>3.8</v>
      </c>
      <c r="H26" s="73">
        <v>2070</v>
      </c>
      <c r="I26" s="11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50">
        <f t="shared" si="51"/>
        <v>1.255747204905024E-2</v>
      </c>
      <c r="X26" s="150">
        <f t="shared" si="52"/>
        <v>1.1900886383350654E-2</v>
      </c>
      <c r="AD26" s="62" t="s">
        <v>15</v>
      </c>
      <c r="AE26" s="63">
        <f>X51</f>
        <v>5</v>
      </c>
      <c r="AF26" s="64"/>
      <c r="AG26" s="29"/>
      <c r="AI26" s="17" t="s">
        <v>134</v>
      </c>
      <c r="AJ26" s="28"/>
      <c r="AK26" s="28"/>
      <c r="AL26" s="29"/>
      <c r="AM26" s="5">
        <f t="shared" si="53"/>
        <v>9216</v>
      </c>
      <c r="AN26" s="157">
        <v>20</v>
      </c>
      <c r="AO26" s="157">
        <v>7.4483427705766901E-4</v>
      </c>
      <c r="AP26" s="157">
        <v>6.978697406499287E-4</v>
      </c>
      <c r="AQ26" s="172">
        <v>0.27100000000000002</v>
      </c>
      <c r="AR26" s="185">
        <f t="shared" si="54"/>
        <v>1.3810633765607499E-7</v>
      </c>
      <c r="AS26" s="157" t="s">
        <v>201</v>
      </c>
    </row>
    <row r="27" spans="1:50" ht="13.95" customHeight="1" x14ac:dyDescent="0.3">
      <c r="C27" s="120">
        <f t="shared" si="30"/>
        <v>1.3555555555555556</v>
      </c>
      <c r="D27" s="73">
        <v>64</v>
      </c>
      <c r="E27" s="119"/>
      <c r="F27" s="73">
        <v>13.55</v>
      </c>
      <c r="G27" s="73">
        <v>4.38</v>
      </c>
      <c r="H27" s="73">
        <v>2000</v>
      </c>
      <c r="I27" s="11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50">
        <f t="shared" si="51"/>
        <v>1.39332609562952E-2</v>
      </c>
      <c r="X27" s="150">
        <f t="shared" si="52"/>
        <v>1.3276675290595615E-2</v>
      </c>
      <c r="AD27" s="65" t="s">
        <v>14</v>
      </c>
      <c r="AE27" s="66">
        <f>X50</f>
        <v>0</v>
      </c>
      <c r="AF27" s="45"/>
      <c r="AG27" s="31"/>
      <c r="AI27" s="19" t="s">
        <v>128</v>
      </c>
      <c r="AJ27" s="30">
        <v>25</v>
      </c>
      <c r="AK27" s="30" t="s">
        <v>93</v>
      </c>
      <c r="AL27" s="31"/>
      <c r="AM27" s="5">
        <f t="shared" si="53"/>
        <v>11520</v>
      </c>
      <c r="AN27" s="157">
        <v>25</v>
      </c>
      <c r="AO27" s="157">
        <v>1.8196732395486779E-3</v>
      </c>
      <c r="AP27" s="157">
        <v>8.2156541787077825E-4</v>
      </c>
      <c r="AQ27" s="172">
        <v>0.185</v>
      </c>
      <c r="AR27" s="185">
        <f t="shared" si="54"/>
        <v>2.0230712164754772E-7</v>
      </c>
      <c r="AS27" s="157" t="s">
        <v>201</v>
      </c>
    </row>
    <row r="28" spans="1:50" ht="13.95" customHeight="1" x14ac:dyDescent="0.3">
      <c r="C28" s="120">
        <f t="shared" si="30"/>
        <v>1.4944444444444445</v>
      </c>
      <c r="D28" s="73">
        <v>89</v>
      </c>
      <c r="E28" s="119"/>
      <c r="F28" s="73">
        <v>13.42</v>
      </c>
      <c r="G28" s="73">
        <v>6.3</v>
      </c>
      <c r="H28" s="73">
        <v>1760</v>
      </c>
      <c r="I28" s="11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50">
        <f t="shared" si="51"/>
        <v>1.7466870597880702E-2</v>
      </c>
      <c r="X28" s="150">
        <f t="shared" si="52"/>
        <v>1.6810284932181119E-2</v>
      </c>
      <c r="AB28" s="147"/>
      <c r="AD28" s="65" t="s">
        <v>17</v>
      </c>
      <c r="AE28" s="66">
        <f>AA35</f>
        <v>5</v>
      </c>
      <c r="AF28" s="30"/>
      <c r="AG28" s="31"/>
      <c r="AI28" s="19" t="s">
        <v>144</v>
      </c>
      <c r="AJ28" s="30">
        <v>2.1797</v>
      </c>
      <c r="AK28" s="30" t="s">
        <v>94</v>
      </c>
      <c r="AL28" s="31"/>
      <c r="AM28" s="5">
        <f t="shared" si="53"/>
        <v>16588.8</v>
      </c>
      <c r="AN28" s="157">
        <v>36</v>
      </c>
      <c r="AO28" s="157">
        <v>7.5397784789642732E-3</v>
      </c>
      <c r="AP28" s="157">
        <v>2.7131440751281396E-3</v>
      </c>
      <c r="AQ28" s="172">
        <v>0.121</v>
      </c>
      <c r="AR28" s="185">
        <f t="shared" si="54"/>
        <v>3.0931254136195313E-7</v>
      </c>
      <c r="AS28" s="157" t="s">
        <v>201</v>
      </c>
    </row>
    <row r="29" spans="1:50" ht="13.95" customHeight="1" x14ac:dyDescent="0.3">
      <c r="C29" s="120">
        <f t="shared" si="30"/>
        <v>1.7944444444444443</v>
      </c>
      <c r="D29" s="73">
        <v>143</v>
      </c>
      <c r="E29" s="119"/>
      <c r="F29" s="73">
        <v>13.1</v>
      </c>
      <c r="G29" s="73">
        <v>11.7</v>
      </c>
      <c r="H29" s="73">
        <v>1430</v>
      </c>
      <c r="I29" s="11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50">
        <f t="shared" si="51"/>
        <v>2.5727794880141638E-2</v>
      </c>
      <c r="X29" s="150">
        <f t="shared" si="52"/>
        <v>2.5071209214442055E-2</v>
      </c>
      <c r="AC29" s="97"/>
      <c r="AD29" s="65" t="s">
        <v>16</v>
      </c>
      <c r="AE29" s="66">
        <f>AA34</f>
        <v>0</v>
      </c>
      <c r="AF29" s="30"/>
      <c r="AG29" s="31"/>
      <c r="AI29" s="19" t="s">
        <v>129</v>
      </c>
      <c r="AJ29" s="30">
        <f>($AJ$27/25.4)^2*$AJ$28/1000*2.2/3</f>
        <v>1.5484983053299442E-3</v>
      </c>
      <c r="AK29" s="30" t="s">
        <v>96</v>
      </c>
      <c r="AL29" s="177" t="s">
        <v>146</v>
      </c>
      <c r="AM29" s="5">
        <f t="shared" si="53"/>
        <v>20736</v>
      </c>
      <c r="AN29" s="157">
        <v>45</v>
      </c>
      <c r="AO29" s="157">
        <v>1.7146093021340732E-2</v>
      </c>
      <c r="AP29" s="157">
        <v>7.1180011608729891E-3</v>
      </c>
      <c r="AQ29" s="172">
        <v>9.6000000000000002E-2</v>
      </c>
      <c r="AR29" s="185">
        <f t="shared" si="54"/>
        <v>3.8986268234162836E-7</v>
      </c>
      <c r="AS29" s="157" t="s">
        <v>201</v>
      </c>
    </row>
    <row r="30" spans="1:50" ht="13.95" customHeight="1" x14ac:dyDescent="0.3">
      <c r="C30" s="120">
        <f t="shared" si="30"/>
        <v>1.9166666666666665</v>
      </c>
      <c r="D30" s="73">
        <v>165</v>
      </c>
      <c r="E30" s="119"/>
      <c r="F30" s="73">
        <v>12.72</v>
      </c>
      <c r="G30" s="73">
        <v>16.86</v>
      </c>
      <c r="H30" s="73">
        <v>1280</v>
      </c>
      <c r="I30" s="11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50">
        <f t="shared" si="51"/>
        <v>3.2222855292761705E-2</v>
      </c>
      <c r="X30" s="150">
        <f t="shared" si="52"/>
        <v>3.1566269627062118E-2</v>
      </c>
      <c r="AD30" s="65" t="s">
        <v>27</v>
      </c>
      <c r="AE30" s="66">
        <f>X44/100</f>
        <v>460.8</v>
      </c>
      <c r="AF30" s="30"/>
      <c r="AG30" s="31"/>
      <c r="AI30" s="19" t="s">
        <v>141</v>
      </c>
      <c r="AJ30" s="178">
        <f>3/8/2*25.4</f>
        <v>4.7624999999999993</v>
      </c>
      <c r="AK30" s="30" t="s">
        <v>93</v>
      </c>
      <c r="AL30" s="31" t="s">
        <v>142</v>
      </c>
      <c r="AM30" s="5">
        <f t="shared" si="53"/>
        <v>23040</v>
      </c>
      <c r="AN30" s="157">
        <v>50</v>
      </c>
      <c r="AO30" s="157">
        <v>2.4979887676232684E-2</v>
      </c>
      <c r="AP30" s="157">
        <v>1.1143313366134135E-2</v>
      </c>
      <c r="AQ30" s="172">
        <v>7.0999999999999994E-2</v>
      </c>
      <c r="AR30" s="185">
        <f t="shared" si="54"/>
        <v>5.2713827471544122E-7</v>
      </c>
      <c r="AS30" s="157" t="s">
        <v>201</v>
      </c>
    </row>
    <row r="31" spans="1:50" ht="13.95" customHeight="1" x14ac:dyDescent="0.3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65" t="s">
        <v>18</v>
      </c>
      <c r="AE31" s="66">
        <f>Z51</f>
        <v>180</v>
      </c>
      <c r="AF31" s="30"/>
      <c r="AG31" s="31"/>
      <c r="AI31" s="19" t="s">
        <v>143</v>
      </c>
      <c r="AJ31" s="178">
        <f>3/4*25.4</f>
        <v>19.049999999999997</v>
      </c>
      <c r="AK31" s="30" t="s">
        <v>93</v>
      </c>
      <c r="AL31" s="31" t="s">
        <v>142</v>
      </c>
      <c r="AM31" s="5">
        <f t="shared" si="53"/>
        <v>23961.600000000002</v>
      </c>
      <c r="AN31" s="157">
        <v>52</v>
      </c>
      <c r="AO31" s="157">
        <v>2.8687189497277076E-2</v>
      </c>
      <c r="AP31" s="157">
        <v>1.3128852647530663E-2</v>
      </c>
      <c r="AQ31" s="172">
        <v>6.4000000000000001E-2</v>
      </c>
      <c r="AR31" s="185">
        <f t="shared" si="54"/>
        <v>5.8479402351244256E-7</v>
      </c>
      <c r="AS31" s="157" t="s">
        <v>201</v>
      </c>
    </row>
    <row r="32" spans="1:50" ht="13.95" customHeight="1" thickBot="1" x14ac:dyDescent="0.35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32</v>
      </c>
      <c r="Z32" t="s">
        <v>33</v>
      </c>
      <c r="AC32" s="30"/>
      <c r="AD32" s="65" t="s">
        <v>13</v>
      </c>
      <c r="AE32" s="66">
        <f>Z50</f>
        <v>0</v>
      </c>
      <c r="AF32" s="30"/>
      <c r="AG32" s="31"/>
      <c r="AI32" s="19" t="s">
        <v>145</v>
      </c>
      <c r="AJ32" s="30">
        <f>PI()*(AJ30/25.4)^2/4*3/4*0.3</f>
        <v>6.2126221909368446E-3</v>
      </c>
      <c r="AK32" s="30" t="s">
        <v>148</v>
      </c>
      <c r="AL32" s="31" t="s">
        <v>142</v>
      </c>
      <c r="AM32" s="5">
        <f t="shared" si="53"/>
        <v>25344</v>
      </c>
      <c r="AN32" s="157">
        <v>55</v>
      </c>
      <c r="AO32" s="157">
        <v>3.4912727705496999E-2</v>
      </c>
      <c r="AP32" s="157">
        <v>1.6549422883591874E-2</v>
      </c>
      <c r="AQ32" s="172">
        <v>5.6000000000000001E-2</v>
      </c>
      <c r="AR32" s="185">
        <f t="shared" si="54"/>
        <v>6.6833602687136296E-7</v>
      </c>
      <c r="AS32" s="157" t="s">
        <v>201</v>
      </c>
    </row>
    <row r="33" spans="2:50" ht="13.95" customHeight="1" x14ac:dyDescent="0.3">
      <c r="B33" s="3" t="s">
        <v>28</v>
      </c>
      <c r="C33" s="11" t="s">
        <v>29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3</v>
      </c>
      <c r="X33" s="18">
        <v>1</v>
      </c>
      <c r="Z33" s="17"/>
      <c r="AA33" s="23" t="s">
        <v>22</v>
      </c>
      <c r="AB33" s="7"/>
      <c r="AC33" s="30"/>
      <c r="AD33" s="65" t="s">
        <v>121</v>
      </c>
      <c r="AE33" s="66">
        <f>X59</f>
        <v>0</v>
      </c>
      <c r="AF33" s="67">
        <f>X58</f>
        <v>28856.545332842587</v>
      </c>
      <c r="AG33" s="68">
        <f>X57</f>
        <v>296.43735274450484</v>
      </c>
      <c r="AI33" s="19" t="s">
        <v>135</v>
      </c>
      <c r="AJ33" s="30">
        <f>($AJ$30/25.4)^2*$AJ$32/2</f>
        <v>1.0920624945006168E-4</v>
      </c>
      <c r="AK33" s="30" t="s">
        <v>96</v>
      </c>
      <c r="AL33" s="31" t="s">
        <v>147</v>
      </c>
      <c r="AM33" s="5">
        <f t="shared" si="53"/>
        <v>28569.600000000002</v>
      </c>
      <c r="AN33" s="157">
        <v>62</v>
      </c>
      <c r="AO33" s="157">
        <v>5.2819357330458824E-2</v>
      </c>
      <c r="AP33" s="157">
        <v>2.6818816528704516E-2</v>
      </c>
      <c r="AQ33" s="134">
        <v>3.5000000000000003E-2</v>
      </c>
      <c r="AR33" s="185">
        <f t="shared" si="54"/>
        <v>1.0693376429941806E-6</v>
      </c>
      <c r="AS33" s="136">
        <f>-AR33/$AE$44</f>
        <v>-1.4495941088429112E-6</v>
      </c>
      <c r="AT33" s="146"/>
    </row>
    <row r="34" spans="2:50" x14ac:dyDescent="0.3">
      <c r="B34" s="3"/>
      <c r="C34" s="13" t="s">
        <v>30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4</v>
      </c>
      <c r="X34" s="20">
        <v>4800</v>
      </c>
      <c r="Y34" t="s">
        <v>77</v>
      </c>
      <c r="Z34" s="24" t="s">
        <v>16</v>
      </c>
      <c r="AA34" s="25">
        <v>0</v>
      </c>
      <c r="AC34" s="30"/>
      <c r="AD34" s="65" t="s">
        <v>21</v>
      </c>
      <c r="AE34" s="66">
        <f>X61</f>
        <v>-35967.664913818211</v>
      </c>
      <c r="AF34" s="67">
        <f>X60</f>
        <v>15568.877907324113</v>
      </c>
      <c r="AG34" s="31"/>
      <c r="AI34" s="19" t="s">
        <v>95</v>
      </c>
      <c r="AJ34" s="30">
        <f>AJ29+AJ33</f>
        <v>1.6577045547800059E-3</v>
      </c>
      <c r="AK34" s="30" t="s">
        <v>96</v>
      </c>
      <c r="AL34" s="31"/>
    </row>
    <row r="35" spans="2:50" ht="13.95" customHeight="1" thickBot="1" x14ac:dyDescent="0.35">
      <c r="B35" s="3"/>
      <c r="C35" s="15" t="s">
        <v>31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5</v>
      </c>
      <c r="X35" s="20">
        <v>12</v>
      </c>
      <c r="Z35" s="26" t="s">
        <v>17</v>
      </c>
      <c r="AA35" s="27">
        <v>5</v>
      </c>
      <c r="AC35" s="30"/>
      <c r="AD35" s="65" t="s">
        <v>122</v>
      </c>
      <c r="AE35" s="66">
        <f>AA60</f>
        <v>-4629.28132953776</v>
      </c>
      <c r="AF35" s="69">
        <f>AA59</f>
        <v>0.977785673428475</v>
      </c>
      <c r="AG35" s="31"/>
      <c r="AI35" s="19" t="s">
        <v>95</v>
      </c>
      <c r="AJ35" s="30">
        <f>AJ34/144</f>
        <v>1.1511837185972264E-5</v>
      </c>
      <c r="AK35" s="30" t="s">
        <v>97</v>
      </c>
      <c r="AL35" s="31"/>
    </row>
    <row r="36" spans="2:50" ht="13.95" customHeight="1" thickBot="1" x14ac:dyDescent="0.35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7" t="s">
        <v>69</v>
      </c>
      <c r="X36" s="20">
        <v>3.9899999999999998E-2</v>
      </c>
      <c r="Y36" t="s">
        <v>76</v>
      </c>
      <c r="AC36" s="30"/>
      <c r="AD36" s="65" t="s">
        <v>123</v>
      </c>
      <c r="AE36" s="66">
        <f>AA58</f>
        <v>4826.0670942612087</v>
      </c>
      <c r="AF36" s="69">
        <f>AA57</f>
        <v>1.0193904204377491</v>
      </c>
      <c r="AG36" s="31"/>
      <c r="AI36" s="21" t="s">
        <v>95</v>
      </c>
      <c r="AJ36" s="32">
        <f>AJ35/2048.5*6.66</f>
        <v>3.7426817504796325E-8</v>
      </c>
      <c r="AK36" s="32" t="s">
        <v>98</v>
      </c>
      <c r="AL36" s="33"/>
    </row>
    <row r="37" spans="2:50" ht="15" customHeight="1" x14ac:dyDescent="0.4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7" t="s">
        <v>70</v>
      </c>
      <c r="X37" s="129">
        <v>4.1999999999999996E-6</v>
      </c>
      <c r="Y37" t="s">
        <v>75</v>
      </c>
      <c r="AC37" s="94" t="s">
        <v>54</v>
      </c>
      <c r="AD37" s="65" t="s">
        <v>92</v>
      </c>
      <c r="AE37" s="124">
        <f>X67</f>
        <v>-4.2312897208109457E-3</v>
      </c>
      <c r="AF37" s="124">
        <f>X66</f>
        <v>4.6878096548586503E-7</v>
      </c>
      <c r="AG37" s="139">
        <f>X65</f>
        <v>6.2561657632881528E-12</v>
      </c>
    </row>
    <row r="38" spans="2:50" x14ac:dyDescent="0.3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7" t="s">
        <v>71</v>
      </c>
      <c r="X38" s="130">
        <f>X34*2*PI()/60</f>
        <v>502.6548245743669</v>
      </c>
      <c r="Y38" t="s">
        <v>73</v>
      </c>
      <c r="AD38" s="65" t="s">
        <v>130</v>
      </c>
      <c r="AE38" s="124">
        <f>AA67</f>
        <v>2.0111653701195102E-3</v>
      </c>
      <c r="AF38" s="124">
        <f>AA66</f>
        <v>-3.0709262345742761E-7</v>
      </c>
      <c r="AG38" s="139">
        <f>AA65</f>
        <v>1.4325144135226059E-11</v>
      </c>
      <c r="AH38" s="5"/>
      <c r="AI38" s="5"/>
      <c r="AJ38" s="5"/>
    </row>
    <row r="39" spans="2:50" x14ac:dyDescent="0.3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7" t="s">
        <v>72</v>
      </c>
      <c r="X39" s="132">
        <f>7/X38</f>
        <v>1.3926057520540842E-2</v>
      </c>
      <c r="Y39" t="s">
        <v>74</v>
      </c>
      <c r="AD39" s="65" t="s">
        <v>179</v>
      </c>
      <c r="AE39" s="69">
        <f>Y19</f>
        <v>4.4249528005034611</v>
      </c>
      <c r="AF39" s="30"/>
      <c r="AG39" s="31"/>
      <c r="AH39" s="5"/>
      <c r="AI39" s="5"/>
      <c r="AJ39" s="151"/>
    </row>
    <row r="40" spans="2:50" ht="15" thickBot="1" x14ac:dyDescent="0.35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131" t="s">
        <v>79</v>
      </c>
      <c r="X40" s="145">
        <f>AJ36</f>
        <v>3.7426817504796325E-8</v>
      </c>
      <c r="Y40" t="s">
        <v>80</v>
      </c>
      <c r="AA40" t="s">
        <v>112</v>
      </c>
      <c r="AD40" s="65" t="s">
        <v>178</v>
      </c>
      <c r="AE40" s="160">
        <f>$X$47</f>
        <v>2.1213604393365078E-3</v>
      </c>
      <c r="AF40" s="30"/>
      <c r="AG40" s="31"/>
      <c r="AH40" s="5"/>
      <c r="AI40" s="5"/>
      <c r="AJ40" s="151"/>
    </row>
    <row r="41" spans="2:50" ht="15" thickBot="1" x14ac:dyDescent="0.35">
      <c r="W41" t="s">
        <v>35</v>
      </c>
      <c r="AD41" s="65" t="s">
        <v>177</v>
      </c>
      <c r="AE41" s="160">
        <f>$X$46</f>
        <v>1.2250000000000001</v>
      </c>
      <c r="AF41" s="30"/>
      <c r="AG41" s="31"/>
      <c r="AH41" s="5"/>
      <c r="AI41" s="5"/>
      <c r="AJ41" s="151"/>
      <c r="AU41" t="s">
        <v>188</v>
      </c>
      <c r="AX41" t="s">
        <v>193</v>
      </c>
    </row>
    <row r="42" spans="2:50" ht="15" thickBot="1" x14ac:dyDescent="0.35">
      <c r="W42" s="34">
        <v>240</v>
      </c>
      <c r="X42" s="35" t="s">
        <v>34</v>
      </c>
      <c r="Y42" s="36"/>
      <c r="Z42" s="35"/>
      <c r="AA42" s="37"/>
      <c r="AB42" s="30"/>
      <c r="AD42" s="65" t="s">
        <v>180</v>
      </c>
      <c r="AE42" s="162">
        <f>$AF$13</f>
        <v>-1.764803727720339</v>
      </c>
      <c r="AF42" s="30"/>
      <c r="AG42" s="31"/>
      <c r="AH42" s="5"/>
      <c r="AI42" s="5"/>
      <c r="AJ42" s="151"/>
      <c r="AU42" t="s">
        <v>186</v>
      </c>
      <c r="AV42" s="151"/>
      <c r="AW42" s="164" t="s">
        <v>189</v>
      </c>
      <c r="AX42" t="s">
        <v>190</v>
      </c>
    </row>
    <row r="43" spans="2:50" ht="15" thickBot="1" x14ac:dyDescent="0.35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36</v>
      </c>
      <c r="AD43" s="65" t="s">
        <v>182</v>
      </c>
      <c r="AE43" s="92">
        <f>AE13</f>
        <v>3.1687123532286252</v>
      </c>
      <c r="AF43" s="30"/>
      <c r="AG43" s="31"/>
      <c r="AH43" s="5"/>
      <c r="AI43" s="5"/>
      <c r="AJ43" s="151"/>
      <c r="AU43" t="s">
        <v>187</v>
      </c>
      <c r="AX43" t="s">
        <v>191</v>
      </c>
    </row>
    <row r="44" spans="2:50" x14ac:dyDescent="0.3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6</v>
      </c>
      <c r="X44" s="50">
        <f>X34*X35/Y44</f>
        <v>46080</v>
      </c>
      <c r="Y44" s="154">
        <v>1.25</v>
      </c>
      <c r="Z44" s="28" t="s">
        <v>9</v>
      </c>
      <c r="AA44" s="155"/>
      <c r="AB44">
        <f>W42</f>
        <v>240</v>
      </c>
      <c r="AC44" t="s">
        <v>156</v>
      </c>
      <c r="AD44" s="65" t="s">
        <v>183</v>
      </c>
      <c r="AE44" s="162">
        <f>1/1.3556</f>
        <v>0.73768073177928595</v>
      </c>
      <c r="AF44" s="30"/>
      <c r="AG44" s="31"/>
      <c r="AH44" s="5"/>
      <c r="AI44" s="5"/>
      <c r="AJ44" s="151"/>
      <c r="AU44" t="s">
        <v>181</v>
      </c>
      <c r="AX44" t="s">
        <v>192</v>
      </c>
    </row>
    <row r="45" spans="2:50" ht="15" thickBot="1" x14ac:dyDescent="0.35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154</v>
      </c>
      <c r="X45" s="156">
        <f>450/454</f>
        <v>0.99118942731277537</v>
      </c>
      <c r="Y45" s="32" t="s">
        <v>155</v>
      </c>
      <c r="Z45" s="166">
        <f>X45/0.224</f>
        <v>4.4249528005034611</v>
      </c>
      <c r="AA45" s="33" t="s">
        <v>158</v>
      </c>
      <c r="AD45" s="65" t="s">
        <v>184</v>
      </c>
      <c r="AE45" s="179">
        <f>$X$40</f>
        <v>3.7426817504796325E-8</v>
      </c>
      <c r="AF45" s="30"/>
      <c r="AG45" s="31"/>
      <c r="AH45" s="5"/>
      <c r="AI45" s="5"/>
      <c r="AJ45" s="151"/>
      <c r="AU45" t="s">
        <v>194</v>
      </c>
      <c r="AV45" t="s">
        <v>197</v>
      </c>
    </row>
    <row r="46" spans="2:50" x14ac:dyDescent="0.3">
      <c r="C46" t="s">
        <v>55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5" t="s">
        <v>160</v>
      </c>
      <c r="X46" s="5">
        <v>1.2250000000000001</v>
      </c>
      <c r="Y46" t="s">
        <v>161</v>
      </c>
      <c r="Z46" t="s">
        <v>169</v>
      </c>
      <c r="AD46" s="65" t="s">
        <v>199</v>
      </c>
      <c r="AE46" s="160">
        <f>AA47/1000</f>
        <v>5.5E-2</v>
      </c>
      <c r="AF46" s="30"/>
      <c r="AG46" s="31"/>
      <c r="AH46" s="5"/>
      <c r="AI46" s="5"/>
      <c r="AJ46" s="151"/>
      <c r="AU46" t="s">
        <v>195</v>
      </c>
      <c r="AW46" s="164" t="s">
        <v>196</v>
      </c>
      <c r="AX46" t="s">
        <v>214</v>
      </c>
    </row>
    <row r="47" spans="2:50" x14ac:dyDescent="0.3">
      <c r="C47" t="s">
        <v>51</v>
      </c>
      <c r="D47" s="6" t="s">
        <v>52</v>
      </c>
      <c r="E47" s="6" t="s">
        <v>53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5" t="s">
        <v>162</v>
      </c>
      <c r="X47" s="157">
        <f>(55^2-18^2)*PI()/4/1000^2</f>
        <v>2.1213604393365078E-3</v>
      </c>
      <c r="Y47" t="s">
        <v>163</v>
      </c>
      <c r="Z47" t="s">
        <v>168</v>
      </c>
      <c r="AA47" s="157">
        <v>55</v>
      </c>
      <c r="AB47" t="s">
        <v>93</v>
      </c>
      <c r="AD47" s="161" t="s">
        <v>211</v>
      </c>
      <c r="AE47" s="160">
        <v>5</v>
      </c>
      <c r="AF47" s="30"/>
      <c r="AG47" s="31"/>
      <c r="AH47" s="5"/>
      <c r="AI47" s="5"/>
      <c r="AJ47" s="151"/>
      <c r="AU47" t="s">
        <v>198</v>
      </c>
    </row>
    <row r="48" spans="2:50" ht="15" thickBot="1" x14ac:dyDescent="0.35">
      <c r="C48" s="73">
        <v>87</v>
      </c>
      <c r="D48" s="6">
        <f>C48/180*(2.4-0.53)+0.53</f>
        <v>1.4338333333333333</v>
      </c>
      <c r="E48" s="88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174</v>
      </c>
      <c r="AA48" s="157">
        <v>45</v>
      </c>
      <c r="AB48" t="s">
        <v>175</v>
      </c>
      <c r="AC48" t="s">
        <v>176</v>
      </c>
      <c r="AD48" s="70" t="s">
        <v>218</v>
      </c>
      <c r="AE48" s="183">
        <f>$Y$19</f>
        <v>4.4249528005034611</v>
      </c>
      <c r="AF48" s="32"/>
      <c r="AG48" s="33"/>
      <c r="AW48" s="164" t="s">
        <v>189</v>
      </c>
      <c r="AX48" t="s">
        <v>200</v>
      </c>
    </row>
    <row r="49" spans="3:55" ht="28.8" x14ac:dyDescent="0.3">
      <c r="C49" s="73">
        <v>90</v>
      </c>
      <c r="D49" s="6">
        <f t="shared" ref="D49:D54" si="55">C49/180*(2.4-0.53)+0.53</f>
        <v>1.4649999999999999</v>
      </c>
      <c r="E49" s="88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42" t="s">
        <v>19</v>
      </c>
      <c r="Y49" s="28"/>
      <c r="Z49" s="42" t="s">
        <v>20</v>
      </c>
      <c r="AA49" s="29" t="s">
        <v>109</v>
      </c>
      <c r="AU49" t="s">
        <v>217</v>
      </c>
    </row>
    <row r="50" spans="3:55" x14ac:dyDescent="0.3">
      <c r="C50" s="73">
        <v>100</v>
      </c>
      <c r="D50" s="6">
        <f t="shared" si="55"/>
        <v>1.568888888888889</v>
      </c>
      <c r="E50" s="88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7" t="s">
        <v>14</v>
      </c>
      <c r="X50" s="58">
        <v>0</v>
      </c>
      <c r="Y50" s="45" t="s">
        <v>13</v>
      </c>
      <c r="Z50" s="59">
        <v>0</v>
      </c>
      <c r="AA50" s="89">
        <f>AA60/X44*100</f>
        <v>-10.046183440837153</v>
      </c>
      <c r="AB50" t="s">
        <v>106</v>
      </c>
      <c r="AU50" t="s">
        <v>215</v>
      </c>
    </row>
    <row r="51" spans="3:55" x14ac:dyDescent="0.3">
      <c r="C51" s="73">
        <v>110</v>
      </c>
      <c r="D51" s="6">
        <f t="shared" si="55"/>
        <v>1.6727777777777779</v>
      </c>
      <c r="E51" s="88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7" t="s">
        <v>15</v>
      </c>
      <c r="X51" s="58">
        <v>5</v>
      </c>
      <c r="Y51" s="45" t="s">
        <v>18</v>
      </c>
      <c r="Z51" s="59">
        <v>180</v>
      </c>
      <c r="AA51" s="60">
        <v>77</v>
      </c>
      <c r="AU51" t="s">
        <v>216</v>
      </c>
    </row>
    <row r="52" spans="3:55" x14ac:dyDescent="0.3">
      <c r="C52" s="73">
        <v>114</v>
      </c>
      <c r="D52" s="6">
        <f t="shared" si="55"/>
        <v>1.7143333333333333</v>
      </c>
      <c r="E52" s="88">
        <f t="shared" si="56"/>
        <v>128.57999999999998</v>
      </c>
      <c r="W52" s="19"/>
      <c r="X52" s="30" t="s">
        <v>40</v>
      </c>
      <c r="Y52" s="30"/>
      <c r="Z52" s="61"/>
      <c r="AA52" s="89">
        <f>(AA51-AA50)/(X51-X50)</f>
        <v>17.409236688167432</v>
      </c>
      <c r="AI52" s="104"/>
      <c r="AQ52" s="3"/>
    </row>
    <row r="53" spans="3:55" x14ac:dyDescent="0.3">
      <c r="C53" s="73">
        <v>127.5</v>
      </c>
      <c r="D53" s="6">
        <f t="shared" si="55"/>
        <v>1.8545833333333333</v>
      </c>
      <c r="E53" s="88">
        <f t="shared" si="56"/>
        <v>153.82499999999999</v>
      </c>
      <c r="W53" s="19"/>
      <c r="X53" s="30"/>
      <c r="Y53" s="30"/>
      <c r="Z53" s="61"/>
      <c r="AA53" s="89">
        <f>AA51-AA52*(X51-X50)</f>
        <v>-10.046183440837154</v>
      </c>
      <c r="AR53" s="3"/>
    </row>
    <row r="54" spans="3:55" ht="15" thickBot="1" x14ac:dyDescent="0.35">
      <c r="C54" s="80">
        <v>136.4</v>
      </c>
      <c r="D54" s="6">
        <f t="shared" si="55"/>
        <v>1.9470444444444444</v>
      </c>
      <c r="E54" s="88">
        <f t="shared" si="56"/>
        <v>170.46799999999999</v>
      </c>
      <c r="W54" s="21"/>
      <c r="X54" s="32"/>
      <c r="Y54" s="32"/>
      <c r="Z54" s="47"/>
      <c r="AA54" s="48" t="s">
        <v>124</v>
      </c>
    </row>
    <row r="56" spans="3:55" ht="15" thickBot="1" x14ac:dyDescent="0.35">
      <c r="W56" t="s">
        <v>38</v>
      </c>
    </row>
    <row r="57" spans="3:55" x14ac:dyDescent="0.3">
      <c r="W57" s="49" t="s">
        <v>121</v>
      </c>
      <c r="X57" s="50">
        <f>INDEX(LINEST($P$5:$P$19,$E$5:$E$19^{1,2},FALSE,FALSE),1)</f>
        <v>296.43735274450484</v>
      </c>
      <c r="Y57" s="28"/>
      <c r="Z57" s="51" t="s">
        <v>123</v>
      </c>
      <c r="AA57" s="52">
        <f>INDEX(LINEST($O$5:$O$19,$P$5:$P$19),1)</f>
        <v>1.0193904204377491</v>
      </c>
    </row>
    <row r="58" spans="3:55" x14ac:dyDescent="0.3">
      <c r="W58" s="43"/>
      <c r="X58" s="54">
        <f>INDEX(LINEST($P$5:$P$19,$E$5:$E$19^{1,2},FALSE,FALSE),2)</f>
        <v>28856.545332842587</v>
      </c>
      <c r="Y58" s="30"/>
      <c r="Z58" s="44"/>
      <c r="AA58" s="46">
        <f>INDEX(LINEST($O$5:$O$19,$P$5:$P$19),2)</f>
        <v>4826.0670942612087</v>
      </c>
    </row>
    <row r="59" spans="3:55" x14ac:dyDescent="0.3">
      <c r="W59" s="43"/>
      <c r="X59" s="54">
        <f>INDEX(LINEST($P$5:$P$19,$E$5:$E$19^{1,2},FALSE,FALSE),3)</f>
        <v>0</v>
      </c>
      <c r="Y59" s="30"/>
      <c r="Z59" s="44" t="s">
        <v>122</v>
      </c>
      <c r="AA59" s="46">
        <f>INDEX(LINEST($P$5:$P$19,$O$5:$O$19),1)</f>
        <v>0.977785673428475</v>
      </c>
    </row>
    <row r="60" spans="3:55" x14ac:dyDescent="0.3">
      <c r="W60" s="43" t="s">
        <v>21</v>
      </c>
      <c r="X60" s="54">
        <f>INDEX(LINEST($O$5:$O$19,$L$5:$L$19),1)</f>
        <v>15568.877907324113</v>
      </c>
      <c r="Y60" s="30"/>
      <c r="Z60" s="44"/>
      <c r="AA60" s="46">
        <f>INDEX(LINEST($P$5:$P$19,$O$5:$O$19),2)</f>
        <v>-4629.28132953776</v>
      </c>
      <c r="AB60" t="s">
        <v>60</v>
      </c>
    </row>
    <row r="61" spans="3:55" x14ac:dyDescent="0.3">
      <c r="W61" s="43"/>
      <c r="X61" s="54">
        <f>INDEX(LINEST($O$5:$O$19,$L$5:$L$19),2)</f>
        <v>-35967.664913818211</v>
      </c>
      <c r="Y61" s="30"/>
      <c r="Z61" s="30"/>
      <c r="AA61" s="31"/>
    </row>
    <row r="62" spans="3:55" x14ac:dyDescent="0.3">
      <c r="W62" s="19"/>
      <c r="X62" s="30"/>
      <c r="Y62" s="30"/>
      <c r="Z62" s="30"/>
      <c r="AA62" s="31"/>
    </row>
    <row r="63" spans="3:55" x14ac:dyDescent="0.3">
      <c r="H63" s="176" t="s">
        <v>212</v>
      </c>
      <c r="W63" s="181" t="s">
        <v>62</v>
      </c>
      <c r="X63" s="44">
        <f>EXP((0-$AE$34)/$AF$34)</f>
        <v>10.076726574109877</v>
      </c>
      <c r="Y63" s="30"/>
      <c r="Z63" s="30"/>
      <c r="AA63" s="31"/>
      <c r="AB63" t="s">
        <v>65</v>
      </c>
      <c r="AD63" s="30"/>
      <c r="AE63" s="30"/>
      <c r="AF63" s="45"/>
      <c r="AG63" s="45"/>
      <c r="AH63" s="45"/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30"/>
      <c r="AX63" s="30"/>
      <c r="AY63" s="30"/>
      <c r="AZ63" s="30"/>
      <c r="BA63" s="30"/>
      <c r="BB63" s="30"/>
      <c r="BC63" s="30"/>
    </row>
    <row r="64" spans="3:55" x14ac:dyDescent="0.3">
      <c r="W64" s="19"/>
      <c r="X64" s="30"/>
      <c r="Y64" s="30"/>
      <c r="Z64" s="30"/>
      <c r="AA64" s="31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</row>
    <row r="65" spans="3:55" x14ac:dyDescent="0.3">
      <c r="W65" s="43" t="s">
        <v>92</v>
      </c>
      <c r="X65" s="180">
        <f>INDEX(LINEST($X$4:$X$19,$O$4:$O$19^{1,2}),1)</f>
        <v>6.2561657632881528E-12</v>
      </c>
      <c r="Y65" s="30"/>
      <c r="Z65" s="44" t="s">
        <v>130</v>
      </c>
      <c r="AA65" s="122">
        <f>INDEX(LINEST($X$71:$X$88,$O$71:$O$88^{1,2}),1)</f>
        <v>1.4325144135226059E-11</v>
      </c>
      <c r="AD65" s="45"/>
      <c r="AE65" s="290"/>
      <c r="AF65" s="290"/>
      <c r="AG65" s="290"/>
      <c r="AH65" s="290"/>
      <c r="AI65" s="290"/>
      <c r="AJ65" s="290"/>
      <c r="AK65" s="290"/>
      <c r="AL65" s="290"/>
      <c r="AM65" s="290"/>
      <c r="AN65" s="290"/>
      <c r="AO65" s="290"/>
      <c r="AP65" s="290"/>
      <c r="AQ65" s="290"/>
      <c r="AR65" s="290"/>
      <c r="AS65" s="290"/>
      <c r="AT65" s="290"/>
      <c r="AU65" s="290"/>
      <c r="AV65" s="290"/>
      <c r="AW65" s="45"/>
      <c r="AX65" s="30"/>
      <c r="AY65" s="30"/>
      <c r="AZ65" s="30"/>
      <c r="BA65" s="30"/>
      <c r="BB65" s="30"/>
      <c r="BC65" s="30"/>
    </row>
    <row r="66" spans="3:55" x14ac:dyDescent="0.3">
      <c r="W66" s="43"/>
      <c r="X66" s="180">
        <f>INDEX(LINEST($X$4:$X$19,$O$4:$O$19^{1,2}),2)</f>
        <v>4.6878096548586503E-7</v>
      </c>
      <c r="Y66" s="30"/>
      <c r="Z66" s="44"/>
      <c r="AA66" s="122">
        <f>INDEX(LINEST($X$71:$X$88,$O$71:$O$88^{1,2}),2)</f>
        <v>-3.0709262345742761E-7</v>
      </c>
      <c r="AD66" s="45"/>
      <c r="AE66" s="290"/>
      <c r="AF66" s="290"/>
      <c r="AG66" s="290"/>
      <c r="AH66" s="290"/>
      <c r="AI66" s="290"/>
      <c r="AJ66" s="290"/>
      <c r="AK66" s="290"/>
      <c r="AL66" s="290"/>
      <c r="AM66" s="290"/>
      <c r="AN66" s="290"/>
      <c r="AO66" s="290"/>
      <c r="AP66" s="290"/>
      <c r="AQ66" s="290"/>
      <c r="AR66" s="290"/>
      <c r="AS66" s="290"/>
      <c r="AT66" s="290"/>
      <c r="AU66" s="290"/>
      <c r="AV66" s="290"/>
      <c r="AW66" s="45"/>
      <c r="AX66" s="30"/>
      <c r="AY66" s="30"/>
      <c r="AZ66" s="30"/>
      <c r="BA66" s="30"/>
      <c r="BB66" s="30"/>
      <c r="BC66" s="30"/>
    </row>
    <row r="67" spans="3:55" ht="15" thickBot="1" x14ac:dyDescent="0.35">
      <c r="W67" s="55"/>
      <c r="X67" s="182">
        <f>INDEX(LINEST($X$4:$X$19,$O$4:$O$19^{1,2}),3)</f>
        <v>-4.2312897208109457E-3</v>
      </c>
      <c r="Y67" s="32"/>
      <c r="Z67" s="108"/>
      <c r="AA67" s="123">
        <f>INDEX(LINEST($X$71:$X$88,$O$71:$O$88^{1,2}),3)</f>
        <v>2.0111653701195102E-3</v>
      </c>
      <c r="AD67" s="45"/>
      <c r="AE67" s="290"/>
      <c r="AF67" s="290"/>
      <c r="AG67" s="290"/>
      <c r="AH67" s="290"/>
      <c r="AI67" s="290"/>
      <c r="AJ67" s="290"/>
      <c r="AK67" s="290"/>
      <c r="AL67" s="290"/>
      <c r="AM67" s="290"/>
      <c r="AN67" s="290"/>
      <c r="AO67" s="290"/>
      <c r="AP67" s="290"/>
      <c r="AQ67" s="290"/>
      <c r="AR67" s="290"/>
      <c r="AS67" s="290"/>
      <c r="AT67" s="290"/>
      <c r="AU67" s="290"/>
      <c r="AV67" s="290"/>
      <c r="AW67" s="45"/>
      <c r="AX67" s="30"/>
      <c r="AY67" s="30"/>
      <c r="AZ67" s="30"/>
      <c r="BA67" s="30"/>
      <c r="BB67" s="30"/>
      <c r="BC67" s="30"/>
    </row>
    <row r="68" spans="3:55" x14ac:dyDescent="0.3"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30"/>
      <c r="AY68" s="30"/>
      <c r="AZ68" s="30"/>
      <c r="BA68" s="30"/>
      <c r="BB68" s="30"/>
      <c r="BC68" s="30"/>
    </row>
    <row r="69" spans="3:55" x14ac:dyDescent="0.3">
      <c r="AD69" s="45"/>
      <c r="AE69" s="290"/>
      <c r="AF69" s="290"/>
      <c r="AG69" s="290"/>
      <c r="AH69" s="290"/>
      <c r="AI69" s="290"/>
      <c r="AJ69" s="290"/>
      <c r="AK69" s="290"/>
      <c r="AL69" s="290"/>
      <c r="AM69" s="290"/>
      <c r="AN69" s="290"/>
      <c r="AO69" s="290"/>
      <c r="AP69" s="290"/>
      <c r="AQ69" s="290"/>
      <c r="AR69" s="290"/>
      <c r="AS69" s="290"/>
      <c r="AT69" s="290"/>
      <c r="AU69" s="290"/>
      <c r="AV69" s="290"/>
      <c r="AW69" s="45"/>
      <c r="AX69" s="30"/>
      <c r="AY69" s="30"/>
      <c r="AZ69" s="30"/>
      <c r="BA69" s="30"/>
      <c r="BB69" s="30"/>
      <c r="BC69" s="30"/>
    </row>
    <row r="70" spans="3:55" x14ac:dyDescent="0.3">
      <c r="C70" t="s">
        <v>116</v>
      </c>
      <c r="V70" t="s">
        <v>89</v>
      </c>
      <c r="W70" t="s">
        <v>150</v>
      </c>
      <c r="X70" t="s">
        <v>151</v>
      </c>
    </row>
    <row r="71" spans="3:55" x14ac:dyDescent="0.3">
      <c r="C71" s="113">
        <f t="shared" ref="C71:C76" si="57">D71/180+1</f>
        <v>1.0611111111111111</v>
      </c>
      <c r="D71" s="142">
        <v>11</v>
      </c>
      <c r="E71" s="142"/>
      <c r="F71" s="142">
        <v>13.68</v>
      </c>
      <c r="G71" s="142">
        <v>0.6</v>
      </c>
      <c r="H71" s="142">
        <v>6860</v>
      </c>
      <c r="I71" s="143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37">
        <f>$V71/$O71*5252</f>
        <v>3.0261164651061443E-3</v>
      </c>
      <c r="X71" s="150">
        <f>W71-$W$71</f>
        <v>0</v>
      </c>
      <c r="Y71">
        <f t="shared" ref="Y71:Y88" si="65">-X71/2/O71</f>
        <v>0</v>
      </c>
    </row>
    <row r="72" spans="3:55" x14ac:dyDescent="0.3">
      <c r="C72" s="113">
        <f t="shared" si="57"/>
        <v>1.0833333333333333</v>
      </c>
      <c r="D72" s="142">
        <v>15</v>
      </c>
      <c r="E72" s="142"/>
      <c r="F72" s="142">
        <v>13.66</v>
      </c>
      <c r="G72" s="142">
        <v>0.65100000000000002</v>
      </c>
      <c r="H72" s="142">
        <v>6180</v>
      </c>
      <c r="I72" s="143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127">
        <f>$V72/$O72*5252</f>
        <v>3.2228271396323046E-3</v>
      </c>
      <c r="X72" s="150">
        <f t="shared" ref="X72:X88" si="67">W72-$W$71</f>
        <v>1.967106745261603E-4</v>
      </c>
      <c r="Y72">
        <f t="shared" si="65"/>
        <v>-1.0130599738097255E-8</v>
      </c>
    </row>
    <row r="73" spans="3:55" x14ac:dyDescent="0.3">
      <c r="C73" s="113">
        <f t="shared" si="57"/>
        <v>1.0666666666666667</v>
      </c>
      <c r="D73" s="142">
        <v>12</v>
      </c>
      <c r="E73" s="142"/>
      <c r="F73" s="142">
        <v>13.63</v>
      </c>
      <c r="G73" s="142">
        <v>0.68</v>
      </c>
      <c r="H73" s="142">
        <v>5840</v>
      </c>
      <c r="I73" s="143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127">
        <f t="shared" ref="W73:W88" si="68">$V73/$O73*5252</f>
        <v>3.3030980202398302E-3</v>
      </c>
      <c r="X73" s="150">
        <f t="shared" si="67"/>
        <v>2.7698155513368591E-4</v>
      </c>
      <c r="Y73">
        <f t="shared" si="65"/>
        <v>-1.3479769016506046E-8</v>
      </c>
    </row>
    <row r="74" spans="3:55" x14ac:dyDescent="0.3">
      <c r="C74" s="113">
        <f t="shared" si="57"/>
        <v>1.0722222222222222</v>
      </c>
      <c r="D74" s="142">
        <v>13</v>
      </c>
      <c r="E74" s="142"/>
      <c r="F74" s="142">
        <v>13.6</v>
      </c>
      <c r="G74" s="142">
        <v>0.74</v>
      </c>
      <c r="H74" s="142">
        <v>5280</v>
      </c>
      <c r="I74" s="143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127">
        <f t="shared" si="68"/>
        <v>3.479466072730053E-3</v>
      </c>
      <c r="X74" s="150">
        <f t="shared" si="67"/>
        <v>4.5334960762390868E-4</v>
      </c>
      <c r="Y74">
        <f t="shared" si="65"/>
        <v>-1.9947382735451983E-8</v>
      </c>
    </row>
    <row r="75" spans="3:55" x14ac:dyDescent="0.3">
      <c r="C75" s="113">
        <f t="shared" si="57"/>
        <v>1.0777777777777777</v>
      </c>
      <c r="D75" s="142">
        <v>14</v>
      </c>
      <c r="E75" s="142"/>
      <c r="F75" s="142">
        <v>13.57</v>
      </c>
      <c r="G75" s="142">
        <v>0.78700000000000003</v>
      </c>
      <c r="H75" s="142">
        <v>4900</v>
      </c>
      <c r="I75" s="143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127">
        <f t="shared" si="68"/>
        <v>3.5831263742642254E-3</v>
      </c>
      <c r="X75" s="150">
        <f t="shared" si="67"/>
        <v>5.5700990915808109E-4</v>
      </c>
      <c r="Y75">
        <f t="shared" si="65"/>
        <v>-2.2744571290621641E-8</v>
      </c>
    </row>
    <row r="76" spans="3:55" x14ac:dyDescent="0.3">
      <c r="C76" s="113">
        <f t="shared" si="57"/>
        <v>1.1111111111111112</v>
      </c>
      <c r="D76" s="142">
        <v>20</v>
      </c>
      <c r="E76" s="142"/>
      <c r="F76" s="142">
        <v>13.77</v>
      </c>
      <c r="G76" s="142">
        <v>0.92900000000000005</v>
      </c>
      <c r="H76" s="142">
        <v>3500</v>
      </c>
      <c r="I76" s="143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127">
        <f t="shared" si="68"/>
        <v>3.4273834639237518E-3</v>
      </c>
      <c r="X76" s="150">
        <f t="shared" si="67"/>
        <v>4.0126699881760756E-4</v>
      </c>
      <c r="Y76">
        <f t="shared" si="65"/>
        <v>-1.1703620798846885E-8</v>
      </c>
    </row>
    <row r="77" spans="3:55" x14ac:dyDescent="0.3">
      <c r="C77" s="113">
        <f t="shared" ref="C77:C88" si="72">D77/180+1</f>
        <v>1.1388888888888888</v>
      </c>
      <c r="D77" s="142">
        <v>25</v>
      </c>
      <c r="E77" s="142"/>
      <c r="F77" s="142">
        <v>13.74</v>
      </c>
      <c r="G77" s="142">
        <v>1.26</v>
      </c>
      <c r="H77" s="142">
        <v>3010</v>
      </c>
      <c r="I77" s="142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127">
        <f t="shared" si="68"/>
        <v>4.5446090192368654E-3</v>
      </c>
      <c r="X77" s="150">
        <f t="shared" si="67"/>
        <v>1.5184925541307211E-3</v>
      </c>
      <c r="Y77">
        <f t="shared" si="65"/>
        <v>-3.8088854899445583E-8</v>
      </c>
    </row>
    <row r="78" spans="3:55" x14ac:dyDescent="0.3">
      <c r="C78" s="113">
        <f t="shared" si="72"/>
        <v>1.1666666666666667</v>
      </c>
      <c r="D78" s="142">
        <v>30</v>
      </c>
      <c r="E78" s="142"/>
      <c r="F78" s="142">
        <v>13.72</v>
      </c>
      <c r="G78" s="142">
        <v>1.734</v>
      </c>
      <c r="H78" s="142">
        <v>2650</v>
      </c>
      <c r="I78" s="142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127">
        <f t="shared" si="68"/>
        <v>6.0161906978496715E-3</v>
      </c>
      <c r="X78" s="150">
        <f t="shared" si="67"/>
        <v>2.9900742327435273E-3</v>
      </c>
      <c r="Y78">
        <f t="shared" si="65"/>
        <v>-6.6030805973086218E-8</v>
      </c>
    </row>
    <row r="79" spans="3:55" x14ac:dyDescent="0.3">
      <c r="C79" s="113">
        <f t="shared" si="72"/>
        <v>1.1944444444444444</v>
      </c>
      <c r="D79" s="142">
        <v>35</v>
      </c>
      <c r="E79" s="142"/>
      <c r="F79" s="142">
        <v>13.69</v>
      </c>
      <c r="G79" s="142">
        <v>2.113</v>
      </c>
      <c r="H79" s="142">
        <v>2500</v>
      </c>
      <c r="I79" s="142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127">
        <f t="shared" si="68"/>
        <v>7.1830075717149939E-3</v>
      </c>
      <c r="X79" s="150">
        <f t="shared" si="67"/>
        <v>4.1568911066088496E-3</v>
      </c>
      <c r="Y79">
        <f t="shared" si="65"/>
        <v>-8.6601898054351018E-8</v>
      </c>
    </row>
    <row r="80" spans="3:55" x14ac:dyDescent="0.3">
      <c r="C80" s="113">
        <f t="shared" si="72"/>
        <v>1.2222222222222223</v>
      </c>
      <c r="D80" s="142">
        <v>40</v>
      </c>
      <c r="E80" s="142"/>
      <c r="F80" s="142">
        <v>13.66</v>
      </c>
      <c r="G80" s="142">
        <v>2.37</v>
      </c>
      <c r="H80" s="142">
        <v>2270</v>
      </c>
      <c r="I80" s="142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127">
        <f t="shared" si="68"/>
        <v>7.4407265561536179E-3</v>
      </c>
      <c r="X80" s="150">
        <f t="shared" si="67"/>
        <v>4.4146100910474736E-3</v>
      </c>
      <c r="Y80">
        <f t="shared" si="65"/>
        <v>-8.3509707555648035E-8</v>
      </c>
    </row>
    <row r="81" spans="3:25" x14ac:dyDescent="0.3">
      <c r="C81" s="113">
        <f t="shared" si="72"/>
        <v>1.2777777777777777</v>
      </c>
      <c r="D81" s="142">
        <v>50</v>
      </c>
      <c r="E81" s="142"/>
      <c r="F81" s="142">
        <v>13.6</v>
      </c>
      <c r="G81" s="142">
        <v>3.1</v>
      </c>
      <c r="H81" s="142">
        <v>2020</v>
      </c>
      <c r="I81" s="142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127">
        <f t="shared" si="68"/>
        <v>8.9416323857987191E-3</v>
      </c>
      <c r="X81" s="150">
        <f t="shared" si="67"/>
        <v>5.9155159206925748E-3</v>
      </c>
      <c r="Y81">
        <f t="shared" si="65"/>
        <v>-9.957785133165834E-8</v>
      </c>
    </row>
    <row r="82" spans="3:25" x14ac:dyDescent="0.3">
      <c r="C82" s="113">
        <f t="shared" si="72"/>
        <v>1.3333333333333333</v>
      </c>
      <c r="D82" s="142">
        <v>60</v>
      </c>
      <c r="E82" s="142"/>
      <c r="F82" s="142">
        <v>13.52</v>
      </c>
      <c r="G82" s="142">
        <v>3.9</v>
      </c>
      <c r="H82" s="142">
        <v>1870</v>
      </c>
      <c r="I82" s="142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127">
        <f t="shared" si="68"/>
        <v>1.0597413657095125E-2</v>
      </c>
      <c r="X82" s="150">
        <f t="shared" si="67"/>
        <v>7.5712971919889805E-3</v>
      </c>
      <c r="Y82">
        <f t="shared" si="65"/>
        <v>-1.1798604790849495E-7</v>
      </c>
    </row>
    <row r="83" spans="3:25" x14ac:dyDescent="0.3">
      <c r="C83" s="113">
        <f t="shared" si="72"/>
        <v>1.4166666666666667</v>
      </c>
      <c r="D83" s="142">
        <v>75</v>
      </c>
      <c r="E83" s="142"/>
      <c r="F83" s="142">
        <v>13.2</v>
      </c>
      <c r="G83" s="142">
        <v>4.92</v>
      </c>
      <c r="H83" s="142">
        <v>1650</v>
      </c>
      <c r="I83" s="142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127">
        <f t="shared" si="68"/>
        <v>1.1716700501132942E-2</v>
      </c>
      <c r="X83" s="150">
        <f t="shared" si="67"/>
        <v>8.6905840360267973E-3</v>
      </c>
      <c r="Y83">
        <f t="shared" si="65"/>
        <v>-1.1949553049536844E-7</v>
      </c>
    </row>
    <row r="84" spans="3:25" x14ac:dyDescent="0.3">
      <c r="C84" s="113">
        <f t="shared" si="72"/>
        <v>1.5</v>
      </c>
      <c r="D84" s="142">
        <v>90</v>
      </c>
      <c r="E84" s="142"/>
      <c r="F84" s="142">
        <v>13.31</v>
      </c>
      <c r="G84" s="142">
        <v>6.12</v>
      </c>
      <c r="H84" s="142">
        <v>1510</v>
      </c>
      <c r="I84" s="142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127">
        <f t="shared" si="68"/>
        <v>1.3649521409228446E-2</v>
      </c>
      <c r="X84" s="150">
        <f t="shared" si="67"/>
        <v>1.0623404944122301E-2</v>
      </c>
      <c r="Y84">
        <f t="shared" si="65"/>
        <v>-1.3367784554687227E-7</v>
      </c>
    </row>
    <row r="85" spans="3:25" x14ac:dyDescent="0.3">
      <c r="C85" s="113">
        <f t="shared" si="72"/>
        <v>1.6055555555555556</v>
      </c>
      <c r="D85" s="142">
        <v>109</v>
      </c>
      <c r="E85" s="142"/>
      <c r="F85" s="142">
        <v>12.93</v>
      </c>
      <c r="G85" s="142">
        <v>7.27</v>
      </c>
      <c r="H85" s="142">
        <v>1470</v>
      </c>
      <c r="I85" s="142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127">
        <f t="shared" si="68"/>
        <v>1.5452453143292119E-2</v>
      </c>
      <c r="X85" s="150">
        <f t="shared" si="67"/>
        <v>1.2426336678185976E-2</v>
      </c>
      <c r="Y85">
        <f t="shared" si="65"/>
        <v>-1.5222262430777822E-7</v>
      </c>
    </row>
    <row r="86" spans="3:25" ht="15" thickBot="1" x14ac:dyDescent="0.35">
      <c r="C86" s="116">
        <f t="shared" si="72"/>
        <v>1.7222222222222223</v>
      </c>
      <c r="D86" s="142">
        <v>130</v>
      </c>
      <c r="E86" s="142"/>
      <c r="F86" s="142">
        <v>13.08</v>
      </c>
      <c r="G86" s="142">
        <v>8.9600000000000009</v>
      </c>
      <c r="H86" s="142">
        <v>1380</v>
      </c>
      <c r="I86" s="142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127">
        <f t="shared" si="68"/>
        <v>1.8263858195575022E-2</v>
      </c>
      <c r="X86" s="150">
        <f t="shared" si="67"/>
        <v>1.5237741730468879E-2</v>
      </c>
      <c r="Y86">
        <f t="shared" si="65"/>
        <v>-1.7523402990039207E-7</v>
      </c>
    </row>
    <row r="87" spans="3:25" x14ac:dyDescent="0.3">
      <c r="C87" s="144">
        <f t="shared" si="72"/>
        <v>1.8277777777777777</v>
      </c>
      <c r="D87" s="142">
        <v>149</v>
      </c>
      <c r="E87" s="142"/>
      <c r="F87" s="142">
        <v>12.95</v>
      </c>
      <c r="G87" s="142">
        <v>10.8</v>
      </c>
      <c r="H87" s="142">
        <v>1310</v>
      </c>
      <c r="I87" s="142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127">
        <f t="shared" si="68"/>
        <v>2.0822423498943188E-2</v>
      </c>
      <c r="X87" s="150">
        <f t="shared" si="67"/>
        <v>1.7796307033837045E-2</v>
      </c>
      <c r="Y87">
        <f t="shared" si="65"/>
        <v>-1.942763517860544E-7</v>
      </c>
    </row>
    <row r="88" spans="3:25" x14ac:dyDescent="0.3">
      <c r="C88" s="144">
        <f t="shared" si="72"/>
        <v>1.911111111111111</v>
      </c>
      <c r="D88" s="142">
        <v>164</v>
      </c>
      <c r="E88" s="142"/>
      <c r="F88" s="142">
        <v>12.75</v>
      </c>
      <c r="G88" s="142">
        <v>13.9</v>
      </c>
      <c r="H88" s="142">
        <v>1252</v>
      </c>
      <c r="I88" s="142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127">
        <f t="shared" si="68"/>
        <v>2.539185911052097E-2</v>
      </c>
      <c r="X88" s="150">
        <f t="shared" si="67"/>
        <v>2.2365742645414827E-2</v>
      </c>
      <c r="Y88">
        <f t="shared" si="65"/>
        <v>-2.3334924826716135E-7</v>
      </c>
    </row>
    <row r="91" spans="3:25" x14ac:dyDescent="0.3">
      <c r="C91" t="s">
        <v>117</v>
      </c>
      <c r="V91" t="s">
        <v>90</v>
      </c>
      <c r="X91" t="s">
        <v>91</v>
      </c>
    </row>
    <row r="92" spans="3:25" x14ac:dyDescent="0.3">
      <c r="C92" s="113">
        <f>D92/180+1</f>
        <v>1.0611111111111111</v>
      </c>
      <c r="D92" s="142">
        <v>11</v>
      </c>
      <c r="E92" s="142"/>
      <c r="F92" s="142">
        <v>13.81</v>
      </c>
      <c r="G92" s="142">
        <v>0.57599999999999996</v>
      </c>
      <c r="H92" s="142">
        <v>4880</v>
      </c>
      <c r="I92" s="143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37">
        <f>$V92/$O92*5252</f>
        <v>4.5566466674235194E-3</v>
      </c>
      <c r="X92" s="127">
        <f>W92-$W$92</f>
        <v>0</v>
      </c>
      <c r="Y92">
        <f t="shared" ref="Y92:Y106" si="83">-X92/2/O92</f>
        <v>0</v>
      </c>
    </row>
    <row r="93" spans="3:25" x14ac:dyDescent="0.3">
      <c r="C93" s="113">
        <f>D93/180+1</f>
        <v>1.0833333333333333</v>
      </c>
      <c r="D93" s="142">
        <v>15</v>
      </c>
      <c r="E93" s="142"/>
      <c r="F93" s="142">
        <v>13.8</v>
      </c>
      <c r="G93" s="142">
        <v>0.77800000000000002</v>
      </c>
      <c r="H93" s="142">
        <v>3900</v>
      </c>
      <c r="I93" s="143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127">
        <f t="shared" ref="W93:W106" si="85">$V93/$O93*5252</f>
        <v>4.9151034173411049E-3</v>
      </c>
      <c r="X93" s="127">
        <f t="shared" ref="X93:X106" si="86">W93-$W$92</f>
        <v>3.5845674991758555E-4</v>
      </c>
      <c r="Y93">
        <f t="shared" si="83"/>
        <v>-1.1649844372321531E-8</v>
      </c>
    </row>
    <row r="94" spans="3:25" x14ac:dyDescent="0.3">
      <c r="C94" s="113">
        <f>D94/180+1</f>
        <v>1.1111111111111112</v>
      </c>
      <c r="D94" s="142">
        <v>20</v>
      </c>
      <c r="E94" s="142"/>
      <c r="F94" s="142">
        <v>13.78</v>
      </c>
      <c r="G94" s="142">
        <v>1.04</v>
      </c>
      <c r="H94" s="142">
        <v>3260</v>
      </c>
      <c r="I94" s="143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127">
        <f t="shared" si="85"/>
        <v>5.4841525476331228E-3</v>
      </c>
      <c r="X94" s="127">
        <f t="shared" si="86"/>
        <v>9.2750588020960346E-4</v>
      </c>
      <c r="Y94">
        <f t="shared" si="83"/>
        <v>-2.519724307902756E-8</v>
      </c>
    </row>
    <row r="95" spans="3:25" x14ac:dyDescent="0.3">
      <c r="C95" s="113">
        <f t="shared" ref="C95:C106" si="87">D95/180+1</f>
        <v>1.1388888888888888</v>
      </c>
      <c r="D95" s="142">
        <v>25</v>
      </c>
      <c r="E95" s="142"/>
      <c r="F95" s="142">
        <v>13.76</v>
      </c>
      <c r="G95" s="142">
        <v>1.363</v>
      </c>
      <c r="H95" s="142">
        <v>2870</v>
      </c>
      <c r="I95" s="142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127">
        <f t="shared" si="85"/>
        <v>6.3183773011363711E-3</v>
      </c>
      <c r="X95" s="127">
        <f t="shared" si="86"/>
        <v>1.7617306337128517E-3</v>
      </c>
      <c r="Y95">
        <f t="shared" si="83"/>
        <v>-4.21347243229657E-8</v>
      </c>
    </row>
    <row r="96" spans="3:25" x14ac:dyDescent="0.3">
      <c r="C96" s="113">
        <f t="shared" si="87"/>
        <v>1.1666666666666667</v>
      </c>
      <c r="D96" s="142">
        <v>30</v>
      </c>
      <c r="E96" s="142"/>
      <c r="F96" s="142">
        <v>13.74</v>
      </c>
      <c r="G96" s="142">
        <v>1.67</v>
      </c>
      <c r="H96" s="142">
        <v>2640</v>
      </c>
      <c r="I96" s="142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127">
        <f t="shared" si="85"/>
        <v>7.1107678547450686E-3</v>
      </c>
      <c r="X96" s="127">
        <f t="shared" si="86"/>
        <v>2.5541211873215492E-3</v>
      </c>
      <c r="Y96">
        <f t="shared" si="83"/>
        <v>-5.6190666121074085E-8</v>
      </c>
    </row>
    <row r="97" spans="3:25" x14ac:dyDescent="0.3">
      <c r="C97" s="113">
        <f t="shared" si="87"/>
        <v>1.1944444444444444</v>
      </c>
      <c r="D97" s="142">
        <v>35</v>
      </c>
      <c r="E97" s="142"/>
      <c r="F97" s="142">
        <v>13.72</v>
      </c>
      <c r="G97" s="142">
        <v>2.0550000000000002</v>
      </c>
      <c r="H97" s="142">
        <v>2400</v>
      </c>
      <c r="I97" s="142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127">
        <f t="shared" si="85"/>
        <v>7.9430363313624987E-3</v>
      </c>
      <c r="X97" s="127">
        <f t="shared" si="86"/>
        <v>3.3863896639389794E-3</v>
      </c>
      <c r="Y97">
        <f t="shared" si="83"/>
        <v>-6.7727793278779586E-8</v>
      </c>
    </row>
    <row r="98" spans="3:25" x14ac:dyDescent="0.3">
      <c r="C98" s="113">
        <f t="shared" si="87"/>
        <v>1.2222222222222223</v>
      </c>
      <c r="D98" s="142">
        <v>40</v>
      </c>
      <c r="E98" s="142"/>
      <c r="F98" s="142">
        <v>13.7</v>
      </c>
      <c r="G98" s="142">
        <v>2.2999999999999998</v>
      </c>
      <c r="H98" s="142">
        <v>2250</v>
      </c>
      <c r="I98" s="142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127">
        <f t="shared" si="85"/>
        <v>8.3222410541789974E-3</v>
      </c>
      <c r="X98" s="127">
        <f t="shared" si="86"/>
        <v>3.765594386755478E-3</v>
      </c>
      <c r="Y98">
        <f t="shared" si="83"/>
        <v>-7.0604894751665205E-8</v>
      </c>
    </row>
    <row r="99" spans="3:25" x14ac:dyDescent="0.3">
      <c r="C99" s="113">
        <f t="shared" si="87"/>
        <v>1.2777777777777777</v>
      </c>
      <c r="D99" s="142">
        <v>50</v>
      </c>
      <c r="E99" s="142"/>
      <c r="F99" s="142">
        <v>13.65</v>
      </c>
      <c r="G99" s="142">
        <v>3.02</v>
      </c>
      <c r="H99" s="142">
        <v>2010</v>
      </c>
      <c r="I99" s="142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127">
        <f t="shared" si="85"/>
        <v>9.7262408883614527E-3</v>
      </c>
      <c r="X99" s="127">
        <f t="shared" si="86"/>
        <v>5.1695942209379333E-3</v>
      </c>
      <c r="Y99">
        <f t="shared" si="83"/>
        <v>-8.6590703200710378E-8</v>
      </c>
    </row>
    <row r="100" spans="3:25" x14ac:dyDescent="0.3">
      <c r="C100" s="113">
        <f t="shared" si="87"/>
        <v>1.3333333333333333</v>
      </c>
      <c r="D100" s="142">
        <v>60</v>
      </c>
      <c r="E100" s="142"/>
      <c r="F100" s="142">
        <v>13.6</v>
      </c>
      <c r="G100" s="142">
        <v>3.81</v>
      </c>
      <c r="H100" s="142">
        <v>1880</v>
      </c>
      <c r="I100" s="142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127">
        <f t="shared" si="85"/>
        <v>1.1434866614916992E-2</v>
      </c>
      <c r="X100" s="127">
        <f t="shared" si="86"/>
        <v>6.8782199474934731E-3</v>
      </c>
      <c r="Y100">
        <f t="shared" si="83"/>
        <v>-1.0775877917739773E-7</v>
      </c>
    </row>
    <row r="101" spans="3:25" x14ac:dyDescent="0.3">
      <c r="C101" s="113">
        <f t="shared" si="87"/>
        <v>1.4166666666666667</v>
      </c>
      <c r="D101" s="142">
        <v>75</v>
      </c>
      <c r="E101" s="142"/>
      <c r="F101" s="142">
        <v>13.54</v>
      </c>
      <c r="G101" s="142">
        <v>4.91</v>
      </c>
      <c r="H101" s="142">
        <v>1630</v>
      </c>
      <c r="I101" s="142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127">
        <f t="shared" si="85"/>
        <v>1.2720293456940682E-2</v>
      </c>
      <c r="X101" s="127">
        <f t="shared" si="86"/>
        <v>8.1636467895171635E-3</v>
      </c>
      <c r="Y101">
        <f t="shared" si="83"/>
        <v>-1.1088953555760814E-7</v>
      </c>
    </row>
    <row r="102" spans="3:25" x14ac:dyDescent="0.3">
      <c r="C102" s="113">
        <f t="shared" si="87"/>
        <v>1.5</v>
      </c>
      <c r="D102" s="142">
        <v>90</v>
      </c>
      <c r="E102" s="142"/>
      <c r="F102" s="142">
        <v>13.47</v>
      </c>
      <c r="G102" s="142">
        <v>6</v>
      </c>
      <c r="H102" s="142">
        <v>1520</v>
      </c>
      <c r="I102" s="142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127">
        <f t="shared" si="85"/>
        <v>1.4420217263487361E-2</v>
      </c>
      <c r="X102" s="127">
        <f t="shared" si="86"/>
        <v>9.8635705960638427E-3</v>
      </c>
      <c r="Y102">
        <f t="shared" si="83"/>
        <v>-1.2493856088347532E-7</v>
      </c>
    </row>
    <row r="103" spans="3:25" x14ac:dyDescent="0.3">
      <c r="C103" s="113">
        <f t="shared" si="87"/>
        <v>1.6055555555555556</v>
      </c>
      <c r="D103" s="142">
        <v>109</v>
      </c>
      <c r="E103" s="142"/>
      <c r="F103" s="142">
        <v>13.38</v>
      </c>
      <c r="G103" s="142">
        <v>7.4</v>
      </c>
      <c r="H103" s="142">
        <v>1390</v>
      </c>
      <c r="I103" s="142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127">
        <f t="shared" si="85"/>
        <v>1.6155187509381233E-2</v>
      </c>
      <c r="X103" s="127">
        <f t="shared" si="86"/>
        <v>1.1598540841957713E-2</v>
      </c>
      <c r="Y103">
        <f t="shared" si="83"/>
        <v>-1.3434976475267684E-7</v>
      </c>
    </row>
    <row r="104" spans="3:25" ht="15" thickBot="1" x14ac:dyDescent="0.35">
      <c r="C104" s="116">
        <f t="shared" si="87"/>
        <v>1.7222222222222223</v>
      </c>
      <c r="D104" s="142">
        <v>130</v>
      </c>
      <c r="E104" s="142"/>
      <c r="F104" s="142">
        <v>13.29</v>
      </c>
      <c r="G104" s="142">
        <v>8.9</v>
      </c>
      <c r="H104" s="142">
        <v>1350</v>
      </c>
      <c r="I104" s="142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127">
        <f t="shared" si="85"/>
        <v>1.8743820897416941E-2</v>
      </c>
      <c r="X104" s="127">
        <f t="shared" si="86"/>
        <v>1.418717422999342E-2</v>
      </c>
      <c r="Y104">
        <f t="shared" si="83"/>
        <v>-1.5960571008742599E-7</v>
      </c>
    </row>
    <row r="105" spans="3:25" x14ac:dyDescent="0.3">
      <c r="C105" s="144">
        <f t="shared" si="87"/>
        <v>1.8444444444444446</v>
      </c>
      <c r="D105" s="142">
        <v>152</v>
      </c>
      <c r="E105" s="142"/>
      <c r="F105" s="142">
        <v>13.1</v>
      </c>
      <c r="G105" s="142">
        <v>11.64</v>
      </c>
      <c r="H105" s="142">
        <v>1280</v>
      </c>
      <c r="I105" s="142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127">
        <f t="shared" si="85"/>
        <v>2.2910977316251649E-2</v>
      </c>
      <c r="X105" s="127">
        <f t="shared" si="86"/>
        <v>1.8354330648828129E-2</v>
      </c>
      <c r="Y105">
        <f t="shared" si="83"/>
        <v>-1.9577952692083334E-7</v>
      </c>
    </row>
    <row r="106" spans="3:25" x14ac:dyDescent="0.3">
      <c r="C106" s="144">
        <f t="shared" si="87"/>
        <v>1.911111111111111</v>
      </c>
      <c r="D106" s="142">
        <v>164</v>
      </c>
      <c r="E106" s="142"/>
      <c r="F106" s="142">
        <v>12.93</v>
      </c>
      <c r="G106" s="142">
        <v>14.16</v>
      </c>
      <c r="H106" s="142">
        <v>1236</v>
      </c>
      <c r="I106" s="142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127">
        <f t="shared" si="85"/>
        <v>2.6563764337382487E-2</v>
      </c>
      <c r="X106" s="127">
        <f t="shared" si="86"/>
        <v>2.2007117669958966E-2</v>
      </c>
      <c r="Y106">
        <f t="shared" si="83"/>
        <v>-2.2667331200057733E-7</v>
      </c>
    </row>
    <row r="107" spans="3:25" x14ac:dyDescent="0.3">
      <c r="W107" s="127"/>
    </row>
    <row r="108" spans="3:25" x14ac:dyDescent="0.3">
      <c r="W108" s="127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L25" sqref="L25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24</vt:i4>
      </vt:variant>
    </vt:vector>
  </HeadingPairs>
  <TitlesOfParts>
    <vt:vector size="37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Ardx_Turnx_ESCx_Gxb_Txa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2017-01-14T20:00:09Z</dcterms:modified>
</cp:coreProperties>
</file>