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48" windowWidth="24036" windowHeight="4992"/>
  </bookViews>
  <sheets>
    <sheet name="Ard1_Turn1_ESC1_G1b_T1a" sheetId="7" r:id="rId1"/>
    <sheet name="CalPhotonTurnigy" sheetId="4" r:id="rId2"/>
    <sheet name="TauPhotonTurnigy" sheetId="5" r:id="rId3"/>
    <sheet name="CalArduinoTurnigy" sheetId="3" r:id="rId4"/>
    <sheet name="CalArduinoHiTec" sheetId="1" r:id="rId5"/>
    <sheet name="CalPhotonHiTec" sheetId="2" r:id="rId6"/>
  </sheets>
  <definedNames>
    <definedName name="Meas_TauT__s">Ard1_Turn1_ESC1_G1b_T1a!$J$39:$J$45</definedName>
    <definedName name="Nt">Ard1_Turn1_ESC1_G1b_T1a!$I$39:$I$45</definedName>
  </definedNames>
  <calcPr calcId="152511"/>
</workbook>
</file>

<file path=xl/calcChain.xml><?xml version="1.0" encoding="utf-8"?>
<calcChain xmlns="http://schemas.openxmlformats.org/spreadsheetml/2006/main">
  <c r="Q53" i="7" l="1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T52" i="7"/>
  <c r="S52" i="7"/>
  <c r="R52" i="7"/>
  <c r="Q52" i="7"/>
  <c r="P57" i="7"/>
  <c r="P56" i="7"/>
  <c r="P55" i="7"/>
  <c r="P54" i="7"/>
  <c r="P53" i="7"/>
  <c r="P52" i="7"/>
  <c r="I45" i="7"/>
  <c r="Q45" i="7" l="1"/>
  <c r="Q46" i="7"/>
  <c r="AG11" i="7"/>
  <c r="K43" i="7"/>
  <c r="L43" i="7" s="1"/>
  <c r="Q31" i="7" l="1"/>
  <c r="Q34" i="7"/>
  <c r="E50" i="7"/>
  <c r="S2" i="7" l="1"/>
  <c r="C13" i="7" l="1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A14" i="7" l="1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36" i="7" l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T6" i="7" l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P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Z9" i="1" s="1"/>
  <c r="AA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S6" i="1"/>
  <c r="M6" i="1"/>
  <c r="O6" i="1" s="1"/>
  <c r="L6" i="1"/>
  <c r="N6" i="1" s="1"/>
  <c r="K6" i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O22" i="3"/>
  <c r="M22" i="3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S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O9" i="3"/>
  <c r="Q9" i="3" s="1"/>
  <c r="N9" i="3"/>
  <c r="P9" i="3" s="1"/>
  <c r="M9" i="3"/>
  <c r="L9" i="3"/>
  <c r="K9" i="3"/>
  <c r="J9" i="3"/>
  <c r="T9" i="3" s="1"/>
  <c r="U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U3" i="3"/>
  <c r="T3" i="3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S6" i="3" l="1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W54" i="3" l="1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<sst xmlns="http://schemas.openxmlformats.org/spreadsheetml/2006/main" count="718" uniqueCount="291">
  <si>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</si>
  <si>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</si>
  <si>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</si>
  <si>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</si>
  <si>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</si>
  <si>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</si>
  <si>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</si>
  <si>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</si>
  <si>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</si>
  <si>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</si>
  <si>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</si>
  <si>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</si>
  <si>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</si>
  <si>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</si>
  <si>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</si>
  <si>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</si>
  <si>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</si>
  <si>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</si>
  <si>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</si>
  <si>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</si>
  <si>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</si>
  <si>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</si>
  <si>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</si>
  <si>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</si>
  <si>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</si>
  <si>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</si>
  <si>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</si>
  <si>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</si>
  <si>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</si>
  <si>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</si>
  <si>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</si>
  <si>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</si>
  <si>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</si>
  <si>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</si>
  <si>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</si>
  <si>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</si>
  <si>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</si>
  <si>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</si>
  <si>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</si>
  <si>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</si>
  <si>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</si>
  <si>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</si>
  <si>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</si>
  <si>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</si>
  <si>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</si>
  <si>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</si>
  <si>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</si>
  <si>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</si>
  <si>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</si>
  <si>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</si>
  <si>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</si>
  <si>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</si>
  <si>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</si>
  <si>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</si>
  <si>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</si>
  <si>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</si>
  <si>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</si>
  <si>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</si>
  <si>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</si>
  <si>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</si>
  <si>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</si>
  <si>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</si>
  <si>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</si>
  <si>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</si>
  <si>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</si>
  <si>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</si>
  <si>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</si>
  <si>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</si>
  <si>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</si>
  <si>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</si>
  <si>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</si>
  <si>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</si>
  <si>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</si>
  <si>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</si>
  <si>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</si>
  <si>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</si>
  <si>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</si>
  <si>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</si>
  <si>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</si>
  <si>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</si>
  <si>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</si>
  <si>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</si>
  <si>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</si>
  <si>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</si>
  <si>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</si>
  <si>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</si>
  <si>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</si>
  <si>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</si>
  <si>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</si>
  <si>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</si>
  <si>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</si>
  <si>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</si>
  <si>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</si>
  <si>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</si>
  <si>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</si>
  <si>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</si>
  <si>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</si>
  <si>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</si>
  <si>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</si>
  <si>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</si>
  <si>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</si>
  <si>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</si>
  <si>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</si>
  <si>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</si>
  <si>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</si>
  <si>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</si>
  <si>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</si>
  <si>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</si>
  <si>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</si>
  <si>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</si>
  <si>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</si>
  <si>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</si>
  <si>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</si>
  <si>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</si>
  <si>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</si>
  <si>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</si>
  <si>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</si>
  <si>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</si>
  <si>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</si>
  <si>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</si>
  <si>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</si>
  <si>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</si>
  <si>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</si>
  <si>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</si>
  <si>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</si>
  <si>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</si>
  <si>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</si>
  <si>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</si>
  <si>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</si>
  <si>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</si>
  <si>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</si>
  <si>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</si>
  <si>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</si>
  <si>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</si>
  <si>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</si>
  <si>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</si>
  <si>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</si>
  <si>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</si>
  <si>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</si>
  <si>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</si>
  <si>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</si>
  <si>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</si>
  <si>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</si>
  <si>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</si>
  <si>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</si>
  <si>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</si>
  <si>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</si>
  <si>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</si>
  <si>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</si>
  <si>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</si>
  <si>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</si>
  <si>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</si>
  <si>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</si>
  <si>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</si>
  <si>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</si>
  <si>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</si>
  <si>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</si>
  <si>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</si>
  <si>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</si>
  <si>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</si>
  <si>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</si>
  <si>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</si>
  <si>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</si>
  <si>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</si>
  <si>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</si>
  <si>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</si>
  <si>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</si>
  <si>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</si>
  <si>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</si>
  <si>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</si>
  <si>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</si>
  <si>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</si>
  <si>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</si>
  <si>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</si>
  <si>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</si>
  <si>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</si>
  <si>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</si>
  <si>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</si>
  <si>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</si>
  <si>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</si>
  <si>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</si>
  <si>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</si>
  <si>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</si>
  <si>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</si>
  <si>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</si>
  <si>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</si>
  <si>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</si>
  <si>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</si>
  <si>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</si>
  <si>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</si>
  <si>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</si>
  <si>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</si>
  <si>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</si>
  <si>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</si>
  <si>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</si>
  <si>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</si>
  <si>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</si>
  <si>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</si>
  <si>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</si>
  <si>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</si>
  <si>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</si>
  <si>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</si>
  <si>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</si>
  <si>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</si>
  <si>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</si>
  <si>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</si>
  <si>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</si>
  <si>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</si>
  <si>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</si>
  <si>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</si>
  <si>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</si>
  <si>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</si>
  <si>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</si>
  <si>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</si>
  <si>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</si>
  <si>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</si>
  <si>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</si>
  <si>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</si>
  <si>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</si>
  <si>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</si>
  <si>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</si>
  <si>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</si>
  <si>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</si>
  <si>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</si>
  <si>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</si>
  <si>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</si>
  <si>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</si>
  <si>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</si>
  <si>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</si>
  <si>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</si>
  <si>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</si>
  <si>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</si>
  <si>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</si>
  <si>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</si>
  <si>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</si>
  <si>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</si>
  <si>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</si>
  <si>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</si>
  <si>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</si>
  <si>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</si>
  <si>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</si>
  <si>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</si>
  <si>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</si>
  <si>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</si>
  <si>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</si>
  <si>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</si>
  <si>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</si>
  <si>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</si>
  <si>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</si>
  <si>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</si>
  <si>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</si>
  <si>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</si>
  <si>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</si>
  <si>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</si>
  <si>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</si>
  <si>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</si>
  <si>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</si>
  <si>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</si>
  <si>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</si>
  <si>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</si>
  <si>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</si>
  <si>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</si>
  <si>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</si>
  <si>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</si>
  <si>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</si>
  <si>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</si>
  <si>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</si>
  <si>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</si>
  <si>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</si>
  <si>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</si>
  <si>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</si>
  <si>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</si>
  <si>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</si>
  <si>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</si>
  <si>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</si>
  <si>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</si>
  <si>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</si>
  <si>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</si>
  <si>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</si>
  <si>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</si>
  <si>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</si>
  <si>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</si>
  <si>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</si>
  <si>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</si>
  <si>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</si>
  <si>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</si>
  <si>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xALL</t>
  </si>
  <si>
    <t>tldF</t>
  </si>
  <si>
    <t>tlgF</t>
  </si>
  <si>
    <t>yLG</t>
  </si>
  <si>
    <t>yTLD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</si>
</sst>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168" fontId="0" fillId="8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0" fontId="0" fillId="0" borderId="4" xfId="0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8" borderId="0" xfId="0" applyNumberFormat="1" applyFill="1" applyBorder="1" applyAlignment="1">
      <alignment horizontal="right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0" fontId="0" fillId="3" borderId="1" xfId="0" applyFill="1" applyBorder="1"/>
    <xf numFmtId="166" fontId="0" fillId="3" borderId="0" xfId="0" applyNumberFormat="1" applyFill="1" applyBorder="1"/>
    <xf numFmtId="166" fontId="0" fillId="3" borderId="8" xfId="0" applyNumberFormat="1" applyFill="1" applyBorder="1"/>
    <xf numFmtId="168" fontId="0" fillId="0" borderId="8" xfId="0" applyNumberFormat="1" applyFill="1" applyBorder="1"/>
    <xf numFmtId="0" fontId="0" fillId="3" borderId="7" xfId="0" applyFill="1" applyBorder="1" applyAlignment="1">
      <alignment wrapText="1"/>
    </xf>
    <xf numFmtId="0" fontId="0" fillId="3" borderId="2" xfId="0" applyFill="1" applyBorder="1" applyAlignment="1">
      <alignment wrapText="1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0" fontId="0" fillId="0" borderId="6" xfId="0" applyFill="1" applyBorder="1"/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2" borderId="0" xfId="0" applyNumberFormat="1" applyFill="1" applyAlignment="1"/>
    <xf numFmtId="0" fontId="0" fillId="2" borderId="0" xfId="0" applyFill="1" applyAlignment="1"/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44642.857142857145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5280"/>
        <c:axId val="208459792"/>
      </c:scatterChart>
      <c:valAx>
        <c:axId val="2084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59792"/>
        <c:crosses val="autoZero"/>
        <c:crossBetween val="midCat"/>
      </c:valAx>
      <c:valAx>
        <c:axId val="208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4712"/>
        <c:axId val="206597848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2568"/>
        <c:axId val="206598240"/>
      </c:scatterChart>
      <c:valAx>
        <c:axId val="2065947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848"/>
        <c:crossesAt val="-40"/>
        <c:crossBetween val="midCat"/>
        <c:majorUnit val="20"/>
      </c:valAx>
      <c:valAx>
        <c:axId val="2065978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4712"/>
        <c:crosses val="autoZero"/>
        <c:crossBetween val="midCat"/>
      </c:valAx>
      <c:valAx>
        <c:axId val="2065982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2568"/>
        <c:crosses val="max"/>
        <c:crossBetween val="midCat"/>
        <c:majorUnit val="40"/>
      </c:valAx>
      <c:valAx>
        <c:axId val="20524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6056"/>
        <c:axId val="548585272"/>
      </c:scatterChart>
      <c:valAx>
        <c:axId val="548586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8585272"/>
        <c:crosses val="autoZero"/>
        <c:crossBetween val="midCat"/>
      </c:valAx>
      <c:valAx>
        <c:axId val="54858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58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6448"/>
        <c:axId val="548588016"/>
      </c:scatterChart>
      <c:valAx>
        <c:axId val="5485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8016"/>
        <c:crosses val="autoZero"/>
        <c:crossBetween val="midCat"/>
      </c:valAx>
      <c:valAx>
        <c:axId val="54858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8408"/>
        <c:axId val="548584880"/>
      </c:scatterChart>
      <c:valAx>
        <c:axId val="5485884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8584880"/>
        <c:crosses val="autoZero"/>
        <c:crossBetween val="midCat"/>
      </c:valAx>
      <c:valAx>
        <c:axId val="5485848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8588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224"/>
        <c:axId val="547638616"/>
      </c:scatterChart>
      <c:valAx>
        <c:axId val="54763822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7638616"/>
        <c:crosses val="autoZero"/>
        <c:crossBetween val="midCat"/>
      </c:valAx>
      <c:valAx>
        <c:axId val="54763861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763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9792"/>
        <c:axId val="547637832"/>
      </c:scatterChart>
      <c:valAx>
        <c:axId val="5476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7832"/>
        <c:crosses val="autoZero"/>
        <c:crossBetween val="midCat"/>
      </c:valAx>
      <c:valAx>
        <c:axId val="5476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9400"/>
        <c:axId val="547635872"/>
      </c:scatterChart>
      <c:valAx>
        <c:axId val="54763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5872"/>
        <c:crosses val="autoZero"/>
        <c:crossBetween val="midCat"/>
      </c:valAx>
      <c:valAx>
        <c:axId val="5476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2536"/>
        <c:axId val="547636656"/>
      </c:scatterChart>
      <c:valAx>
        <c:axId val="54764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6656"/>
        <c:crosses val="autoZero"/>
        <c:crossBetween val="midCat"/>
      </c:valAx>
      <c:valAx>
        <c:axId val="54763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0968"/>
        <c:axId val="547637048"/>
      </c:scatterChart>
      <c:valAx>
        <c:axId val="547640968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47637048"/>
        <c:crosses val="autoZero"/>
        <c:crossBetween val="midCat"/>
        <c:minorUnit val="2"/>
      </c:valAx>
      <c:valAx>
        <c:axId val="54763704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4764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3320"/>
        <c:axId val="547636264"/>
      </c:scatterChart>
      <c:valAx>
        <c:axId val="54764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6264"/>
        <c:crosses val="autoZero"/>
        <c:crossBetween val="midCat"/>
      </c:valAx>
      <c:valAx>
        <c:axId val="5476362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122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96.881200396825392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5672"/>
        <c:axId val="208460184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173.74499999999998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9400"/>
        <c:axId val="208466456"/>
      </c:scatterChart>
      <c:valAx>
        <c:axId val="2084656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0184"/>
        <c:crossesAt val="-40"/>
        <c:crossBetween val="midCat"/>
        <c:majorUnit val="20"/>
      </c:valAx>
      <c:valAx>
        <c:axId val="2084601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5672"/>
        <c:crosses val="autoZero"/>
        <c:crossBetween val="midCat"/>
      </c:valAx>
      <c:valAx>
        <c:axId val="2084664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59400"/>
        <c:crosses val="max"/>
        <c:crossBetween val="midCat"/>
        <c:majorUnit val="40"/>
      </c:valAx>
      <c:valAx>
        <c:axId val="20845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6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7440"/>
        <c:axId val="548694824"/>
      </c:scatterChart>
      <c:valAx>
        <c:axId val="547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4824"/>
        <c:crosses val="autoZero"/>
        <c:crossBetween val="midCat"/>
      </c:valAx>
      <c:valAx>
        <c:axId val="5486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1296"/>
        <c:axId val="54869168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6784"/>
        <c:axId val="548693648"/>
      </c:scatterChart>
      <c:valAx>
        <c:axId val="5486912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1688"/>
        <c:crossesAt val="-40"/>
        <c:crossBetween val="midCat"/>
        <c:majorUnit val="20"/>
      </c:valAx>
      <c:valAx>
        <c:axId val="5486916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1296"/>
        <c:crosses val="autoZero"/>
        <c:crossBetween val="midCat"/>
      </c:valAx>
      <c:valAx>
        <c:axId val="5486936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6784"/>
        <c:crosses val="max"/>
        <c:crossBetween val="midCat"/>
        <c:majorUnit val="40"/>
      </c:valAx>
      <c:valAx>
        <c:axId val="54869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69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2080"/>
        <c:axId val="548698352"/>
      </c:scatterChart>
      <c:valAx>
        <c:axId val="5486920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8698352"/>
        <c:crosses val="autoZero"/>
        <c:crossBetween val="midCat"/>
      </c:valAx>
      <c:valAx>
        <c:axId val="54869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69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2864"/>
        <c:axId val="548693256"/>
      </c:scatterChart>
      <c:valAx>
        <c:axId val="5486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3256"/>
        <c:crosses val="autoZero"/>
        <c:crossBetween val="midCat"/>
      </c:valAx>
      <c:valAx>
        <c:axId val="54869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6392"/>
        <c:axId val="548697176"/>
      </c:scatterChart>
      <c:valAx>
        <c:axId val="548696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8697176"/>
        <c:crosses val="autoZero"/>
        <c:crossBetween val="midCat"/>
      </c:valAx>
      <c:valAx>
        <c:axId val="5486971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869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5608"/>
        <c:axId val="548697568"/>
      </c:scatterChart>
      <c:valAx>
        <c:axId val="548695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8697568"/>
        <c:crosses val="autoZero"/>
        <c:crossBetween val="midCat"/>
        <c:dispUnits>
          <c:builtInUnit val="thousands"/>
          <c:dispUnitsLbl/>
        </c:dispUnits>
      </c:valAx>
      <c:valAx>
        <c:axId val="5486975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869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4432"/>
        <c:axId val="205237080"/>
      </c:scatterChart>
      <c:valAx>
        <c:axId val="5486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37080"/>
        <c:crosses val="autoZero"/>
        <c:crossBetween val="midCat"/>
      </c:valAx>
      <c:valAx>
        <c:axId val="2052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69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3264"/>
        <c:axId val="549583656"/>
      </c:scatterChart>
      <c:valAx>
        <c:axId val="549583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9583656"/>
        <c:crosses val="autoZero"/>
        <c:crossBetween val="midCat"/>
      </c:valAx>
      <c:valAx>
        <c:axId val="5495836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958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2872"/>
        <c:axId val="549585616"/>
      </c:scatterChart>
      <c:valAx>
        <c:axId val="5495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5616"/>
        <c:crosses val="autoZero"/>
        <c:crossBetween val="midCat"/>
      </c:valAx>
      <c:valAx>
        <c:axId val="5495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6008"/>
        <c:axId val="549584440"/>
      </c:scatterChart>
      <c:valAx>
        <c:axId val="5495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4440"/>
        <c:crosses val="autoZero"/>
        <c:crossBetween val="midCat"/>
      </c:valAx>
      <c:valAx>
        <c:axId val="5495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96.881200396825392</c:v>
                </c:pt>
              </c:numCache>
            </c:numRef>
          </c:xVal>
          <c:yVal>
            <c:numRef>
              <c:f>Ard1_Turn1_ESC1_G1b_T1a!$W$3:$W$14</c:f>
              <c:numCache>
                <c:formatCode>0.0000</c:formatCode>
                <c:ptCount val="12"/>
                <c:pt idx="0">
                  <c:v>9.321309819800002E-3</c:v>
                </c:pt>
                <c:pt idx="1">
                  <c:v>1.0404641032280003E-2</c:v>
                </c:pt>
                <c:pt idx="2">
                  <c:v>1.457641296186E-2</c:v>
                </c:pt>
                <c:pt idx="3">
                  <c:v>1.724972690864E-2</c:v>
                </c:pt>
                <c:pt idx="4">
                  <c:v>2.4247474729480009E-2</c:v>
                </c:pt>
                <c:pt idx="5">
                  <c:v>3.8207996517399999E-2</c:v>
                </c:pt>
                <c:pt idx="6">
                  <c:v>6.6149665011600009E-2</c:v>
                </c:pt>
                <c:pt idx="7">
                  <c:v>7.2594482641400004E-2</c:v>
                </c:pt>
                <c:pt idx="8">
                  <c:v>8.1626936322400007E-2</c:v>
                </c:pt>
                <c:pt idx="9">
                  <c:v>8.6027902321999999E-2</c:v>
                </c:pt>
                <c:pt idx="10">
                  <c:v>0.114627878516</c:v>
                </c:pt>
                <c:pt idx="11">
                  <c:v>0.23066315962099998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0968"/>
        <c:axId val="208462144"/>
      </c:scatterChart>
      <c:valAx>
        <c:axId val="2084609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8462144"/>
        <c:crosses val="autoZero"/>
        <c:crossBetween val="midCat"/>
      </c:valAx>
      <c:valAx>
        <c:axId val="20846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846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6792"/>
        <c:axId val="5495852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0128"/>
        <c:axId val="549579736"/>
      </c:scatterChart>
      <c:valAx>
        <c:axId val="5495867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5224"/>
        <c:crosses val="autoZero"/>
        <c:crossBetween val="midCat"/>
      </c:valAx>
      <c:valAx>
        <c:axId val="5495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6792"/>
        <c:crosses val="autoZero"/>
        <c:crossBetween val="midCat"/>
      </c:valAx>
      <c:valAx>
        <c:axId val="549579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0128"/>
        <c:crosses val="max"/>
        <c:crossBetween val="midCat"/>
      </c:valAx>
      <c:valAx>
        <c:axId val="5495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57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0912"/>
        <c:axId val="549581304"/>
      </c:scatterChart>
      <c:valAx>
        <c:axId val="549580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9581304"/>
        <c:crosses val="autoZero"/>
        <c:crossBetween val="midCat"/>
      </c:valAx>
      <c:valAx>
        <c:axId val="549581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58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2088"/>
        <c:axId val="549582480"/>
      </c:scatterChart>
      <c:valAx>
        <c:axId val="54958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9582480"/>
        <c:crosses val="autoZero"/>
        <c:crossBetween val="midCat"/>
      </c:valAx>
      <c:valAx>
        <c:axId val="54958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582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0040"/>
        <c:axId val="549903568"/>
      </c:scatterChart>
      <c:valAx>
        <c:axId val="54990004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3568"/>
        <c:crosses val="autoZero"/>
        <c:crossBetween val="midCat"/>
      </c:valAx>
      <c:valAx>
        <c:axId val="5499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00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99256"/>
        <c:axId val="549899648"/>
      </c:scatterChart>
      <c:valAx>
        <c:axId val="54989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9648"/>
        <c:crosses val="autoZero"/>
        <c:crossBetween val="midCat"/>
      </c:valAx>
      <c:valAx>
        <c:axId val="549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2784"/>
        <c:axId val="549901608"/>
      </c:scatterChart>
      <c:valAx>
        <c:axId val="5499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1608"/>
        <c:crosses val="autoZero"/>
        <c:crossBetween val="midCat"/>
      </c:valAx>
      <c:valAx>
        <c:axId val="549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0432"/>
        <c:axId val="549898864"/>
      </c:scatterChart>
      <c:valAx>
        <c:axId val="5499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98864"/>
        <c:crosses val="autoZero"/>
        <c:crossBetween val="midCat"/>
      </c:valAx>
      <c:valAx>
        <c:axId val="549898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7728.103417368322</c:v>
                </c:pt>
                <c:pt idx="1">
                  <c:v>9094.7842153554811</c:v>
                </c:pt>
                <c:pt idx="2">
                  <c:v>14354.262816474617</c:v>
                </c:pt>
                <c:pt idx="3">
                  <c:v>15191.422325599084</c:v>
                </c:pt>
                <c:pt idx="4">
                  <c:v>18718.802435276728</c:v>
                </c:pt>
                <c:pt idx="5">
                  <c:v>23345.400871709146</c:v>
                </c:pt>
                <c:pt idx="6">
                  <c:v>28889.978208210847</c:v>
                </c:pt>
                <c:pt idx="7">
                  <c:v>29709.501453185138</c:v>
                </c:pt>
                <c:pt idx="8">
                  <c:v>30727.393681040408</c:v>
                </c:pt>
                <c:pt idx="9">
                  <c:v>31441.599944626647</c:v>
                </c:pt>
                <c:pt idx="10">
                  <c:v>34701.517583071894</c:v>
                </c:pt>
                <c:pt idx="11">
                  <c:v>41542.086331257466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1752"/>
        <c:axId val="208462536"/>
      </c:scatterChart>
      <c:valAx>
        <c:axId val="20846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2536"/>
        <c:crosses val="autoZero"/>
        <c:crossBetween val="midCat"/>
      </c:valAx>
      <c:valAx>
        <c:axId val="208462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2.2191813844448068E-2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6672"/>
        <c:axId val="206599808"/>
      </c:scatterChart>
      <c:valAx>
        <c:axId val="2065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6599808"/>
        <c:crosses val="autoZero"/>
        <c:crossBetween val="midCat"/>
      </c:valAx>
      <c:valAx>
        <c:axId val="2065998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659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4320"/>
        <c:axId val="206593928"/>
      </c:scatterChart>
      <c:valAx>
        <c:axId val="20659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3928"/>
        <c:crosses val="autoZero"/>
        <c:crossBetween val="midCat"/>
      </c:valAx>
      <c:valAx>
        <c:axId val="20659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Ard1_Turn1_ESC1_G1b_T1a!$I$40:$I$44</c:f>
              <c:numCache>
                <c:formatCode>General</c:formatCode>
                <c:ptCount val="5"/>
                <c:pt idx="1">
                  <c:v>16</c:v>
                </c:pt>
                <c:pt idx="2">
                  <c:v>25</c:v>
                </c:pt>
                <c:pt idx="3">
                  <c:v>48</c:v>
                </c:pt>
                <c:pt idx="4">
                  <c:v>62</c:v>
                </c:pt>
              </c:numCache>
            </c:numRef>
          </c:xVal>
          <c:yVal>
            <c:numRef>
              <c:f>Ard1_Turn1_ESC1_G1b_T1a!$J$40:$J$44</c:f>
              <c:numCache>
                <c:formatCode>0.000</c:formatCode>
                <c:ptCount val="5"/>
                <c:pt idx="1">
                  <c:v>0.442</c:v>
                </c:pt>
                <c:pt idx="2">
                  <c:v>0.28699999999999998</c:v>
                </c:pt>
                <c:pt idx="3">
                  <c:v>9.7000000000000003E-2</c:v>
                </c:pt>
                <c:pt idx="4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5104"/>
        <c:axId val="206596280"/>
      </c:scatterChart>
      <c:valAx>
        <c:axId val="2065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6280"/>
        <c:crosses val="autoZero"/>
        <c:crossBetween val="midCat"/>
      </c:valAx>
      <c:valAx>
        <c:axId val="2065962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51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Ard1_Turn1_ESC1_G1b_T1a!$J$39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Ard1_Turn1_ESC1_G1b_T1a!$I$40:$I$44</c:f>
              <c:numCache>
                <c:formatCode>General</c:formatCode>
                <c:ptCount val="5"/>
                <c:pt idx="1">
                  <c:v>16</c:v>
                </c:pt>
                <c:pt idx="2">
                  <c:v>25</c:v>
                </c:pt>
                <c:pt idx="3">
                  <c:v>48</c:v>
                </c:pt>
                <c:pt idx="4">
                  <c:v>62</c:v>
                </c:pt>
              </c:numCache>
            </c:numRef>
          </c:xVal>
          <c:yVal>
            <c:numRef>
              <c:f>Ard1_Turn1_ESC1_G1b_T1a!$J$40:$J$44</c:f>
              <c:numCache>
                <c:formatCode>0.000</c:formatCode>
                <c:ptCount val="5"/>
                <c:pt idx="1">
                  <c:v>0.442</c:v>
                </c:pt>
                <c:pt idx="2">
                  <c:v>0.28699999999999998</c:v>
                </c:pt>
                <c:pt idx="3">
                  <c:v>9.7000000000000003E-2</c:v>
                </c:pt>
                <c:pt idx="4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3.7316203594023989</c:v>
                </c:pt>
                <c:pt idx="1">
                  <c:v>15.043700069289541</c:v>
                </c:pt>
                <c:pt idx="2">
                  <c:v>16.844261648737909</c:v>
                </c:pt>
                <c:pt idx="3">
                  <c:v>24.430946184207535</c:v>
                </c:pt>
                <c:pt idx="4">
                  <c:v>34.381828062009333</c:v>
                </c:pt>
                <c:pt idx="5">
                  <c:v>46.307097759806936</c:v>
                </c:pt>
                <c:pt idx="6">
                  <c:v>48.069727285342402</c:v>
                </c:pt>
                <c:pt idx="7">
                  <c:v>50.259008560319607</c:v>
                </c:pt>
                <c:pt idx="8">
                  <c:v>51.795122459759952</c:v>
                </c:pt>
                <c:pt idx="9">
                  <c:v>58.806549061232005</c:v>
                </c:pt>
                <c:pt idx="10">
                  <c:v>73.519235395571798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0.19406897348654334</c:v>
                </c:pt>
                <c:pt idx="1">
                  <c:v>0.1142721857045448</c:v>
                </c:pt>
                <c:pt idx="2">
                  <c:v>0.10725273393882387</c:v>
                </c:pt>
                <c:pt idx="3">
                  <c:v>8.5200650888904023E-2</c:v>
                </c:pt>
                <c:pt idx="4">
                  <c:v>6.7103967393701752E-2</c:v>
                </c:pt>
                <c:pt idx="5">
                  <c:v>5.3488735364743099E-2</c:v>
                </c:pt>
                <c:pt idx="6">
                  <c:v>5.1931338846425645E-2</c:v>
                </c:pt>
                <c:pt idx="7">
                  <c:v>5.0118837328647824E-2</c:v>
                </c:pt>
                <c:pt idx="8">
                  <c:v>4.8920816381226653E-2</c:v>
                </c:pt>
                <c:pt idx="9">
                  <c:v>4.4108354987782823E-2</c:v>
                </c:pt>
                <c:pt idx="10">
                  <c:v>3.6561253012996953E-2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0592"/>
        <c:axId val="206597064"/>
      </c:scatterChart>
      <c:valAx>
        <c:axId val="20660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7064"/>
        <c:crosses val="autoZero"/>
        <c:crossBetween val="midCat"/>
      </c:valAx>
      <c:valAx>
        <c:axId val="2065970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005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1376"/>
        <c:axId val="206600200"/>
      </c:scatterChart>
      <c:valAx>
        <c:axId val="2066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0200"/>
        <c:crosses val="autoZero"/>
        <c:crossBetween val="midCat"/>
      </c:valAx>
      <c:valAx>
        <c:axId val="2066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C34" zoomScale="80" zoomScaleNormal="80" workbookViewId="0">
      <selection activeCell="F54" sqref="F54"/>
    </sheetView>
  </sheetViews>
  <sheetFormatPr defaultRowHeight="14.4" x14ac:dyDescent="0.3"/>
  <cols>
    <col min="1" max="1" width="15.2187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bestFit="1" customWidth="1"/>
    <col min="13" max="13" width="11" style="1" bestFit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7773437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33" t="s">
        <v>50</v>
      </c>
      <c r="D1" s="234" t="s">
        <v>0</v>
      </c>
      <c r="E1" s="234" t="s">
        <v>1</v>
      </c>
      <c r="F1" s="234" t="s">
        <v>10</v>
      </c>
      <c r="G1" s="234" t="s">
        <v>11</v>
      </c>
      <c r="H1" s="234" t="s">
        <v>23</v>
      </c>
      <c r="I1" s="23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30">
        <f t="shared" ref="C2:C14" si="1">D2/180+1</f>
        <v>1.0275567089078661</v>
      </c>
      <c r="D2" s="111">
        <f>EXP((0-$Q$42)/$R$42)</f>
        <v>4.960207603415915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40">
        <f t="shared" ref="L2:L14" si="3">D2</f>
        <v>4.960207603415915</v>
      </c>
      <c r="M2" s="245">
        <f t="shared" ref="M2:M14" si="4">LN(L2)</f>
        <v>1.6014475953883203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>N2*60/$C$26</f>
        <v>5.9999999999999995E-25</v>
      </c>
      <c r="Q2" s="4">
        <v>0</v>
      </c>
      <c r="R2" s="3">
        <f>P2/$Q$31</f>
        <v>1.3020833333333332E-27</v>
      </c>
      <c r="S2" s="3">
        <f>Q2/$Q$31</f>
        <v>0</v>
      </c>
      <c r="T2" s="3">
        <f t="shared" ref="T2:T14" si="7">L2</f>
        <v>4.960207603415915</v>
      </c>
      <c r="U2" s="158">
        <f t="shared" si="0"/>
        <v>1.7394999999999998</v>
      </c>
      <c r="V2" s="1">
        <f>($U2-$U$2)</f>
        <v>0</v>
      </c>
      <c r="W2" s="245">
        <f>($U2-$U$2)*0.001341022</f>
        <v>0</v>
      </c>
      <c r="X2" s="238">
        <v>0</v>
      </c>
      <c r="Y2" s="238">
        <v>0</v>
      </c>
      <c r="Z2" s="239">
        <f>$Q$38*(P2/$Q$31/100)^3</f>
        <v>9.76843480821773E-87</v>
      </c>
      <c r="AA2" s="240">
        <f>SQRT(Z2^3/4/$Q$28/$Q$34)</f>
        <v>9.469612348787209E-129</v>
      </c>
      <c r="AB2" s="1"/>
      <c r="AC2" s="158">
        <f>SQRT(Z2/$Q$34/$Q$28)</f>
        <v>1.9388187636407961E-42</v>
      </c>
      <c r="AD2" s="175">
        <f t="shared" ref="AD2:AD9" si="8">AC2*1/1.6/1000*3600</f>
        <v>4.3623422181917907E-42</v>
      </c>
      <c r="AE2" s="4">
        <f>Q2/60*PI()*$C$40/1000</f>
        <v>0</v>
      </c>
      <c r="AF2" s="158">
        <f>AE2/AC2</f>
        <v>0</v>
      </c>
      <c r="AH2" s="239">
        <f>D2/$Q$32*$Q$24</f>
        <v>0.13778354453933098</v>
      </c>
      <c r="AI2" s="239">
        <f>AH2/$Q$24*$Q$32</f>
        <v>4.960207603415915</v>
      </c>
      <c r="AJ2" s="240">
        <f>MAX(($Q$42+$R$42*LN($AI2)),0)</f>
        <v>0</v>
      </c>
      <c r="AK2" s="240">
        <f>MAX(($Q$42+$R$42*LN(AI2))/$Q$31,0)</f>
        <v>0</v>
      </c>
      <c r="AL2" s="240">
        <f>($Q$43+$R$43*AK2*$Q$31)/$Q$31</f>
        <v>-15.829429659212211</v>
      </c>
      <c r="AM2" s="240">
        <f>($Q$44+$R$44*AL2*$Q$31)/$Q$31</f>
        <v>0.20287136645265688</v>
      </c>
      <c r="AN2" s="1"/>
      <c r="AO2" s="1">
        <f>MAX($Q$43+$R$43*AJ2, 0)</f>
        <v>0</v>
      </c>
      <c r="AP2" s="238"/>
      <c r="AQ2" s="238"/>
      <c r="AR2" s="238"/>
      <c r="AS2" s="1"/>
      <c r="AT2" s="238"/>
      <c r="AU2" s="1"/>
    </row>
    <row r="3" spans="1:51" ht="15" customHeight="1" x14ac:dyDescent="0.3">
      <c r="A3" t="s">
        <v>223</v>
      </c>
      <c r="B3" t="s">
        <v>201</v>
      </c>
      <c r="C3" s="230">
        <f t="shared" si="1"/>
        <v>1.05</v>
      </c>
      <c r="D3" s="73">
        <v>9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9</v>
      </c>
      <c r="M3" s="245">
        <f t="shared" si="4"/>
        <v>2.1972245773362196</v>
      </c>
      <c r="N3" s="3">
        <f t="shared" si="5"/>
        <v>165.01650165016503</v>
      </c>
      <c r="O3" s="3">
        <f t="shared" si="6"/>
        <v>9.999999999999999E-27</v>
      </c>
      <c r="P3" s="3">
        <f>N3*60/$C$26</f>
        <v>9900.9900990099013</v>
      </c>
      <c r="Q3" s="3">
        <f>O3*60/$C$26</f>
        <v>5.9999999999999995E-25</v>
      </c>
      <c r="R3" s="3">
        <f>P3/$Q$31</f>
        <v>21.486523652365236</v>
      </c>
      <c r="S3" s="3">
        <f>Q3/$Q$31</f>
        <v>1.3020833333333332E-27</v>
      </c>
      <c r="T3" s="3">
        <f>L3</f>
        <v>9</v>
      </c>
      <c r="U3" s="158">
        <f>K3</f>
        <v>8.6904000000000003</v>
      </c>
      <c r="V3" s="1">
        <f t="shared" ref="V3:V14" si="9">($U3-$U$2)</f>
        <v>6.9509000000000007</v>
      </c>
      <c r="W3" s="245">
        <f t="shared" ref="W3:W14" si="10">($U3-$U$2)*0.001341022</f>
        <v>9.321309819800002E-3</v>
      </c>
      <c r="X3" s="241">
        <f>$W3/$P3*5252</f>
        <v>4.9445074365325505E-3</v>
      </c>
      <c r="Y3" s="241">
        <f>X3-$X$3</f>
        <v>0</v>
      </c>
      <c r="Z3" s="239">
        <f>$Q$38*(P3/$Q$31/100)^3</f>
        <v>4.3894197155229624E-2</v>
      </c>
      <c r="AA3" s="240">
        <f>SQRT(Z3^3/4/$Q$28/$Q$34)</f>
        <v>9.0199762119561183E-2</v>
      </c>
      <c r="AB3" s="2">
        <f>AA3/U3*100</f>
        <v>1.0379241705739803</v>
      </c>
      <c r="AC3" s="158">
        <f>SQRT(Z3/$Q$34/$Q$28)</f>
        <v>4.109871826591303</v>
      </c>
      <c r="AD3" s="175">
        <f t="shared" si="8"/>
        <v>9.2472116098304316</v>
      </c>
      <c r="AE3" s="4">
        <f>Q3/60*PI()*$C$40/1000</f>
        <v>1.7278759594743859E-27</v>
      </c>
      <c r="AF3" s="158">
        <f t="shared" ref="AF3:AF14" si="11">AE3/AC3</f>
        <v>4.2042088716607814E-28</v>
      </c>
      <c r="AH3" s="239">
        <f>D3/$Q$32*$Q$24</f>
        <v>0.25</v>
      </c>
      <c r="AI3" s="239">
        <f>AH3/$Q$24*$Q$32</f>
        <v>9</v>
      </c>
      <c r="AJ3" s="240">
        <f>MAX(($Q$42+$R$42*LN($AI3)),0)</f>
        <v>7728.103417368322</v>
      </c>
      <c r="AK3" s="240">
        <f>MAX(($Q$42+$R$42*LN(AI3))/$Q$31,0)</f>
        <v>16.771057763386114</v>
      </c>
      <c r="AL3" s="240">
        <f>($Q$43+$R$43*AK3*$Q$31)/$Q$31</f>
        <v>0.79216508307267319</v>
      </c>
      <c r="AM3" s="240">
        <f>($Q$44+$R$44*AL3*$Q$31)/$Q$31</f>
        <v>16.911830175013787</v>
      </c>
      <c r="AN3" s="1"/>
      <c r="AO3" s="1">
        <f>MAX($Q$43+$R$43*AJ3, 0)</f>
        <v>365.02967027988871</v>
      </c>
      <c r="AP3" s="238">
        <f>MAX($J$48+$AJ3*($K$48+$AJ3*$L$48), 0)</f>
        <v>0</v>
      </c>
      <c r="AQ3" s="238">
        <f>AJ3*AP3/5252</f>
        <v>0</v>
      </c>
      <c r="AR3" s="242">
        <f>MAX($K$48+$L$48*2*AJ3,1E-32)</f>
        <v>1.5785897426417022E-7</v>
      </c>
      <c r="AS3" s="239"/>
      <c r="AT3" s="1"/>
      <c r="AU3" s="239"/>
      <c r="AX3" s="128"/>
      <c r="AY3" s="96"/>
    </row>
    <row r="4" spans="1:51" ht="15" customHeight="1" x14ac:dyDescent="0.3">
      <c r="A4" t="s">
        <v>224</v>
      </c>
      <c r="B4" t="s">
        <v>234</v>
      </c>
      <c r="C4" s="230">
        <f t="shared" si="1"/>
        <v>1.0555555555555556</v>
      </c>
      <c r="D4" s="73">
        <v>10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10</v>
      </c>
      <c r="M4" s="245">
        <f t="shared" si="4"/>
        <v>2.3025850929940459</v>
      </c>
      <c r="N4" s="3">
        <f t="shared" si="5"/>
        <v>179.2114695340502</v>
      </c>
      <c r="O4" s="3">
        <f t="shared" si="6"/>
        <v>74.404761904761912</v>
      </c>
      <c r="P4" s="3">
        <f>N4*60/$C$26</f>
        <v>10752.688172043012</v>
      </c>
      <c r="Q4" s="3">
        <f>O4*60/$C$26</f>
        <v>4464.2857142857147</v>
      </c>
      <c r="R4" s="3">
        <f>P4/$Q$31</f>
        <v>23.33482676224612</v>
      </c>
      <c r="S4" s="3">
        <f>Q4/$Q$31</f>
        <v>9.6881200396825395</v>
      </c>
      <c r="T4" s="3">
        <f t="shared" si="7"/>
        <v>10</v>
      </c>
      <c r="U4" s="158">
        <f t="shared" si="0"/>
        <v>9.4982400000000009</v>
      </c>
      <c r="V4" s="240">
        <f t="shared" si="9"/>
        <v>7.7587400000000013</v>
      </c>
      <c r="W4" s="245">
        <f t="shared" si="10"/>
        <v>1.0404641032280003E-2</v>
      </c>
      <c r="X4" s="241">
        <f t="shared" ref="X4:X14" si="12">$W4/$P4*5252</f>
        <v>5.0820012472427142E-3</v>
      </c>
      <c r="Y4" s="241">
        <f t="shared" ref="Y4:Y14" si="13">X4-$X$3</f>
        <v>1.3749381071016375E-4</v>
      </c>
      <c r="Z4" s="239">
        <f>$Q$38*(P4/$Q$31/100)^3</f>
        <v>5.6224083613656932E-2</v>
      </c>
      <c r="AA4" s="240">
        <f>SQRT(Z4^3/4/$Q$28/$Q$34)</f>
        <v>0.13076102183450972</v>
      </c>
      <c r="AB4" s="2">
        <f t="shared" ref="AB4:AB13" si="14">AA4/U4*100</f>
        <v>1.3766868581390836</v>
      </c>
      <c r="AC4" s="158">
        <f>SQRT(Z4/$Q$34/$Q$28)</f>
        <v>4.6514238536294297</v>
      </c>
      <c r="AD4" s="175">
        <f t="shared" si="8"/>
        <v>10.465703670666215</v>
      </c>
      <c r="AE4" s="175">
        <f>Q4/60*PI()*$C$40/1000</f>
        <v>12.856219936565376</v>
      </c>
      <c r="AF4" s="158">
        <f t="shared" si="11"/>
        <v>2.7639321509120003</v>
      </c>
      <c r="AG4" s="151"/>
      <c r="AH4" s="239">
        <f>D4/$Q$32*$Q$24</f>
        <v>0.27777777777777779</v>
      </c>
      <c r="AI4" s="239">
        <f>AH4/$Q$24*$Q$32</f>
        <v>10</v>
      </c>
      <c r="AJ4" s="240">
        <f>MAX(($Q$42+$R$42*LN($AI4)),0)</f>
        <v>9094.7842153554811</v>
      </c>
      <c r="AK4" s="240">
        <f>MAX(($Q$42+$R$42*LN(AI4))/$Q$31,0)</f>
        <v>19.736944911795749</v>
      </c>
      <c r="AL4" s="240">
        <f>($Q$43+$R$43*AK4*$Q$31)/$Q$31</f>
        <v>3.7316203594023989</v>
      </c>
      <c r="AM4" s="240">
        <f>($Q$44+$R$44*AL4*$Q$31)/$Q$31</f>
        <v>19.86673539880999</v>
      </c>
      <c r="AN4" s="2">
        <f>AO4/$Q$31</f>
        <v>3.7316203594023989</v>
      </c>
      <c r="AO4" s="3">
        <f>MAX($Q$43+$R$43*AJ4, 0)</f>
        <v>1719.5306616126254</v>
      </c>
      <c r="AP4" s="238">
        <f>MAX($J$48+$AJ4*($K$48+$AJ4*$L$48), 0)</f>
        <v>0</v>
      </c>
      <c r="AQ4" s="238">
        <f t="shared" ref="AQ4:AQ14" si="15">AJ4*AP4/5252</f>
        <v>0</v>
      </c>
      <c r="AR4" s="242">
        <f>MAX($K$48+$L$48*2*AJ4,1E-32)</f>
        <v>1.9285317396390251E-7</v>
      </c>
      <c r="AS4" s="239">
        <f>$Q$36/AR4</f>
        <v>0.19406897348654334</v>
      </c>
      <c r="AT4" s="1"/>
      <c r="AU4" s="239"/>
      <c r="AX4" s="127"/>
      <c r="AY4" s="96"/>
    </row>
    <row r="5" spans="1:51" ht="13.95" customHeight="1" x14ac:dyDescent="0.3">
      <c r="A5" t="s">
        <v>225</v>
      </c>
      <c r="B5" s="176">
        <v>16</v>
      </c>
      <c r="C5" s="230">
        <f t="shared" si="1"/>
        <v>1.0833333333333333</v>
      </c>
      <c r="D5" s="73">
        <v>15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15</v>
      </c>
      <c r="M5" s="245">
        <f t="shared" si="4"/>
        <v>2.7080502011022101</v>
      </c>
      <c r="N5" s="3">
        <f t="shared" si="5"/>
        <v>238.0952380952381</v>
      </c>
      <c r="O5" s="3">
        <f t="shared" si="6"/>
        <v>105.93220338983051</v>
      </c>
      <c r="P5" s="3">
        <f>N5*60/$C$26</f>
        <v>14285.714285714286</v>
      </c>
      <c r="Q5" s="3">
        <f>O5*60/$C$26</f>
        <v>6355.9322033898306</v>
      </c>
      <c r="R5" s="3">
        <f>P5/$Q$31</f>
        <v>31.001984126984127</v>
      </c>
      <c r="S5" s="3">
        <f>Q5/$Q$31</f>
        <v>13.793255649717514</v>
      </c>
      <c r="T5" s="3">
        <f t="shared" si="7"/>
        <v>15</v>
      </c>
      <c r="U5" s="158">
        <f t="shared" si="0"/>
        <v>12.609129999999999</v>
      </c>
      <c r="V5" s="240">
        <f t="shared" si="9"/>
        <v>10.869629999999999</v>
      </c>
      <c r="W5" s="245">
        <f t="shared" si="10"/>
        <v>1.457641296186E-2</v>
      </c>
      <c r="X5" s="241">
        <f t="shared" si="12"/>
        <v>5.3588724612982103E-3</v>
      </c>
      <c r="Y5" s="241">
        <f t="shared" si="13"/>
        <v>4.1436502476565988E-4</v>
      </c>
      <c r="Z5" s="239">
        <f>$Q$38*(P5/$Q$31/100)^3</f>
        <v>0.13184908228347009</v>
      </c>
      <c r="AA5" s="240">
        <f>SQRT(Z5^3/4/$Q$28/$Q$34)</f>
        <v>0.46958086788049352</v>
      </c>
      <c r="AB5" s="2">
        <f t="shared" si="14"/>
        <v>3.7241337656166094</v>
      </c>
      <c r="AC5" s="158">
        <f>SQRT(Z5/$Q$34/$Q$28)</f>
        <v>7.1230054809318135</v>
      </c>
      <c r="AD5" s="175">
        <f t="shared" si="8"/>
        <v>16.026762332096578</v>
      </c>
      <c r="AE5" s="175">
        <f>Q5/60*PI()*$C$40/1000</f>
        <v>18.303770757143919</v>
      </c>
      <c r="AF5" s="158">
        <f t="shared" si="11"/>
        <v>2.5696696157461703</v>
      </c>
      <c r="AG5" s="151"/>
      <c r="AH5" s="239">
        <f>D5/$Q$32*$Q$24</f>
        <v>0.41666666666666663</v>
      </c>
      <c r="AI5" s="239">
        <f>AH5/$Q$24*$Q$32</f>
        <v>15</v>
      </c>
      <c r="AJ5" s="240">
        <f>MAX(($Q$42+$R$42*LN($AI5)),0)</f>
        <v>14354.262816474617</v>
      </c>
      <c r="AK5" s="240">
        <f>MAX(($Q$42+$R$42*LN(AI5))/$Q$31,0)</f>
        <v>31.150743959363318</v>
      </c>
      <c r="AL5" s="240">
        <f>($Q$43+$R$43*AK5*$Q$31)/$Q$31</f>
        <v>15.043700069289541</v>
      </c>
      <c r="AM5" s="240">
        <f>($Q$44+$R$44*AL5*$Q$31)/$Q$31</f>
        <v>31.238272055928707</v>
      </c>
      <c r="AN5" s="2">
        <f>AO5/$Q$31</f>
        <v>15.043700069289541</v>
      </c>
      <c r="AO5" s="3">
        <f>MAX($Q$43+$R$43*AJ5, 0)</f>
        <v>6932.1369919286208</v>
      </c>
      <c r="AP5" s="238">
        <f>MAX($J$48+$AJ5*($K$48+$AJ5*$L$48), 0)</f>
        <v>8.0152614307239323E-4</v>
      </c>
      <c r="AQ5" s="238">
        <f t="shared" si="15"/>
        <v>2.1906544005971759E-3</v>
      </c>
      <c r="AR5" s="242">
        <f>MAX($K$48+$L$48*2*AJ5,1E-32)</f>
        <v>3.2752342378017366E-7</v>
      </c>
      <c r="AS5" s="239">
        <f>$Q$36/AR5</f>
        <v>0.1142721857045448</v>
      </c>
      <c r="AT5" s="243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30">
        <f t="shared" si="1"/>
        <v>1.0888888888888888</v>
      </c>
      <c r="D6" s="73">
        <v>16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16</v>
      </c>
      <c r="M6" s="245">
        <f t="shared" si="4"/>
        <v>2.7725887222397811</v>
      </c>
      <c r="N6" s="3">
        <f t="shared" si="5"/>
        <v>271.73913043478262</v>
      </c>
      <c r="O6" s="3">
        <f t="shared" si="6"/>
        <v>128.2051282051282</v>
      </c>
      <c r="P6" s="3">
        <f>N6*60/$C$26</f>
        <v>16304.347826086958</v>
      </c>
      <c r="Q6" s="3">
        <f>O6*60/$C$26</f>
        <v>7692.3076923076924</v>
      </c>
      <c r="R6" s="3">
        <f>P6/$Q$31</f>
        <v>35.38269927536232</v>
      </c>
      <c r="S6" s="3">
        <f>Q6/$Q$31</f>
        <v>16.693376068376068</v>
      </c>
      <c r="T6" s="3">
        <f t="shared" si="7"/>
        <v>16</v>
      </c>
      <c r="U6" s="158">
        <f t="shared" si="0"/>
        <v>14.60262</v>
      </c>
      <c r="V6" s="240">
        <f t="shared" si="9"/>
        <v>12.86312</v>
      </c>
      <c r="W6" s="245">
        <f t="shared" si="10"/>
        <v>1.724972690864E-2</v>
      </c>
      <c r="X6" s="241">
        <f t="shared" si="12"/>
        <v>5.5565280310828731E-3</v>
      </c>
      <c r="Y6" s="241">
        <f t="shared" si="13"/>
        <v>6.1202059455032261E-4</v>
      </c>
      <c r="Z6" s="239">
        <f>$Q$38*(P6/$Q$31/100)^3</f>
        <v>0.19601148839895066</v>
      </c>
      <c r="AA6" s="240">
        <f>SQRT(Z6^3/4/$Q$28/$Q$34)</f>
        <v>0.85117138890291044</v>
      </c>
      <c r="AB6" s="2">
        <f t="shared" si="14"/>
        <v>5.8288950126957388</v>
      </c>
      <c r="AC6" s="158">
        <f>SQRT(Z6/$Q$34/$Q$28)</f>
        <v>8.6849132758023302</v>
      </c>
      <c r="AD6" s="175">
        <f t="shared" si="8"/>
        <v>19.541054870555243</v>
      </c>
      <c r="AE6" s="175">
        <f>Q6/60*PI()*$C$40/1000</f>
        <v>22.152255890697258</v>
      </c>
      <c r="AF6" s="158">
        <f t="shared" si="11"/>
        <v>2.5506594236717679</v>
      </c>
      <c r="AG6" s="151"/>
      <c r="AH6" s="239">
        <f>D6/$Q$32*$Q$24</f>
        <v>0.44444444444444448</v>
      </c>
      <c r="AI6" s="239">
        <f>AH6/$Q$24*$Q$32</f>
        <v>16</v>
      </c>
      <c r="AJ6" s="240">
        <f>MAX(($Q$42+$R$42*LN($AI6)),0)</f>
        <v>15191.422325599084</v>
      </c>
      <c r="AK6" s="240">
        <f>MAX(($Q$42+$R$42*LN(AI6))/$Q$31,0)</f>
        <v>32.967496366317455</v>
      </c>
      <c r="AL6" s="240">
        <f>($Q$43+$R$43*AK6*$Q$31)/$Q$31</f>
        <v>16.844261648737913</v>
      </c>
      <c r="AM6" s="240">
        <f>($Q$44+$R$44*AL6*$Q$31)/$Q$31</f>
        <v>33.048297491499213</v>
      </c>
      <c r="AN6" s="2">
        <f>AO6/$Q$31</f>
        <v>16.844261648737909</v>
      </c>
      <c r="AO6" s="3">
        <f>MAX($Q$43+$R$43*AJ6, 0)</f>
        <v>7761.8357677384283</v>
      </c>
      <c r="AP6" s="238">
        <f>MAX($J$48+$AJ6*($K$48+$AJ6*$L$48), 0)</f>
        <v>1.0846880318300936E-3</v>
      </c>
      <c r="AQ6" s="238">
        <f t="shared" si="15"/>
        <v>3.137462677656857E-3</v>
      </c>
      <c r="AR6" s="242">
        <f>MAX($K$48+$L$48*2*AJ6,1E-32)</f>
        <v>3.4895909997170136E-7</v>
      </c>
      <c r="AS6" s="239">
        <f>$Q$36/AR6</f>
        <v>0.10725273393882387</v>
      </c>
      <c r="AT6" s="243">
        <f>$Q$45*$Q$28*$Q$37^2*$Q$34*PI()/240*($AC6-$Q$47)/$Q$46*$Q$35</f>
        <v>-8.6930878426726021E-8</v>
      </c>
      <c r="AU6" s="165">
        <f>-$Q$36/AT6</f>
        <v>0.43053536536322207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30">
        <f t="shared" si="1"/>
        <v>1.1166666666666667</v>
      </c>
      <c r="D7" s="73">
        <v>21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21</v>
      </c>
      <c r="M7" s="245">
        <f t="shared" si="4"/>
        <v>3.044522437723423</v>
      </c>
      <c r="N7" s="3">
        <f t="shared" si="5"/>
        <v>298.50746268656718</v>
      </c>
      <c r="O7" s="3">
        <f t="shared" si="6"/>
        <v>174.21602787456447</v>
      </c>
      <c r="P7" s="3">
        <f>N7*60/$C$26</f>
        <v>17910.447761194031</v>
      </c>
      <c r="Q7" s="3">
        <f>O7*60/$C$26</f>
        <v>10452.961672473868</v>
      </c>
      <c r="R7" s="3">
        <f>P7/$Q$31</f>
        <v>38.868159203980099</v>
      </c>
      <c r="S7" s="3">
        <f>Q7/$Q$31</f>
        <v>22.684378629500582</v>
      </c>
      <c r="T7" s="3">
        <f t="shared" si="7"/>
        <v>21</v>
      </c>
      <c r="U7" s="158">
        <f t="shared" si="0"/>
        <v>19.820840000000004</v>
      </c>
      <c r="V7" s="240">
        <f t="shared" si="9"/>
        <v>18.081340000000004</v>
      </c>
      <c r="W7" s="245">
        <f t="shared" si="10"/>
        <v>2.4247474729480009E-2</v>
      </c>
      <c r="X7" s="241">
        <f t="shared" si="12"/>
        <v>7.110248664756953E-3</v>
      </c>
      <c r="Y7" s="241">
        <f t="shared" si="13"/>
        <v>2.1657412282244026E-3</v>
      </c>
      <c r="Z7" s="239">
        <f>$Q$38*(P7/$Q$31/100)^3</f>
        <v>0.25983075865629035</v>
      </c>
      <c r="AA7" s="240">
        <f>SQRT(Z7^3/4/$Q$28/$Q$34)</f>
        <v>1.2990640646721523</v>
      </c>
      <c r="AB7" s="2">
        <f t="shared" si="14"/>
        <v>6.5540313360692686</v>
      </c>
      <c r="AC7" s="158">
        <f>SQRT(Z7/$Q$34/$Q$28)</f>
        <v>9.9993093303520837</v>
      </c>
      <c r="AD7" s="175">
        <f t="shared" si="8"/>
        <v>22.49844599329219</v>
      </c>
      <c r="AE7" s="175">
        <f>Q7/60*PI()*$C$40/1000</f>
        <v>30.102368631957955</v>
      </c>
      <c r="AF7" s="158">
        <f t="shared" si="11"/>
        <v>3.0104447854798013</v>
      </c>
      <c r="AG7" s="151"/>
      <c r="AH7" s="239">
        <f>D7/$Q$32*$Q$24</f>
        <v>0.58333333333333337</v>
      </c>
      <c r="AI7" s="239">
        <f>AH7/$Q$24*$Q$32</f>
        <v>21</v>
      </c>
      <c r="AJ7" s="244">
        <f>MAX(($Q$42+$R$42*LN($AI7)),0)</f>
        <v>18718.802435276728</v>
      </c>
      <c r="AK7" s="244">
        <f>MAX(($Q$42+$R$42*LN(AI7))/$Q$31,0)</f>
        <v>40.622401118222065</v>
      </c>
      <c r="AL7" s="244">
        <f>($Q$43+$R$43*AK7*$Q$31)/$Q$31</f>
        <v>24.430946184207535</v>
      </c>
      <c r="AM7" s="244">
        <f>($Q$44+$R$44*AL7*$Q$31)/$Q$31</f>
        <v>40.674858081032866</v>
      </c>
      <c r="AN7" s="9">
        <f>AO7/$Q$31</f>
        <v>24.430946184207535</v>
      </c>
      <c r="AO7" s="10">
        <f>MAX($Q$43+$R$43*AJ7, 0)</f>
        <v>11257.780001682833</v>
      </c>
      <c r="AP7" s="241">
        <f>MAX($J$48+$AJ7*($K$48+$AJ7*$L$48), 0)</f>
        <v>2.4748949177858621E-3</v>
      </c>
      <c r="AQ7" s="241">
        <f t="shared" si="15"/>
        <v>8.8208433004767686E-3</v>
      </c>
      <c r="AR7" s="243">
        <f>MAX($K$48+$L$48*2*AJ7,1E-32)</f>
        <v>4.3927853970973065E-7</v>
      </c>
      <c r="AS7" s="239">
        <f>$Q$36/AR7</f>
        <v>8.5200650888904023E-2</v>
      </c>
      <c r="AT7" s="243">
        <f>$Q$45*$Q$28*$Q$37^2*$Q$34*PI()/240*($AC7-$Q$47)/$Q$46*$Q$35</f>
        <v>-1.1793882761591129E-7</v>
      </c>
      <c r="AU7" s="165">
        <f>-$Q$36/AT7</f>
        <v>0.31734093225585891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30">
        <f t="shared" si="1"/>
        <v>1.1666666666666667</v>
      </c>
      <c r="D8" s="73">
        <v>30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30</v>
      </c>
      <c r="M8" s="245">
        <f t="shared" si="4"/>
        <v>3.4011973816621555</v>
      </c>
      <c r="N8" s="3">
        <f t="shared" si="5"/>
        <v>366.30036630036631</v>
      </c>
      <c r="O8" s="3">
        <f t="shared" si="6"/>
        <v>251.2562814070352</v>
      </c>
      <c r="P8" s="3">
        <f>N8*60/$C$26</f>
        <v>21978.021978021978</v>
      </c>
      <c r="Q8" s="3">
        <f>O8*60/$C$26</f>
        <v>15075.376884422112</v>
      </c>
      <c r="R8" s="3">
        <f>P8/$Q$31</f>
        <v>47.695360195360195</v>
      </c>
      <c r="S8" s="3">
        <f>Q8/$Q$31</f>
        <v>32.71566164154104</v>
      </c>
      <c r="T8" s="3">
        <f t="shared" si="7"/>
        <v>30</v>
      </c>
      <c r="U8" s="158">
        <f t="shared" si="0"/>
        <v>30.231199999999998</v>
      </c>
      <c r="V8" s="240">
        <f t="shared" si="9"/>
        <v>28.491699999999998</v>
      </c>
      <c r="W8" s="245">
        <f t="shared" si="10"/>
        <v>3.8207996517399999E-2</v>
      </c>
      <c r="X8" s="241">
        <f t="shared" si="12"/>
        <v>9.1304120957770088E-3</v>
      </c>
      <c r="Y8" s="241">
        <f t="shared" si="13"/>
        <v>4.1859046592444583E-3</v>
      </c>
      <c r="Z8" s="239">
        <f>$Q$38*(P8/$Q$31/100)^3</f>
        <v>0.48010589816466109</v>
      </c>
      <c r="AA8" s="240">
        <f>SQRT(Z8^3/4/$Q$28/$Q$34)</f>
        <v>3.2628738946522686</v>
      </c>
      <c r="AB8" s="2">
        <f t="shared" si="14"/>
        <v>10.793067740123677</v>
      </c>
      <c r="AC8" s="158">
        <f>SQRT(Z8/$Q$34/$Q$28)</f>
        <v>13.592309143151608</v>
      </c>
      <c r="AD8" s="175">
        <f t="shared" si="8"/>
        <v>30.582695572091115</v>
      </c>
      <c r="AE8" s="175">
        <f>Q8/60*PI()*$C$40/1000</f>
        <v>43.413968831014735</v>
      </c>
      <c r="AF8" s="158">
        <f t="shared" si="11"/>
        <v>3.1940098164180268</v>
      </c>
      <c r="AG8" s="151"/>
      <c r="AH8" s="239">
        <f>D8/$Q$32*$Q$24</f>
        <v>0.83333333333333326</v>
      </c>
      <c r="AI8" s="239">
        <f>AH8/$Q$24*$Q$32</f>
        <v>30</v>
      </c>
      <c r="AJ8" s="240">
        <f>MAX(($Q$42+$R$42*LN($AI8)),0)</f>
        <v>23345.400871709146</v>
      </c>
      <c r="AK8" s="240">
        <f>MAX(($Q$42+$R$42*LN(AI8))/$Q$31,0)</f>
        <v>50.66276230839658</v>
      </c>
      <c r="AL8" s="240">
        <f>($Q$43+$R$43*AK8*$Q$31)/$Q$31</f>
        <v>34.381828062009326</v>
      </c>
      <c r="AM8" s="240">
        <f>($Q$44+$R$44*AL8*$Q$31)/$Q$31</f>
        <v>50.678042371290175</v>
      </c>
      <c r="AN8" s="2">
        <f>AO8/$Q$31</f>
        <v>34.381828062009333</v>
      </c>
      <c r="AO8" s="3">
        <f>MAX($Q$43+$R$43*AJ8, 0)</f>
        <v>15843.1463709739</v>
      </c>
      <c r="AP8" s="238">
        <f>MAX($J$48+$AJ8*($K$48+$AJ8*$L$48), 0)</f>
        <v>4.7813057697707996E-3</v>
      </c>
      <c r="AQ8" s="238">
        <f t="shared" si="15"/>
        <v>2.1253141638521551E-2</v>
      </c>
      <c r="AR8" s="242">
        <f>MAX($K$48+$L$48*2*AJ8,1E-32)</f>
        <v>5.5774373645021073E-7</v>
      </c>
      <c r="AS8" s="239">
        <f>$Q$36/AR8</f>
        <v>6.7103967393701752E-2</v>
      </c>
      <c r="AT8" s="243">
        <f>$Q$45*$Q$28*$Q$37^2*$Q$34*PI()/240*($AC8-$Q$47)/$Q$46*$Q$35</f>
        <v>-2.0270137330858224E-7</v>
      </c>
      <c r="AU8" s="165">
        <f>-$Q$36/AT8</f>
        <v>0.18464017729085458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30">
        <f t="shared" si="1"/>
        <v>1.2555555555555555</v>
      </c>
      <c r="D9" s="73">
        <v>46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46</v>
      </c>
      <c r="M9" s="245">
        <f t="shared" si="4"/>
        <v>3.8286413964890951</v>
      </c>
      <c r="N9" s="3">
        <f t="shared" si="5"/>
        <v>476.1904761904762</v>
      </c>
      <c r="O9" s="3">
        <f t="shared" si="6"/>
        <v>341.29692832764505</v>
      </c>
      <c r="P9" s="3">
        <f>N9*60/$C$26</f>
        <v>28571.428571428572</v>
      </c>
      <c r="Q9" s="3">
        <f>O9*60/$C$26</f>
        <v>20477.815699658702</v>
      </c>
      <c r="R9" s="3">
        <f>P9/$Q$31</f>
        <v>62.003968253968253</v>
      </c>
      <c r="S9" s="3">
        <f>Q9/$Q$31</f>
        <v>44.439704209328781</v>
      </c>
      <c r="T9" s="3">
        <f t="shared" si="7"/>
        <v>46</v>
      </c>
      <c r="U9" s="158">
        <f t="shared" si="0"/>
        <v>51.067300000000003</v>
      </c>
      <c r="V9" s="240">
        <f t="shared" si="9"/>
        <v>49.327800000000003</v>
      </c>
      <c r="W9" s="245">
        <f t="shared" si="10"/>
        <v>6.6149665011600009E-2</v>
      </c>
      <c r="X9" s="241">
        <f t="shared" si="12"/>
        <v>1.2159631422432314E-2</v>
      </c>
      <c r="Y9" s="241">
        <f t="shared" si="13"/>
        <v>7.2151239858997632E-3</v>
      </c>
      <c r="Z9" s="239">
        <f>$Q$38*(P9/$Q$31/100)^3</f>
        <v>1.0547926582677607</v>
      </c>
      <c r="AA9" s="240">
        <f>SQRT(Z9^3/4/$Q$28/$Q$34)</f>
        <v>10.62540211180036</v>
      </c>
      <c r="AB9" s="2">
        <f t="shared" si="14"/>
        <v>20.806665149323265</v>
      </c>
      <c r="AC9" s="158">
        <f>SQRT(Z9/$Q$34/$Q$28)</f>
        <v>20.146901911983324</v>
      </c>
      <c r="AD9" s="175">
        <f t="shared" si="8"/>
        <v>45.330529301962478</v>
      </c>
      <c r="AE9" s="175">
        <f>Q9/60*PI()*$C$40/1000</f>
        <v>58.971875749979048</v>
      </c>
      <c r="AF9" s="165">
        <f t="shared" si="11"/>
        <v>2.9270940022248646</v>
      </c>
      <c r="AG9" s="151"/>
      <c r="AH9" s="239">
        <f>D9/$Q$32*$Q$24</f>
        <v>1.2777777777777777</v>
      </c>
      <c r="AI9" s="239">
        <f>AH9/$Q$24*$Q$32</f>
        <v>46</v>
      </c>
      <c r="AJ9" s="240">
        <f>MAX(($Q$42+$R$42*LN($AI9)),0)</f>
        <v>28889.978208210847</v>
      </c>
      <c r="AK9" s="240">
        <f>MAX(($Q$42+$R$42*LN(AI9))/$Q$31,0)</f>
        <v>62.6952652087909</v>
      </c>
      <c r="AL9" s="240">
        <f>($Q$43+$R$43*AK9*$Q$31)/$Q$31</f>
        <v>46.307097759806936</v>
      </c>
      <c r="AM9" s="240">
        <f>($Q$44+$R$44*AL9*$Q$31)/$Q$31</f>
        <v>62.665991978470366</v>
      </c>
      <c r="AN9" s="2">
        <f>AO9/$Q$31</f>
        <v>46.307097759806936</v>
      </c>
      <c r="AO9" s="3">
        <f>MAX($Q$43+$R$43*AJ9, 0)</f>
        <v>21338.310647719038</v>
      </c>
      <c r="AP9" s="238">
        <f>MAX($J$48+$AJ9*($K$48+$AJ9*$L$48), 0)</f>
        <v>8.2673416306911426E-3</v>
      </c>
      <c r="AQ9" s="238">
        <f t="shared" si="15"/>
        <v>4.5476641193926394E-2</v>
      </c>
      <c r="AR9" s="242">
        <f>MAX($K$48+$L$48*2*AJ9,1E-32)</f>
        <v>6.9971400986732007E-7</v>
      </c>
      <c r="AS9" s="239">
        <f>$Q$36/AR9</f>
        <v>5.3488735364743099E-2</v>
      </c>
      <c r="AT9" s="243">
        <f>$Q$45*$Q$28*$Q$37^2*$Q$34*PI()/240*($AC9-$Q$47)/$Q$46*$Q$35</f>
        <v>-3.5733093022805771E-7</v>
      </c>
      <c r="AU9" s="165">
        <f>-$Q$36/AT9</f>
        <v>0.10473993247914357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30">
        <f t="shared" si="1"/>
        <v>1.2722222222222221</v>
      </c>
      <c r="D10" s="73">
        <v>49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49</v>
      </c>
      <c r="M10" s="245">
        <f t="shared" ref="M10:M13" si="16">LN(L10)</f>
        <v>3.8918202981106265</v>
      </c>
      <c r="N10" s="3">
        <f t="shared" si="5"/>
        <v>478.46889952153111</v>
      </c>
      <c r="O10" s="3">
        <f t="shared" si="6"/>
        <v>355.87188612099646</v>
      </c>
      <c r="P10" s="3">
        <f>N10*60/$C$26</f>
        <v>28708.133971291867</v>
      </c>
      <c r="Q10" s="3">
        <f>O10*60/$C$26</f>
        <v>21352.313167259788</v>
      </c>
      <c r="R10" s="3">
        <f>P10/$Q$31</f>
        <v>62.300637958532697</v>
      </c>
      <c r="S10" s="3">
        <f>Q10/$Q$31</f>
        <v>46.337485172004747</v>
      </c>
      <c r="T10" s="3">
        <f t="shared" ref="T10:T13" si="17">L10</f>
        <v>49</v>
      </c>
      <c r="U10" s="158">
        <f t="shared" ref="U10:U13" si="18">K10</f>
        <v>55.873199999999997</v>
      </c>
      <c r="V10" s="240">
        <f t="shared" si="9"/>
        <v>54.133699999999997</v>
      </c>
      <c r="W10" s="245">
        <f t="shared" si="10"/>
        <v>7.2594482641400004E-2</v>
      </c>
      <c r="X10" s="241">
        <f t="shared" si="12"/>
        <v>1.3280773428670043E-2</v>
      </c>
      <c r="Y10" s="241">
        <f t="shared" ref="Y10:Y13" si="19">X10-$X$3</f>
        <v>8.3362659921374926E-3</v>
      </c>
      <c r="Z10" s="239">
        <f>$Q$38*(P10/$Q$31/100)^3</f>
        <v>1.070005781171621</v>
      </c>
      <c r="AA10" s="240">
        <f>SQRT(Z10^3/4/$Q$28/$Q$34)</f>
        <v>10.856101957482247</v>
      </c>
      <c r="AB10" s="2">
        <f t="shared" si="14"/>
        <v>19.429891177670598</v>
      </c>
      <c r="AC10" s="158">
        <f>SQRT(Z10/$Q$34/$Q$28)</f>
        <v>20.291669724616202</v>
      </c>
      <c r="AD10" s="175">
        <f t="shared" ref="AD10:AD13" si="20">AC10*1/1.6/1000*3600</f>
        <v>45.656256880386451</v>
      </c>
      <c r="AE10" s="175">
        <f>Q10/60*PI()*$C$40/1000</f>
        <v>61.49024766812763</v>
      </c>
      <c r="AF10" s="165">
        <f t="shared" ref="AF10:AF13" si="21">AE10/AC10</f>
        <v>3.0303197569558638</v>
      </c>
      <c r="AG10" s="151"/>
      <c r="AH10" s="239">
        <f>D10/$Q$32*$Q$24</f>
        <v>1.3611111111111109</v>
      </c>
      <c r="AI10" s="239">
        <f>AH10/$Q$24*$Q$32</f>
        <v>48.999999999999993</v>
      </c>
      <c r="AJ10" s="240">
        <f>MAX(($Q$42+$R$42*LN($AI10)),0)</f>
        <v>29709.501453185138</v>
      </c>
      <c r="AK10" s="240">
        <f>MAX(($Q$42+$R$42*LN(AI10))/$Q$31,0)</f>
        <v>64.473744473058019</v>
      </c>
      <c r="AL10" s="240">
        <f>($Q$43+$R$43*AK10*$Q$31)/$Q$31</f>
        <v>48.069727285342402</v>
      </c>
      <c r="AM10" s="240">
        <f>($Q$44+$R$44*AL10*$Q$31)/$Q$31</f>
        <v>64.437885987051956</v>
      </c>
      <c r="AN10" s="2">
        <f>AO10/$Q$31</f>
        <v>48.069727285342402</v>
      </c>
      <c r="AO10" s="3">
        <f>MAX($Q$43+$R$43*AJ10, 0)</f>
        <v>22150.530333085779</v>
      </c>
      <c r="AP10" s="238">
        <f>MAX($J$48+$AJ10*($K$48+$AJ10*$L$48), 0)</f>
        <v>8.8493720035432051E-3</v>
      </c>
      <c r="AQ10" s="238">
        <f t="shared" ref="AQ10:AQ13" si="22">AJ10*AP10/5252</f>
        <v>5.0059107082833718E-2</v>
      </c>
      <c r="AR10" s="242">
        <f>MAX($K$48+$L$48*2*AJ10,1E-32)</f>
        <v>7.2069810515529115E-7</v>
      </c>
      <c r="AS10" s="239">
        <f>$Q$36/AR10</f>
        <v>5.1931338846425645E-2</v>
      </c>
      <c r="AT10" s="243">
        <f>$Q$45*$Q$28*$Q$37^2*$Q$34*PI()/240*($AC10-$Q$47)/$Q$46*$Q$35</f>
        <v>-3.6074615120564008E-7</v>
      </c>
      <c r="AU10" s="165">
        <f>-$Q$36/AT10</f>
        <v>0.10374834874804113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30">
        <f t="shared" si="1"/>
        <v>1.2944444444444445</v>
      </c>
      <c r="D11" s="73">
        <v>53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53</v>
      </c>
      <c r="M11" s="245">
        <f t="shared" si="16"/>
        <v>3.970291913552122</v>
      </c>
      <c r="N11" s="3">
        <f t="shared" si="5"/>
        <v>495.04950495049508</v>
      </c>
      <c r="O11" s="3">
        <f t="shared" si="6"/>
        <v>374.53183520599254</v>
      </c>
      <c r="P11" s="3">
        <f>N11*60/$C$26</f>
        <v>29702.970297029704</v>
      </c>
      <c r="Q11" s="3">
        <f>O11*60/$C$26</f>
        <v>22471.910112359554</v>
      </c>
      <c r="R11" s="3">
        <f>P11/$Q$31</f>
        <v>64.459570957095707</v>
      </c>
      <c r="S11" s="3">
        <f>Q11/$Q$31</f>
        <v>48.767166042446945</v>
      </c>
      <c r="T11" s="3">
        <f t="shared" si="17"/>
        <v>53</v>
      </c>
      <c r="U11" s="158">
        <f t="shared" si="18"/>
        <v>62.608699999999999</v>
      </c>
      <c r="V11" s="240">
        <f t="shared" si="9"/>
        <v>60.869199999999999</v>
      </c>
      <c r="W11" s="245">
        <f t="shared" si="10"/>
        <v>8.1626936322400007E-2</v>
      </c>
      <c r="X11" s="241">
        <f t="shared" si="12"/>
        <v>1.4433057208696577E-2</v>
      </c>
      <c r="Y11" s="241">
        <f t="shared" si="19"/>
        <v>9.4885497721640261E-3</v>
      </c>
      <c r="Z11" s="239">
        <f>$Q$38*(P11/$Q$31/100)^3</f>
        <v>1.1851433231911994</v>
      </c>
      <c r="AA11" s="240">
        <f>SQRT(Z11^3/4/$Q$28/$Q$34)</f>
        <v>12.654676236558226</v>
      </c>
      <c r="AB11" s="2">
        <f t="shared" si="14"/>
        <v>20.21232869642434</v>
      </c>
      <c r="AC11" s="158">
        <f>SQRT(Z11/$Q$34/$Q$28)</f>
        <v>21.355520448756128</v>
      </c>
      <c r="AD11" s="175">
        <f t="shared" si="20"/>
        <v>48.049921009701286</v>
      </c>
      <c r="AE11" s="175">
        <f>Q11/60*PI()*$C$40/1000</f>
        <v>64.714455411025696</v>
      </c>
      <c r="AF11" s="163">
        <f t="shared" si="21"/>
        <v>3.0303384816264241</v>
      </c>
      <c r="AG11" s="159">
        <f>$L$43/($Q$28*$Q$37*$Q$34*($AC11-$Q$47)^2/4/$AF11)/(PI()*$Q$37/60/($AC11-$Q$47))</f>
        <v>-0.94179186274305016</v>
      </c>
      <c r="AH11" s="239">
        <f>D11/$Q$32*$Q$24</f>
        <v>1.4722222222222223</v>
      </c>
      <c r="AI11" s="239">
        <f>AH11/$Q$24*$Q$32</f>
        <v>53</v>
      </c>
      <c r="AJ11" s="240">
        <f>MAX(($Q$42+$R$42*LN($AI11)),0)</f>
        <v>30727.393681040408</v>
      </c>
      <c r="AK11" s="240">
        <f>MAX(($Q$42+$R$42*LN(AI11))/$Q$31,0)</f>
        <v>66.68271198142449</v>
      </c>
      <c r="AL11" s="240">
        <f>($Q$43+$R$43*AK11*$Q$31)/$Q$31</f>
        <v>50.2590085603196</v>
      </c>
      <c r="AM11" s="240">
        <f>($Q$44+$R$44*AL11*$Q$31)/$Q$31</f>
        <v>66.638674251422756</v>
      </c>
      <c r="AN11" s="2">
        <f>AO11/$Q$31</f>
        <v>50.259008560319607</v>
      </c>
      <c r="AO11" s="3">
        <f>MAX($Q$43+$R$43*AJ11, 0)</f>
        <v>23159.351144595275</v>
      </c>
      <c r="AP11" s="238">
        <f>MAX($J$48+$AJ11*($K$48+$AJ11*$L$48), 0)</f>
        <v>9.5962298604641682E-3</v>
      </c>
      <c r="AQ11" s="238">
        <f t="shared" si="22"/>
        <v>5.6143780041172493E-2</v>
      </c>
      <c r="AR11" s="242">
        <f>MAX($K$48+$L$48*2*AJ11,1E-32)</f>
        <v>7.4676148729019364E-7</v>
      </c>
      <c r="AS11" s="239">
        <f>$Q$36/AR11</f>
        <v>5.0118837328647824E-2</v>
      </c>
      <c r="AT11" s="243">
        <f>$Q$45*$Q$28*$Q$37^2*$Q$34*PI()/240*($AC11-$Q$47)/$Q$46*$Q$35</f>
        <v>-3.8584347943089009E-7</v>
      </c>
      <c r="AU11" s="165">
        <f>-$Q$36/AT11</f>
        <v>9.6999999999999961E-2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30">
        <f t="shared" si="1"/>
        <v>1.3111111111111111</v>
      </c>
      <c r="D12" s="73">
        <v>56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56</v>
      </c>
      <c r="M12" s="245">
        <f t="shared" si="16"/>
        <v>4.0253516907351496</v>
      </c>
      <c r="N12" s="3">
        <f t="shared" si="5"/>
        <v>512.82051282051282</v>
      </c>
      <c r="O12" s="3">
        <f t="shared" si="6"/>
        <v>384.61538461538464</v>
      </c>
      <c r="P12" s="3">
        <f>N12*60/$C$26</f>
        <v>30769.23076923077</v>
      </c>
      <c r="Q12" s="3">
        <f>O12*60/$C$26</f>
        <v>23076.923076923078</v>
      </c>
      <c r="R12" s="3">
        <f>P12/$Q$31</f>
        <v>66.773504273504273</v>
      </c>
      <c r="S12" s="3">
        <f>Q12/$Q$31</f>
        <v>50.080128205128204</v>
      </c>
      <c r="T12" s="3">
        <f t="shared" si="17"/>
        <v>56</v>
      </c>
      <c r="U12" s="158">
        <f t="shared" si="18"/>
        <v>65.890500000000003</v>
      </c>
      <c r="V12" s="240">
        <f t="shared" si="9"/>
        <v>64.150999999999996</v>
      </c>
      <c r="W12" s="245">
        <f t="shared" si="10"/>
        <v>8.6027902321999999E-2</v>
      </c>
      <c r="X12" s="241">
        <f t="shared" si="12"/>
        <v>1.4684102647342179E-2</v>
      </c>
      <c r="Y12" s="241">
        <f t="shared" si="19"/>
        <v>9.7395952108096286E-3</v>
      </c>
      <c r="Z12" s="239">
        <f>$Q$38*(P12/$Q$31/100)^3</f>
        <v>1.31741058456383</v>
      </c>
      <c r="AA12" s="240">
        <f>SQRT(Z12^3/4/$Q$28/$Q$34)</f>
        <v>14.831205408440596</v>
      </c>
      <c r="AB12" s="2">
        <f t="shared" si="14"/>
        <v>22.508867603737407</v>
      </c>
      <c r="AC12" s="158">
        <f>SQRT(Z12/$Q$34/$Q$28)</f>
        <v>22.515691891683002</v>
      </c>
      <c r="AD12" s="175">
        <f t="shared" si="20"/>
        <v>50.660306756286744</v>
      </c>
      <c r="AE12" s="175">
        <f>Q12/60*PI()*$C$40/1000</f>
        <v>66.456767672091786</v>
      </c>
      <c r="AF12" s="165">
        <f t="shared" si="21"/>
        <v>2.9515756385279031</v>
      </c>
      <c r="AG12" s="151"/>
      <c r="AH12" s="239">
        <f>D12/$Q$32*$Q$24</f>
        <v>1.5555555555555556</v>
      </c>
      <c r="AI12" s="239">
        <f>AH12/$Q$24*$Q$32</f>
        <v>56</v>
      </c>
      <c r="AJ12" s="240">
        <f>MAX(($Q$42+$R$42*LN($AI12)),0)</f>
        <v>31441.599944626647</v>
      </c>
      <c r="AK12" s="240">
        <f>MAX(($Q$42+$R$42*LN(AI12))/$Q$31,0)</f>
        <v>68.232638768721017</v>
      </c>
      <c r="AL12" s="240">
        <f>($Q$43+$R$43*AK12*$Q$31)/$Q$31</f>
        <v>51.795122459759952</v>
      </c>
      <c r="AM12" s="240">
        <f>($Q$44+$R$44*AL12*$Q$31)/$Q$31</f>
        <v>68.182862054637056</v>
      </c>
      <c r="AN12" s="2">
        <f>AO12/$Q$31</f>
        <v>51.795122459759952</v>
      </c>
      <c r="AO12" s="3">
        <f>MAX($Q$43+$R$43*AJ12, 0)</f>
        <v>23867.192429457387</v>
      </c>
      <c r="AP12" s="238">
        <f>MAX($J$48+$AJ12*($K$48+$AJ12*$L$48), 0)</f>
        <v>1.0136102089882805E-2</v>
      </c>
      <c r="AQ12" s="238">
        <f t="shared" si="22"/>
        <v>6.0680743889563835E-2</v>
      </c>
      <c r="AR12" s="242">
        <f>MAX($K$48+$L$48*2*AJ12,1E-32)</f>
        <v>7.6504891523353351E-7</v>
      </c>
      <c r="AS12" s="239">
        <f>$Q$36/AR12</f>
        <v>4.8920816381226653E-2</v>
      </c>
      <c r="AT12" s="243">
        <f>$Q$45*$Q$28*$Q$37^2*$Q$34*PI()/240*($AC12-$Q$47)/$Q$46*$Q$35</f>
        <v>-4.1321311206824872E-7</v>
      </c>
      <c r="AU12" s="165">
        <f>-$Q$36/AT12</f>
        <v>9.0575096510041753E-2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30">
        <f t="shared" si="1"/>
        <v>1.4</v>
      </c>
      <c r="D13" s="73">
        <v>72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72</v>
      </c>
      <c r="M13" s="245">
        <f t="shared" si="16"/>
        <v>4.2766661190160553</v>
      </c>
      <c r="N13" s="3">
        <f t="shared" si="5"/>
        <v>568.18181818181813</v>
      </c>
      <c r="O13" s="3">
        <f t="shared" si="6"/>
        <v>442.47787610619469</v>
      </c>
      <c r="P13" s="3">
        <f>N13*60/$C$26</f>
        <v>34090.909090909088</v>
      </c>
      <c r="Q13" s="3">
        <f>O13*60/$C$26</f>
        <v>26548.672566371682</v>
      </c>
      <c r="R13" s="3">
        <f>P13/$Q$31</f>
        <v>73.982007575757564</v>
      </c>
      <c r="S13" s="3">
        <f>Q13/$Q$31</f>
        <v>57.614306784660769</v>
      </c>
      <c r="T13" s="3">
        <f t="shared" si="17"/>
        <v>72</v>
      </c>
      <c r="U13" s="158">
        <f t="shared" si="18"/>
        <v>87.217500000000001</v>
      </c>
      <c r="V13" s="240">
        <f t="shared" si="9"/>
        <v>85.477999999999994</v>
      </c>
      <c r="W13" s="245">
        <f t="shared" si="10"/>
        <v>0.114627878516</v>
      </c>
      <c r="X13" s="241">
        <f t="shared" si="12"/>
        <v>1.7659418127003605E-2</v>
      </c>
      <c r="Y13" s="241">
        <f t="shared" si="19"/>
        <v>1.2714910690471055E-2</v>
      </c>
      <c r="Z13" s="239">
        <f>$Q$38*(P13/$Q$31/100)^3</f>
        <v>1.7917894660781604</v>
      </c>
      <c r="AA13" s="240">
        <f>SQRT(Z13^3/4/$Q$28/$Q$34)</f>
        <v>23.524759693266088</v>
      </c>
      <c r="AB13" s="2">
        <f t="shared" si="14"/>
        <v>26.972522364509516</v>
      </c>
      <c r="AC13" s="158">
        <f>SQRT(Z13/$Q$34/$Q$28)</f>
        <v>26.258397137200163</v>
      </c>
      <c r="AD13" s="175">
        <f t="shared" si="20"/>
        <v>59.081393558700363</v>
      </c>
      <c r="AE13" s="175">
        <f>Q13/60*PI()*$C$40/1000</f>
        <v>76.454688472317969</v>
      </c>
      <c r="AF13" s="165">
        <f t="shared" si="21"/>
        <v>2.9116281573792229</v>
      </c>
      <c r="AG13" s="151"/>
      <c r="AH13" s="239">
        <f>D13/$Q$32*$Q$24</f>
        <v>2</v>
      </c>
      <c r="AI13" s="239">
        <f>AH13/$Q$24*$Q$32</f>
        <v>72</v>
      </c>
      <c r="AJ13" s="240">
        <f>MAX(($Q$42+$R$42*LN($AI13)),0)</f>
        <v>34701.517583071894</v>
      </c>
      <c r="AK13" s="240">
        <f>MAX(($Q$42+$R$42*LN(AI13))/$Q$31,0)</f>
        <v>75.307112810485876</v>
      </c>
      <c r="AL13" s="240">
        <f>($Q$43+$R$43*AK13*$Q$31)/$Q$31</f>
        <v>58.806549061232005</v>
      </c>
      <c r="AM13" s="240">
        <f>($Q$44+$R$44*AL13*$Q$31)/$Q$31</f>
        <v>75.231141121098133</v>
      </c>
      <c r="AN13" s="2">
        <f>AO13/$Q$31</f>
        <v>58.806549061232005</v>
      </c>
      <c r="AO13" s="3">
        <f>MAX($Q$43+$R$43*AJ13, 0)</f>
        <v>27098.057807415709</v>
      </c>
      <c r="AP13" s="238">
        <f>MAX($J$48+$AJ13*($K$48+$AJ13*$L$48), 0)</f>
        <v>1.2766152830701878E-2</v>
      </c>
      <c r="AQ13" s="238">
        <f t="shared" si="22"/>
        <v>8.4349748081261278E-2</v>
      </c>
      <c r="AR13" s="242">
        <f>MAX($K$48+$L$48*2*AJ13,1E-32)</f>
        <v>8.4851991227428105E-7</v>
      </c>
      <c r="AS13" s="239">
        <f>$Q$36/AR13</f>
        <v>4.4108354987782823E-2</v>
      </c>
      <c r="AT13" s="243">
        <f>$Q$45*$Q$28*$Q$37^2*$Q$34*PI()/240*($AC13-$Q$47)/$Q$46*$Q$35</f>
        <v>-5.0150736225362952E-7</v>
      </c>
      <c r="AU13" s="165">
        <f>-$Q$36/AT13</f>
        <v>7.4628650188924436E-2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31">
        <f t="shared" si="1"/>
        <v>1.6777777777777778</v>
      </c>
      <c r="D14" s="80">
        <v>122</v>
      </c>
      <c r="E14" s="80">
        <v>3.67</v>
      </c>
      <c r="F14" s="80">
        <v>11.7</v>
      </c>
      <c r="G14" s="80">
        <v>14.85</v>
      </c>
      <c r="H14" s="80">
        <v>1344</v>
      </c>
      <c r="I14" s="81">
        <v>1620</v>
      </c>
      <c r="J14" s="61"/>
      <c r="K14" s="2">
        <f t="shared" si="2"/>
        <v>173.74499999999998</v>
      </c>
      <c r="L14" s="1">
        <f t="shared" si="3"/>
        <v>122</v>
      </c>
      <c r="M14" s="245">
        <f t="shared" si="4"/>
        <v>4.8040210447332568</v>
      </c>
      <c r="N14" s="3">
        <f t="shared" si="5"/>
        <v>744.04761904761904</v>
      </c>
      <c r="O14" s="3">
        <f t="shared" si="6"/>
        <v>617.28395061728395</v>
      </c>
      <c r="P14" s="3">
        <f>N14*60/$C$26</f>
        <v>44642.857142857145</v>
      </c>
      <c r="Q14" s="3">
        <f>O14*60/$C$26</f>
        <v>37037.037037037036</v>
      </c>
      <c r="R14" s="3">
        <f>P14/$Q$31</f>
        <v>96.881200396825392</v>
      </c>
      <c r="S14" s="3">
        <f>Q14/$Q$31</f>
        <v>80.375514403292172</v>
      </c>
      <c r="T14" s="3">
        <f t="shared" si="7"/>
        <v>122</v>
      </c>
      <c r="U14" s="158">
        <f t="shared" si="0"/>
        <v>173.74499999999998</v>
      </c>
      <c r="V14" s="240">
        <f t="shared" si="9"/>
        <v>172.00549999999998</v>
      </c>
      <c r="W14" s="245">
        <f t="shared" si="10"/>
        <v>0.23066315962099998</v>
      </c>
      <c r="X14" s="241">
        <f t="shared" si="12"/>
        <v>2.7136321280980619E-2</v>
      </c>
      <c r="Y14" s="241">
        <f t="shared" si="13"/>
        <v>2.2191813844448068E-2</v>
      </c>
      <c r="Z14" s="163">
        <f>C34/0.224</f>
        <v>4.4249528005034611</v>
      </c>
      <c r="AA14" s="240">
        <f>SQRT(Z14^3/4/$Q$28/$Q$34)</f>
        <v>91.297248929319878</v>
      </c>
      <c r="AB14" s="2">
        <f>AA14/U14*100</f>
        <v>52.546691374899936</v>
      </c>
      <c r="AC14" s="158">
        <f>SQRT(Z14/$Q$34/$Q$28)</f>
        <v>41.264733453849395</v>
      </c>
      <c r="AD14" s="175">
        <f>AC14*1/1.6/1000*3600</f>
        <v>92.845650271161119</v>
      </c>
      <c r="AE14" s="175">
        <f>Q14/60*PI()*$C$40/1000</f>
        <v>106.65900984409792</v>
      </c>
      <c r="AF14" s="165">
        <f t="shared" si="11"/>
        <v>2.5847497588560868</v>
      </c>
      <c r="AG14" s="151"/>
      <c r="AH14" s="239">
        <f>D14/$Q$32*$Q$24</f>
        <v>3.3888888888888893</v>
      </c>
      <c r="AI14" s="239">
        <f>AH14/$Q$24*$Q$32</f>
        <v>122</v>
      </c>
      <c r="AJ14" s="240">
        <f>MAX(($Q$42+$R$42*LN($AI14)),0)</f>
        <v>41542.086331257466</v>
      </c>
      <c r="AK14" s="240">
        <f>MAX(($Q$42+$R$42*LN(AI14))/$Q$31,0)</f>
        <v>90.152097073041375</v>
      </c>
      <c r="AL14" s="240">
        <f>($Q$43+$R$43*AK14*$Q$31)/$Q$31</f>
        <v>73.519235395571798</v>
      </c>
      <c r="AM14" s="240">
        <f>($Q$44+$R$44*AL14*$Q$31)/$Q$31</f>
        <v>90.021158188375679</v>
      </c>
      <c r="AN14" s="2">
        <f>AO14/$Q$31</f>
        <v>73.519235395571798</v>
      </c>
      <c r="AO14" s="3">
        <f>MAX($Q$43+$R$43*AJ14, 0)</f>
        <v>33877.663670279486</v>
      </c>
      <c r="AP14" s="238">
        <f>MAX($J$48+$AJ14*($K$48+$AJ14*$L$48), 0)</f>
        <v>1.9169589666562174E-2</v>
      </c>
      <c r="AQ14" s="238">
        <f t="shared" si="15"/>
        <v>0.15162695142100283</v>
      </c>
      <c r="AR14" s="242">
        <f>MAX($K$48+$L$48*2*AJ14,1E-32)</f>
        <v>1.0236743661791809E-6</v>
      </c>
      <c r="AS14" s="239">
        <f>$Q$36/AR14</f>
        <v>3.6561253012996953E-2</v>
      </c>
      <c r="AT14" s="243">
        <f>$Q$45*$Q$28*$Q$37^2*$Q$34*PI()/240*($AC14-$Q$47)/$Q$46*$Q$35</f>
        <v>-8.5552220611427934E-7</v>
      </c>
      <c r="AU14" s="165">
        <f>-$Q$36/AT14</f>
        <v>4.3747336115080228E-2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O20" s="188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8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65" t="s">
        <v>15</v>
      </c>
      <c r="Q24" s="205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65" t="s">
        <v>17</v>
      </c>
      <c r="Q25" s="205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65" t="s">
        <v>16</v>
      </c>
      <c r="Q26" s="205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10">
        <v>25</v>
      </c>
      <c r="K27" s="30" t="s">
        <v>93</v>
      </c>
      <c r="L27" s="31"/>
      <c r="M27" s="61"/>
      <c r="N27" s="188"/>
      <c r="O27" s="188"/>
      <c r="P27" s="65" t="s">
        <v>14</v>
      </c>
      <c r="Q27" s="205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10">
        <v>2.1797</v>
      </c>
      <c r="K28" s="30" t="s">
        <v>94</v>
      </c>
      <c r="L28" s="31"/>
      <c r="M28" s="61"/>
      <c r="N28" s="188"/>
      <c r="O28" s="188"/>
      <c r="P28" s="65" t="s">
        <v>177</v>
      </c>
      <c r="Q28" s="206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9"/>
      <c r="Q29" s="216"/>
      <c r="R29" s="216"/>
      <c r="S29" s="216"/>
      <c r="T29" s="220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2">
        <f>3/8/2*25.4</f>
        <v>4.7624999999999993</v>
      </c>
      <c r="K30" s="30" t="s">
        <v>93</v>
      </c>
      <c r="L30" s="31" t="s">
        <v>142</v>
      </c>
      <c r="N30" s="3"/>
      <c r="O30" s="3"/>
      <c r="P30" s="221" t="s">
        <v>271</v>
      </c>
      <c r="Q30" s="216"/>
      <c r="R30" s="216"/>
      <c r="S30" s="216"/>
      <c r="T30" s="220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2">
        <f>3/4*25.4</f>
        <v>19.049999999999997</v>
      </c>
      <c r="K31" s="30" t="s">
        <v>93</v>
      </c>
      <c r="L31" s="31" t="s">
        <v>142</v>
      </c>
      <c r="N31" s="3"/>
      <c r="O31" s="3"/>
      <c r="P31" s="65" t="s">
        <v>27</v>
      </c>
      <c r="Q31" s="205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65" t="s">
        <v>18</v>
      </c>
      <c r="Q32" s="205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65" t="s">
        <v>13</v>
      </c>
      <c r="Q33" s="205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65" t="s">
        <v>178</v>
      </c>
      <c r="Q34" s="206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65" t="s">
        <v>183</v>
      </c>
      <c r="Q35" s="207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3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65" t="s">
        <v>184</v>
      </c>
      <c r="Q36" s="209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65" t="s">
        <v>199</v>
      </c>
      <c r="Q37" s="206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45" t="s">
        <v>242</v>
      </c>
      <c r="J38" s="45"/>
      <c r="K38" s="45"/>
      <c r="L38" s="45"/>
      <c r="N38" s="3"/>
      <c r="O38" s="3"/>
      <c r="P38" s="65" t="s">
        <v>218</v>
      </c>
      <c r="Q38" s="217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224" t="s">
        <v>100</v>
      </c>
      <c r="J39" s="228" t="s">
        <v>273</v>
      </c>
      <c r="K39" s="228" t="s">
        <v>274</v>
      </c>
      <c r="L39" s="229" t="s">
        <v>275</v>
      </c>
      <c r="P39" s="219"/>
      <c r="Q39" s="216"/>
      <c r="R39" s="216"/>
      <c r="S39" s="216"/>
      <c r="T39" s="220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"/>
      <c r="J40" s="210"/>
      <c r="K40" s="45"/>
      <c r="L40" s="213"/>
      <c r="P40" s="23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">
        <v>16</v>
      </c>
      <c r="J41" s="225">
        <v>0.442</v>
      </c>
      <c r="K41" s="45"/>
      <c r="L41" s="213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14315.013786272719</v>
      </c>
      <c r="S41" s="67">
        <f>INDEX(LINEST($Q$4:$Q$14,$E$4:$E$14^{1,2},FALSE,FALSE),1)</f>
        <v>-1136.9388922051471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">
        <v>25</v>
      </c>
      <c r="J42" s="225">
        <v>0.28699999999999998</v>
      </c>
      <c r="K42" s="45"/>
      <c r="L42" s="213"/>
      <c r="P42" s="65" t="s">
        <v>21</v>
      </c>
      <c r="Q42" s="205">
        <f>INDEX(LINEST($P$4:$P$14,$M$4:$M$14),2)</f>
        <v>-20773.129895339011</v>
      </c>
      <c r="R42" s="67">
        <f>INDEX(LINEST($P$4:$P$14,$M$4:$M$14),1)</f>
        <v>12971.470284234887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">
        <v>48</v>
      </c>
      <c r="J43" s="225">
        <v>9.7000000000000003E-2</v>
      </c>
      <c r="K43" s="180">
        <f>$Q$36/J43</f>
        <v>3.8584347943088994E-7</v>
      </c>
      <c r="L43" s="46">
        <f>-K43/$Q$35</f>
        <v>-5.2304942071651441E-7</v>
      </c>
      <c r="P43" s="65" t="s">
        <v>122</v>
      </c>
      <c r="Q43" s="205">
        <f>INDEX(LINEST($Q$4:$Q$14,$P$4:$P$14),2)</f>
        <v>-7294.2011869649868</v>
      </c>
      <c r="R43" s="69">
        <f>INDEX(LINEST($Q$4:$Q$14,$P$4:$P$14),1)</f>
        <v>0.99108803850002047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6">
        <v>62</v>
      </c>
      <c r="J44" s="226">
        <v>0.03</v>
      </c>
      <c r="K44" s="227"/>
      <c r="L44" s="237"/>
      <c r="P44" s="65" t="s">
        <v>123</v>
      </c>
      <c r="Q44" s="205">
        <f>INDEX(LINEST($P$4:$P$14,$Q$4:$Q$14),2)</f>
        <v>7426.0230572420805</v>
      </c>
      <c r="R44" s="69">
        <f>INDEX(LINEST($P$4:$P$14,$Q$4:$Q$14),1)</f>
        <v>1.0052560580155401</v>
      </c>
      <c r="S44" s="30"/>
      <c r="T44" s="31" t="s">
        <v>267</v>
      </c>
      <c r="AI44" s="5"/>
    </row>
    <row r="45" spans="1:50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46">
        <f>(J45-J43)/(J44-J43)*(I44-I43)+I43</f>
        <v>64.089552238805965</v>
      </c>
      <c r="J45" s="247">
        <v>0.02</v>
      </c>
      <c r="P45" s="65" t="s">
        <v>180</v>
      </c>
      <c r="Q45" s="207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8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22" t="s">
        <v>211</v>
      </c>
      <c r="Q47" s="223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5" t="s">
        <v>92</v>
      </c>
      <c r="J48" s="214">
        <f>INDEX(LINEST($Y$3:$Y$14,$P$3:$P$14^{1,2}),3)</f>
        <v>-1.2619163584734246E-3</v>
      </c>
      <c r="K48" s="180">
        <f>INDEX(LINEST($Y$3:$Y$14,$P$3:$P$14^{1,2}),2)</f>
        <v>-4.0021024259165572E-8</v>
      </c>
      <c r="L48" s="180">
        <f>INDEX(LINEST($Y$3:$Y$14,$P$3:$P$14^{1,2}),1)</f>
        <v>1.2802623608699104E-11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P49" s="248" t="s">
        <v>287</v>
      </c>
      <c r="Q49" s="249" t="s">
        <v>201</v>
      </c>
      <c r="R49" s="250"/>
      <c r="S49" s="249">
        <v>0.15</v>
      </c>
      <c r="T49" s="251"/>
      <c r="U49" s="10"/>
    </row>
    <row r="50" spans="1:45" ht="15" thickBot="1" x14ac:dyDescent="0.35">
      <c r="A50" s="3" t="s">
        <v>244</v>
      </c>
      <c r="B50" s="211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60" t="s">
        <v>284</v>
      </c>
      <c r="N50" s="142"/>
      <c r="P50" s="252" t="s">
        <v>288</v>
      </c>
      <c r="Q50" s="253" t="s">
        <v>201</v>
      </c>
      <c r="R50" s="216"/>
      <c r="S50" s="253">
        <v>0.03</v>
      </c>
      <c r="T50" s="220"/>
      <c r="U50" s="10"/>
      <c r="W50" s="194"/>
      <c r="X50" s="45"/>
      <c r="Y50" s="45"/>
    </row>
    <row r="51" spans="1:45" x14ac:dyDescent="0.3">
      <c r="I51" s="261" t="s">
        <v>279</v>
      </c>
      <c r="J51" s="250" t="s">
        <v>100</v>
      </c>
      <c r="K51" s="262" t="s">
        <v>280</v>
      </c>
      <c r="L51" s="262" t="s">
        <v>281</v>
      </c>
      <c r="M51" s="262" t="s">
        <v>282</v>
      </c>
      <c r="N51" s="263" t="s">
        <v>283</v>
      </c>
      <c r="P51" s="252" t="s">
        <v>286</v>
      </c>
      <c r="Q51" s="253" t="s">
        <v>289</v>
      </c>
      <c r="R51" s="253" t="s">
        <v>290</v>
      </c>
      <c r="S51" s="254" t="s">
        <v>289</v>
      </c>
      <c r="T51" s="255" t="s">
        <v>290</v>
      </c>
      <c r="U51" s="3"/>
      <c r="V51" s="45"/>
      <c r="W51" s="45"/>
      <c r="X51" s="45"/>
      <c r="Y51" s="45"/>
    </row>
    <row r="52" spans="1:45" x14ac:dyDescent="0.3">
      <c r="I52" s="264">
        <v>0</v>
      </c>
      <c r="J52" s="265"/>
      <c r="K52" s="58">
        <v>0.2</v>
      </c>
      <c r="L52" s="58">
        <v>4.4000000000000004</v>
      </c>
      <c r="M52" s="58">
        <v>0.09</v>
      </c>
      <c r="N52" s="25">
        <v>5</v>
      </c>
      <c r="P52" s="252">
        <f>J52</f>
        <v>0</v>
      </c>
      <c r="Q52" s="253">
        <f>L52</f>
        <v>4.4000000000000004</v>
      </c>
      <c r="R52" s="253">
        <f>K52</f>
        <v>0.2</v>
      </c>
      <c r="S52" s="254">
        <f>N52</f>
        <v>5</v>
      </c>
      <c r="T52" s="255">
        <f>M52</f>
        <v>0.09</v>
      </c>
      <c r="V52" s="45"/>
      <c r="W52" s="45"/>
      <c r="X52" s="45"/>
      <c r="Y52" s="45"/>
      <c r="AJ52" s="104"/>
      <c r="AR52" s="3"/>
    </row>
    <row r="53" spans="1:45" x14ac:dyDescent="0.3">
      <c r="I53" s="264">
        <v>0.02</v>
      </c>
      <c r="J53" s="265"/>
      <c r="K53" s="58">
        <v>0.2</v>
      </c>
      <c r="L53" s="58">
        <v>3.75</v>
      </c>
      <c r="M53" s="58">
        <v>0.09</v>
      </c>
      <c r="N53" s="25">
        <v>5</v>
      </c>
      <c r="P53" s="252">
        <f t="shared" ref="P53:P57" si="23">J53</f>
        <v>0</v>
      </c>
      <c r="Q53" s="253">
        <f t="shared" ref="Q53:Q57" si="24">L53</f>
        <v>3.75</v>
      </c>
      <c r="R53" s="253">
        <f t="shared" ref="R53:R57" si="25">K53</f>
        <v>0.2</v>
      </c>
      <c r="S53" s="254">
        <f t="shared" ref="S53:S57" si="26">N53</f>
        <v>5</v>
      </c>
      <c r="T53" s="255">
        <f t="shared" ref="T53:T57" si="27">M53</f>
        <v>0.09</v>
      </c>
      <c r="V53" s="45"/>
      <c r="W53" s="45"/>
      <c r="X53" s="45"/>
      <c r="Y53" s="45"/>
      <c r="AS53" s="3"/>
    </row>
    <row r="54" spans="1:45" x14ac:dyDescent="0.3">
      <c r="I54" s="264">
        <v>8.5000000000000006E-2</v>
      </c>
      <c r="J54" s="265"/>
      <c r="K54" s="58">
        <v>0.22500000000000001</v>
      </c>
      <c r="L54" s="58">
        <v>3.2</v>
      </c>
      <c r="M54" s="266">
        <v>0.125</v>
      </c>
      <c r="N54" s="267">
        <v>4.05</v>
      </c>
      <c r="P54" s="252">
        <f t="shared" si="23"/>
        <v>0</v>
      </c>
      <c r="Q54" s="253">
        <f t="shared" si="24"/>
        <v>3.2</v>
      </c>
      <c r="R54" s="253">
        <f t="shared" si="25"/>
        <v>0.22500000000000001</v>
      </c>
      <c r="S54" s="254">
        <f t="shared" si="26"/>
        <v>4.05</v>
      </c>
      <c r="T54" s="255">
        <f t="shared" si="27"/>
        <v>0.125</v>
      </c>
      <c r="V54" s="45"/>
      <c r="W54" s="45"/>
      <c r="X54" s="45"/>
      <c r="Y54" s="45"/>
    </row>
    <row r="55" spans="1:45" x14ac:dyDescent="0.3">
      <c r="I55" s="264">
        <v>0.185</v>
      </c>
      <c r="J55" s="265"/>
      <c r="K55" s="58">
        <v>0.32500000000000001</v>
      </c>
      <c r="L55" s="58">
        <v>2.7</v>
      </c>
      <c r="M55" s="58">
        <v>0.24</v>
      </c>
      <c r="N55" s="25">
        <v>3.75</v>
      </c>
      <c r="P55" s="252">
        <f t="shared" si="23"/>
        <v>0</v>
      </c>
      <c r="Q55" s="253">
        <f t="shared" si="24"/>
        <v>2.7</v>
      </c>
      <c r="R55" s="253">
        <f t="shared" si="25"/>
        <v>0.32500000000000001</v>
      </c>
      <c r="S55" s="254">
        <f t="shared" si="26"/>
        <v>3.75</v>
      </c>
      <c r="T55" s="255">
        <f t="shared" si="27"/>
        <v>0.24</v>
      </c>
      <c r="V55" s="45"/>
      <c r="W55" s="45"/>
      <c r="X55" s="196"/>
      <c r="Y55" s="45"/>
    </row>
    <row r="56" spans="1:45" x14ac:dyDescent="0.3">
      <c r="I56" s="264">
        <v>0.34399999999999997</v>
      </c>
      <c r="J56" s="265"/>
      <c r="K56" s="58">
        <v>0.47499999999999998</v>
      </c>
      <c r="L56" s="58">
        <v>2.4</v>
      </c>
      <c r="M56" s="268">
        <v>0.42</v>
      </c>
      <c r="N56" s="25">
        <v>3.6</v>
      </c>
      <c r="P56" s="252">
        <f t="shared" si="23"/>
        <v>0</v>
      </c>
      <c r="Q56" s="253">
        <f t="shared" si="24"/>
        <v>2.4</v>
      </c>
      <c r="R56" s="253">
        <f t="shared" si="25"/>
        <v>0.47499999999999998</v>
      </c>
      <c r="S56" s="254">
        <f t="shared" si="26"/>
        <v>3.6</v>
      </c>
      <c r="T56" s="255">
        <f t="shared" si="27"/>
        <v>0.42</v>
      </c>
      <c r="V56" s="45"/>
      <c r="W56" s="45"/>
      <c r="X56" s="196"/>
      <c r="Y56" s="45"/>
    </row>
    <row r="57" spans="1:45" ht="15" thickBot="1" x14ac:dyDescent="0.35">
      <c r="I57" s="269">
        <v>0.5</v>
      </c>
      <c r="J57" s="270"/>
      <c r="K57" s="271">
        <v>0.47499999999999998</v>
      </c>
      <c r="L57" s="271">
        <v>2.4</v>
      </c>
      <c r="M57" s="271">
        <v>0.42</v>
      </c>
      <c r="N57" s="27">
        <v>3.6</v>
      </c>
      <c r="P57" s="256">
        <f t="shared" si="23"/>
        <v>0</v>
      </c>
      <c r="Q57" s="257">
        <f t="shared" si="24"/>
        <v>2.4</v>
      </c>
      <c r="R57" s="257">
        <f t="shared" si="25"/>
        <v>0.47499999999999998</v>
      </c>
      <c r="S57" s="258">
        <f t="shared" si="26"/>
        <v>3.6</v>
      </c>
      <c r="T57" s="259">
        <f t="shared" si="27"/>
        <v>0.42</v>
      </c>
      <c r="V57" s="45"/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V59" s="45"/>
      <c r="W59" s="45"/>
      <c r="X59" s="196"/>
      <c r="Y59" s="45"/>
    </row>
    <row r="60" spans="1:45" x14ac:dyDescent="0.3">
      <c r="V60" s="45"/>
      <c r="W60" s="45"/>
      <c r="X60" s="149"/>
      <c r="Y60" s="45"/>
    </row>
    <row r="61" spans="1:45" x14ac:dyDescent="0.3">
      <c r="V61" s="45"/>
      <c r="W61" s="45"/>
      <c r="X61" s="149"/>
      <c r="Y61" s="45"/>
    </row>
    <row r="62" spans="1:45" x14ac:dyDescent="0.3">
      <c r="V62" s="45"/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5.88671875" style="1" bestFit="1" customWidth="1"/>
    <col min="11" max="11" width="10" style="1" bestFit="1" customWidth="1"/>
    <col min="12" max="13" width="5.109375" style="1" customWidth="1"/>
    <col min="14" max="14" width="6.6640625" style="1" customWidth="1"/>
    <col min="15" max="15" width="7.88671875" style="1" customWidth="1"/>
    <col min="16" max="16" width="7.33203125" style="1" bestFit="1" customWidth="1"/>
    <col min="17" max="17" width="7.44140625" style="1" customWidth="1"/>
    <col min="18" max="18" width="6.33203125" style="1" customWidth="1"/>
    <col min="19" max="19" width="5.6640625" style="1" customWidth="1"/>
    <col min="20" max="20" width="8" style="1" customWidth="1"/>
    <col min="21" max="22" width="7.6640625" customWidth="1"/>
    <col min="24" max="24" width="9.88671875" bestFit="1" customWidth="1"/>
    <col min="25" max="25" width="10.6640625" customWidth="1"/>
    <col min="26" max="26" width="8.6640625" customWidth="1"/>
    <col min="27" max="27" width="9.6640625" customWidth="1"/>
    <col min="28" max="28" width="7.6640625" customWidth="1"/>
    <col min="29" max="29" width="7.88671875" customWidth="1"/>
    <col min="30" max="30" width="10" customWidth="1"/>
    <col min="31" max="31" width="10.88671875" customWidth="1"/>
    <col min="32" max="32" width="10" customWidth="1"/>
    <col min="33" max="33" width="10.6640625" customWidth="1"/>
    <col min="34" max="34" width="11.8867187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5" width="9.88671875" bestFit="1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2:51" ht="86.4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5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5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5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5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5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5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5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5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5" customHeight="1" x14ac:dyDescent="0.3"/>
    <row r="18" spans="2:47" ht="13.95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5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5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5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5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5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5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5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5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5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5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5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5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5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ht="15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ht="15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ht="15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ht="15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ht="15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" thickBot="1" x14ac:dyDescent="0.35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8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ht="1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ht="15" thickBot="1" x14ac:dyDescent="0.35">
      <c r="X52" t="s">
        <v>38</v>
      </c>
    </row>
    <row r="53" spans="3: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3">
      <c r="X58" s="19"/>
      <c r="Y58" s="30"/>
      <c r="Z58" s="30"/>
      <c r="AA58" s="30"/>
      <c r="AB58" s="31"/>
    </row>
    <row r="59" spans="3: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3">
      <c r="X60" s="19"/>
      <c r="Y60" s="30"/>
      <c r="Z60" s="30"/>
      <c r="AA60" s="30"/>
      <c r="AB60" s="31"/>
    </row>
    <row r="61" spans="3: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3">
      <c r="C66" t="s">
        <v>116</v>
      </c>
      <c r="W66" t="s">
        <v>89</v>
      </c>
      <c r="X66" t="s">
        <v>150</v>
      </c>
      <c r="Y66" t="s">
        <v>151</v>
      </c>
    </row>
    <row r="67" spans="3:26" x14ac:dyDescent="0.3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3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3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3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3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3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3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3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3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3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3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3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3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3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3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" thickBot="1" x14ac:dyDescent="0.35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3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3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3">
      <c r="C87" t="s">
        <v>117</v>
      </c>
      <c r="W87" t="s">
        <v>90</v>
      </c>
      <c r="Y87" t="s">
        <v>91</v>
      </c>
    </row>
    <row r="88" spans="3:26" x14ac:dyDescent="0.3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3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3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3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3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3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3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3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3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3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3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3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" thickBot="1" x14ac:dyDescent="0.35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3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3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3">
      <c r="X103" s="127"/>
    </row>
    <row r="104" spans="3:26" x14ac:dyDescent="0.3">
      <c r="X104" s="1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Ard1_Turn1_ESC1_G1b_T1a</vt:lpstr>
      <vt:lpstr>CalPhotonTurnigy</vt:lpstr>
      <vt:lpstr>TauPhotonTurnigy</vt:lpstr>
      <vt:lpstr>CalArduinoTurnigy</vt:lpstr>
      <vt:lpstr>CalArduinoHiTec</vt:lpstr>
      <vt:lpstr>CalPhotonHiTec</vt:lpstr>
      <vt:lpstr>Meas_TauT__s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2016-12-09T01:04:27Z</dcterms:modified>
</cp:coreProperties>
</file>