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650" windowHeight="8385" activeTab="1"/>
  </bookViews>
  <sheets>
    <sheet name="Arduino1_Turnigy1_1a1ba" sheetId="6" r:id="rId1"/>
    <sheet name="Ard1_Turn1_ESC1_G1b_T1a" sheetId="7" r:id="rId2"/>
    <sheet name="CalPhotonTurnigy" sheetId="4" r:id="rId3"/>
    <sheet name="TauPhotonTurnigy" sheetId="5" r:id="rId4"/>
    <sheet name="CalArduinoTurnigy" sheetId="3" r:id="rId5"/>
    <sheet name="CalArduinoHiTec" sheetId="1" r:id="rId6"/>
    <sheet name="CalPhotonHiTec" sheetId="2" r:id="rId7"/>
  </sheets>
  <calcPr calcId="145621"/>
</workbook>
</file>

<file path=xl/calcChain.xml><?xml version="1.0" encoding="utf-8"?>
<calcChain xmlns="http://schemas.openxmlformats.org/spreadsheetml/2006/main">
  <c r="AA56" i="7" l="1"/>
  <c r="AA57" i="7"/>
  <c r="AA58" i="7"/>
  <c r="T50" i="7"/>
  <c r="X38" i="7"/>
  <c r="AE38" i="7" s="1"/>
  <c r="AE44" i="7"/>
  <c r="X36" i="7"/>
  <c r="Z36" i="7" s="1"/>
  <c r="Y21" i="7" s="1"/>
  <c r="AE42" i="7"/>
  <c r="AB35" i="7"/>
  <c r="X35" i="7"/>
  <c r="R9" i="7" s="1"/>
  <c r="AE39" i="7"/>
  <c r="X29" i="7"/>
  <c r="X30" i="7" s="1"/>
  <c r="AE30" i="7"/>
  <c r="AJ29" i="7"/>
  <c r="AE29" i="7"/>
  <c r="AJ28" i="7"/>
  <c r="AJ30" i="7" s="1"/>
  <c r="AJ31" i="7" s="1"/>
  <c r="AJ27" i="7"/>
  <c r="AE27" i="7"/>
  <c r="AE26" i="7"/>
  <c r="AE25" i="7"/>
  <c r="AE24" i="7"/>
  <c r="B22" i="7"/>
  <c r="N21" i="7"/>
  <c r="P21" i="7" s="1"/>
  <c r="M21" i="7"/>
  <c r="O21" i="7" s="1"/>
  <c r="K21" i="7"/>
  <c r="S21" i="7" s="1"/>
  <c r="J21" i="7"/>
  <c r="T21" i="7" s="1"/>
  <c r="B21" i="7"/>
  <c r="N20" i="7"/>
  <c r="P20" i="7" s="1"/>
  <c r="M20" i="7"/>
  <c r="O20" i="7" s="1"/>
  <c r="K20" i="7"/>
  <c r="L20" i="7" s="1"/>
  <c r="J20" i="7"/>
  <c r="T20" i="7" s="1"/>
  <c r="B20" i="7"/>
  <c r="N19" i="7"/>
  <c r="P19" i="7" s="1"/>
  <c r="AD19" i="7" s="1"/>
  <c r="M19" i="7"/>
  <c r="O19" i="7" s="1"/>
  <c r="K19" i="7"/>
  <c r="J19" i="7"/>
  <c r="T19" i="7" s="1"/>
  <c r="B19" i="7"/>
  <c r="N18" i="7"/>
  <c r="P18" i="7" s="1"/>
  <c r="AD18" i="7" s="1"/>
  <c r="M18" i="7"/>
  <c r="O18" i="7" s="1"/>
  <c r="K18" i="7"/>
  <c r="S18" i="7" s="1"/>
  <c r="J18" i="7"/>
  <c r="T18" i="7" s="1"/>
  <c r="B18" i="7"/>
  <c r="N17" i="7"/>
  <c r="P17" i="7" s="1"/>
  <c r="AD17" i="7" s="1"/>
  <c r="M17" i="7"/>
  <c r="O17" i="7" s="1"/>
  <c r="K17" i="7"/>
  <c r="L17" i="7" s="1"/>
  <c r="J17" i="7"/>
  <c r="T17" i="7" s="1"/>
  <c r="B17" i="7"/>
  <c r="N16" i="7"/>
  <c r="P16" i="7" s="1"/>
  <c r="M16" i="7"/>
  <c r="O16" i="7" s="1"/>
  <c r="K16" i="7"/>
  <c r="S16" i="7" s="1"/>
  <c r="J16" i="7"/>
  <c r="T16" i="7" s="1"/>
  <c r="B16" i="7"/>
  <c r="N15" i="7"/>
  <c r="P15" i="7" s="1"/>
  <c r="M15" i="7"/>
  <c r="O15" i="7" s="1"/>
  <c r="K15" i="7"/>
  <c r="S15" i="7" s="1"/>
  <c r="J15" i="7"/>
  <c r="T15" i="7" s="1"/>
  <c r="B15" i="7"/>
  <c r="S14" i="7"/>
  <c r="N14" i="7"/>
  <c r="P14" i="7" s="1"/>
  <c r="M14" i="7"/>
  <c r="O14" i="7" s="1"/>
  <c r="K14" i="7"/>
  <c r="L14" i="7" s="1"/>
  <c r="J14" i="7"/>
  <c r="T14" i="7" s="1"/>
  <c r="B14" i="7"/>
  <c r="N13" i="7"/>
  <c r="P13" i="7" s="1"/>
  <c r="AD13" i="7" s="1"/>
  <c r="M13" i="7"/>
  <c r="O13" i="7" s="1"/>
  <c r="K13" i="7"/>
  <c r="L13" i="7" s="1"/>
  <c r="J13" i="7"/>
  <c r="T13" i="7" s="1"/>
  <c r="B13" i="7"/>
  <c r="N12" i="7"/>
  <c r="P12" i="7" s="1"/>
  <c r="AD12" i="7" s="1"/>
  <c r="M12" i="7"/>
  <c r="O12" i="7" s="1"/>
  <c r="K12" i="7"/>
  <c r="L12" i="7" s="1"/>
  <c r="J12" i="7"/>
  <c r="T12" i="7" s="1"/>
  <c r="B12" i="7"/>
  <c r="N11" i="7"/>
  <c r="P11" i="7" s="1"/>
  <c r="M11" i="7"/>
  <c r="O11" i="7" s="1"/>
  <c r="K11" i="7"/>
  <c r="S11" i="7" s="1"/>
  <c r="J11" i="7"/>
  <c r="T11" i="7" s="1"/>
  <c r="B11" i="7"/>
  <c r="N10" i="7"/>
  <c r="P10" i="7" s="1"/>
  <c r="AD10" i="7" s="1"/>
  <c r="M10" i="7"/>
  <c r="O10" i="7" s="1"/>
  <c r="K10" i="7"/>
  <c r="L10" i="7" s="1"/>
  <c r="J10" i="7"/>
  <c r="T10" i="7" s="1"/>
  <c r="B10" i="7"/>
  <c r="AD9" i="7"/>
  <c r="N9" i="7"/>
  <c r="M9" i="7"/>
  <c r="O9" i="7" s="1"/>
  <c r="J9" i="7"/>
  <c r="T9" i="7" s="1"/>
  <c r="T8" i="7"/>
  <c r="K8" i="7"/>
  <c r="S8" i="7" s="1"/>
  <c r="B8" i="7"/>
  <c r="T7" i="7"/>
  <c r="N93" i="6"/>
  <c r="P93" i="6" s="1"/>
  <c r="L93" i="6"/>
  <c r="T93" i="6" s="1"/>
  <c r="K93" i="6"/>
  <c r="U93" i="6" s="1"/>
  <c r="W93" i="6" s="1"/>
  <c r="C93" i="6"/>
  <c r="N92" i="6"/>
  <c r="P92" i="6" s="1"/>
  <c r="L92" i="6"/>
  <c r="T92" i="6" s="1"/>
  <c r="K92" i="6"/>
  <c r="U92" i="6" s="1"/>
  <c r="W92" i="6" s="1"/>
  <c r="C92" i="6"/>
  <c r="Q91" i="6"/>
  <c r="N91" i="6"/>
  <c r="P91" i="6" s="1"/>
  <c r="L91" i="6"/>
  <c r="M91" i="6" s="1"/>
  <c r="K91" i="6"/>
  <c r="U91" i="6" s="1"/>
  <c r="W91" i="6" s="1"/>
  <c r="C91" i="6"/>
  <c r="Q90" i="6"/>
  <c r="N90" i="6"/>
  <c r="P90" i="6" s="1"/>
  <c r="L90" i="6"/>
  <c r="M90" i="6" s="1"/>
  <c r="K90" i="6"/>
  <c r="U90" i="6" s="1"/>
  <c r="W90" i="6" s="1"/>
  <c r="C90" i="6"/>
  <c r="Q89" i="6"/>
  <c r="N89" i="6"/>
  <c r="P89" i="6" s="1"/>
  <c r="L89" i="6"/>
  <c r="T89" i="6" s="1"/>
  <c r="K89" i="6"/>
  <c r="U89" i="6" s="1"/>
  <c r="W89" i="6" s="1"/>
  <c r="C89" i="6"/>
  <c r="Q88" i="6"/>
  <c r="N88" i="6"/>
  <c r="P88" i="6" s="1"/>
  <c r="L88" i="6"/>
  <c r="T88" i="6" s="1"/>
  <c r="K88" i="6"/>
  <c r="U88" i="6" s="1"/>
  <c r="W88" i="6" s="1"/>
  <c r="C88" i="6"/>
  <c r="Q87" i="6"/>
  <c r="N87" i="6"/>
  <c r="P87" i="6" s="1"/>
  <c r="L87" i="6"/>
  <c r="M87" i="6" s="1"/>
  <c r="K87" i="6"/>
  <c r="U87" i="6" s="1"/>
  <c r="W87" i="6" s="1"/>
  <c r="C87" i="6"/>
  <c r="Q86" i="6"/>
  <c r="N86" i="6"/>
  <c r="P86" i="6" s="1"/>
  <c r="L86" i="6"/>
  <c r="M86" i="6" s="1"/>
  <c r="K86" i="6"/>
  <c r="U86" i="6" s="1"/>
  <c r="W86" i="6" s="1"/>
  <c r="C86" i="6"/>
  <c r="Q85" i="6"/>
  <c r="N85" i="6"/>
  <c r="P85" i="6" s="1"/>
  <c r="L85" i="6"/>
  <c r="T85" i="6" s="1"/>
  <c r="K85" i="6"/>
  <c r="U85" i="6" s="1"/>
  <c r="W85" i="6" s="1"/>
  <c r="C85" i="6"/>
  <c r="Q84" i="6"/>
  <c r="N84" i="6"/>
  <c r="P84" i="6" s="1"/>
  <c r="L84" i="6"/>
  <c r="T84" i="6" s="1"/>
  <c r="K84" i="6"/>
  <c r="U84" i="6" s="1"/>
  <c r="W84" i="6" s="1"/>
  <c r="C84" i="6"/>
  <c r="Q83" i="6"/>
  <c r="N83" i="6"/>
  <c r="P83" i="6" s="1"/>
  <c r="L83" i="6"/>
  <c r="M83" i="6" s="1"/>
  <c r="K83" i="6"/>
  <c r="U83" i="6" s="1"/>
  <c r="W83" i="6" s="1"/>
  <c r="C83" i="6"/>
  <c r="Q82" i="6"/>
  <c r="N82" i="6"/>
  <c r="P82" i="6" s="1"/>
  <c r="L82" i="6"/>
  <c r="M82" i="6" s="1"/>
  <c r="K82" i="6"/>
  <c r="U82" i="6" s="1"/>
  <c r="W82" i="6" s="1"/>
  <c r="C82" i="6"/>
  <c r="Q81" i="6"/>
  <c r="N81" i="6"/>
  <c r="P81" i="6" s="1"/>
  <c r="L81" i="6"/>
  <c r="T81" i="6" s="1"/>
  <c r="K81" i="6"/>
  <c r="U81" i="6" s="1"/>
  <c r="W81" i="6" s="1"/>
  <c r="C81" i="6"/>
  <c r="Q80" i="6"/>
  <c r="N80" i="6"/>
  <c r="P80" i="6" s="1"/>
  <c r="L80" i="6"/>
  <c r="T80" i="6" s="1"/>
  <c r="K80" i="6"/>
  <c r="U80" i="6" s="1"/>
  <c r="W80" i="6" s="1"/>
  <c r="C80" i="6"/>
  <c r="Q79" i="6"/>
  <c r="N79" i="6"/>
  <c r="P79" i="6" s="1"/>
  <c r="L79" i="6"/>
  <c r="M79" i="6" s="1"/>
  <c r="K79" i="6"/>
  <c r="U79" i="6" s="1"/>
  <c r="W79" i="6" s="1"/>
  <c r="C79" i="6"/>
  <c r="N75" i="6"/>
  <c r="P75" i="6" s="1"/>
  <c r="L75" i="6"/>
  <c r="T75" i="6" s="1"/>
  <c r="K75" i="6"/>
  <c r="U75" i="6" s="1"/>
  <c r="C75" i="6"/>
  <c r="T74" i="6"/>
  <c r="N74" i="6"/>
  <c r="P74" i="6" s="1"/>
  <c r="R74" i="6" s="1"/>
  <c r="L74" i="6"/>
  <c r="M74" i="6" s="1"/>
  <c r="K74" i="6"/>
  <c r="U74" i="6" s="1"/>
  <c r="C74" i="6"/>
  <c r="Q73" i="6"/>
  <c r="N73" i="6"/>
  <c r="P73" i="6" s="1"/>
  <c r="L73" i="6"/>
  <c r="T73" i="6" s="1"/>
  <c r="K73" i="6"/>
  <c r="U73" i="6" s="1"/>
  <c r="C73" i="6"/>
  <c r="Q72" i="6"/>
  <c r="N72" i="6"/>
  <c r="P72" i="6" s="1"/>
  <c r="L72" i="6"/>
  <c r="M72" i="6" s="1"/>
  <c r="K72" i="6"/>
  <c r="U72" i="6" s="1"/>
  <c r="C72" i="6"/>
  <c r="Q71" i="6"/>
  <c r="N71" i="6"/>
  <c r="P71" i="6" s="1"/>
  <c r="L71" i="6"/>
  <c r="M71" i="6" s="1"/>
  <c r="K71" i="6"/>
  <c r="U71" i="6" s="1"/>
  <c r="C71" i="6"/>
  <c r="Q70" i="6"/>
  <c r="N70" i="6"/>
  <c r="P70" i="6" s="1"/>
  <c r="L70" i="6"/>
  <c r="T70" i="6" s="1"/>
  <c r="K70" i="6"/>
  <c r="U70" i="6" s="1"/>
  <c r="C70" i="6"/>
  <c r="Q69" i="6"/>
  <c r="N69" i="6"/>
  <c r="P69" i="6" s="1"/>
  <c r="L69" i="6"/>
  <c r="T69" i="6" s="1"/>
  <c r="K69" i="6"/>
  <c r="U69" i="6" s="1"/>
  <c r="C69" i="6"/>
  <c r="Q68" i="6"/>
  <c r="N68" i="6"/>
  <c r="P68" i="6" s="1"/>
  <c r="L68" i="6"/>
  <c r="M68" i="6" s="1"/>
  <c r="K68" i="6"/>
  <c r="U68" i="6" s="1"/>
  <c r="C68" i="6"/>
  <c r="Q67" i="6"/>
  <c r="N67" i="6"/>
  <c r="P67" i="6" s="1"/>
  <c r="L67" i="6"/>
  <c r="M67" i="6" s="1"/>
  <c r="K67" i="6"/>
  <c r="U67" i="6" s="1"/>
  <c r="C67" i="6"/>
  <c r="Q66" i="6"/>
  <c r="N66" i="6"/>
  <c r="P66" i="6" s="1"/>
  <c r="R66" i="6" s="1"/>
  <c r="L66" i="6"/>
  <c r="T66" i="6" s="1"/>
  <c r="K66" i="6"/>
  <c r="U66" i="6" s="1"/>
  <c r="C66" i="6"/>
  <c r="Q65" i="6"/>
  <c r="N65" i="6"/>
  <c r="P65" i="6" s="1"/>
  <c r="L65" i="6"/>
  <c r="T65" i="6" s="1"/>
  <c r="K65" i="6"/>
  <c r="U65" i="6" s="1"/>
  <c r="C65" i="6"/>
  <c r="Q64" i="6"/>
  <c r="N64" i="6"/>
  <c r="P64" i="6" s="1"/>
  <c r="L64" i="6"/>
  <c r="M64" i="6" s="1"/>
  <c r="K64" i="6"/>
  <c r="U64" i="6" s="1"/>
  <c r="C64" i="6"/>
  <c r="Q63" i="6"/>
  <c r="N63" i="6"/>
  <c r="P63" i="6" s="1"/>
  <c r="L63" i="6"/>
  <c r="M63" i="6" s="1"/>
  <c r="K63" i="6"/>
  <c r="U63" i="6" s="1"/>
  <c r="C63" i="6"/>
  <c r="Q62" i="6"/>
  <c r="N62" i="6"/>
  <c r="P62" i="6" s="1"/>
  <c r="L62" i="6"/>
  <c r="T62" i="6" s="1"/>
  <c r="K62" i="6"/>
  <c r="U62" i="6" s="1"/>
  <c r="C62" i="6"/>
  <c r="Q61" i="6"/>
  <c r="N61" i="6"/>
  <c r="P61" i="6" s="1"/>
  <c r="L61" i="6"/>
  <c r="K61" i="6"/>
  <c r="U61" i="6" s="1"/>
  <c r="C61" i="6"/>
  <c r="Q60" i="6"/>
  <c r="N60" i="6"/>
  <c r="P60" i="6" s="1"/>
  <c r="L60" i="6"/>
  <c r="M60" i="6" s="1"/>
  <c r="K60" i="6"/>
  <c r="U60" i="6" s="1"/>
  <c r="C60" i="6"/>
  <c r="Q59" i="6"/>
  <c r="N59" i="6"/>
  <c r="P59" i="6" s="1"/>
  <c r="L59" i="6"/>
  <c r="M59" i="6" s="1"/>
  <c r="K59" i="6"/>
  <c r="U59" i="6" s="1"/>
  <c r="C59" i="6"/>
  <c r="Q58" i="6"/>
  <c r="N58" i="6"/>
  <c r="P58" i="6" s="1"/>
  <c r="L58" i="6"/>
  <c r="T58" i="6" s="1"/>
  <c r="K58" i="6"/>
  <c r="U58" i="6" s="1"/>
  <c r="C58" i="6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U35" i="6"/>
  <c r="D35" i="6"/>
  <c r="E35" i="6" s="1"/>
  <c r="Y34" i="6"/>
  <c r="AF27" i="6" s="1"/>
  <c r="AF33" i="6"/>
  <c r="Y32" i="6"/>
  <c r="AA32" i="6" s="1"/>
  <c r="AF31" i="6"/>
  <c r="AC31" i="6"/>
  <c r="Y31" i="6"/>
  <c r="AF28" i="6"/>
  <c r="Y25" i="6"/>
  <c r="Y26" i="6" s="1"/>
  <c r="AK19" i="6"/>
  <c r="AK20" i="6" s="1"/>
  <c r="AK21" i="6" s="1"/>
  <c r="AK22" i="6" s="1"/>
  <c r="AK23" i="6" s="1"/>
  <c r="Y27" i="6" s="1"/>
  <c r="AF19" i="6"/>
  <c r="AK18" i="6"/>
  <c r="AF18" i="6"/>
  <c r="AH6" i="6" s="1"/>
  <c r="AI6" i="6" s="1"/>
  <c r="AN20" i="6"/>
  <c r="AX16" i="6"/>
  <c r="O16" i="6"/>
  <c r="Q16" i="6" s="1"/>
  <c r="AE16" i="6" s="1"/>
  <c r="N16" i="6"/>
  <c r="P16" i="6" s="1"/>
  <c r="R16" i="6" s="1"/>
  <c r="L16" i="6"/>
  <c r="T16" i="6" s="1"/>
  <c r="K16" i="6"/>
  <c r="U16" i="6" s="1"/>
  <c r="C16" i="6"/>
  <c r="AX11" i="6"/>
  <c r="O11" i="6"/>
  <c r="Q11" i="6" s="1"/>
  <c r="AE11" i="6" s="1"/>
  <c r="N11" i="6"/>
  <c r="P11" i="6" s="1"/>
  <c r="R11" i="6" s="1"/>
  <c r="L11" i="6"/>
  <c r="T11" i="6" s="1"/>
  <c r="K11" i="6"/>
  <c r="U11" i="6" s="1"/>
  <c r="C11" i="6"/>
  <c r="AX10" i="6"/>
  <c r="O10" i="6"/>
  <c r="Q10" i="6" s="1"/>
  <c r="AE10" i="6" s="1"/>
  <c r="N10" i="6"/>
  <c r="P10" i="6" s="1"/>
  <c r="R10" i="6" s="1"/>
  <c r="L10" i="6"/>
  <c r="K10" i="6"/>
  <c r="U10" i="6" s="1"/>
  <c r="C10" i="6"/>
  <c r="AX9" i="6"/>
  <c r="O9" i="6"/>
  <c r="Q9" i="6" s="1"/>
  <c r="S9" i="6" s="1"/>
  <c r="N9" i="6"/>
  <c r="P9" i="6" s="1"/>
  <c r="R9" i="6" s="1"/>
  <c r="L9" i="6"/>
  <c r="M9" i="6" s="1"/>
  <c r="K9" i="6"/>
  <c r="U9" i="6" s="1"/>
  <c r="C9" i="6"/>
  <c r="AX8" i="6"/>
  <c r="AH8" i="6"/>
  <c r="AI8" i="6" s="1"/>
  <c r="O8" i="6"/>
  <c r="Q8" i="6" s="1"/>
  <c r="N8" i="6"/>
  <c r="P8" i="6" s="1"/>
  <c r="L8" i="6"/>
  <c r="T8" i="6" s="1"/>
  <c r="K8" i="6"/>
  <c r="U8" i="6" s="1"/>
  <c r="C8" i="6"/>
  <c r="AX7" i="6"/>
  <c r="Q7" i="6"/>
  <c r="O7" i="6"/>
  <c r="N7" i="6"/>
  <c r="P7" i="6" s="1"/>
  <c r="R7" i="6" s="1"/>
  <c r="L7" i="6"/>
  <c r="T7" i="6" s="1"/>
  <c r="K7" i="6"/>
  <c r="U7" i="6" s="1"/>
  <c r="C7" i="6"/>
  <c r="AX6" i="6"/>
  <c r="O6" i="6"/>
  <c r="Q6" i="6" s="1"/>
  <c r="N6" i="6"/>
  <c r="P6" i="6" s="1"/>
  <c r="L6" i="6"/>
  <c r="M6" i="6" s="1"/>
  <c r="K6" i="6"/>
  <c r="U6" i="6" s="1"/>
  <c r="C6" i="6"/>
  <c r="AX5" i="6"/>
  <c r="O5" i="6"/>
  <c r="Q5" i="6" s="1"/>
  <c r="N5" i="6"/>
  <c r="P5" i="6" s="1"/>
  <c r="R5" i="6" s="1"/>
  <c r="L5" i="6"/>
  <c r="T5" i="6" s="1"/>
  <c r="K5" i="6"/>
  <c r="U5" i="6" s="1"/>
  <c r="C5" i="6"/>
  <c r="AX4" i="6"/>
  <c r="O4" i="6"/>
  <c r="Q4" i="6" s="1"/>
  <c r="N4" i="6"/>
  <c r="P4" i="6" s="1"/>
  <c r="L4" i="6"/>
  <c r="M4" i="6" s="1"/>
  <c r="K4" i="6"/>
  <c r="U4" i="6" s="1"/>
  <c r="C4" i="6"/>
  <c r="AE3" i="6"/>
  <c r="S3" i="6"/>
  <c r="O3" i="6"/>
  <c r="N3" i="6"/>
  <c r="P3" i="6" s="1"/>
  <c r="R3" i="6" s="1"/>
  <c r="K3" i="6"/>
  <c r="U3" i="6" s="1"/>
  <c r="V3" i="6" s="1"/>
  <c r="U2" i="6"/>
  <c r="S2" i="6"/>
  <c r="R2" i="6"/>
  <c r="M2" i="6"/>
  <c r="L2" i="6"/>
  <c r="T2" i="6" s="1"/>
  <c r="C2" i="6"/>
  <c r="U1" i="6"/>
  <c r="Q21" i="7" l="1"/>
  <c r="L16" i="7"/>
  <c r="AG8" i="7"/>
  <c r="AH8" i="7" s="1"/>
  <c r="U11" i="7"/>
  <c r="AG19" i="7"/>
  <c r="AH19" i="7" s="1"/>
  <c r="L8" i="7"/>
  <c r="V19" i="7"/>
  <c r="W19" i="7" s="1"/>
  <c r="L11" i="7"/>
  <c r="R8" i="7"/>
  <c r="L15" i="7"/>
  <c r="R18" i="7"/>
  <c r="Q16" i="7"/>
  <c r="Q20" i="7"/>
  <c r="AD16" i="7"/>
  <c r="R16" i="7"/>
  <c r="AE46" i="7"/>
  <c r="Y12" i="7" s="1"/>
  <c r="AE37" i="7"/>
  <c r="AB21" i="7"/>
  <c r="AC21" i="7" s="1"/>
  <c r="Z21" i="7"/>
  <c r="AG15" i="7"/>
  <c r="AH15" i="7" s="1"/>
  <c r="R19" i="7"/>
  <c r="R20" i="7"/>
  <c r="AE28" i="7"/>
  <c r="Q8" i="7"/>
  <c r="U17" i="7"/>
  <c r="L18" i="7"/>
  <c r="S20" i="7"/>
  <c r="AD15" i="7"/>
  <c r="R15" i="7"/>
  <c r="Q9" i="7"/>
  <c r="V10" i="7"/>
  <c r="W10" i="7" s="1"/>
  <c r="X10" i="7" s="1"/>
  <c r="V11" i="7"/>
  <c r="W11" i="7" s="1"/>
  <c r="AD11" i="7"/>
  <c r="R11" i="7"/>
  <c r="S12" i="7"/>
  <c r="V13" i="7"/>
  <c r="W13" i="7" s="1"/>
  <c r="AA51" i="7"/>
  <c r="AA50" i="7"/>
  <c r="AF33" i="7" s="1"/>
  <c r="Q14" i="7"/>
  <c r="Q15" i="7"/>
  <c r="U15" i="7"/>
  <c r="U16" i="7"/>
  <c r="V16" i="7"/>
  <c r="W16" i="7" s="1"/>
  <c r="X16" i="7" s="1"/>
  <c r="U19" i="7"/>
  <c r="Q19" i="7"/>
  <c r="Q10" i="7"/>
  <c r="Q11" i="7"/>
  <c r="V12" i="7"/>
  <c r="W12" i="7" s="1"/>
  <c r="Q13" i="7"/>
  <c r="L19" i="7"/>
  <c r="S19" i="7"/>
  <c r="Q12" i="7"/>
  <c r="Q18" i="7"/>
  <c r="U9" i="7"/>
  <c r="V20" i="7"/>
  <c r="W20" i="7" s="1"/>
  <c r="V9" i="7"/>
  <c r="S10" i="7"/>
  <c r="S13" i="7"/>
  <c r="V14" i="7"/>
  <c r="W14" i="7" s="1"/>
  <c r="V17" i="7"/>
  <c r="W17" i="7" s="1"/>
  <c r="Q17" i="7"/>
  <c r="V18" i="7"/>
  <c r="W18" i="7" s="1"/>
  <c r="U18" i="7"/>
  <c r="AG20" i="7"/>
  <c r="AH20" i="7" s="1"/>
  <c r="AG12" i="7"/>
  <c r="AH12" i="7" s="1"/>
  <c r="X49" i="7"/>
  <c r="AF31" i="7" s="1"/>
  <c r="AA48" i="7"/>
  <c r="AF34" i="7" s="1"/>
  <c r="X48" i="7"/>
  <c r="AG31" i="7" s="1"/>
  <c r="AA49" i="7"/>
  <c r="AE34" i="7" s="1"/>
  <c r="AG14" i="7"/>
  <c r="AH14" i="7" s="1"/>
  <c r="U20" i="7"/>
  <c r="U10" i="7"/>
  <c r="U12" i="7"/>
  <c r="U13" i="7"/>
  <c r="U14" i="7"/>
  <c r="R17" i="7"/>
  <c r="AG18" i="7"/>
  <c r="AH18" i="7" s="1"/>
  <c r="L21" i="7"/>
  <c r="AD21" i="7"/>
  <c r="R21" i="7"/>
  <c r="AG21" i="7"/>
  <c r="AH21" i="7" s="1"/>
  <c r="AG10" i="7"/>
  <c r="AH10" i="7" s="1"/>
  <c r="AG13" i="7"/>
  <c r="AH13" i="7" s="1"/>
  <c r="R10" i="7"/>
  <c r="AG11" i="7"/>
  <c r="AH11" i="7" s="1"/>
  <c r="R12" i="7"/>
  <c r="R13" i="7"/>
  <c r="R14" i="7"/>
  <c r="AD14" i="7"/>
  <c r="V15" i="7"/>
  <c r="W15" i="7" s="1"/>
  <c r="AG16" i="7"/>
  <c r="AH16" i="7" s="1"/>
  <c r="S17" i="7"/>
  <c r="AD20" i="7"/>
  <c r="V21" i="7"/>
  <c r="W21" i="7" s="1"/>
  <c r="U21" i="7"/>
  <c r="X50" i="7"/>
  <c r="AE31" i="7" s="1"/>
  <c r="AJ32" i="7"/>
  <c r="AJ33" i="7" s="1"/>
  <c r="AJ34" i="7" s="1"/>
  <c r="X31" i="7" s="1"/>
  <c r="V8" i="6"/>
  <c r="M7" i="6"/>
  <c r="AH16" i="6"/>
  <c r="AI16" i="6" s="1"/>
  <c r="R79" i="6"/>
  <c r="AH2" i="6"/>
  <c r="AI2" i="6" s="1"/>
  <c r="R62" i="6"/>
  <c r="R64" i="6"/>
  <c r="R72" i="6"/>
  <c r="T86" i="6"/>
  <c r="AH7" i="6"/>
  <c r="AI7" i="6" s="1"/>
  <c r="M11" i="6"/>
  <c r="W63" i="6"/>
  <c r="X63" i="6" s="1"/>
  <c r="M70" i="6"/>
  <c r="W71" i="6"/>
  <c r="X71" i="6" s="1"/>
  <c r="R90" i="6"/>
  <c r="T4" i="6"/>
  <c r="W6" i="6"/>
  <c r="X6" i="6" s="1"/>
  <c r="R68" i="6"/>
  <c r="R70" i="6"/>
  <c r="X80" i="6"/>
  <c r="S80" i="6"/>
  <c r="R87" i="6"/>
  <c r="X89" i="6"/>
  <c r="AH4" i="6"/>
  <c r="AI4" i="6" s="1"/>
  <c r="AH5" i="6"/>
  <c r="AI5" i="6" s="1"/>
  <c r="W9" i="6"/>
  <c r="X9" i="6" s="1"/>
  <c r="R60" i="6"/>
  <c r="M66" i="6"/>
  <c r="W67" i="6"/>
  <c r="X67" i="6" s="1"/>
  <c r="W75" i="6"/>
  <c r="X75" i="6" s="1"/>
  <c r="S84" i="6"/>
  <c r="R88" i="6"/>
  <c r="S91" i="6"/>
  <c r="T59" i="6"/>
  <c r="T64" i="6"/>
  <c r="T72" i="6"/>
  <c r="T82" i="6"/>
  <c r="T87" i="6"/>
  <c r="X91" i="6"/>
  <c r="X93" i="6"/>
  <c r="Y93" i="6" s="1"/>
  <c r="Z93" i="6" s="1"/>
  <c r="T6" i="6"/>
  <c r="T63" i="6"/>
  <c r="T67" i="6"/>
  <c r="T71" i="6"/>
  <c r="X79" i="6"/>
  <c r="Y79" i="6" s="1"/>
  <c r="Z79" i="6" s="1"/>
  <c r="M81" i="6"/>
  <c r="M85" i="6"/>
  <c r="T91" i="6"/>
  <c r="M8" i="6"/>
  <c r="V10" i="6"/>
  <c r="M58" i="6"/>
  <c r="M62" i="6"/>
  <c r="S65" i="6"/>
  <c r="S69" i="6"/>
  <c r="S73" i="6"/>
  <c r="T79" i="6"/>
  <c r="R81" i="6"/>
  <c r="R82" i="6"/>
  <c r="X83" i="6"/>
  <c r="S83" i="6"/>
  <c r="R85" i="6"/>
  <c r="M89" i="6"/>
  <c r="T90" i="6"/>
  <c r="T68" i="6"/>
  <c r="Y89" i="6"/>
  <c r="Z89" i="6" s="1"/>
  <c r="M16" i="6"/>
  <c r="Y45" i="6"/>
  <c r="AG20" i="6" s="1"/>
  <c r="R8" i="6"/>
  <c r="S10" i="6"/>
  <c r="R58" i="6"/>
  <c r="T60" i="6"/>
  <c r="T83" i="6"/>
  <c r="X87" i="6"/>
  <c r="Y87" i="6" s="1"/>
  <c r="Z87" i="6" s="1"/>
  <c r="X92" i="6"/>
  <c r="Y92" i="6" s="1"/>
  <c r="Z92" i="6" s="1"/>
  <c r="V4" i="6"/>
  <c r="W4" i="6"/>
  <c r="X4" i="6" s="1"/>
  <c r="Y4" i="6" s="1"/>
  <c r="AE4" i="6"/>
  <c r="S4" i="6"/>
  <c r="V16" i="6"/>
  <c r="W16" i="6"/>
  <c r="X16" i="6" s="1"/>
  <c r="W70" i="6"/>
  <c r="X70" i="6" s="1"/>
  <c r="W66" i="6"/>
  <c r="X66" i="6" s="1"/>
  <c r="W62" i="6"/>
  <c r="X62" i="6" s="1"/>
  <c r="W3" i="6"/>
  <c r="M5" i="6"/>
  <c r="AE5" i="6"/>
  <c r="S5" i="6"/>
  <c r="AB46" i="6"/>
  <c r="AG22" i="6" s="1"/>
  <c r="AB47" i="6"/>
  <c r="R6" i="6"/>
  <c r="W7" i="6"/>
  <c r="X7" i="6" s="1"/>
  <c r="V7" i="6"/>
  <c r="M10" i="6"/>
  <c r="Y48" i="6" s="1"/>
  <c r="AF21" i="6" s="1"/>
  <c r="T10" i="6"/>
  <c r="V11" i="6"/>
  <c r="W11" i="6"/>
  <c r="X11" i="6" s="1"/>
  <c r="AF32" i="6"/>
  <c r="W58" i="6"/>
  <c r="X58" i="6" s="1"/>
  <c r="Y58" i="6" s="1"/>
  <c r="Z58" i="6" s="1"/>
  <c r="R4" i="6"/>
  <c r="W8" i="6"/>
  <c r="X8" i="6" s="1"/>
  <c r="AE8" i="6"/>
  <c r="S8" i="6"/>
  <c r="V9" i="6"/>
  <c r="AE9" i="6"/>
  <c r="W10" i="6"/>
  <c r="X10" i="6" s="1"/>
  <c r="S16" i="6"/>
  <c r="AE7" i="6"/>
  <c r="S7" i="6"/>
  <c r="W5" i="6"/>
  <c r="X5" i="6" s="1"/>
  <c r="V5" i="6"/>
  <c r="S11" i="6"/>
  <c r="AF26" i="6"/>
  <c r="AF35" i="6"/>
  <c r="AB45" i="6"/>
  <c r="AF23" i="6" s="1"/>
  <c r="AB44" i="6"/>
  <c r="AG23" i="6" s="1"/>
  <c r="T9" i="6"/>
  <c r="Y46" i="6"/>
  <c r="AF20" i="6" s="1"/>
  <c r="T61" i="6"/>
  <c r="M61" i="6"/>
  <c r="W61" i="6"/>
  <c r="X61" i="6" s="1"/>
  <c r="V6" i="6"/>
  <c r="AH11" i="6"/>
  <c r="AI11" i="6" s="1"/>
  <c r="AH10" i="6"/>
  <c r="AI10" i="6" s="1"/>
  <c r="W59" i="6"/>
  <c r="X59" i="6" s="1"/>
  <c r="Y59" i="6" s="1"/>
  <c r="Z59" i="6" s="1"/>
  <c r="W74" i="6"/>
  <c r="X74" i="6" s="1"/>
  <c r="X88" i="6"/>
  <c r="Y88" i="6" s="1"/>
  <c r="Z88" i="6" s="1"/>
  <c r="X90" i="6"/>
  <c r="Y90" i="6" s="1"/>
  <c r="Z90" i="6" s="1"/>
  <c r="S6" i="6"/>
  <c r="AE6" i="6"/>
  <c r="Y44" i="6"/>
  <c r="AH20" i="6" s="1"/>
  <c r="AN18" i="6"/>
  <c r="AN19" i="6"/>
  <c r="S89" i="6"/>
  <c r="S85" i="6"/>
  <c r="S81" i="6"/>
  <c r="R80" i="6"/>
  <c r="R73" i="6"/>
  <c r="S70" i="6"/>
  <c r="R69" i="6"/>
  <c r="S66" i="6"/>
  <c r="R65" i="6"/>
  <c r="S62" i="6"/>
  <c r="R61" i="6"/>
  <c r="S58" i="6"/>
  <c r="R92" i="6"/>
  <c r="S90" i="6"/>
  <c r="S86" i="6"/>
  <c r="S82" i="6"/>
  <c r="R75" i="6"/>
  <c r="S71" i="6"/>
  <c r="S67" i="6"/>
  <c r="S59" i="6"/>
  <c r="W60" i="6"/>
  <c r="X60" i="6" s="1"/>
  <c r="S60" i="6"/>
  <c r="S61" i="6"/>
  <c r="R63" i="6"/>
  <c r="S79" i="6"/>
  <c r="X81" i="6"/>
  <c r="Y81" i="6" s="1"/>
  <c r="Z81" i="6" s="1"/>
  <c r="R83" i="6"/>
  <c r="X84" i="6"/>
  <c r="Y84" i="6" s="1"/>
  <c r="Z84" i="6" s="1"/>
  <c r="X86" i="6"/>
  <c r="Y86" i="6" s="1"/>
  <c r="Z86" i="6" s="1"/>
  <c r="S88" i="6"/>
  <c r="R59" i="6"/>
  <c r="S63" i="6"/>
  <c r="W64" i="6"/>
  <c r="X64" i="6" s="1"/>
  <c r="S64" i="6"/>
  <c r="W65" i="6"/>
  <c r="X65" i="6" s="1"/>
  <c r="Y65" i="6" s="1"/>
  <c r="Z65" i="6" s="1"/>
  <c r="R67" i="6"/>
  <c r="W68" i="6"/>
  <c r="X68" i="6" s="1"/>
  <c r="S68" i="6"/>
  <c r="W69" i="6"/>
  <c r="X69" i="6" s="1"/>
  <c r="Y69" i="6" s="1"/>
  <c r="Z69" i="6" s="1"/>
  <c r="R71" i="6"/>
  <c r="W72" i="6"/>
  <c r="X72" i="6" s="1"/>
  <c r="S72" i="6"/>
  <c r="W73" i="6"/>
  <c r="X73" i="6" s="1"/>
  <c r="Y73" i="6" s="1"/>
  <c r="Z73" i="6" s="1"/>
  <c r="X82" i="6"/>
  <c r="Y82" i="6" s="1"/>
  <c r="Z82" i="6" s="1"/>
  <c r="R84" i="6"/>
  <c r="X85" i="6"/>
  <c r="Y85" i="6" s="1"/>
  <c r="Z85" i="6" s="1"/>
  <c r="R86" i="6"/>
  <c r="S87" i="6"/>
  <c r="R89" i="6"/>
  <c r="R91" i="6"/>
  <c r="R93" i="6"/>
  <c r="M65" i="6"/>
  <c r="M69" i="6"/>
  <c r="M73" i="6"/>
  <c r="M75" i="6"/>
  <c r="M80" i="6"/>
  <c r="M84" i="6"/>
  <c r="M88" i="6"/>
  <c r="M92" i="6"/>
  <c r="M93" i="6"/>
  <c r="X55" i="4"/>
  <c r="X54" i="4"/>
  <c r="X53" i="4"/>
  <c r="AA54" i="4"/>
  <c r="AA53" i="4"/>
  <c r="AA56" i="4"/>
  <c r="AA55" i="4"/>
  <c r="X19" i="7" l="1"/>
  <c r="X18" i="7"/>
  <c r="Y13" i="7"/>
  <c r="Z13" i="7" s="1"/>
  <c r="AA13" i="7" s="1"/>
  <c r="Y10" i="7"/>
  <c r="Z10" i="7" s="1"/>
  <c r="AA10" i="7" s="1"/>
  <c r="Y9" i="7"/>
  <c r="X21" i="7"/>
  <c r="X15" i="7"/>
  <c r="X17" i="7"/>
  <c r="X12" i="7"/>
  <c r="AE21" i="7"/>
  <c r="X14" i="7"/>
  <c r="X20" i="7"/>
  <c r="X51" i="7"/>
  <c r="AF32" i="7" s="1"/>
  <c r="X13" i="7"/>
  <c r="X11" i="7"/>
  <c r="AA21" i="7"/>
  <c r="Y15" i="7"/>
  <c r="AB15" i="7" s="1"/>
  <c r="AC15" i="7" s="1"/>
  <c r="Y19" i="7"/>
  <c r="Y11" i="7"/>
  <c r="Y20" i="7"/>
  <c r="Z20" i="7" s="1"/>
  <c r="AA20" i="7" s="1"/>
  <c r="Y17" i="7"/>
  <c r="AB17" i="7" s="1"/>
  <c r="Y18" i="7"/>
  <c r="AB18" i="7" s="1"/>
  <c r="Y14" i="7"/>
  <c r="Z14" i="7" s="1"/>
  <c r="AA14" i="7" s="1"/>
  <c r="Y16" i="7"/>
  <c r="AB13" i="7"/>
  <c r="X52" i="7"/>
  <c r="AE32" i="7" s="1"/>
  <c r="Z12" i="7"/>
  <c r="AA12" i="7" s="1"/>
  <c r="AB12" i="7"/>
  <c r="AB9" i="7"/>
  <c r="Z9" i="7"/>
  <c r="AE43" i="7"/>
  <c r="AA41" i="7"/>
  <c r="AA43" i="7" s="1"/>
  <c r="AA44" i="7" s="1"/>
  <c r="AE33" i="7"/>
  <c r="Y80" i="6"/>
  <c r="Z80" i="6" s="1"/>
  <c r="Y5" i="6"/>
  <c r="Y10" i="6"/>
  <c r="Y47" i="6"/>
  <c r="AG21" i="6" s="1"/>
  <c r="AK9" i="6" s="1"/>
  <c r="Y72" i="6"/>
  <c r="Z72" i="6" s="1"/>
  <c r="Y68" i="6"/>
  <c r="Z68" i="6" s="1"/>
  <c r="Y64" i="6"/>
  <c r="Z64" i="6" s="1"/>
  <c r="Y7" i="6"/>
  <c r="Y83" i="6"/>
  <c r="Z83" i="6" s="1"/>
  <c r="Y91" i="6"/>
  <c r="Z91" i="6" s="1"/>
  <c r="Y70" i="6"/>
  <c r="Z70" i="6" s="1"/>
  <c r="Y63" i="6"/>
  <c r="Z63" i="6" s="1"/>
  <c r="Y74" i="6"/>
  <c r="Z74" i="6" s="1"/>
  <c r="AS18" i="6"/>
  <c r="AS19" i="6"/>
  <c r="AS20" i="6"/>
  <c r="AT20" i="6" s="1"/>
  <c r="Y75" i="6"/>
  <c r="Z75" i="6" s="1"/>
  <c r="Y9" i="6"/>
  <c r="Y62" i="6"/>
  <c r="Z62" i="6" s="1"/>
  <c r="Y71" i="6"/>
  <c r="Z71" i="6" s="1"/>
  <c r="Y60" i="6"/>
  <c r="Z60" i="6" s="1"/>
  <c r="Y61" i="6"/>
  <c r="Z61" i="6" s="1"/>
  <c r="Z16" i="6"/>
  <c r="Z11" i="6"/>
  <c r="Z9" i="6"/>
  <c r="Z10" i="6"/>
  <c r="Z6" i="6"/>
  <c r="Z5" i="6"/>
  <c r="Z4" i="6"/>
  <c r="Z7" i="6"/>
  <c r="Z3" i="6"/>
  <c r="Z8" i="6"/>
  <c r="Y8" i="6"/>
  <c r="Y11" i="6"/>
  <c r="AB37" i="6"/>
  <c r="AB39" i="6" s="1"/>
  <c r="AB40" i="6" s="1"/>
  <c r="AF22" i="6"/>
  <c r="Y66" i="6"/>
  <c r="Z66" i="6" s="1"/>
  <c r="Y67" i="6"/>
  <c r="Z67" i="6" s="1"/>
  <c r="Y16" i="6"/>
  <c r="Y6" i="6"/>
  <c r="AR22" i="4"/>
  <c r="AR23" i="4"/>
  <c r="AR24" i="4"/>
  <c r="AR25" i="4"/>
  <c r="AR26" i="4"/>
  <c r="AR27" i="4"/>
  <c r="AR28" i="4"/>
  <c r="AR29" i="4"/>
  <c r="AR21" i="4"/>
  <c r="AB10" i="7" l="1"/>
  <c r="X58" i="7"/>
  <c r="AE35" i="7" s="1"/>
  <c r="AB20" i="7"/>
  <c r="AC20" i="7" s="1"/>
  <c r="Z15" i="7"/>
  <c r="AA15" i="7" s="1"/>
  <c r="AB14" i="7"/>
  <c r="AC14" i="7" s="1"/>
  <c r="X57" i="7"/>
  <c r="AF35" i="7" s="1"/>
  <c r="Z18" i="7"/>
  <c r="AA18" i="7" s="1"/>
  <c r="X56" i="7"/>
  <c r="AG35" i="7" s="1"/>
  <c r="AE14" i="7"/>
  <c r="Z16" i="7"/>
  <c r="AA16" i="7" s="1"/>
  <c r="AB16" i="7"/>
  <c r="Z17" i="7"/>
  <c r="AA17" i="7" s="1"/>
  <c r="AE20" i="7"/>
  <c r="AB19" i="7"/>
  <c r="Z19" i="7"/>
  <c r="AA19" i="7" s="1"/>
  <c r="AB11" i="7"/>
  <c r="Z11" i="7"/>
  <c r="AA11" i="7" s="1"/>
  <c r="AC9" i="7"/>
  <c r="AE9" i="7"/>
  <c r="AG36" i="7"/>
  <c r="AC13" i="7"/>
  <c r="AE13" i="7"/>
  <c r="AC18" i="7"/>
  <c r="AE18" i="7"/>
  <c r="AC12" i="7"/>
  <c r="AE12" i="7"/>
  <c r="AI21" i="7"/>
  <c r="AN21" i="7" s="1"/>
  <c r="AM21" i="7" s="1"/>
  <c r="AI20" i="7"/>
  <c r="AJ19" i="7"/>
  <c r="AK19" i="7" s="1"/>
  <c r="AL19" i="7" s="1"/>
  <c r="AJ18" i="7"/>
  <c r="AK18" i="7" s="1"/>
  <c r="AL18" i="7" s="1"/>
  <c r="AI17" i="7"/>
  <c r="AN17" i="7" s="1"/>
  <c r="AM17" i="7" s="1"/>
  <c r="AJ16" i="7"/>
  <c r="AK16" i="7" s="1"/>
  <c r="AL16" i="7" s="1"/>
  <c r="AI15" i="7"/>
  <c r="AJ21" i="7"/>
  <c r="AK21" i="7" s="1"/>
  <c r="AL21" i="7" s="1"/>
  <c r="AI14" i="7"/>
  <c r="AI13" i="7"/>
  <c r="AI12" i="7"/>
  <c r="AN12" i="7" s="1"/>
  <c r="AI10" i="7"/>
  <c r="AJ8" i="7"/>
  <c r="AK8" i="7" s="1"/>
  <c r="AL8" i="7" s="1"/>
  <c r="AI11" i="7"/>
  <c r="AI19" i="7"/>
  <c r="AJ15" i="7"/>
  <c r="AK15" i="7" s="1"/>
  <c r="AL15" i="7" s="1"/>
  <c r="AJ11" i="7"/>
  <c r="AK11" i="7" s="1"/>
  <c r="AL11" i="7" s="1"/>
  <c r="AI8" i="7"/>
  <c r="AN8" i="7" s="1"/>
  <c r="AJ20" i="7"/>
  <c r="AK20" i="7" s="1"/>
  <c r="AL20" i="7" s="1"/>
  <c r="AJ17" i="7"/>
  <c r="AK17" i="7" s="1"/>
  <c r="AL17" i="7" s="1"/>
  <c r="AI16" i="7"/>
  <c r="X54" i="7"/>
  <c r="AI18" i="7"/>
  <c r="AN18" i="7" s="1"/>
  <c r="AM18" i="7" s="1"/>
  <c r="AJ14" i="7"/>
  <c r="AK14" i="7" s="1"/>
  <c r="AL14" i="7" s="1"/>
  <c r="AJ12" i="7"/>
  <c r="AK12" i="7" s="1"/>
  <c r="AL12" i="7" s="1"/>
  <c r="AJ13" i="7"/>
  <c r="AK13" i="7" s="1"/>
  <c r="AL13" i="7" s="1"/>
  <c r="AJ10" i="7"/>
  <c r="AK10" i="7" s="1"/>
  <c r="AL10" i="7" s="1"/>
  <c r="C9" i="7"/>
  <c r="AE36" i="7"/>
  <c r="AN20" i="7"/>
  <c r="AM20" i="7" s="1"/>
  <c r="AE15" i="7"/>
  <c r="AC10" i="7"/>
  <c r="AE10" i="7"/>
  <c r="AC17" i="7"/>
  <c r="AE17" i="7"/>
  <c r="AK4" i="6"/>
  <c r="AL4" i="6" s="1"/>
  <c r="AM4" i="6" s="1"/>
  <c r="AJ8" i="6"/>
  <c r="AJ2" i="6"/>
  <c r="AJ5" i="6"/>
  <c r="AO5" i="6" s="1"/>
  <c r="AK6" i="6"/>
  <c r="AJ16" i="6"/>
  <c r="AK16" i="6"/>
  <c r="AK11" i="6"/>
  <c r="AL11" i="6" s="1"/>
  <c r="AM11" i="6" s="1"/>
  <c r="AK5" i="6"/>
  <c r="AL5" i="6" s="1"/>
  <c r="AM5" i="6" s="1"/>
  <c r="AJ10" i="6"/>
  <c r="AJ7" i="6"/>
  <c r="D3" i="6"/>
  <c r="C3" i="6" s="1"/>
  <c r="AK2" i="6"/>
  <c r="AL2" i="6" s="1"/>
  <c r="AM2" i="6" s="1"/>
  <c r="AJ11" i="6"/>
  <c r="AO11" i="6" s="1"/>
  <c r="AN11" i="6" s="1"/>
  <c r="AJ9" i="6"/>
  <c r="AK10" i="6"/>
  <c r="AL10" i="6" s="1"/>
  <c r="AM10" i="6" s="1"/>
  <c r="AJ6" i="6"/>
  <c r="Y50" i="6"/>
  <c r="AK7" i="6"/>
  <c r="AK8" i="6"/>
  <c r="AL8" i="6" s="1"/>
  <c r="AM8" i="6" s="1"/>
  <c r="AJ4" i="6"/>
  <c r="AO4" i="6" s="1"/>
  <c r="Y53" i="6"/>
  <c r="AG24" i="6" s="1"/>
  <c r="AC10" i="6"/>
  <c r="AA10" i="6"/>
  <c r="AB10" i="6" s="1"/>
  <c r="Y52" i="6"/>
  <c r="AH24" i="6" s="1"/>
  <c r="AA5" i="6"/>
  <c r="AB5" i="6" s="1"/>
  <c r="AC5" i="6"/>
  <c r="Y54" i="6"/>
  <c r="AF24" i="6" s="1"/>
  <c r="AO16" i="6"/>
  <c r="AN16" i="6" s="1"/>
  <c r="AO9" i="6"/>
  <c r="AN9" i="6" s="1"/>
  <c r="AO7" i="6"/>
  <c r="AN7" i="6" s="1"/>
  <c r="AL16" i="6"/>
  <c r="AM16" i="6" s="1"/>
  <c r="AO8" i="6"/>
  <c r="AN8" i="6" s="1"/>
  <c r="AO2" i="6"/>
  <c r="AO10" i="6"/>
  <c r="AN10" i="6" s="1"/>
  <c r="AL6" i="6"/>
  <c r="AM6" i="6" s="1"/>
  <c r="AL9" i="6"/>
  <c r="AM9" i="6" s="1"/>
  <c r="AO6" i="6"/>
  <c r="AN6" i="6" s="1"/>
  <c r="AL7" i="6"/>
  <c r="AM7" i="6" s="1"/>
  <c r="AA4" i="6"/>
  <c r="AB4" i="6" s="1"/>
  <c r="AC4" i="6"/>
  <c r="AC8" i="6"/>
  <c r="AA8" i="6"/>
  <c r="AB8" i="6" s="1"/>
  <c r="AC9" i="6"/>
  <c r="AA9" i="6"/>
  <c r="AB9" i="6" s="1"/>
  <c r="AA3" i="6"/>
  <c r="AC3" i="6"/>
  <c r="AA11" i="6"/>
  <c r="AB11" i="6" s="1"/>
  <c r="AC11" i="6"/>
  <c r="AA7" i="6"/>
  <c r="AB7" i="6" s="1"/>
  <c r="AC7" i="6"/>
  <c r="AA6" i="6"/>
  <c r="AB6" i="6" s="1"/>
  <c r="AC6" i="6"/>
  <c r="AA16" i="6"/>
  <c r="AB16" i="6" s="1"/>
  <c r="AC16" i="6"/>
  <c r="L3" i="6"/>
  <c r="AH3" i="6"/>
  <c r="AI3" i="6" s="1"/>
  <c r="H2" i="5"/>
  <c r="J2" i="5"/>
  <c r="AQ11" i="7" l="1"/>
  <c r="AQ13" i="7"/>
  <c r="AQ20" i="7"/>
  <c r="AQ14" i="7"/>
  <c r="AQ16" i="7"/>
  <c r="AQ12" i="7"/>
  <c r="AQ10" i="7"/>
  <c r="AQ19" i="7"/>
  <c r="AR19" i="7" s="1"/>
  <c r="AQ15" i="7"/>
  <c r="AN19" i="7"/>
  <c r="AM19" i="7" s="1"/>
  <c r="AN15" i="7"/>
  <c r="AM15" i="7" s="1"/>
  <c r="AC19" i="7"/>
  <c r="AE19" i="7"/>
  <c r="AE41" i="7" s="1"/>
  <c r="AC11" i="7"/>
  <c r="AE11" i="7"/>
  <c r="AC16" i="7"/>
  <c r="AE16" i="7"/>
  <c r="AN16" i="7"/>
  <c r="AM16" i="7" s="1"/>
  <c r="AN11" i="7"/>
  <c r="AN13" i="7"/>
  <c r="AR13" i="7"/>
  <c r="AO14" i="7"/>
  <c r="AP14" i="7" s="1"/>
  <c r="AO21" i="7"/>
  <c r="AP21" i="7" s="1"/>
  <c r="AR12" i="7"/>
  <c r="AQ21" i="7"/>
  <c r="AO10" i="7"/>
  <c r="AP10" i="7" s="1"/>
  <c r="AN14" i="7"/>
  <c r="AM14" i="7" s="1"/>
  <c r="AN10" i="7"/>
  <c r="AO19" i="7"/>
  <c r="AP19" i="7" s="1"/>
  <c r="AO12" i="7"/>
  <c r="AP12" i="7" s="1"/>
  <c r="AO15" i="7"/>
  <c r="AP15" i="7" s="1"/>
  <c r="AR20" i="7"/>
  <c r="AO18" i="7"/>
  <c r="AP18" i="7" s="1"/>
  <c r="AO17" i="7"/>
  <c r="AP17" i="7" s="1"/>
  <c r="AQ18" i="7"/>
  <c r="AQ17" i="7"/>
  <c r="AG9" i="7"/>
  <c r="AH9" i="7" s="1"/>
  <c r="B9" i="7"/>
  <c r="K9" i="7"/>
  <c r="AO16" i="7"/>
  <c r="AP16" i="7" s="1"/>
  <c r="AO11" i="7"/>
  <c r="AP11" i="7" s="1"/>
  <c r="AO13" i="7"/>
  <c r="AP13" i="7" s="1"/>
  <c r="AO20" i="7"/>
  <c r="AP20" i="7" s="1"/>
  <c r="AD6" i="6"/>
  <c r="AF6" i="6"/>
  <c r="T3" i="6"/>
  <c r="M3" i="6"/>
  <c r="AD11" i="6"/>
  <c r="AF11" i="6"/>
  <c r="AD8" i="6"/>
  <c r="AF8" i="6"/>
  <c r="AD5" i="6"/>
  <c r="AF5" i="6"/>
  <c r="AR6" i="6"/>
  <c r="AD16" i="6"/>
  <c r="AF16" i="6"/>
  <c r="AD7" i="6"/>
  <c r="AF7" i="6"/>
  <c r="AD4" i="6"/>
  <c r="AF4" i="6"/>
  <c r="AD10" i="6"/>
  <c r="AF10" i="6"/>
  <c r="AR8" i="6"/>
  <c r="AR5" i="6"/>
  <c r="AR10" i="6"/>
  <c r="AJ3" i="6"/>
  <c r="AO3" i="6" s="1"/>
  <c r="AK3" i="6"/>
  <c r="AL3" i="6" s="1"/>
  <c r="AM3" i="6" s="1"/>
  <c r="AD3" i="6"/>
  <c r="AF3" i="6"/>
  <c r="AD9" i="6"/>
  <c r="AF9" i="6"/>
  <c r="AR16" i="6"/>
  <c r="AR7" i="6"/>
  <c r="AR11" i="6"/>
  <c r="AP11" i="6"/>
  <c r="AQ11" i="6" s="1"/>
  <c r="AP10" i="6"/>
  <c r="AQ10" i="6" s="1"/>
  <c r="AP8" i="6"/>
  <c r="AQ8" i="6" s="1"/>
  <c r="AP6" i="6"/>
  <c r="AQ6" i="6" s="1"/>
  <c r="AP16" i="6"/>
  <c r="AQ16" i="6" s="1"/>
  <c r="AP5" i="6"/>
  <c r="AQ5" i="6" s="1"/>
  <c r="AP7" i="6"/>
  <c r="AQ7" i="6" s="1"/>
  <c r="AP9" i="6"/>
  <c r="AQ9" i="6" s="1"/>
  <c r="AP4" i="6"/>
  <c r="AQ4" i="6" s="1"/>
  <c r="AR4" i="6"/>
  <c r="AR9" i="6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0" i="4"/>
  <c r="AS29" i="4" s="1"/>
  <c r="AR14" i="7" l="1"/>
  <c r="AR15" i="7"/>
  <c r="AR16" i="7"/>
  <c r="AF19" i="7"/>
  <c r="AE40" i="7" s="1"/>
  <c r="AJ9" i="7"/>
  <c r="AK9" i="7" s="1"/>
  <c r="AL9" i="7" s="1"/>
  <c r="AI9" i="7"/>
  <c r="AN9" i="7" s="1"/>
  <c r="AR21" i="7"/>
  <c r="L9" i="7"/>
  <c r="S9" i="7"/>
  <c r="AR18" i="7"/>
  <c r="AR17" i="7"/>
  <c r="AY10" i="6"/>
  <c r="AS10" i="6"/>
  <c r="AF30" i="6"/>
  <c r="AG11" i="6"/>
  <c r="AF29" i="6" s="1"/>
  <c r="AY16" i="6"/>
  <c r="AS16" i="6"/>
  <c r="AS5" i="6"/>
  <c r="AY5" i="6"/>
  <c r="AY8" i="6"/>
  <c r="AS8" i="6"/>
  <c r="AY7" i="6"/>
  <c r="AS7" i="6"/>
  <c r="AY9" i="6"/>
  <c r="AS9" i="6"/>
  <c r="AS11" i="6"/>
  <c r="AY11" i="6"/>
  <c r="AS6" i="6"/>
  <c r="AY6" i="6"/>
  <c r="I5" i="5"/>
  <c r="K5" i="5"/>
  <c r="I3" i="5"/>
  <c r="I2" i="5" s="1"/>
  <c r="I7" i="5"/>
  <c r="I6" i="5"/>
  <c r="I10" i="5"/>
  <c r="I8" i="5"/>
  <c r="I9" i="5"/>
  <c r="K3" i="5"/>
  <c r="I4" i="5"/>
  <c r="AU11" i="6" l="1"/>
  <c r="AV11" i="6" s="1"/>
  <c r="AU10" i="6"/>
  <c r="AV10" i="6" s="1"/>
  <c r="AU9" i="6"/>
  <c r="AV9" i="6" s="1"/>
  <c r="AU8" i="6"/>
  <c r="AV8" i="6" s="1"/>
  <c r="AU16" i="6"/>
  <c r="AV16" i="6" s="1"/>
  <c r="AU6" i="6"/>
  <c r="AV6" i="6" s="1"/>
  <c r="AU7" i="6"/>
  <c r="AV7" i="6" s="1"/>
  <c r="AE42" i="4"/>
  <c r="AE37" i="4" l="1"/>
  <c r="T44" i="4"/>
  <c r="AD3" i="4" l="1"/>
  <c r="X43" i="4" l="1"/>
  <c r="AE36" i="4" s="1"/>
  <c r="X41" i="4"/>
  <c r="Z41" i="4" s="1"/>
  <c r="Y15" i="4" s="1"/>
  <c r="AJ27" i="4" l="1"/>
  <c r="AJ26" i="4"/>
  <c r="AJ28" i="4" s="1"/>
  <c r="AJ29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J25" i="4"/>
  <c r="AJ30" i="4" l="1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D35" i="1"/>
  <c r="C35" i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K9" i="1"/>
  <c r="S9" i="1" s="1"/>
  <c r="J9" i="1"/>
  <c r="M8" i="1"/>
  <c r="O8" i="1" s="1"/>
  <c r="L8" i="1"/>
  <c r="N8" i="1" s="1"/>
  <c r="K8" i="1"/>
  <c r="S8" i="1" s="1"/>
  <c r="J8" i="1"/>
  <c r="X8" i="1" s="1"/>
  <c r="Y8" i="1" s="1"/>
  <c r="Z8" i="1" s="1"/>
  <c r="AA8" i="1" s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M6" i="1"/>
  <c r="O6" i="1" s="1"/>
  <c r="L6" i="1"/>
  <c r="N6" i="1" s="1"/>
  <c r="K6" i="1"/>
  <c r="J6" i="1"/>
  <c r="Y5" i="1"/>
  <c r="N5" i="1"/>
  <c r="P5" i="1" s="1"/>
  <c r="M5" i="1"/>
  <c r="O5" i="1" s="1"/>
  <c r="L5" i="1"/>
  <c r="K5" i="1"/>
  <c r="S5" i="1" s="1"/>
  <c r="J5" i="1"/>
  <c r="X5" i="1" s="1"/>
  <c r="M4" i="1"/>
  <c r="O4" i="1" s="1"/>
  <c r="L4" i="1"/>
  <c r="N4" i="1" s="1"/>
  <c r="P4" i="1" s="1"/>
  <c r="K4" i="1"/>
  <c r="S4" i="1" s="1"/>
  <c r="J4" i="1"/>
  <c r="X4" i="1" s="1"/>
  <c r="Y4" i="1" s="1"/>
  <c r="O3" i="1"/>
  <c r="Q3" i="1" s="1"/>
  <c r="M3" i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D43" i="3"/>
  <c r="C43" i="3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T24" i="3"/>
  <c r="U24" i="3" s="1"/>
  <c r="M24" i="3"/>
  <c r="O24" i="3" s="1"/>
  <c r="K24" i="3"/>
  <c r="S24" i="3" s="1"/>
  <c r="J24" i="3"/>
  <c r="B24" i="3"/>
  <c r="T23" i="3"/>
  <c r="U23" i="3" s="1"/>
  <c r="M23" i="3"/>
  <c r="O23" i="3" s="1"/>
  <c r="L23" i="3"/>
  <c r="K23" i="3"/>
  <c r="S23" i="3" s="1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M19" i="3"/>
  <c r="O19" i="3" s="1"/>
  <c r="K19" i="3"/>
  <c r="J19" i="3"/>
  <c r="T19" i="3" s="1"/>
  <c r="U19" i="3" s="1"/>
  <c r="V19" i="3" s="1"/>
  <c r="W19" i="3" s="1"/>
  <c r="Y19" i="3" s="1"/>
  <c r="Z19" i="3" s="1"/>
  <c r="AA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P12" i="3"/>
  <c r="R12" i="3" s="1"/>
  <c r="N12" i="3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T11" i="3"/>
  <c r="U11" i="3" s="1"/>
  <c r="N11" i="3"/>
  <c r="P11" i="3" s="1"/>
  <c r="M11" i="3"/>
  <c r="O11" i="3" s="1"/>
  <c r="Q11" i="3" s="1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S9" i="3"/>
  <c r="P9" i="3"/>
  <c r="O9" i="3"/>
  <c r="Q9" i="3" s="1"/>
  <c r="N9" i="3"/>
  <c r="M9" i="3"/>
  <c r="L9" i="3"/>
  <c r="K9" i="3"/>
  <c r="J9" i="3"/>
  <c r="T9" i="3" s="1"/>
  <c r="U9" i="3" s="1"/>
  <c r="V9" i="3" s="1"/>
  <c r="W9" i="3" s="1"/>
  <c r="Y9" i="3" s="1"/>
  <c r="Z9" i="3" s="1"/>
  <c r="AA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P7" i="3"/>
  <c r="N7" i="3"/>
  <c r="M7" i="3"/>
  <c r="O7" i="3" s="1"/>
  <c r="Q7" i="3" s="1"/>
  <c r="L7" i="3"/>
  <c r="K7" i="3"/>
  <c r="S7" i="3" s="1"/>
  <c r="J7" i="3"/>
  <c r="T7" i="3" s="1"/>
  <c r="U7" i="3" s="1"/>
  <c r="B7" i="3"/>
  <c r="AV6" i="3"/>
  <c r="S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O5" i="3"/>
  <c r="Q5" i="3" s="1"/>
  <c r="N5" i="3"/>
  <c r="P5" i="3" s="1"/>
  <c r="R5" i="3" s="1"/>
  <c r="M5" i="3"/>
  <c r="K5" i="3"/>
  <c r="L5" i="3" s="1"/>
  <c r="J5" i="3"/>
  <c r="T5" i="3" s="1"/>
  <c r="U5" i="3" s="1"/>
  <c r="B5" i="3"/>
  <c r="AV4" i="3"/>
  <c r="AF4" i="3"/>
  <c r="AG4" i="3" s="1"/>
  <c r="T4" i="3"/>
  <c r="U4" i="3" s="1"/>
  <c r="N4" i="3"/>
  <c r="P4" i="3" s="1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T2" i="3"/>
  <c r="U2" i="3" s="1"/>
  <c r="S2" i="3"/>
  <c r="R2" i="3"/>
  <c r="K2" i="3"/>
  <c r="L2" i="3" s="1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J31" i="4"/>
  <c r="AJ32" i="4" s="1"/>
  <c r="X36" i="4" s="1"/>
  <c r="AE4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L24" i="3" l="1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7" i="4"/>
  <c r="U11" i="4"/>
  <c r="V11" i="4"/>
  <c r="V15" i="4"/>
  <c r="U15" i="4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AF29" i="4"/>
  <c r="AF32" i="4"/>
  <c r="AG29" i="4"/>
  <c r="AE29" i="4"/>
  <c r="AE32" i="4"/>
  <c r="R8" i="4"/>
  <c r="AF31" i="4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X13" i="4" l="1"/>
  <c r="X15" i="4"/>
  <c r="X11" i="4"/>
  <c r="X9" i="4"/>
  <c r="X7" i="4"/>
  <c r="X19" i="4"/>
  <c r="X100" i="4"/>
  <c r="Y100" i="4" s="1"/>
  <c r="X98" i="4"/>
  <c r="Y98" i="4" s="1"/>
  <c r="X26" i="4"/>
  <c r="X6" i="4"/>
  <c r="X90" i="4"/>
  <c r="Y90" i="4" s="1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W74" i="4"/>
  <c r="X74" i="4" s="1"/>
  <c r="Y74" i="4" s="1"/>
  <c r="W78" i="4"/>
  <c r="X78" i="4" s="1"/>
  <c r="Y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W84" i="4"/>
  <c r="X84" i="4" s="1"/>
  <c r="Y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X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N13" i="4" s="1"/>
  <c r="AM13" i="4" s="1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F6" i="1" l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F8" i="1" l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G33" i="4" l="1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5" i="4"/>
  <c r="Z15" i="4"/>
  <c r="AA15" i="4" s="1"/>
  <c r="AB15" i="4"/>
  <c r="AE15" i="4" s="1"/>
  <c r="AE44" i="4"/>
  <c r="AQ13" i="3" l="1"/>
  <c r="AW13" i="3"/>
  <c r="AQ12" i="3"/>
  <c r="AW12" i="3"/>
  <c r="AQ10" i="3"/>
  <c r="AW10" i="3"/>
  <c r="AQ6" i="3"/>
  <c r="AW6" i="3"/>
  <c r="AW11" i="3"/>
  <c r="AQ11" i="3"/>
  <c r="Y4" i="4"/>
  <c r="Y12" i="4"/>
  <c r="Y9" i="4"/>
  <c r="Y5" i="4"/>
  <c r="Y13" i="4"/>
  <c r="Y6" i="4"/>
  <c r="Y14" i="4"/>
  <c r="Y10" i="4"/>
  <c r="Y7" i="4"/>
  <c r="Y3" i="4"/>
  <c r="AB3" i="4" s="1"/>
  <c r="Y8" i="4"/>
  <c r="Y11" i="4"/>
  <c r="AW9" i="3"/>
  <c r="AQ9" i="3"/>
  <c r="AQ7" i="3"/>
  <c r="AW7" i="3"/>
  <c r="AW8" i="3"/>
  <c r="AQ8" i="3"/>
  <c r="AC15" i="4"/>
  <c r="Z13" i="4" l="1"/>
  <c r="AA13" i="4" s="1"/>
  <c r="AB13" i="4"/>
  <c r="Z8" i="4"/>
  <c r="AA8" i="4" s="1"/>
  <c r="AB8" i="4"/>
  <c r="AB9" i="4"/>
  <c r="Z9" i="4"/>
  <c r="AA9" i="4" s="1"/>
  <c r="Z5" i="4"/>
  <c r="AA5" i="4" s="1"/>
  <c r="AB5" i="4"/>
  <c r="AB12" i="4"/>
  <c r="Z12" i="4"/>
  <c r="AA12" i="4" s="1"/>
  <c r="AB7" i="4"/>
  <c r="Z7" i="4"/>
  <c r="AA7" i="4" s="1"/>
  <c r="Z4" i="4"/>
  <c r="AA4" i="4" s="1"/>
  <c r="AB4" i="4"/>
  <c r="AB11" i="4"/>
  <c r="Z11" i="4"/>
  <c r="AA11" i="4" s="1"/>
  <c r="Z10" i="4"/>
  <c r="AA10" i="4" s="1"/>
  <c r="AB10" i="4"/>
  <c r="AB6" i="4"/>
  <c r="Z6" i="4"/>
  <c r="AA6" i="4" s="1"/>
  <c r="Z3" i="4"/>
  <c r="Z14" i="4"/>
  <c r="AA14" i="4" s="1"/>
  <c r="AB14" i="4"/>
  <c r="AE3" i="4"/>
  <c r="AC3" i="4"/>
  <c r="AC5" i="4" l="1"/>
  <c r="AE5" i="4"/>
  <c r="AC14" i="4"/>
  <c r="AE14" i="4"/>
  <c r="AC11" i="4"/>
  <c r="AE11" i="4"/>
  <c r="AE9" i="4"/>
  <c r="AC9" i="4"/>
  <c r="AE4" i="4"/>
  <c r="AC4" i="4"/>
  <c r="AE8" i="4"/>
  <c r="AC8" i="4"/>
  <c r="AE6" i="4"/>
  <c r="AC6" i="4"/>
  <c r="AC7" i="4"/>
  <c r="AE7" i="4"/>
  <c r="AE10" i="4"/>
  <c r="AC10" i="4"/>
  <c r="AE13" i="4"/>
  <c r="AE39" i="4" s="1"/>
  <c r="AC13" i="4"/>
  <c r="AE12" i="4"/>
  <c r="AC12" i="4"/>
  <c r="AF13" i="4" l="1"/>
  <c r="AE38" i="4" s="1"/>
  <c r="AT14" i="4" s="1"/>
  <c r="AU14" i="4" s="1"/>
  <c r="AT8" i="4" l="1"/>
  <c r="AU8" i="4" s="1"/>
  <c r="AT12" i="4"/>
  <c r="AU12" i="4" s="1"/>
  <c r="AT13" i="4"/>
  <c r="AU13" i="4" s="1"/>
  <c r="AT11" i="4"/>
  <c r="AU11" i="4" s="1"/>
  <c r="AT10" i="4"/>
  <c r="AU10" i="4" s="1"/>
  <c r="AT15" i="4"/>
  <c r="AU15" i="4" s="1"/>
  <c r="AT9" i="4"/>
  <c r="AU9" i="4" s="1"/>
  <c r="AB53" i="6"/>
  <c r="AG25" i="6" s="1"/>
  <c r="AB54" i="6"/>
  <c r="AF25" i="6" s="1"/>
  <c r="AB52" i="6"/>
  <c r="AH25" i="6" s="1"/>
  <c r="AF36" i="7"/>
</calcChain>
</file>

<file path=xl/sharedStrings.xml><?xml version="1.0" encoding="utf-8"?>
<sst xmlns="http://schemas.openxmlformats.org/spreadsheetml/2006/main" count="869" uniqueCount="241">
  <si>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</si>
  <si>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</si>
  <si>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</si>
  <si>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</si>
  <si>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</si>
  <si>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</si>
  <si>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</si>
  <si>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</si>
  <si>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</si>
  <si>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</si>
  <si>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</si>
  <si>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</si>
  <si>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</si>
  <si>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</si>
  <si>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</si>
  <si>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</si>
  <si>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</si>
  <si>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</si>
  <si>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</si>
  <si>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</si>
  <si>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</si>
  <si>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</si>
  <si>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</si>
  <si>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</si>
  <si>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</si>
  <si>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</si>
  <si>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</si>
  <si>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</si>
  <si>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</si>
  <si>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</si>
  <si>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</si>
  <si>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</si>
  <si>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</si>
  <si>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</si>
  <si>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</si>
  <si>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</si>
  <si>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</si>
  <si>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</si>
  <si>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</si>
  <si>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</si>
  <si>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</si>
  <si>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</si>
  <si>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</si>
  <si>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</si>
  <si>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</si>
  <si>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</si>
  <si>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</si>
  <si>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</si>
  <si>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</si>
  <si>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</si>
  <si>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</si>
  <si>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</si>
  <si>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</si>
  <si>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</si>
  <si>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</si>
  <si>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</si>
  <si>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</si>
  <si>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</si>
  <si>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</si>
  <si>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</si>
  <si>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</si>
  <si>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</si>
  <si>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</si>
  <si>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</si>
  <si>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</si>
  <si>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</si>
  <si>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</si>
  <si>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</si>
  <si>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</si>
  <si>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</si>
  <si>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</si>
  <si>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</si>
  <si>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</si>
  <si>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</si>
  <si>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</si>
  <si>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</si>
  <si>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</si>
  <si>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</si>
  <si>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</si>
  <si>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</si>
  <si>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</si>
  <si>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</si>
  <si>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</si>
  <si>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</si>
  <si>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</si>
  <si>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</si>
  <si>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</si>
  <si>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</si>
  <si>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</si>
  <si>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</si>
  <si>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</si>
  <si>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</si>
  <si>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</si>
  <si>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</si>
  <si>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</si>
  <si>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</si>
  <si>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</si>
  <si>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</si>
  <si>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</si>
  <si>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</si>
  <si>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</si>
  <si>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</si>
  <si>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</si>
  <si>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</si>
  <si>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</si>
  <si>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</si>
  <si>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</si>
  <si>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</si>
  <si>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</si>
  <si>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</si>
  <si>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</si>
  <si>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</si>
  <si>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</si>
  <si>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</si>
  <si>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</si>
  <si>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</si>
  <si>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</si>
  <si>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</si>
  <si>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</si>
  <si>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</si>
  <si>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</si>
  <si>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</si>
  <si>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</si>
  <si>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</si>
  <si>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</si>
  <si>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</si>
  <si>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</si>
  <si>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</si>
  <si>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</si>
  <si>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</si>
  <si>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</si>
  <si>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</si>
  <si>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</si>
  <si>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</si>
  <si>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</si>
  <si>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</si>
  <si>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</si>
  <si>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</si>
  <si>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</si>
  <si>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</si>
  <si>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</si>
  <si>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</si>
  <si>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</si>
  <si>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</si>
  <si>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</si>
  <si>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</si>
  <si>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</si>
  <si>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</si>
  <si>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</si>
  <si>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</si>
  <si>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</si>
  <si>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</si>
  <si>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</si>
  <si>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</si>
  <si>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</si>
  <si>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</si>
  <si>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</si>
  <si>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</si>
  <si>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</si>
  <si>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</si>
  <si>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</si>
  <si>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</si>
  <si>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</si>
  <si>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</si>
  <si>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</si>
  <si>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</si>
  <si>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</si>
  <si>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</si>
  <si>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</si>
  <si>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</si>
  <si>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</si>
  <si>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</si>
  <si>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</si>
  <si>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</si>
  <si>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</si>
  <si>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</si>
  <si>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</si>
  <si>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</si>
  <si>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</si>
  <si>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</si>
  <si>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</si>
  <si>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</si>
  <si>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</si>
  <si>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</si>
  <si>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</si>
  <si>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</si>
  <si>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</si>
  <si>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</si>
  <si>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</si>
  <si>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</si>
  <si>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</si>
  <si>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</si>
  <si>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</si>
  <si>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</si>
  <si>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</si>
  <si>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</si>
  <si>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</si>
  <si>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</si>
  <si>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</si>
  <si>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</si>
  <si>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</si>
  <si>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</si>
  <si>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</si>
  <si>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</si>
  <si>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</si>
  <si>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</si>
  <si>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</si>
  <si>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</si>
  <si>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</si>
  <si>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</si>
  <si>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</si>
  <si>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</si>
  <si>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</si>
  <si>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</si>
  <si>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</si>
  <si>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</si>
  <si>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</si>
  <si>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</si>
  <si>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</si>
  <si>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</si>
  <si>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</si>
  <si>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</si>
  <si>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</si>
  <si>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</si>
  <si>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Just Below Nt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</si>
  <si>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</si>
  <si>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</si>
  <si>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</si>
  <si>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</si>
  <si>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</si>
  <si>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</si>
  <si>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</si>
  <si>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</si>
  <si>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</si>
  <si>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</si>
  <si>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</si>
  <si>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Zero Throttle</t>
  </si>
  <si>
    <t>Calibration sheet</t>
  </si>
  <si>
    <t>Calibrate the ESC first</t>
  </si>
  <si>
    <t>Update the Arduino software</t>
  </si>
  <si>
    <t>Run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</si>
</sst>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Arduino1_Turnigy1_1a1ba!$Q$1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Arduino1_Turnigy1_1a1ba!$P$6:$P$16</c:f>
              <c:numCache>
                <c:formatCode>0</c:formatCode>
                <c:ptCount val="11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10">
                  <c:v>43988.269794721404</c:v>
                </c:pt>
              </c:numCache>
            </c:numRef>
          </c:xVal>
          <c:yVal>
            <c:numRef>
              <c:f>Arduino1_Turnigy1_1a1ba!$Q$6:$Q$16</c:f>
              <c:numCache>
                <c:formatCode>0</c:formatCode>
                <c:ptCount val="11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10">
                  <c:v>34482.758620689652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96864"/>
        <c:axId val="215158784"/>
      </c:scatterChart>
      <c:valAx>
        <c:axId val="2149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8784"/>
        <c:crosses val="autoZero"/>
        <c:crossBetween val="midCat"/>
      </c:valAx>
      <c:valAx>
        <c:axId val="215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Arduino1_Turnigy1_1a1ba!$Q$6:$Q$16</c:f>
              <c:numCache>
                <c:formatCode>0</c:formatCode>
                <c:ptCount val="11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10">
                  <c:v>34482.758620689652</c:v>
                </c:pt>
              </c:numCache>
            </c:numRef>
          </c:xVal>
          <c:yVal>
            <c:numRef>
              <c:f>Arduino1_Turnigy1_1a1ba!$AF$6:$AF$16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62976"/>
        <c:axId val="215664896"/>
      </c:scatterChart>
      <c:valAx>
        <c:axId val="2156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4896"/>
        <c:crosses val="autoZero"/>
        <c:crossBetween val="midCat"/>
      </c:valAx>
      <c:valAx>
        <c:axId val="215664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Arduino1_Turnigy1_1a1ba!#REF!</c:f>
            </c:strRef>
          </c:tx>
          <c:marker>
            <c:symbol val="none"/>
          </c:marker>
          <c:xVal>
            <c:numRef>
              <c:f>Arduino1_Turnigy1_1a1ba!$AO$18:$AO$20</c:f>
              <c:numCache>
                <c:formatCode>General</c:formatCode>
                <c:ptCount val="3"/>
                <c:pt idx="0">
                  <c:v>52</c:v>
                </c:pt>
                <c:pt idx="1">
                  <c:v>55</c:v>
                </c:pt>
                <c:pt idx="2">
                  <c:v>62</c:v>
                </c:pt>
              </c:numCache>
            </c:numRef>
          </c:xVal>
          <c:yVal>
            <c:numRef>
              <c:f>Arduino1_Turnigy1_1a1ba!$AR$18:$AR$20</c:f>
              <c:numCache>
                <c:formatCode>0.000</c:formatCode>
                <c:ptCount val="3"/>
                <c:pt idx="0">
                  <c:v>6.4000000000000001E-2</c:v>
                </c:pt>
                <c:pt idx="1">
                  <c:v>5.6000000000000001E-2</c:v>
                </c:pt>
                <c:pt idx="2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8720"/>
        <c:axId val="215760256"/>
      </c:scatterChart>
      <c:valAx>
        <c:axId val="21575872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5760256"/>
        <c:crosses val="autoZero"/>
        <c:crossBetween val="midCat"/>
        <c:minorUnit val="2"/>
      </c:valAx>
      <c:valAx>
        <c:axId val="215760256"/>
        <c:scaling>
          <c:orientation val="minMax"/>
        </c:scaling>
        <c:delete val="0"/>
        <c:axPos val="l"/>
        <c:minorGridlines/>
        <c:numFmt formatCode="0.000" sourceLinked="1"/>
        <c:majorTickMark val="out"/>
        <c:minorTickMark val="none"/>
        <c:tickLblPos val="nextTo"/>
        <c:crossAx val="21575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Ard1_Turn1_ESC1_G1b_T1a!$P$7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Ard1_Turn1_ESC1_G1b_T1a!$O$14:$O$21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Ard1_Turn1_ESC1_G1b_T1a!$P$14:$P$21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71680"/>
        <c:axId val="255242240"/>
      </c:scatterChart>
      <c:valAx>
        <c:axId val="2316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42240"/>
        <c:crosses val="autoZero"/>
        <c:crossBetween val="midCat"/>
      </c:valAx>
      <c:valAx>
        <c:axId val="255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Ard1_Turn1_ESC1_G1b_T1a!$Q$7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Ard1_Turn1_ESC1_G1b_T1a!$K$14:$K$21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Ard1_Turn1_ESC1_G1b_T1a!$Q$14:$Q$21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46112"/>
        <c:axId val="24314828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Ard1_Turn1_ESC1_G1b_T1a!$T$7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Ard1_Turn1_ESC1_G1b_T1a!$K$10:$K$21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Ard1_Turn1_ESC1_G1b_T1a!$T$10:$T$21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1472"/>
        <c:axId val="243150208"/>
      </c:scatterChart>
      <c:valAx>
        <c:axId val="2431461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48288"/>
        <c:crossesAt val="-40"/>
        <c:crossBetween val="midCat"/>
        <c:majorUnit val="20"/>
      </c:valAx>
      <c:valAx>
        <c:axId val="243148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46112"/>
        <c:crosses val="autoZero"/>
        <c:crossBetween val="midCat"/>
      </c:valAx>
      <c:valAx>
        <c:axId val="2431502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81472"/>
        <c:crosses val="max"/>
        <c:crossBetween val="midCat"/>
        <c:majorUnit val="40"/>
      </c:valAx>
      <c:valAx>
        <c:axId val="231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Ard1_Turn1_ESC1_G1b_T1a!$V$7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Ard1_Turn1_ESC1_G1b_T1a!$Q$10:$Q$21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Ard1_Turn1_ESC1_G1b_T1a!$V$10:$V$21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31392"/>
        <c:axId val="231133568"/>
      </c:scatterChart>
      <c:valAx>
        <c:axId val="2311313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1133568"/>
        <c:crosses val="autoZero"/>
        <c:crossBetween val="midCat"/>
      </c:valAx>
      <c:valAx>
        <c:axId val="23113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Ard1_Turn1_ESC1_G1b_T1a!$O$7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Ard1_Turn1_ESC1_G1b_T1a!$K$10:$K$21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Ard1_Turn1_ESC1_G1b_T1a!$O$10:$O$21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Ard1_Turn1_ESC1_G1b_T1a!$AI$7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Ard1_Turn1_ESC1_G1b_T1a!$C$10:$C$21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Ard1_Turn1_ESC1_G1b_T1a!$AI$10:$AI$21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11936"/>
        <c:axId val="231944192"/>
      </c:scatterChart>
      <c:valAx>
        <c:axId val="2315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4192"/>
        <c:crosses val="autoZero"/>
        <c:crossBetween val="midCat"/>
      </c:valAx>
      <c:valAx>
        <c:axId val="23194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Ard1_Turn1_ESC1_G1b_T1a!$X$7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Ard1_Turn1_ESC1_G1b_T1a!$O$10:$O$21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Ard1_Turn1_ESC1_G1b_T1a!$X$10:$X$21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Ard1_Turn1_ESC1_G1b_T1a!$O$73:$O$90</c:f>
              <c:numCache>
                <c:formatCode>0</c:formatCode>
                <c:ptCount val="18"/>
              </c:numCache>
            </c:numRef>
          </c:xVal>
          <c:yVal>
            <c:numRef>
              <c:f>Ard1_Turn1_ESC1_G1b_T1a!$X$73:$X$90</c:f>
              <c:numCache>
                <c:formatCode>0.00000</c:formatCode>
                <c:ptCount val="1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57248"/>
        <c:axId val="243163136"/>
      </c:scatterChart>
      <c:valAx>
        <c:axId val="2431572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3163136"/>
        <c:crosses val="autoZero"/>
        <c:crossBetween val="midCat"/>
      </c:valAx>
      <c:valAx>
        <c:axId val="2431631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4315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Ard1_Turn1_ESC1_G1b_T1a!$AO$7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Ard1_Turn1_ESC1_G1b_T1a!$AI$8:$AI$22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Ard1_Turn1_ESC1_G1b_T1a!$AO$8:$AO$22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Ard1_Turn1_ESC1_G1b_T1a!$AS$7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Ard1_Turn1_ESC1_G1b_T1a!$AN$14:$AN$22</c:f>
              <c:numCache>
                <c:formatCode>0</c:formatCode>
                <c:ptCount val="9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Ard1_Turn1_ESC1_G1b_T1a!$AS$14:$AS$22</c:f>
              <c:numCache>
                <c:formatCode>0.00000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19072"/>
        <c:axId val="232020608"/>
      </c:scatterChart>
      <c:valAx>
        <c:axId val="2320190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32020608"/>
        <c:crosses val="autoZero"/>
        <c:crossBetween val="midCat"/>
      </c:valAx>
      <c:valAx>
        <c:axId val="2320206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201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4672"/>
        <c:axId val="196059136"/>
      </c:scatterChart>
      <c:valAx>
        <c:axId val="1960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136"/>
        <c:crosses val="autoZero"/>
        <c:crossBetween val="midCat"/>
      </c:valAx>
      <c:valAx>
        <c:axId val="196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4592"/>
        <c:axId val="19658086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7248"/>
        <c:axId val="196582784"/>
      </c:scatterChart>
      <c:valAx>
        <c:axId val="1965745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864"/>
        <c:crossesAt val="-40"/>
        <c:crossBetween val="midCat"/>
        <c:majorUnit val="20"/>
      </c:valAx>
      <c:valAx>
        <c:axId val="196580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4592"/>
        <c:crosses val="autoZero"/>
        <c:crossBetween val="midCat"/>
      </c:valAx>
      <c:valAx>
        <c:axId val="196582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248"/>
        <c:crosses val="max"/>
        <c:crossBetween val="midCat"/>
        <c:majorUnit val="40"/>
      </c:valAx>
      <c:valAx>
        <c:axId val="1965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Arduino1_Turnigy1_1a1ba!$L$6:$L$16</c:f>
              <c:numCache>
                <c:formatCode>General</c:formatCode>
                <c:ptCount val="11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10">
                  <c:v>155</c:v>
                </c:pt>
              </c:numCache>
            </c:numRef>
          </c:xVal>
          <c:yVal>
            <c:numRef>
              <c:f>Arduino1_Turnigy1_1a1ba!$R$6:$R$16</c:f>
              <c:numCache>
                <c:formatCode>0</c:formatCode>
                <c:ptCount val="11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10">
                  <c:v>95.460654936461381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4160"/>
        <c:axId val="215262720"/>
      </c:scatterChart>
      <c:scatterChart>
        <c:scatterStyle val="lineMarker"/>
        <c:varyColors val="0"/>
        <c:ser>
          <c:idx val="1"/>
          <c:order val="1"/>
          <c:tx>
            <c:strRef>
              <c:f>Arduino1_Turnigy1_1a1ba!$U$1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Arduino1_Turnigy1_1a1ba!$L$4:$L$16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12">
                  <c:v>155</c:v>
                </c:pt>
              </c:numCache>
            </c:numRef>
          </c:xVal>
          <c:yVal>
            <c:numRef>
              <c:f>Arduino1_Turnigy1_1a1ba!$U$4:$U$16</c:f>
              <c:numCache>
                <c:formatCode>0.00</c:formatCode>
                <c:ptCount val="13"/>
                <c:pt idx="0" formatCode="General">
                  <c:v>7.6664000000000003</c:v>
                </c:pt>
                <c:pt idx="1">
                  <c:v>9.3844799999999999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12">
                  <c:v>192.75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70912"/>
        <c:axId val="215264640"/>
      </c:scatterChart>
      <c:valAx>
        <c:axId val="21524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62720"/>
        <c:crossesAt val="-40"/>
        <c:crossBetween val="midCat"/>
        <c:majorUnit val="20"/>
      </c:valAx>
      <c:valAx>
        <c:axId val="215262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44160"/>
        <c:crosses val="autoZero"/>
        <c:crossBetween val="midCat"/>
      </c:valAx>
      <c:valAx>
        <c:axId val="215264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0912"/>
        <c:crosses val="max"/>
        <c:crossBetween val="midCat"/>
        <c:majorUnit val="40"/>
      </c:valAx>
      <c:valAx>
        <c:axId val="2152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1696"/>
        <c:axId val="198463872"/>
      </c:scatterChart>
      <c:valAx>
        <c:axId val="198461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8463872"/>
        <c:crosses val="autoZero"/>
        <c:crossBetween val="midCat"/>
      </c:valAx>
      <c:valAx>
        <c:axId val="19846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0464"/>
        <c:axId val="198512640"/>
      </c:scatterChart>
      <c:valAx>
        <c:axId val="1985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640"/>
        <c:crosses val="autoZero"/>
        <c:crossBetween val="midCat"/>
      </c:valAx>
      <c:valAx>
        <c:axId val="19851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3616"/>
        <c:axId val="198557696"/>
      </c:scatterChart>
      <c:valAx>
        <c:axId val="198543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8557696"/>
        <c:crosses val="autoZero"/>
        <c:crossBetween val="midCat"/>
      </c:valAx>
      <c:valAx>
        <c:axId val="198557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54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CalPhotonTurnigy!$AU$8:$AU$15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6496"/>
        <c:axId val="198672768"/>
      </c:scatterChart>
      <c:valAx>
        <c:axId val="19866649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8672768"/>
        <c:crosses val="autoZero"/>
        <c:crossBetween val="midCat"/>
      </c:valAx>
      <c:valAx>
        <c:axId val="19867276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866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2592"/>
        <c:axId val="198704128"/>
      </c:scatterChart>
      <c:valAx>
        <c:axId val="1987025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98704128"/>
        <c:crosses val="autoZero"/>
        <c:crossBetween val="midCat"/>
      </c:valAx>
      <c:valAx>
        <c:axId val="1987041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70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0592"/>
        <c:axId val="198752512"/>
      </c:scatterChart>
      <c:valAx>
        <c:axId val="198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2512"/>
        <c:crosses val="autoZero"/>
        <c:crossBetween val="midCat"/>
      </c:valAx>
      <c:valAx>
        <c:axId val="198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7856"/>
        <c:axId val="198804608"/>
      </c:scatterChart>
      <c:valAx>
        <c:axId val="198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608"/>
        <c:crosses val="autoZero"/>
        <c:crossBetween val="midCat"/>
      </c:valAx>
      <c:valAx>
        <c:axId val="198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2144"/>
        <c:axId val="198904064"/>
      </c:scatterChart>
      <c:valAx>
        <c:axId val="1989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4064"/>
        <c:crosses val="autoZero"/>
        <c:crossBetween val="midCat"/>
      </c:valAx>
      <c:valAx>
        <c:axId val="19890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CalPhotonTurnigy!$AN$20:$AN$29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CalPhotonTurnigy!$AQ$20:$AQ$29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2352"/>
        <c:axId val="198933888"/>
      </c:scatterChart>
      <c:valAx>
        <c:axId val="19893235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8933888"/>
        <c:crosses val="autoZero"/>
        <c:crossBetween val="midCat"/>
        <c:minorUnit val="2"/>
      </c:valAx>
      <c:valAx>
        <c:axId val="1989338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893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656"/>
        <c:axId val="195363200"/>
      </c:scatterChart>
      <c:valAx>
        <c:axId val="199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3200"/>
        <c:crosses val="autoZero"/>
        <c:crossBetween val="midCat"/>
      </c:valAx>
      <c:valAx>
        <c:axId val="1953632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Arduino1_Turnigy1_1a1ba!$R$4:$R$16</c:f>
              <c:numCache>
                <c:formatCode>0</c:formatCode>
                <c:ptCount val="13"/>
                <c:pt idx="0">
                  <c:v>16.52390016920474</c:v>
                </c:pt>
                <c:pt idx="1">
                  <c:v>21.001344086021508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12">
                  <c:v>95.460654936461381</c:v>
                </c:pt>
              </c:numCache>
            </c:numRef>
          </c:xVal>
          <c:yVal>
            <c:numRef>
              <c:f>Arduino1_Turnigy1_1a1ba!$W$4:$W$16</c:f>
              <c:numCache>
                <c:formatCode>General</c:formatCode>
                <c:ptCount val="13"/>
                <c:pt idx="0">
                  <c:v>4.3132095199200004E-3</c:v>
                </c:pt>
                <c:pt idx="1">
                  <c:v>6.6171925976800001E-3</c:v>
                </c:pt>
                <c:pt idx="2">
                  <c:v>2.1361890410319998E-2</c:v>
                </c:pt>
                <c:pt idx="3">
                  <c:v>3.4237713143319998E-2</c:v>
                </c:pt>
                <c:pt idx="4">
                  <c:v>6.5812746644320005E-2</c:v>
                </c:pt>
                <c:pt idx="5">
                  <c:v>7.7738187085920007E-2</c:v>
                </c:pt>
                <c:pt idx="6">
                  <c:v>0.11325528885812</c:v>
                </c:pt>
                <c:pt idx="7">
                  <c:v>0.17635774957912001</c:v>
                </c:pt>
                <c:pt idx="12">
                  <c:v>0.25251438895912004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18048"/>
        <c:axId val="215220224"/>
      </c:scatterChart>
      <c:valAx>
        <c:axId val="2152180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220224"/>
        <c:crosses val="autoZero"/>
        <c:crossBetween val="midCat"/>
      </c:valAx>
      <c:valAx>
        <c:axId val="21522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21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1312"/>
        <c:axId val="195422848"/>
      </c:scatterChart>
      <c:valAx>
        <c:axId val="1954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2848"/>
        <c:crosses val="autoZero"/>
        <c:crossBetween val="midCat"/>
      </c:valAx>
      <c:valAx>
        <c:axId val="195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5328"/>
        <c:axId val="19556352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7616"/>
        <c:axId val="195565440"/>
      </c:scatterChart>
      <c:valAx>
        <c:axId val="1954753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3520"/>
        <c:crossesAt val="-40"/>
        <c:crossBetween val="midCat"/>
        <c:majorUnit val="20"/>
      </c:valAx>
      <c:valAx>
        <c:axId val="1955635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5328"/>
        <c:crosses val="autoZero"/>
        <c:crossBetween val="midCat"/>
      </c:valAx>
      <c:valAx>
        <c:axId val="1955654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7616"/>
        <c:crosses val="max"/>
        <c:crossBetween val="midCat"/>
        <c:majorUnit val="40"/>
      </c:valAx>
      <c:valAx>
        <c:axId val="1955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4768"/>
        <c:axId val="195586688"/>
      </c:scatterChart>
      <c:valAx>
        <c:axId val="1955847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586688"/>
        <c:crosses val="autoZero"/>
        <c:crossBetween val="midCat"/>
      </c:valAx>
      <c:valAx>
        <c:axId val="19558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1888"/>
        <c:axId val="199063808"/>
      </c:scatterChart>
      <c:valAx>
        <c:axId val="1990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3808"/>
        <c:crosses val="autoZero"/>
        <c:crossBetween val="midCat"/>
      </c:valAx>
      <c:valAx>
        <c:axId val="19906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6864"/>
        <c:axId val="199086848"/>
      </c:scatterChart>
      <c:valAx>
        <c:axId val="199076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9086848"/>
        <c:crosses val="autoZero"/>
        <c:crossBetween val="midCat"/>
      </c:valAx>
      <c:valAx>
        <c:axId val="1990868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907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9104"/>
        <c:axId val="199441024"/>
      </c:scatterChart>
      <c:valAx>
        <c:axId val="199439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441024"/>
        <c:crosses val="autoZero"/>
        <c:crossBetween val="midCat"/>
        <c:dispUnits>
          <c:builtInUnit val="thousands"/>
          <c:dispUnitsLbl/>
        </c:dispUnits>
      </c:valAx>
      <c:valAx>
        <c:axId val="199441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43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0464"/>
        <c:axId val="199484928"/>
      </c:scatterChart>
      <c:valAx>
        <c:axId val="1994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84928"/>
        <c:crosses val="autoZero"/>
        <c:crossBetween val="midCat"/>
      </c:valAx>
      <c:valAx>
        <c:axId val="1994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7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36"/>
        <c:axId val="199580672"/>
      </c:scatterChart>
      <c:valAx>
        <c:axId val="199579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580672"/>
        <c:crosses val="autoZero"/>
        <c:crossBetween val="midCat"/>
      </c:valAx>
      <c:valAx>
        <c:axId val="1995806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957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8000"/>
        <c:axId val="199649920"/>
      </c:scatterChart>
      <c:valAx>
        <c:axId val="199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9920"/>
        <c:crosses val="autoZero"/>
        <c:crossBetween val="midCat"/>
      </c:valAx>
      <c:valAx>
        <c:axId val="1996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68"/>
        <c:axId val="199693440"/>
      </c:scatterChart>
      <c:valAx>
        <c:axId val="199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3440"/>
        <c:crosses val="autoZero"/>
        <c:crossBetween val="midCat"/>
      </c:valAx>
      <c:valAx>
        <c:axId val="199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Arduino1_Turnigy1_1a1ba!$L$4:$L$16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12">
                  <c:v>155</c:v>
                </c:pt>
              </c:numCache>
            </c:numRef>
          </c:xVal>
          <c:yVal>
            <c:numRef>
              <c:f>Arduino1_Turnigy1_1a1ba!$P$4:$P$16</c:f>
              <c:numCache>
                <c:formatCode>0</c:formatCode>
                <c:ptCount val="13"/>
                <c:pt idx="0">
                  <c:v>7614.2131979695441</c:v>
                </c:pt>
                <c:pt idx="1">
                  <c:v>9677.4193548387102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12">
                  <c:v>43988.269794721404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Arduino1_Turnigy1_1a1ba!$AJ$1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Arduino1_Turnigy1_1a1ba!$D$4:$D$16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12">
                  <c:v>155</c:v>
                </c:pt>
              </c:numCache>
            </c:numRef>
          </c:xVal>
          <c:yVal>
            <c:numRef>
              <c:f>Arduino1_Turnigy1_1a1ba!$AJ$4:$AJ$16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48736"/>
        <c:axId val="215350656"/>
      </c:scatterChart>
      <c:valAx>
        <c:axId val="215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0656"/>
        <c:crosses val="autoZero"/>
        <c:crossBetween val="midCat"/>
      </c:valAx>
      <c:valAx>
        <c:axId val="215350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1824"/>
        <c:axId val="19974374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3840"/>
        <c:axId val="199762304"/>
      </c:scatterChart>
      <c:valAx>
        <c:axId val="199741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3744"/>
        <c:crosses val="autoZero"/>
        <c:crossBetween val="midCat"/>
      </c:valAx>
      <c:valAx>
        <c:axId val="19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1824"/>
        <c:crosses val="autoZero"/>
        <c:crossBetween val="midCat"/>
      </c:valAx>
      <c:valAx>
        <c:axId val="19976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3840"/>
        <c:crosses val="max"/>
        <c:crossBetween val="midCat"/>
      </c:valAx>
      <c:valAx>
        <c:axId val="1997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5088"/>
        <c:axId val="199791360"/>
      </c:scatterChart>
      <c:valAx>
        <c:axId val="199785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791360"/>
        <c:crosses val="autoZero"/>
        <c:crossBetween val="midCat"/>
      </c:valAx>
      <c:valAx>
        <c:axId val="19979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8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432"/>
        <c:axId val="199892352"/>
      </c:scatterChart>
      <c:valAx>
        <c:axId val="1998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892352"/>
        <c:crosses val="autoZero"/>
        <c:crossBetween val="midCat"/>
      </c:valAx>
      <c:valAx>
        <c:axId val="199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9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4720"/>
        <c:axId val="199936256"/>
      </c:scatterChart>
      <c:valAx>
        <c:axId val="19993472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256"/>
        <c:crosses val="autoZero"/>
        <c:crossBetween val="midCat"/>
      </c:valAx>
      <c:valAx>
        <c:axId val="199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472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9408"/>
        <c:axId val="199971200"/>
      </c:scatterChart>
      <c:valAx>
        <c:axId val="1999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200"/>
        <c:crosses val="autoZero"/>
        <c:crossBetween val="midCat"/>
      </c:valAx>
      <c:valAx>
        <c:axId val="1999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2544"/>
        <c:axId val="200014080"/>
      </c:scatterChart>
      <c:valAx>
        <c:axId val="2000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080"/>
        <c:crosses val="autoZero"/>
        <c:crossBetween val="midCat"/>
      </c:valAx>
      <c:valAx>
        <c:axId val="200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0768"/>
        <c:axId val="200095232"/>
      </c:scatterChart>
      <c:valAx>
        <c:axId val="2000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5232"/>
        <c:crosses val="autoZero"/>
        <c:crossBetween val="midCat"/>
      </c:valAx>
      <c:valAx>
        <c:axId val="20009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Arduino1_Turnigy1_1a1ba!$P$4:$P$16</c:f>
              <c:numCache>
                <c:formatCode>0</c:formatCode>
                <c:ptCount val="13"/>
                <c:pt idx="0">
                  <c:v>7614.2131979695441</c:v>
                </c:pt>
                <c:pt idx="1">
                  <c:v>9677.4193548387102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12">
                  <c:v>43988.269794721404</c:v>
                </c:pt>
              </c:numCache>
            </c:numRef>
          </c:xVal>
          <c:yVal>
            <c:numRef>
              <c:f>Arduino1_Turnigy1_1a1ba!$Y$4:$Y$16</c:f>
              <c:numCache>
                <c:formatCode>0.00000</c:formatCode>
                <c:ptCount val="13"/>
                <c:pt idx="0">
                  <c:v>0</c:v>
                </c:pt>
                <c:pt idx="1">
                  <c:v>6.1610363702618159E-4</c:v>
                </c:pt>
                <c:pt idx="2">
                  <c:v>3.1207096646162949E-3</c:v>
                </c:pt>
                <c:pt idx="3">
                  <c:v>5.0567114007972706E-3</c:v>
                </c:pt>
                <c:pt idx="4">
                  <c:v>9.4106486422868042E-3</c:v>
                </c:pt>
                <c:pt idx="5">
                  <c:v>1.0770368038348075E-2</c:v>
                </c:pt>
                <c:pt idx="6">
                  <c:v>1.457200402359189E-2</c:v>
                </c:pt>
                <c:pt idx="7">
                  <c:v>2.0489425252982894E-2</c:v>
                </c:pt>
                <c:pt idx="12">
                  <c:v>2.7173982409470245E-2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Arduino1_Turnigy1_1a1ba!$P$58:$P$75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Arduino1_Turnigy1_1a1ba!$Y$58:$Y$75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7424"/>
        <c:axId val="215448960"/>
      </c:scatterChart>
      <c:valAx>
        <c:axId val="215447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5448960"/>
        <c:crosses val="autoZero"/>
        <c:crossBetween val="midCat"/>
      </c:valAx>
      <c:valAx>
        <c:axId val="2154489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544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Arduino1_Turnigy1_1a1ba!$AO$6:$AO$16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Arduino1_Turnigy1_1a1ba!$AV$6:$AV$16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Arduino1_Turnigy1_1a1ba!$AS$1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Arduino1_Turnigy1_1a1ba!$AJ$6:$AJ$16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Arduino1_Turnigy1_1a1ba!$AS$6:$AS$16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Arduino1_Turnigy1_1a1ba!#REF!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Arduino1_Turnigy1_1a1ba!$AN$18:$AN$20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Arduino1_Turnigy1_1a1ba!$AR$18:$AR$20</c:f>
              <c:numCache>
                <c:formatCode>0.000</c:formatCode>
                <c:ptCount val="3"/>
                <c:pt idx="0">
                  <c:v>6.4000000000000001E-2</c:v>
                </c:pt>
                <c:pt idx="1">
                  <c:v>5.6000000000000001E-2</c:v>
                </c:pt>
                <c:pt idx="2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83904"/>
        <c:axId val="215485824"/>
      </c:scatterChart>
      <c:valAx>
        <c:axId val="21548390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485824"/>
        <c:crosses val="autoZero"/>
        <c:crossBetween val="midCat"/>
      </c:valAx>
      <c:valAx>
        <c:axId val="21548582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48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Arduino1_Turnigy1_1a1ba!$AP$1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Arduino1_Turnigy1_1a1ba!$AJ$2:$AJ$16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</c:numCache>
            </c:numRef>
          </c:xVal>
          <c:yVal>
            <c:numRef>
              <c:f>Arduino1_Turnigy1_1a1ba!$AP$2:$AP$16</c:f>
              <c:numCache>
                <c:formatCode>0.00000</c:formatCode>
                <c:ptCount val="1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Arduino1_Turnigy1_1a1ba!$AT$1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Arduino1_Turnigy1_1a1ba!$AO$6:$AO$16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Arduino1_Turnigy1_1a1ba!$AT$6:$AT$16</c:f>
              <c:numCache>
                <c:formatCode>0.00000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44576"/>
        <c:axId val="215546112"/>
      </c:scatterChart>
      <c:valAx>
        <c:axId val="21554457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15546112"/>
        <c:crosses val="autoZero"/>
        <c:crossBetween val="midCat"/>
      </c:valAx>
      <c:valAx>
        <c:axId val="21554611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554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Arduino1_Turnigy1_1a1ba!$W$57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Arduino1_Turnigy1_1a1ba!$P$58:$P$75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Arduino1_Turnigy1_1a1ba!$W$58:$W$75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Arduino1_Turnigy1_1a1ba!$W$78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Arduino1_Turnigy1_1a1ba!$P$79:$P$93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Arduino1_Turnigy1_1a1ba!$W$79:$W$93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7744"/>
        <c:axId val="215590400"/>
      </c:scatterChart>
      <c:valAx>
        <c:axId val="2155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0400"/>
        <c:crosses val="autoZero"/>
        <c:crossBetween val="midCat"/>
      </c:valAx>
      <c:valAx>
        <c:axId val="2155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Arduino1_Turnigy1_1a1ba!$Y$57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Arduino1_Turnigy1_1a1ba!$P$58:$P$75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Arduino1_Turnigy1_1a1ba!$Y$58:$Y$75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Arduino1_Turnigy1_1a1ba!$Y$78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Arduino1_Turnigy1_1a1ba!$P$79:$P$93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Arduino1_Turnigy1_1a1ba!$Y$79:$Y$93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Arduino1_Turnigy1_1a1ba!$Y$1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Arduino1_Turnigy1_1a1ba!$P$4:$P$16</c:f>
              <c:numCache>
                <c:formatCode>0</c:formatCode>
                <c:ptCount val="13"/>
                <c:pt idx="0">
                  <c:v>7614.2131979695441</c:v>
                </c:pt>
                <c:pt idx="1">
                  <c:v>9677.4193548387102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12">
                  <c:v>43988.269794721404</c:v>
                </c:pt>
              </c:numCache>
            </c:numRef>
          </c:xVal>
          <c:yVal>
            <c:numRef>
              <c:f>Arduino1_Turnigy1_1a1ba!$Y$4:$Y$16</c:f>
              <c:numCache>
                <c:formatCode>0.00000</c:formatCode>
                <c:ptCount val="13"/>
                <c:pt idx="0">
                  <c:v>0</c:v>
                </c:pt>
                <c:pt idx="1">
                  <c:v>6.1610363702618159E-4</c:v>
                </c:pt>
                <c:pt idx="2">
                  <c:v>3.1207096646162949E-3</c:v>
                </c:pt>
                <c:pt idx="3">
                  <c:v>5.0567114007972706E-3</c:v>
                </c:pt>
                <c:pt idx="4">
                  <c:v>9.4106486422868042E-3</c:v>
                </c:pt>
                <c:pt idx="5">
                  <c:v>1.0770368038348075E-2</c:v>
                </c:pt>
                <c:pt idx="6">
                  <c:v>1.457200402359189E-2</c:v>
                </c:pt>
                <c:pt idx="7">
                  <c:v>2.0489425252982894E-2</c:v>
                </c:pt>
                <c:pt idx="12">
                  <c:v>2.7173982409470245E-2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04224"/>
        <c:axId val="215639168"/>
      </c:scatterChart>
      <c:valAx>
        <c:axId val="2156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9168"/>
        <c:crosses val="autoZero"/>
        <c:crossBetween val="midCat"/>
      </c:valAx>
      <c:valAx>
        <c:axId val="2156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15239</xdr:rowOff>
    </xdr:from>
    <xdr:to>
      <xdr:col>6</xdr:col>
      <xdr:colOff>423333</xdr:colOff>
      <xdr:row>55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18</xdr:row>
      <xdr:rowOff>68580</xdr:rowOff>
    </xdr:from>
    <xdr:to>
      <xdr:col>22</xdr:col>
      <xdr:colOff>381000</xdr:colOff>
      <xdr:row>31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33</xdr:row>
      <xdr:rowOff>172091</xdr:rowOff>
    </xdr:from>
    <xdr:to>
      <xdr:col>12</xdr:col>
      <xdr:colOff>101600</xdr:colOff>
      <xdr:row>46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33</xdr:row>
      <xdr:rowOff>170186</xdr:rowOff>
    </xdr:from>
    <xdr:to>
      <xdr:col>19</xdr:col>
      <xdr:colOff>306493</xdr:colOff>
      <xdr:row>49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18</xdr:row>
      <xdr:rowOff>93133</xdr:rowOff>
    </xdr:from>
    <xdr:to>
      <xdr:col>14</xdr:col>
      <xdr:colOff>228599</xdr:colOff>
      <xdr:row>31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23</xdr:row>
      <xdr:rowOff>120656</xdr:rowOff>
    </xdr:from>
    <xdr:to>
      <xdr:col>40</xdr:col>
      <xdr:colOff>53824</xdr:colOff>
      <xdr:row>37</xdr:row>
      <xdr:rowOff>127002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177800</xdr:colOff>
      <xdr:row>22</xdr:row>
      <xdr:rowOff>169333</xdr:rowOff>
    </xdr:from>
    <xdr:to>
      <xdr:col>45</xdr:col>
      <xdr:colOff>110067</xdr:colOff>
      <xdr:row>36</xdr:row>
      <xdr:rowOff>160867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395816</xdr:colOff>
      <xdr:row>56</xdr:row>
      <xdr:rowOff>28786</xdr:rowOff>
    </xdr:from>
    <xdr:to>
      <xdr:col>33</xdr:col>
      <xdr:colOff>39369</xdr:colOff>
      <xdr:row>71</xdr:row>
      <xdr:rowOff>29633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180802</xdr:colOff>
      <xdr:row>70</xdr:row>
      <xdr:rowOff>86590</xdr:rowOff>
    </xdr:from>
    <xdr:to>
      <xdr:col>34</xdr:col>
      <xdr:colOff>142702</xdr:colOff>
      <xdr:row>85</xdr:row>
      <xdr:rowOff>132310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110064</xdr:colOff>
      <xdr:row>38</xdr:row>
      <xdr:rowOff>67732</xdr:rowOff>
    </xdr:from>
    <xdr:to>
      <xdr:col>51</xdr:col>
      <xdr:colOff>8466</xdr:colOff>
      <xdr:row>48</xdr:row>
      <xdr:rowOff>93133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493185</xdr:colOff>
      <xdr:row>17</xdr:row>
      <xdr:rowOff>0</xdr:rowOff>
    </xdr:from>
    <xdr:to>
      <xdr:col>53</xdr:col>
      <xdr:colOff>357717</xdr:colOff>
      <xdr:row>24</xdr:row>
      <xdr:rowOff>124881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158114</xdr:rowOff>
    </xdr:from>
    <xdr:to>
      <xdr:col>6</xdr:col>
      <xdr:colOff>10583</xdr:colOff>
      <xdr:row>49</xdr:row>
      <xdr:rowOff>71966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33</xdr:row>
      <xdr:rowOff>68580</xdr:rowOff>
    </xdr:from>
    <xdr:to>
      <xdr:col>21</xdr:col>
      <xdr:colOff>381000</xdr:colOff>
      <xdr:row>46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236433</xdr:colOff>
      <xdr:row>40</xdr:row>
      <xdr:rowOff>92716</xdr:rowOff>
    </xdr:from>
    <xdr:to>
      <xdr:col>11</xdr:col>
      <xdr:colOff>6350</xdr:colOff>
      <xdr:row>52</xdr:row>
      <xdr:rowOff>31749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148378</xdr:colOff>
      <xdr:row>45</xdr:row>
      <xdr:rowOff>249561</xdr:rowOff>
    </xdr:from>
    <xdr:to>
      <xdr:col>18</xdr:col>
      <xdr:colOff>4868</xdr:colOff>
      <xdr:row>61</xdr:row>
      <xdr:rowOff>97790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259927</xdr:colOff>
      <xdr:row>24</xdr:row>
      <xdr:rowOff>93133</xdr:rowOff>
    </xdr:from>
    <xdr:to>
      <xdr:col>13</xdr:col>
      <xdr:colOff>466724</xdr:colOff>
      <xdr:row>39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130175</xdr:colOff>
      <xdr:row>22</xdr:row>
      <xdr:rowOff>89958</xdr:rowOff>
    </xdr:from>
    <xdr:to>
      <xdr:col>44</xdr:col>
      <xdr:colOff>62442</xdr:colOff>
      <xdr:row>38</xdr:row>
      <xdr:rowOff>144992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32</xdr:row>
      <xdr:rowOff>120656</xdr:rowOff>
    </xdr:from>
    <xdr:to>
      <xdr:col>39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177800</xdr:colOff>
      <xdr:row>31</xdr:row>
      <xdr:rowOff>169333</xdr:rowOff>
    </xdr:from>
    <xdr:to>
      <xdr:col>44</xdr:col>
      <xdr:colOff>110067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110064</xdr:colOff>
      <xdr:row>47</xdr:row>
      <xdr:rowOff>67732</xdr:rowOff>
    </xdr:from>
    <xdr:to>
      <xdr:col>50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493185</xdr:colOff>
      <xdr:row>18</xdr:row>
      <xdr:rowOff>61382</xdr:rowOff>
    </xdr:from>
    <xdr:to>
      <xdr:col>52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5"/>
  <sheetViews>
    <sheetView topLeftCell="X1" zoomScaleNormal="100" workbookViewId="0">
      <pane ySplit="1" topLeftCell="A17" activePane="bottomLeft" state="frozen"/>
      <selection pane="bottomLeft" activeCell="AF21" sqref="AF21"/>
    </sheetView>
  </sheetViews>
  <sheetFormatPr defaultRowHeight="15" x14ac:dyDescent="0.25"/>
  <cols>
    <col min="1" max="1" width="19" bestFit="1" customWidth="1"/>
    <col min="3" max="3" width="7.140625" bestFit="1" customWidth="1"/>
    <col min="4" max="4" width="9.14062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6.7109375" style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10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6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1:51" x14ac:dyDescent="0.25">
      <c r="A2" t="s">
        <v>236</v>
      </c>
      <c r="B2" t="s">
        <v>201</v>
      </c>
      <c r="C2" s="113">
        <f t="shared" ref="C2:C16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6" si="2">D2</f>
        <v>1E-3</v>
      </c>
      <c r="M2" s="1">
        <f t="shared" ref="M2:M16" si="3">LN(L2)</f>
        <v>-6.9077552789821368</v>
      </c>
      <c r="N2" s="3"/>
      <c r="O2" s="4"/>
      <c r="P2" s="4">
        <v>0</v>
      </c>
      <c r="Q2" s="4">
        <v>0</v>
      </c>
      <c r="R2" s="3">
        <f>P2/$Y$31*100</f>
        <v>0</v>
      </c>
      <c r="S2" s="3">
        <f>Q2/$Y$31*100</f>
        <v>0</v>
      </c>
      <c r="T2" s="3">
        <f t="shared" ref="T2:T16" si="4">L2</f>
        <v>1E-3</v>
      </c>
      <c r="U2" s="4">
        <f t="shared" si="0"/>
        <v>0</v>
      </c>
      <c r="V2" s="4"/>
      <c r="AD2" s="4"/>
      <c r="AE2" s="4"/>
      <c r="AF2" s="4"/>
      <c r="AH2" s="95" t="e">
        <f>D2/$AF$18*#REF!</f>
        <v>#REF!</v>
      </c>
      <c r="AI2" s="95" t="e">
        <f>AH2/#REF!*$AF$18</f>
        <v>#REF!</v>
      </c>
      <c r="AJ2" s="96" t="e">
        <f>MAX(($AF$21+$AG$21*LN($AI2)),0)</f>
        <v>#VALUE!</v>
      </c>
      <c r="AK2" s="96" t="e">
        <f>MAX(($AF$21+$AG$21*LN($AI2))/#REF!,0)</f>
        <v>#VALUE!</v>
      </c>
      <c r="AL2" s="96" t="e">
        <f>($AF$22+$AG$22*AK2*#REF!)/#REF!</f>
        <v>#VALUE!</v>
      </c>
      <c r="AM2" s="96" t="e">
        <f>($AF$23+$AG$23*AL2*#REF!)/#REF!</f>
        <v>#VALUE!</v>
      </c>
      <c r="AO2" t="e">
        <f>MAX($AF$22+$AG$22*AJ2, 0)</f>
        <v>#VALUE!</v>
      </c>
      <c r="AP2" s="127"/>
      <c r="AQ2" s="127"/>
      <c r="AT2" s="127"/>
      <c r="AU2" s="127"/>
    </row>
    <row r="3" spans="1:51" x14ac:dyDescent="0.25">
      <c r="A3" t="s">
        <v>222</v>
      </c>
      <c r="B3" t="s">
        <v>201</v>
      </c>
      <c r="C3" s="113" t="e">
        <f t="shared" si="1"/>
        <v>#VALUE!</v>
      </c>
      <c r="D3" s="111" t="e">
        <f>EXP((0-$AF$21)/$AG$21)</f>
        <v>#VALUE!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16" si="5">F3*G3</f>
        <v>4.4500400000000004</v>
      </c>
      <c r="L3" s="1" t="e">
        <f>D3</f>
        <v>#VALUE!</v>
      </c>
      <c r="M3" s="1" t="e">
        <f t="shared" si="3"/>
        <v>#VALUE!</v>
      </c>
      <c r="N3" s="3">
        <f t="shared" ref="N3:O16" si="6">1/H3/0.000001</f>
        <v>9.999999999999999E-27</v>
      </c>
      <c r="O3" s="3">
        <f t="shared" si="6"/>
        <v>9.999999999999999E-27</v>
      </c>
      <c r="P3" s="3">
        <f>N3*60/$Y$20</f>
        <v>5.9999999999999995E-25</v>
      </c>
      <c r="Q3" s="4">
        <v>0</v>
      </c>
      <c r="R3" s="3">
        <f>P3/$Y$31*100</f>
        <v>1.3020833333333332E-27</v>
      </c>
      <c r="S3" s="3">
        <f>Q3/$Y$31*100</f>
        <v>0</v>
      </c>
      <c r="T3" s="3" t="e">
        <f t="shared" si="4"/>
        <v>#VALUE!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 t="e">
        <f>$AF$35*(P3/#REF!/100)^3</f>
        <v>#REF!</v>
      </c>
      <c r="AA3" s="127" t="e">
        <f>SQRT(Z3^3/4/$Y$33/$Y$34)</f>
        <v>#REF!</v>
      </c>
      <c r="AC3" t="e">
        <f>SQRT(Z3/$AF$27/$AF$28)</f>
        <v>#REF!</v>
      </c>
      <c r="AD3" s="4" t="e">
        <f t="shared" ref="AD3:AD16" si="7">AC3*1/1.6/1000*3600</f>
        <v>#REF!</v>
      </c>
      <c r="AE3" s="4">
        <f>Q3/60*PI()*$AB$34/1000</f>
        <v>0</v>
      </c>
      <c r="AF3" s="158" t="e">
        <f>AE3/AC3</f>
        <v>#REF!</v>
      </c>
      <c r="AH3" s="95" t="e">
        <f>D3/$AF$18*#REF!</f>
        <v>#VALUE!</v>
      </c>
      <c r="AI3" s="95" t="e">
        <f>AH3/#REF!*$AF$18</f>
        <v>#VALUE!</v>
      </c>
      <c r="AJ3" s="96" t="e">
        <f>MAX(($AF$21+$AG$21*LN($AI3)),0)</f>
        <v>#VALUE!</v>
      </c>
      <c r="AK3" s="96" t="e">
        <f>MAX(($AF$21+$AG$21*LN(AI3))/#REF!,0)</f>
        <v>#VALUE!</v>
      </c>
      <c r="AL3" s="96" t="e">
        <f>($AF$22+$AG$22*AK3*#REF!)/#REF!</f>
        <v>#VALUE!</v>
      </c>
      <c r="AM3" s="96" t="e">
        <f>($AF$23+$AG$23*AL3*#REF!)/#REF!</f>
        <v>#VALUE!</v>
      </c>
      <c r="AO3" t="e">
        <f>MAX($AF$22+$AG$22*AJ3, 0)</f>
        <v>#VALUE!</v>
      </c>
      <c r="AP3" s="127"/>
      <c r="AQ3" s="127"/>
      <c r="AR3" s="127"/>
      <c r="AT3" s="127"/>
      <c r="AU3" s="127"/>
    </row>
    <row r="4" spans="1:51" ht="15" customHeight="1" x14ac:dyDescent="0.25">
      <c r="A4" t="s">
        <v>223</v>
      </c>
      <c r="B4" t="s">
        <v>201</v>
      </c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5"/>
        <v>7.6664000000000003</v>
      </c>
      <c r="L4" s="1">
        <f>D4</f>
        <v>9</v>
      </c>
      <c r="M4" s="1">
        <f t="shared" si="3"/>
        <v>2.1972245773362196</v>
      </c>
      <c r="N4" s="3">
        <f t="shared" si="6"/>
        <v>126.9035532994924</v>
      </c>
      <c r="O4" s="3">
        <f t="shared" si="6"/>
        <v>9.999999999999999E-27</v>
      </c>
      <c r="P4" s="3">
        <f>N4*60/$Y$20</f>
        <v>7614.2131979695441</v>
      </c>
      <c r="Q4" s="3">
        <f>O4*60/$Y$20</f>
        <v>5.9999999999999995E-25</v>
      </c>
      <c r="R4" s="3">
        <f>P4/$Y$31*100</f>
        <v>16.52390016920474</v>
      </c>
      <c r="S4" s="3">
        <f>Q4/$Y$31*100</f>
        <v>1.3020833333333332E-27</v>
      </c>
      <c r="T4" s="3">
        <f>L4</f>
        <v>9</v>
      </c>
      <c r="U4" s="4">
        <f>K4</f>
        <v>7.6664000000000003</v>
      </c>
      <c r="V4">
        <f t="shared" ref="V4:V16" si="8">($U4-$U$3)</f>
        <v>3.2163599999999999</v>
      </c>
      <c r="W4">
        <f t="shared" ref="W4:W16" si="9">($U4-$U$3)*0.001341022</f>
        <v>4.3132095199200004E-3</v>
      </c>
      <c r="X4" s="150">
        <f>$W4/$P4*5252</f>
        <v>2.9750909003520725E-3</v>
      </c>
      <c r="Y4" s="150">
        <f>X4-$X$4</f>
        <v>0</v>
      </c>
      <c r="Z4" s="95" t="e">
        <f>$AF$35*(P4/#REF!/100)^3</f>
        <v>#REF!</v>
      </c>
      <c r="AA4" s="127" t="e">
        <f>SQRT(Z4^3/4/$Y$33/$Y$34)</f>
        <v>#REF!</v>
      </c>
      <c r="AB4" s="97" t="e">
        <f>AA4/V4*100</f>
        <v>#REF!</v>
      </c>
      <c r="AC4" t="e">
        <f>SQRT(Z4/$AF$27/$AF$28)</f>
        <v>#REF!</v>
      </c>
      <c r="AD4" s="4" t="e">
        <f t="shared" si="7"/>
        <v>#REF!</v>
      </c>
      <c r="AE4" s="4">
        <f>Q4/60*PI()*$AB$34/1000</f>
        <v>1.7278759594743859E-27</v>
      </c>
      <c r="AF4" s="158" t="e">
        <f t="shared" ref="AF4:AF16" si="10">AE4/AC4</f>
        <v>#REF!</v>
      </c>
      <c r="AH4" s="95" t="e">
        <f>D4/$AF$18*#REF!</f>
        <v>#REF!</v>
      </c>
      <c r="AI4" s="95" t="e">
        <f>AH4/#REF!*$AF$18</f>
        <v>#REF!</v>
      </c>
      <c r="AJ4" s="96" t="e">
        <f>MAX(($AF$21+$AG$21*LN($AI4)),0)</f>
        <v>#VALUE!</v>
      </c>
      <c r="AK4" s="96" t="e">
        <f>MAX(($AF$21+$AG$21*LN(AI4))/#REF!,0)</f>
        <v>#VALUE!</v>
      </c>
      <c r="AL4" s="96" t="e">
        <f>($AF$22+$AG$22*AK4*#REF!)/#REF!</f>
        <v>#VALUE!</v>
      </c>
      <c r="AM4" s="96" t="e">
        <f>($AF$23+$AG$23*AL4*#REF!)/#REF!</f>
        <v>#VALUE!</v>
      </c>
      <c r="AO4" t="e">
        <f>MAX($AF$22+$AG$22*AJ4, 0)</f>
        <v>#VALUE!</v>
      </c>
      <c r="AP4" s="127" t="e">
        <f>MAX($AF$24+$AJ4*($AG$24+$AJ4*$AH$24), 0)</f>
        <v>#VALUE!</v>
      </c>
      <c r="AQ4" s="127" t="e">
        <f>AJ4*AP4/5252</f>
        <v>#VALUE!</v>
      </c>
      <c r="AR4" s="146" t="e">
        <f>MAX($AG$24+$AH$24*2*AJ4,1E-32)</f>
        <v>#VALUE!</v>
      </c>
      <c r="AS4" s="95"/>
      <c r="AT4" s="127"/>
      <c r="AV4" s="95"/>
      <c r="AX4" s="128">
        <f>$Y$24/$Y$23</f>
        <v>1.0526315789473683E-4</v>
      </c>
      <c r="AY4" s="96"/>
    </row>
    <row r="5" spans="1:51" ht="15" customHeight="1" x14ac:dyDescent="0.25">
      <c r="A5" t="s">
        <v>224</v>
      </c>
      <c r="B5" t="s">
        <v>201</v>
      </c>
      <c r="C5" s="113">
        <f t="shared" si="1"/>
        <v>1.0666666666666667</v>
      </c>
      <c r="D5" s="73">
        <v>12</v>
      </c>
      <c r="E5" s="109"/>
      <c r="F5" s="73">
        <v>13.68</v>
      </c>
      <c r="G5" s="106">
        <v>0.68600000000000005</v>
      </c>
      <c r="H5" s="73">
        <v>6200</v>
      </c>
      <c r="I5" s="105">
        <v>1.0000000000000001E+32</v>
      </c>
      <c r="J5" s="78">
        <v>0</v>
      </c>
      <c r="K5" s="2">
        <f t="shared" si="5"/>
        <v>9.3844799999999999</v>
      </c>
      <c r="L5" s="1">
        <f>D5</f>
        <v>12</v>
      </c>
      <c r="M5" s="1">
        <f t="shared" si="3"/>
        <v>2.4849066497880004</v>
      </c>
      <c r="N5" s="3">
        <f t="shared" si="6"/>
        <v>161.29032258064518</v>
      </c>
      <c r="O5" s="3">
        <f t="shared" si="6"/>
        <v>9.999999999999999E-27</v>
      </c>
      <c r="P5" s="3">
        <f>N5*60/$Y$20</f>
        <v>9677.4193548387102</v>
      </c>
      <c r="Q5" s="3">
        <f>O5*60/$Y$20</f>
        <v>5.9999999999999995E-25</v>
      </c>
      <c r="R5" s="3">
        <f>P5/$Y$31*100</f>
        <v>21.001344086021508</v>
      </c>
      <c r="S5" s="3">
        <f>Q5/$Y$31*100</f>
        <v>1.3020833333333332E-27</v>
      </c>
      <c r="T5" s="3">
        <f>L5</f>
        <v>12</v>
      </c>
      <c r="U5" s="158">
        <f>K5</f>
        <v>9.3844799999999999</v>
      </c>
      <c r="V5" s="96">
        <f t="shared" si="8"/>
        <v>4.9344399999999995</v>
      </c>
      <c r="W5">
        <f t="shared" si="9"/>
        <v>6.6171925976800001E-3</v>
      </c>
      <c r="X5" s="150">
        <f t="shared" ref="X5:X16" si="11">$W5/$P5*5252</f>
        <v>3.5911945373782541E-3</v>
      </c>
      <c r="Y5" s="150">
        <f t="shared" ref="Y5:Y16" si="12">X5-$X$4</f>
        <v>6.1610363702618159E-4</v>
      </c>
      <c r="Z5" s="95" t="e">
        <f>$AF$35*(P5/#REF!/100)^3</f>
        <v>#REF!</v>
      </c>
      <c r="AA5" s="147" t="e">
        <f>SQRT(Z5^3/4/$Y$33/$Y$34)</f>
        <v>#REF!</v>
      </c>
      <c r="AB5" s="97" t="e">
        <f t="shared" ref="AB5:AB16" si="13">AA5/V5*100</f>
        <v>#REF!</v>
      </c>
      <c r="AC5" t="e">
        <f>SQRT(Z5/$AF$27/$AF$28)</f>
        <v>#REF!</v>
      </c>
      <c r="AD5" s="175" t="e">
        <f t="shared" si="7"/>
        <v>#REF!</v>
      </c>
      <c r="AE5" s="175">
        <f>Q5/60*PI()*$AB$34/1000</f>
        <v>1.7278759594743859E-27</v>
      </c>
      <c r="AF5" s="158" t="e">
        <f t="shared" si="10"/>
        <v>#REF!</v>
      </c>
      <c r="AH5" s="95" t="e">
        <f>D5/$AF$18*#REF!</f>
        <v>#REF!</v>
      </c>
      <c r="AI5" s="95" t="e">
        <f>AH5/#REF!*$AF$18</f>
        <v>#REF!</v>
      </c>
      <c r="AJ5" s="96" t="e">
        <f>MAX(($AF$21+$AG$21*LN($AI5)),0)</f>
        <v>#VALUE!</v>
      </c>
      <c r="AK5" s="96" t="e">
        <f>MAX(($AF$21+$AG$21*LN(AI5))/#REF!,0)</f>
        <v>#VALUE!</v>
      </c>
      <c r="AL5" s="96" t="e">
        <f>($AF$22+$AG$22*AK5*#REF!)/#REF!</f>
        <v>#VALUE!</v>
      </c>
      <c r="AM5" s="96" t="e">
        <f>($AF$23+$AG$23*AL5*#REF!)/#REF!</f>
        <v>#VALUE!</v>
      </c>
      <c r="AO5" t="e">
        <f>MAX($AF$22+$AG$22*AJ5, 0)</f>
        <v>#VALUE!</v>
      </c>
      <c r="AP5" s="127" t="e">
        <f>MAX($AF$24+$AJ5*($AG$24+$AJ5*$AH$24), 0)</f>
        <v>#VALUE!</v>
      </c>
      <c r="AQ5" s="127" t="e">
        <f t="shared" ref="AQ5:AQ16" si="14">AJ5*AP5/5252</f>
        <v>#VALUE!</v>
      </c>
      <c r="AR5" s="146" t="e">
        <f>MAX($AG$24+$AH$24*2*AJ5,1E-32)</f>
        <v>#VALUE!</v>
      </c>
      <c r="AS5" s="95" t="e">
        <f>$Y$27/AR5</f>
        <v>#REF!</v>
      </c>
      <c r="AT5" s="127"/>
      <c r="AV5" s="95"/>
      <c r="AX5" s="127">
        <f>$Y$24/$Y$23</f>
        <v>1.0526315789473683E-4</v>
      </c>
      <c r="AY5" s="96" t="e">
        <f>$Y$26/$Y$23/$Y$21/AR5</f>
        <v>#VALUE!</v>
      </c>
    </row>
    <row r="6" spans="1:51" ht="15" customHeight="1" x14ac:dyDescent="0.25">
      <c r="A6" t="s">
        <v>225</v>
      </c>
      <c r="B6" t="s">
        <v>235</v>
      </c>
      <c r="C6" s="113">
        <f t="shared" si="1"/>
        <v>1.1388888888888888</v>
      </c>
      <c r="D6" s="140">
        <v>25</v>
      </c>
      <c r="E6" s="141">
        <v>0.61099999999999999</v>
      </c>
      <c r="F6" s="73">
        <v>13.77</v>
      </c>
      <c r="G6" s="106">
        <v>1.48</v>
      </c>
      <c r="H6" s="73">
        <v>3260</v>
      </c>
      <c r="I6" s="140">
        <v>6740</v>
      </c>
      <c r="J6" s="78">
        <v>4.08</v>
      </c>
      <c r="K6" s="2">
        <f t="shared" si="5"/>
        <v>20.3796</v>
      </c>
      <c r="L6" s="1">
        <f t="shared" si="2"/>
        <v>25</v>
      </c>
      <c r="M6" s="1">
        <f t="shared" si="3"/>
        <v>3.2188758248682006</v>
      </c>
      <c r="N6" s="3">
        <f t="shared" si="6"/>
        <v>306.74846625766872</v>
      </c>
      <c r="O6" s="3">
        <f t="shared" si="6"/>
        <v>148.36795252225519</v>
      </c>
      <c r="P6" s="3">
        <f>N6*60/$Y$20</f>
        <v>18404.907975460123</v>
      </c>
      <c r="Q6" s="3">
        <f>O6*60/$Y$20</f>
        <v>8902.077151335312</v>
      </c>
      <c r="R6" s="3">
        <f>P6/$Y$31*100</f>
        <v>39.941206543967276</v>
      </c>
      <c r="S6" s="3">
        <f>Q6/$Y$31*100</f>
        <v>19.31874381800198</v>
      </c>
      <c r="T6" s="3">
        <f t="shared" si="4"/>
        <v>25</v>
      </c>
      <c r="U6" s="158">
        <f t="shared" si="0"/>
        <v>20.3796</v>
      </c>
      <c r="V6" s="96">
        <f t="shared" si="8"/>
        <v>15.929559999999999</v>
      </c>
      <c r="W6">
        <f t="shared" si="9"/>
        <v>2.1361890410319998E-2</v>
      </c>
      <c r="X6" s="150">
        <f t="shared" si="11"/>
        <v>6.0958005649683674E-3</v>
      </c>
      <c r="Y6" s="150">
        <f t="shared" si="12"/>
        <v>3.1207096646162949E-3</v>
      </c>
      <c r="Z6" s="95" t="e">
        <f>$AF$35*(P6/#REF!/100)^3</f>
        <v>#REF!</v>
      </c>
      <c r="AA6" s="147" t="e">
        <f>SQRT(Z6^3/4/$Y$33/$Y$34)</f>
        <v>#REF!</v>
      </c>
      <c r="AB6" s="97" t="e">
        <f t="shared" si="13"/>
        <v>#REF!</v>
      </c>
      <c r="AC6" t="e">
        <f>SQRT(Z6/$AF$27/$AF$28)</f>
        <v>#REF!</v>
      </c>
      <c r="AD6" s="175" t="e">
        <f t="shared" si="7"/>
        <v>#REF!</v>
      </c>
      <c r="AE6" s="175">
        <f>Q6/60*PI()*$AB$34/1000</f>
        <v>25.636141831964185</v>
      </c>
      <c r="AF6" s="158" t="e">
        <f t="shared" si="10"/>
        <v>#REF!</v>
      </c>
      <c r="AG6" s="151"/>
      <c r="AH6" s="95" t="e">
        <f>D6/$AF$18*#REF!</f>
        <v>#REF!</v>
      </c>
      <c r="AI6" s="95" t="e">
        <f>AH6/#REF!*$AF$18</f>
        <v>#REF!</v>
      </c>
      <c r="AJ6" s="96" t="e">
        <f>MAX(($AF$21+$AG$21*LN($AI6)),0)</f>
        <v>#VALUE!</v>
      </c>
      <c r="AK6" s="96" t="e">
        <f>MAX(($AF$21+$AG$21*LN(AI6))/#REF!,0)</f>
        <v>#VALUE!</v>
      </c>
      <c r="AL6" s="96" t="e">
        <f>($AF$22+$AG$22*AK6*#REF!)/#REF!</f>
        <v>#VALUE!</v>
      </c>
      <c r="AM6" s="96" t="e">
        <f>($AF$23+$AG$23*AL6*#REF!)/#REF!</f>
        <v>#VALUE!</v>
      </c>
      <c r="AN6" s="97" t="e">
        <f>AO6/#REF!</f>
        <v>#VALUE!</v>
      </c>
      <c r="AO6" s="174" t="e">
        <f>MAX($AF$22+$AG$22*AJ6, 0)</f>
        <v>#VALUE!</v>
      </c>
      <c r="AP6" s="127" t="e">
        <f>MAX($AF$24+$AJ6*($AG$24+$AJ6*$AH$24), 0)</f>
        <v>#VALUE!</v>
      </c>
      <c r="AQ6" s="127" t="e">
        <f t="shared" si="14"/>
        <v>#VALUE!</v>
      </c>
      <c r="AR6" s="146" t="e">
        <f>MAX($AG$24+$AH$24*2*AJ6,1E-32)</f>
        <v>#VALUE!</v>
      </c>
      <c r="AS6" s="95" t="e">
        <f>$Y$27/AR6</f>
        <v>#REF!</v>
      </c>
      <c r="AT6" s="127"/>
      <c r="AU6" s="153" t="e">
        <f>$AF$29*$AF$28*$AF$33^2*$AF$27*PI()/240*($AC6-$AF$34)/$AF$30*$AF$31</f>
        <v>#REF!</v>
      </c>
      <c r="AV6" s="151" t="e">
        <f>-$AF$32/AU6</f>
        <v>#REF!</v>
      </c>
      <c r="AX6" s="127">
        <f>$Y$24/$Y$23</f>
        <v>1.0526315789473683E-4</v>
      </c>
      <c r="AY6" s="96" t="e">
        <f>$Y$26/$Y$23/$Y$21/AR6</f>
        <v>#VALUE!</v>
      </c>
    </row>
    <row r="7" spans="1:51" ht="13.9" customHeight="1" x14ac:dyDescent="0.25">
      <c r="A7" t="s">
        <v>226</v>
      </c>
      <c r="B7" s="176">
        <v>16</v>
      </c>
      <c r="C7" s="113">
        <f t="shared" si="1"/>
        <v>1.1944444444444444</v>
      </c>
      <c r="D7" s="73">
        <v>35</v>
      </c>
      <c r="E7" s="73">
        <v>0.98599999999999999</v>
      </c>
      <c r="F7" s="73">
        <v>13.69</v>
      </c>
      <c r="G7" s="73">
        <v>2.19</v>
      </c>
      <c r="H7" s="73">
        <v>2680</v>
      </c>
      <c r="I7" s="73">
        <v>4532</v>
      </c>
      <c r="J7" s="78">
        <v>6.04</v>
      </c>
      <c r="K7" s="2">
        <f t="shared" si="5"/>
        <v>29.981099999999998</v>
      </c>
      <c r="L7" s="1">
        <f t="shared" si="2"/>
        <v>35</v>
      </c>
      <c r="M7" s="1">
        <f t="shared" si="3"/>
        <v>3.5553480614894135</v>
      </c>
      <c r="N7" s="3">
        <f t="shared" si="6"/>
        <v>373.13432835820896</v>
      </c>
      <c r="O7" s="3">
        <f t="shared" si="6"/>
        <v>220.65313327449252</v>
      </c>
      <c r="P7" s="3">
        <f>N7*60/$Y$20</f>
        <v>22388.059701492537</v>
      </c>
      <c r="Q7" s="3">
        <f>O7*60/$Y$20</f>
        <v>13239.187996469551</v>
      </c>
      <c r="R7" s="3">
        <f>P7/$Y$31*100</f>
        <v>48.585199004975124</v>
      </c>
      <c r="S7" s="3">
        <f>Q7/$Y$31*100</f>
        <v>28.730876728449545</v>
      </c>
      <c r="T7" s="3">
        <f t="shared" si="4"/>
        <v>35</v>
      </c>
      <c r="U7" s="158">
        <f t="shared" si="0"/>
        <v>29.981099999999998</v>
      </c>
      <c r="V7" s="96">
        <f t="shared" si="8"/>
        <v>25.531059999999997</v>
      </c>
      <c r="W7">
        <f t="shared" si="9"/>
        <v>3.4237713143319998E-2</v>
      </c>
      <c r="X7" s="150">
        <f t="shared" si="11"/>
        <v>8.0318023011493427E-3</v>
      </c>
      <c r="Y7" s="150">
        <f t="shared" si="12"/>
        <v>5.0567114007972706E-3</v>
      </c>
      <c r="Z7" s="95" t="e">
        <f>$AF$35*(P7/#REF!/100)^3</f>
        <v>#REF!</v>
      </c>
      <c r="AA7" s="147" t="e">
        <f>SQRT(Z7^3/4/$Y$33/$Y$34)</f>
        <v>#REF!</v>
      </c>
      <c r="AB7" s="97" t="e">
        <f t="shared" si="13"/>
        <v>#REF!</v>
      </c>
      <c r="AC7" t="e">
        <f>SQRT(Z7/$AF$27/$AF$28)</f>
        <v>#REF!</v>
      </c>
      <c r="AD7" s="175" t="e">
        <f t="shared" si="7"/>
        <v>#REF!</v>
      </c>
      <c r="AE7" s="175">
        <f>Q7/60*PI()*$AB$34/1000</f>
        <v>38.126124436769338</v>
      </c>
      <c r="AF7" s="158" t="e">
        <f t="shared" si="10"/>
        <v>#REF!</v>
      </c>
      <c r="AG7" s="151"/>
      <c r="AH7" s="95" t="e">
        <f>D7/$AF$18*#REF!</f>
        <v>#REF!</v>
      </c>
      <c r="AI7" s="95" t="e">
        <f>AH7/#REF!*$AF$18</f>
        <v>#REF!</v>
      </c>
      <c r="AJ7" s="96" t="e">
        <f>MAX(($AF$21+$AG$21*LN($AI7)),0)</f>
        <v>#VALUE!</v>
      </c>
      <c r="AK7" s="96" t="e">
        <f>MAX(($AF$21+$AG$21*LN(AI7))/#REF!,0)</f>
        <v>#VALUE!</v>
      </c>
      <c r="AL7" s="96" t="e">
        <f>($AF$22+$AG$22*AK7*#REF!)/#REF!</f>
        <v>#VALUE!</v>
      </c>
      <c r="AM7" s="96" t="e">
        <f>($AF$23+$AG$23*AL7*#REF!)/#REF!</f>
        <v>#VALUE!</v>
      </c>
      <c r="AN7" s="97" t="e">
        <f>AO7/#REF!</f>
        <v>#VALUE!</v>
      </c>
      <c r="AO7" s="174" t="e">
        <f>MAX($AF$22+$AG$22*AJ7, 0)</f>
        <v>#VALUE!</v>
      </c>
      <c r="AP7" s="127" t="e">
        <f>MAX($AF$24+$AJ7*($AG$24+$AJ7*$AH$24), 0)</f>
        <v>#VALUE!</v>
      </c>
      <c r="AQ7" s="127" t="e">
        <f t="shared" si="14"/>
        <v>#VALUE!</v>
      </c>
      <c r="AR7" s="146" t="e">
        <f>MAX($AG$24+$AH$24*2*AJ7,1E-32)</f>
        <v>#VALUE!</v>
      </c>
      <c r="AS7" s="95" t="e">
        <f>$Y$27/AR7</f>
        <v>#REF!</v>
      </c>
      <c r="AT7" s="127"/>
      <c r="AU7" s="153" t="e">
        <f>$AF$29*$AF$28*$AF$33^2*$AF$27*PI()/240*($AC7-$AF$34)/$AF$30*$AF$31</f>
        <v>#REF!</v>
      </c>
      <c r="AV7" s="151" t="e">
        <f>-$AF$32/AU7</f>
        <v>#REF!</v>
      </c>
      <c r="AX7" s="127">
        <f>$Y$24/$Y$23</f>
        <v>1.0526315789473683E-4</v>
      </c>
      <c r="AY7" s="96" t="e">
        <f>$Y$26/$Y$23/$Y$21/AR7</f>
        <v>#VALUE!</v>
      </c>
    </row>
    <row r="8" spans="1:51" ht="13.9" customHeight="1" x14ac:dyDescent="0.25">
      <c r="A8" t="s">
        <v>227</v>
      </c>
      <c r="B8" s="176">
        <v>20</v>
      </c>
      <c r="C8" s="113">
        <f t="shared" si="1"/>
        <v>1.3</v>
      </c>
      <c r="D8" s="73">
        <v>54</v>
      </c>
      <c r="E8" s="73">
        <v>1.375</v>
      </c>
      <c r="F8" s="73">
        <v>13.62</v>
      </c>
      <c r="G8" s="73">
        <v>3.93</v>
      </c>
      <c r="H8" s="73">
        <v>2150</v>
      </c>
      <c r="I8" s="73">
        <v>3180</v>
      </c>
      <c r="J8" s="78">
        <v>8.24</v>
      </c>
      <c r="K8" s="2">
        <f t="shared" si="5"/>
        <v>53.526600000000002</v>
      </c>
      <c r="L8" s="1">
        <f t="shared" si="2"/>
        <v>54</v>
      </c>
      <c r="M8" s="1">
        <f t="shared" si="3"/>
        <v>3.9889840465642745</v>
      </c>
      <c r="N8" s="3">
        <f t="shared" si="6"/>
        <v>465.11627906976747</v>
      </c>
      <c r="O8" s="3">
        <f t="shared" si="6"/>
        <v>314.46540880503147</v>
      </c>
      <c r="P8" s="3">
        <f>N8*60/$Y$20</f>
        <v>27906.976744186049</v>
      </c>
      <c r="Q8" s="3">
        <f>O8*60/$Y$20</f>
        <v>18867.92452830189</v>
      </c>
      <c r="R8" s="3">
        <f>P8/$Y$31*100</f>
        <v>60.562015503875976</v>
      </c>
      <c r="S8" s="3">
        <f>Q8/$Y$31*100</f>
        <v>40.946016771488473</v>
      </c>
      <c r="T8" s="3">
        <f t="shared" si="4"/>
        <v>54</v>
      </c>
      <c r="U8" s="158">
        <f t="shared" si="0"/>
        <v>53.526600000000002</v>
      </c>
      <c r="V8" s="96">
        <f t="shared" si="8"/>
        <v>49.076560000000001</v>
      </c>
      <c r="W8">
        <f t="shared" si="9"/>
        <v>6.5812746644320005E-2</v>
      </c>
      <c r="X8" s="150">
        <f t="shared" si="11"/>
        <v>1.2385739542638876E-2</v>
      </c>
      <c r="Y8" s="150">
        <f t="shared" si="12"/>
        <v>9.4106486422868042E-3</v>
      </c>
      <c r="Z8" s="95" t="e">
        <f>$AF$35*(P8/#REF!/100)^3</f>
        <v>#REF!</v>
      </c>
      <c r="AA8" s="147" t="e">
        <f>SQRT(Z8^3/4/$Y$33/$Y$34)</f>
        <v>#REF!</v>
      </c>
      <c r="AB8" s="97" t="e">
        <f t="shared" si="13"/>
        <v>#REF!</v>
      </c>
      <c r="AC8" t="e">
        <f>SQRT(Z8/$AF$27/$AF$28)</f>
        <v>#REF!</v>
      </c>
      <c r="AD8" s="175" t="e">
        <f t="shared" si="7"/>
        <v>#REF!</v>
      </c>
      <c r="AE8" s="175">
        <f>Q8/60*PI()*$AB$34/1000</f>
        <v>54.335721996049891</v>
      </c>
      <c r="AF8" s="158" t="e">
        <f t="shared" si="10"/>
        <v>#REF!</v>
      </c>
      <c r="AG8" s="151"/>
      <c r="AH8" s="95" t="e">
        <f>D8/$AF$18*#REF!</f>
        <v>#REF!</v>
      </c>
      <c r="AI8" s="95" t="e">
        <f>AH8/#REF!*$AF$18</f>
        <v>#REF!</v>
      </c>
      <c r="AJ8" s="96" t="e">
        <f>MAX(($AF$21+$AG$21*LN($AI8)),0)</f>
        <v>#VALUE!</v>
      </c>
      <c r="AK8" s="96" t="e">
        <f>MAX(($AF$21+$AG$21*LN(AI8))/#REF!,0)</f>
        <v>#VALUE!</v>
      </c>
      <c r="AL8" s="96" t="e">
        <f>($AF$22+$AG$22*AK8*#REF!)/#REF!</f>
        <v>#VALUE!</v>
      </c>
      <c r="AM8" s="96" t="e">
        <f>($AF$23+$AG$23*AL8*#REF!)/#REF!</f>
        <v>#VALUE!</v>
      </c>
      <c r="AN8" s="97" t="e">
        <f>AO8/#REF!</f>
        <v>#VALUE!</v>
      </c>
      <c r="AO8" s="174" t="e">
        <f>MAX($AF$22+$AG$22*AJ8, 0)</f>
        <v>#VALUE!</v>
      </c>
      <c r="AP8" s="127" t="e">
        <f>MAX($AF$24+$AJ8*($AG$24+$AJ8*$AH$24), 0)</f>
        <v>#VALUE!</v>
      </c>
      <c r="AQ8" s="127" t="e">
        <f t="shared" si="14"/>
        <v>#VALUE!</v>
      </c>
      <c r="AR8" s="146" t="e">
        <f>MAX($AG$24+$AH$24*2*AJ8,1E-32)</f>
        <v>#VALUE!</v>
      </c>
      <c r="AS8" s="95" t="e">
        <f>$Y$27/AR8</f>
        <v>#REF!</v>
      </c>
      <c r="AT8" s="127"/>
      <c r="AU8" s="153" t="e">
        <f>$AF$29*$AF$28*$AF$33^2*$AF$27*PI()/240*($AC8-$AF$34)/$AF$30*$AF$31</f>
        <v>#REF!</v>
      </c>
      <c r="AV8" s="151" t="e">
        <f>-$AF$32/AU8</f>
        <v>#REF!</v>
      </c>
      <c r="AX8" s="127">
        <f>$Y$24/$Y$23</f>
        <v>1.0526315789473683E-4</v>
      </c>
      <c r="AY8" s="96" t="e">
        <f>$Y$26/$Y$23/$Y$21/AR8</f>
        <v>#VALUE!</v>
      </c>
    </row>
    <row r="9" spans="1:51" ht="13.9" customHeight="1" x14ac:dyDescent="0.25">
      <c r="A9" t="s">
        <v>228</v>
      </c>
      <c r="B9" s="176">
        <v>25</v>
      </c>
      <c r="C9" s="113">
        <f t="shared" si="1"/>
        <v>1.3555555555555556</v>
      </c>
      <c r="D9" s="140">
        <v>64</v>
      </c>
      <c r="E9" s="140">
        <v>1.41</v>
      </c>
      <c r="F9" s="73">
        <v>13.54</v>
      </c>
      <c r="G9" s="140">
        <v>4.6100000000000003</v>
      </c>
      <c r="H9" s="73">
        <v>2020</v>
      </c>
      <c r="I9" s="140">
        <v>2870</v>
      </c>
      <c r="J9" s="78">
        <v>9</v>
      </c>
      <c r="K9" s="2">
        <f t="shared" si="5"/>
        <v>62.419400000000003</v>
      </c>
      <c r="L9" s="1">
        <f t="shared" si="2"/>
        <v>64</v>
      </c>
      <c r="M9" s="1">
        <f t="shared" si="3"/>
        <v>4.1588830833596715</v>
      </c>
      <c r="N9" s="3">
        <f t="shared" si="6"/>
        <v>495.04950495049508</v>
      </c>
      <c r="O9" s="3">
        <f t="shared" si="6"/>
        <v>348.43205574912895</v>
      </c>
      <c r="P9" s="3">
        <f>N9*60/$Y$20</f>
        <v>29702.970297029704</v>
      </c>
      <c r="Q9" s="3">
        <f>O9*60/$Y$20</f>
        <v>20905.923344947736</v>
      </c>
      <c r="R9" s="3">
        <f>P9/$Y$31*100</f>
        <v>64.459570957095707</v>
      </c>
      <c r="S9" s="3">
        <f>Q9/$Y$31*100</f>
        <v>45.368757259001164</v>
      </c>
      <c r="T9" s="3">
        <f t="shared" si="4"/>
        <v>64</v>
      </c>
      <c r="U9" s="158">
        <f t="shared" si="0"/>
        <v>62.419400000000003</v>
      </c>
      <c r="V9" s="96">
        <f t="shared" si="8"/>
        <v>57.969360000000002</v>
      </c>
      <c r="W9">
        <f t="shared" si="9"/>
        <v>7.7738187085920007E-2</v>
      </c>
      <c r="X9" s="150">
        <f t="shared" si="11"/>
        <v>1.3745458938700147E-2</v>
      </c>
      <c r="Y9" s="150">
        <f t="shared" si="12"/>
        <v>1.0770368038348075E-2</v>
      </c>
      <c r="Z9" s="95" t="e">
        <f>$AF$35*(P9/#REF!/100)^3</f>
        <v>#REF!</v>
      </c>
      <c r="AA9" s="147" t="e">
        <f>SQRT(Z9^3/4/$Y$33/$Y$34)</f>
        <v>#REF!</v>
      </c>
      <c r="AB9" s="97" t="e">
        <f t="shared" si="13"/>
        <v>#REF!</v>
      </c>
      <c r="AC9" t="e">
        <f>SQRT(Z9/$AF$27/$AF$28)</f>
        <v>#REF!</v>
      </c>
      <c r="AD9" s="175" t="e">
        <f t="shared" si="7"/>
        <v>#REF!</v>
      </c>
      <c r="AE9" s="175">
        <f>Q9/60*PI()*$AB$34/1000</f>
        <v>60.204737263915909</v>
      </c>
      <c r="AF9" s="158" t="e">
        <f t="shared" si="10"/>
        <v>#REF!</v>
      </c>
      <c r="AG9" s="151"/>
      <c r="AH9" s="95"/>
      <c r="AI9" s="151">
        <v>70.201599999999999</v>
      </c>
      <c r="AJ9" s="152" t="e">
        <f>MAX(($AF$21+$AG$21*LN($AI9)),0)</f>
        <v>#VALUE!</v>
      </c>
      <c r="AK9" s="152" t="e">
        <f>MAX(($AF$21+$AG$21*LN(AI9))/#REF!,0)</f>
        <v>#VALUE!</v>
      </c>
      <c r="AL9" s="152" t="e">
        <f>($AF$22+$AG$22*AK9*#REF!)/#REF!</f>
        <v>#VALUE!</v>
      </c>
      <c r="AM9" s="152" t="e">
        <f>($AF$23+$AG$23*AL9*#REF!)/#REF!</f>
        <v>#VALUE!</v>
      </c>
      <c r="AN9" s="173" t="e">
        <f>AO9/#REF!</f>
        <v>#VALUE!</v>
      </c>
      <c r="AO9" s="8" t="e">
        <f>MAX($AF$22+$AG$22*AJ9, 0)</f>
        <v>#VALUE!</v>
      </c>
      <c r="AP9" s="150" t="e">
        <f>MAX($AF$24+$AJ9*($AG$24+$AJ9*$AH$24), 0)</f>
        <v>#VALUE!</v>
      </c>
      <c r="AQ9" s="150" t="e">
        <f t="shared" si="14"/>
        <v>#VALUE!</v>
      </c>
      <c r="AR9" s="153" t="e">
        <f>MAX($AG$24+$AH$24*2*AJ9,1E-32)</f>
        <v>#VALUE!</v>
      </c>
      <c r="AS9" s="151" t="e">
        <f>$Y$27/AR9</f>
        <v>#REF!</v>
      </c>
      <c r="AT9" s="150"/>
      <c r="AU9" s="153" t="e">
        <f>$AF$29*$AF$28*$AF$33^2*$AF$27*PI()/240*($AC9-$AF$34)/$AF$30*$AF$31</f>
        <v>#REF!</v>
      </c>
      <c r="AV9" s="151" t="e">
        <f>-$AF$32/AU9</f>
        <v>#REF!</v>
      </c>
      <c r="AX9" s="150">
        <f>$Y$24/$Y$23</f>
        <v>1.0526315789473683E-4</v>
      </c>
      <c r="AY9" s="152" t="e">
        <f>$Y$26/$Y$23/$Y$21/AR9</f>
        <v>#VALUE!</v>
      </c>
    </row>
    <row r="10" spans="1:51" ht="13.9" customHeight="1" x14ac:dyDescent="0.25">
      <c r="A10" t="s">
        <v>229</v>
      </c>
      <c r="B10" s="176">
        <v>36</v>
      </c>
      <c r="C10" s="113">
        <f t="shared" si="1"/>
        <v>1.4944444444444445</v>
      </c>
      <c r="D10" s="73">
        <v>89</v>
      </c>
      <c r="E10" s="73">
        <v>1.81</v>
      </c>
      <c r="F10" s="73">
        <v>13.45</v>
      </c>
      <c r="G10" s="73">
        <v>6.61</v>
      </c>
      <c r="H10" s="73">
        <v>1770</v>
      </c>
      <c r="I10" s="73">
        <v>2400</v>
      </c>
      <c r="J10" s="78">
        <v>10.8</v>
      </c>
      <c r="K10" s="2">
        <f t="shared" si="5"/>
        <v>88.904499999999999</v>
      </c>
      <c r="L10" s="1">
        <f t="shared" si="2"/>
        <v>89</v>
      </c>
      <c r="M10" s="1">
        <f t="shared" si="3"/>
        <v>4.4886363697321396</v>
      </c>
      <c r="N10" s="3">
        <f t="shared" si="6"/>
        <v>564.9717514124294</v>
      </c>
      <c r="O10" s="3">
        <f t="shared" si="6"/>
        <v>416.66666666666669</v>
      </c>
      <c r="P10" s="3">
        <f>N10*60/$Y$20</f>
        <v>33898.305084745763</v>
      </c>
      <c r="Q10" s="3">
        <f>O10*60/$Y$20</f>
        <v>25000</v>
      </c>
      <c r="R10" s="3">
        <f>P10/$Y$31*100</f>
        <v>73.56403013182674</v>
      </c>
      <c r="S10" s="3">
        <f>Q10/$Y$31*100</f>
        <v>54.253472222222221</v>
      </c>
      <c r="T10" s="3">
        <f t="shared" si="4"/>
        <v>89</v>
      </c>
      <c r="U10" s="158">
        <f t="shared" si="0"/>
        <v>88.904499999999999</v>
      </c>
      <c r="V10" s="96">
        <f t="shared" si="8"/>
        <v>84.454459999999997</v>
      </c>
      <c r="W10">
        <f t="shared" si="9"/>
        <v>0.11325528885812</v>
      </c>
      <c r="X10" s="150">
        <f t="shared" si="11"/>
        <v>1.7547094923943962E-2</v>
      </c>
      <c r="Y10" s="150">
        <f t="shared" si="12"/>
        <v>1.457200402359189E-2</v>
      </c>
      <c r="Z10" s="95" t="e">
        <f>$AF$35*(P10/#REF!/100)^3</f>
        <v>#REF!</v>
      </c>
      <c r="AA10" s="147" t="e">
        <f>SQRT(Z10^3/4/$Y$33/$Y$34)</f>
        <v>#REF!</v>
      </c>
      <c r="AB10" s="97" t="e">
        <f t="shared" si="13"/>
        <v>#REF!</v>
      </c>
      <c r="AC10" t="e">
        <f>SQRT(Z10/$AF$27/$AF$28)</f>
        <v>#REF!</v>
      </c>
      <c r="AD10" s="175" t="e">
        <f t="shared" si="7"/>
        <v>#REF!</v>
      </c>
      <c r="AE10" s="175">
        <f>Q10/60*PI()*$AB$34/1000</f>
        <v>71.994831644766094</v>
      </c>
      <c r="AF10" s="158" t="e">
        <f t="shared" si="10"/>
        <v>#REF!</v>
      </c>
      <c r="AG10" s="151"/>
      <c r="AH10" s="95" t="e">
        <f>D10/$AF$18*#REF!</f>
        <v>#REF!</v>
      </c>
      <c r="AI10" s="95" t="e">
        <f>AH10/#REF!*$AF$18</f>
        <v>#REF!</v>
      </c>
      <c r="AJ10" s="96" t="e">
        <f>MAX(($AF$21+$AG$21*LN($AI10)),0)</f>
        <v>#VALUE!</v>
      </c>
      <c r="AK10" s="96" t="e">
        <f>MAX(($AF$21+$AG$21*LN(AI10))/#REF!,0)</f>
        <v>#VALUE!</v>
      </c>
      <c r="AL10" s="96" t="e">
        <f>($AF$22+$AG$22*AK10*#REF!)/#REF!</f>
        <v>#VALUE!</v>
      </c>
      <c r="AM10" s="96" t="e">
        <f>($AF$23+$AG$23*AL10*#REF!)/#REF!</f>
        <v>#VALUE!</v>
      </c>
      <c r="AN10" s="97" t="e">
        <f>AO10/#REF!</f>
        <v>#VALUE!</v>
      </c>
      <c r="AO10" s="174" t="e">
        <f>MAX($AF$22+$AG$22*AJ10, 0)</f>
        <v>#VALUE!</v>
      </c>
      <c r="AP10" s="127" t="e">
        <f>MAX($AF$24+$AJ10*($AG$24+$AJ10*$AH$24), 0)</f>
        <v>#VALUE!</v>
      </c>
      <c r="AQ10" s="127" t="e">
        <f t="shared" si="14"/>
        <v>#VALUE!</v>
      </c>
      <c r="AR10" s="146" t="e">
        <f>MAX($AG$24+$AH$24*2*AJ10,1E-32)</f>
        <v>#VALUE!</v>
      </c>
      <c r="AS10" s="95" t="e">
        <f>$Y$27/AR10</f>
        <v>#REF!</v>
      </c>
      <c r="AT10" s="127"/>
      <c r="AU10" s="153" t="e">
        <f>$AF$29*$AF$28*$AF$33^2*$AF$27*PI()/240*($AC10-$AF$34)/$AF$30*$AF$31</f>
        <v>#REF!</v>
      </c>
      <c r="AV10" s="151" t="e">
        <f>-$AF$32/AU10</f>
        <v>#REF!</v>
      </c>
      <c r="AX10" s="127">
        <f>$Y$24/$Y$23</f>
        <v>1.0526315789473683E-4</v>
      </c>
      <c r="AY10" s="96" t="e">
        <f>$Y$26/$Y$23/$Y$21/AR10</f>
        <v>#VALUE!</v>
      </c>
    </row>
    <row r="11" spans="1:51" ht="13.9" customHeight="1" x14ac:dyDescent="0.25">
      <c r="A11" t="s">
        <v>230</v>
      </c>
      <c r="B11" s="176">
        <v>45</v>
      </c>
      <c r="C11" s="113">
        <f t="shared" si="1"/>
        <v>1.6944444444444444</v>
      </c>
      <c r="D11" s="73">
        <v>125</v>
      </c>
      <c r="E11" s="73">
        <v>2.16</v>
      </c>
      <c r="F11" s="73">
        <v>13.2</v>
      </c>
      <c r="G11" s="73">
        <v>10.3</v>
      </c>
      <c r="H11" s="73">
        <v>1520</v>
      </c>
      <c r="I11" s="73">
        <v>2000</v>
      </c>
      <c r="J11" s="78">
        <v>14</v>
      </c>
      <c r="K11" s="2">
        <f t="shared" si="5"/>
        <v>135.96</v>
      </c>
      <c r="L11" s="1">
        <f t="shared" si="2"/>
        <v>125</v>
      </c>
      <c r="M11" s="1">
        <f t="shared" si="3"/>
        <v>4.8283137373023015</v>
      </c>
      <c r="N11" s="3">
        <f t="shared" si="6"/>
        <v>657.89473684210532</v>
      </c>
      <c r="O11" s="3">
        <f t="shared" si="6"/>
        <v>500.00000000000006</v>
      </c>
      <c r="P11" s="3">
        <f>N11*60/$Y$20</f>
        <v>39473.68421052632</v>
      </c>
      <c r="Q11" s="3">
        <f>O11*60/$Y$20</f>
        <v>30000.000000000004</v>
      </c>
      <c r="R11" s="3">
        <f>P11/$Y$31*100</f>
        <v>85.663377192982466</v>
      </c>
      <c r="S11" s="3">
        <f>Q11/$Y$31*100</f>
        <v>65.104166666666671</v>
      </c>
      <c r="T11" s="3">
        <f t="shared" si="4"/>
        <v>125</v>
      </c>
      <c r="U11" s="158">
        <f t="shared" si="0"/>
        <v>135.96</v>
      </c>
      <c r="V11" s="96">
        <f t="shared" si="8"/>
        <v>131.50996000000001</v>
      </c>
      <c r="W11">
        <f t="shared" si="9"/>
        <v>0.17635774957912001</v>
      </c>
      <c r="X11" s="150">
        <f t="shared" si="11"/>
        <v>2.3464516153334967E-2</v>
      </c>
      <c r="Y11" s="150">
        <f t="shared" si="12"/>
        <v>2.0489425252982894E-2</v>
      </c>
      <c r="Z11" s="95" t="e">
        <f>$AF$35*(P11/#REF!/100)^3</f>
        <v>#REF!</v>
      </c>
      <c r="AA11" s="147" t="e">
        <f>SQRT(Z11^3/4/$Y$33/$Y$34)</f>
        <v>#REF!</v>
      </c>
      <c r="AB11" s="97" t="e">
        <f t="shared" si="13"/>
        <v>#REF!</v>
      </c>
      <c r="AC11" t="e">
        <f>SQRT(Z11/$AF$27/$AF$28)</f>
        <v>#REF!</v>
      </c>
      <c r="AD11" s="175" t="e">
        <f t="shared" si="7"/>
        <v>#REF!</v>
      </c>
      <c r="AE11" s="175">
        <f>Q11/60*PI()*$AB$34/1000</f>
        <v>86.39379797371933</v>
      </c>
      <c r="AF11" s="163" t="e">
        <f t="shared" si="10"/>
        <v>#REF!</v>
      </c>
      <c r="AG11" s="159" t="e">
        <f>$AT$20/($AF$28*$AF$33*$AF$27*($AC11-$AF$34)^2/4/$AF11)/(PI()*$AF$33/60/($AC11-$AF$34))</f>
        <v>#REF!</v>
      </c>
      <c r="AH11" s="95" t="e">
        <f>D11/$AF$18*#REF!</f>
        <v>#REF!</v>
      </c>
      <c r="AI11" s="95" t="e">
        <f>AH11/#REF!*$AF$18</f>
        <v>#REF!</v>
      </c>
      <c r="AJ11" s="96" t="e">
        <f>MAX(($AF$21+$AG$21*LN($AI11)),0)</f>
        <v>#VALUE!</v>
      </c>
      <c r="AK11" s="96" t="e">
        <f>MAX(($AF$21+$AG$21*LN(AI11))/#REF!,0)</f>
        <v>#VALUE!</v>
      </c>
      <c r="AL11" s="96" t="e">
        <f>($AF$22+$AG$22*AK11*#REF!)/#REF!</f>
        <v>#VALUE!</v>
      </c>
      <c r="AM11" s="96" t="e">
        <f>($AF$23+$AG$23*AL11*#REF!)/#REF!</f>
        <v>#VALUE!</v>
      </c>
      <c r="AN11" s="97" t="e">
        <f>AO11/#REF!</f>
        <v>#VALUE!</v>
      </c>
      <c r="AO11" s="174" t="e">
        <f>MAX($AF$22+$AG$22*AJ11, 0)</f>
        <v>#VALUE!</v>
      </c>
      <c r="AP11" s="127" t="e">
        <f>MAX($AF$24+$AJ11*($AG$24+$AJ11*$AH$24), 0)</f>
        <v>#VALUE!</v>
      </c>
      <c r="AQ11" s="127" t="e">
        <f t="shared" si="14"/>
        <v>#VALUE!</v>
      </c>
      <c r="AR11" s="146" t="e">
        <f>MAX($AG$24+$AH$24*2*AJ11,1E-32)</f>
        <v>#VALUE!</v>
      </c>
      <c r="AS11" s="95" t="e">
        <f>$Y$27/AR11</f>
        <v>#REF!</v>
      </c>
      <c r="AT11" s="127"/>
      <c r="AU11" s="153" t="e">
        <f>$AF$29*$AF$28*$AF$33^2*$AF$27*PI()/240*($AC11-$AF$34)/$AF$30*$AF$31</f>
        <v>#REF!</v>
      </c>
      <c r="AV11" s="134" t="e">
        <f>-$AF$32/AU11</f>
        <v>#REF!</v>
      </c>
      <c r="AX11" s="127">
        <f>$Y$24/$Y$23</f>
        <v>1.0526315789473683E-4</v>
      </c>
      <c r="AY11" s="96" t="e">
        <f>$Y$26/$Y$23/$Y$21/AR11</f>
        <v>#VALUE!</v>
      </c>
    </row>
    <row r="12" spans="1:51" ht="13.9" customHeight="1" x14ac:dyDescent="0.25">
      <c r="A12" t="s">
        <v>231</v>
      </c>
      <c r="B12" s="176">
        <v>50</v>
      </c>
      <c r="C12" s="113"/>
      <c r="D12" s="73"/>
      <c r="E12" s="73"/>
      <c r="F12" s="73"/>
      <c r="G12" s="73"/>
      <c r="H12" s="73"/>
      <c r="I12" s="73"/>
      <c r="J12" s="78"/>
      <c r="K12" s="2"/>
      <c r="N12" s="3"/>
      <c r="O12" s="3"/>
      <c r="P12" s="3"/>
      <c r="Q12" s="3"/>
      <c r="R12" s="3"/>
      <c r="S12" s="3"/>
      <c r="T12" s="3"/>
      <c r="U12" s="158"/>
      <c r="V12" s="96"/>
      <c r="X12" s="150"/>
      <c r="Y12" s="150"/>
      <c r="Z12" s="95"/>
      <c r="AA12" s="147"/>
      <c r="AB12" s="97"/>
      <c r="AD12" s="175"/>
      <c r="AE12" s="175"/>
      <c r="AF12" s="163"/>
      <c r="AG12" s="159"/>
      <c r="AH12" s="95"/>
      <c r="AI12" s="95"/>
      <c r="AJ12" s="96"/>
      <c r="AK12" s="96"/>
      <c r="AL12" s="96"/>
      <c r="AM12" s="96"/>
      <c r="AN12" s="97"/>
      <c r="AO12" s="174"/>
      <c r="AP12" s="127"/>
      <c r="AQ12" s="127"/>
      <c r="AR12" s="146"/>
      <c r="AS12" s="95"/>
      <c r="AT12" s="127"/>
      <c r="AU12" s="153"/>
      <c r="AV12" s="134"/>
      <c r="AX12" s="127"/>
      <c r="AY12" s="96"/>
    </row>
    <row r="13" spans="1:51" ht="13.9" customHeight="1" x14ac:dyDescent="0.25">
      <c r="A13" t="s">
        <v>232</v>
      </c>
      <c r="B13" s="176">
        <v>52</v>
      </c>
      <c r="C13" s="113"/>
      <c r="D13" s="73"/>
      <c r="E13" s="73"/>
      <c r="F13" s="73"/>
      <c r="G13" s="73"/>
      <c r="H13" s="73"/>
      <c r="I13" s="73"/>
      <c r="J13" s="78"/>
      <c r="K13" s="2"/>
      <c r="N13" s="3"/>
      <c r="O13" s="3"/>
      <c r="P13" s="3"/>
      <c r="Q13" s="3"/>
      <c r="R13" s="3"/>
      <c r="S13" s="3"/>
      <c r="T13" s="3"/>
      <c r="U13" s="158"/>
      <c r="V13" s="96"/>
      <c r="X13" s="150"/>
      <c r="Y13" s="150"/>
      <c r="Z13" s="95"/>
      <c r="AA13" s="147"/>
      <c r="AB13" s="97"/>
      <c r="AD13" s="175"/>
      <c r="AE13" s="175"/>
      <c r="AF13" s="163"/>
      <c r="AG13" s="159"/>
      <c r="AH13" s="95"/>
      <c r="AI13" s="95"/>
      <c r="AJ13" s="96"/>
      <c r="AK13" s="96"/>
      <c r="AL13" s="96"/>
      <c r="AM13" s="96"/>
      <c r="AN13" s="97"/>
      <c r="AO13" s="174"/>
      <c r="AP13" s="127"/>
      <c r="AQ13" s="127"/>
      <c r="AR13" s="146"/>
      <c r="AS13" s="95"/>
      <c r="AT13" s="127"/>
      <c r="AU13" s="153"/>
      <c r="AV13" s="134"/>
      <c r="AX13" s="127"/>
      <c r="AY13" s="96"/>
    </row>
    <row r="14" spans="1:51" ht="13.9" customHeight="1" x14ac:dyDescent="0.25">
      <c r="A14" t="s">
        <v>233</v>
      </c>
      <c r="B14" s="176">
        <v>55</v>
      </c>
      <c r="C14" s="113"/>
      <c r="D14" s="73"/>
      <c r="E14" s="73"/>
      <c r="F14" s="73"/>
      <c r="G14" s="73"/>
      <c r="H14" s="73"/>
      <c r="I14" s="73"/>
      <c r="J14" s="78"/>
      <c r="K14" s="2"/>
      <c r="N14" s="3"/>
      <c r="O14" s="3"/>
      <c r="P14" s="3"/>
      <c r="Q14" s="3"/>
      <c r="R14" s="3"/>
      <c r="S14" s="3"/>
      <c r="T14" s="3"/>
      <c r="U14" s="158"/>
      <c r="V14" s="96"/>
      <c r="X14" s="150"/>
      <c r="Y14" s="150"/>
      <c r="Z14" s="95"/>
      <c r="AA14" s="147"/>
      <c r="AB14" s="97"/>
      <c r="AD14" s="175"/>
      <c r="AE14" s="175"/>
      <c r="AF14" s="163"/>
      <c r="AG14" s="159"/>
      <c r="AH14" s="95"/>
      <c r="AI14" s="95"/>
      <c r="AJ14" s="96"/>
      <c r="AK14" s="96"/>
      <c r="AL14" s="96"/>
      <c r="AM14" s="96"/>
      <c r="AN14" s="97"/>
      <c r="AO14" s="174"/>
      <c r="AP14" s="127"/>
      <c r="AQ14" s="127"/>
      <c r="AR14" s="146"/>
      <c r="AS14" s="95"/>
      <c r="AT14" s="127"/>
      <c r="AU14" s="153"/>
      <c r="AV14" s="134"/>
      <c r="AX14" s="127"/>
      <c r="AY14" s="96"/>
    </row>
    <row r="15" spans="1:51" ht="13.9" customHeight="1" x14ac:dyDescent="0.25">
      <c r="A15" t="s">
        <v>233</v>
      </c>
      <c r="B15" s="176">
        <v>62</v>
      </c>
      <c r="C15" s="113"/>
      <c r="D15" s="73"/>
      <c r="E15" s="73"/>
      <c r="F15" s="73"/>
      <c r="G15" s="73"/>
      <c r="H15" s="73"/>
      <c r="I15" s="73"/>
      <c r="J15" s="78"/>
      <c r="K15" s="2"/>
      <c r="N15" s="3"/>
      <c r="O15" s="3"/>
      <c r="P15" s="3"/>
      <c r="Q15" s="3"/>
      <c r="R15" s="3"/>
      <c r="S15" s="3"/>
      <c r="T15" s="3"/>
      <c r="U15" s="158"/>
      <c r="V15" s="96"/>
      <c r="X15" s="150"/>
      <c r="Y15" s="150"/>
      <c r="Z15" s="95"/>
      <c r="AA15" s="147"/>
      <c r="AB15" s="97"/>
      <c r="AD15" s="175"/>
      <c r="AE15" s="175"/>
      <c r="AF15" s="163"/>
      <c r="AG15" s="159"/>
      <c r="AH15" s="95"/>
      <c r="AI15" s="95"/>
      <c r="AJ15" s="96"/>
      <c r="AK15" s="96"/>
      <c r="AL15" s="96"/>
      <c r="AM15" s="96"/>
      <c r="AN15" s="97"/>
      <c r="AO15" s="174"/>
      <c r="AP15" s="127"/>
      <c r="AQ15" s="127"/>
      <c r="AR15" s="146"/>
      <c r="AS15" s="95"/>
      <c r="AT15" s="127"/>
      <c r="AU15" s="153"/>
      <c r="AV15" s="134"/>
      <c r="AX15" s="127"/>
      <c r="AY15" s="96"/>
    </row>
    <row r="16" spans="1:51" ht="13.9" customHeight="1" x14ac:dyDescent="0.25">
      <c r="A16" t="s">
        <v>234</v>
      </c>
      <c r="B16" t="s">
        <v>235</v>
      </c>
      <c r="C16" s="113">
        <f t="shared" si="1"/>
        <v>1.8611111111111112</v>
      </c>
      <c r="D16" s="73">
        <v>155</v>
      </c>
      <c r="E16" s="73">
        <v>2.5299999999999998</v>
      </c>
      <c r="F16" s="73">
        <v>12.85</v>
      </c>
      <c r="G16" s="73">
        <v>15</v>
      </c>
      <c r="H16" s="73">
        <v>1364</v>
      </c>
      <c r="I16" s="73">
        <v>1740</v>
      </c>
      <c r="J16" s="78">
        <v>15.8</v>
      </c>
      <c r="K16" s="2">
        <f t="shared" si="5"/>
        <v>192.75</v>
      </c>
      <c r="L16" s="1">
        <f t="shared" si="2"/>
        <v>155</v>
      </c>
      <c r="M16" s="1">
        <f t="shared" si="3"/>
        <v>5.0434251169192468</v>
      </c>
      <c r="N16" s="3">
        <f t="shared" si="6"/>
        <v>733.13782991202345</v>
      </c>
      <c r="O16" s="3">
        <f t="shared" si="6"/>
        <v>574.71264367816093</v>
      </c>
      <c r="P16" s="3">
        <f>N16*60/$Y$20</f>
        <v>43988.269794721404</v>
      </c>
      <c r="Q16" s="3">
        <f>O16*60/$Y$20</f>
        <v>34482.758620689652</v>
      </c>
      <c r="R16" s="3">
        <f>P16/$Y$31*100</f>
        <v>95.460654936461381</v>
      </c>
      <c r="S16" s="3">
        <f>Q16/$Y$31*100</f>
        <v>74.83237547892719</v>
      </c>
      <c r="T16" s="3">
        <f t="shared" si="4"/>
        <v>155</v>
      </c>
      <c r="U16" s="158">
        <f t="shared" si="0"/>
        <v>192.75</v>
      </c>
      <c r="V16" s="96">
        <f t="shared" si="8"/>
        <v>188.29996</v>
      </c>
      <c r="W16">
        <f t="shared" si="9"/>
        <v>0.25251438895912004</v>
      </c>
      <c r="X16" s="150">
        <f t="shared" si="11"/>
        <v>3.0149073309822319E-2</v>
      </c>
      <c r="Y16" s="150">
        <f t="shared" si="12"/>
        <v>2.7173982409470245E-2</v>
      </c>
      <c r="Z16" s="95" t="e">
        <f>$AF$35*(P16/#REF!/100)^3</f>
        <v>#REF!</v>
      </c>
      <c r="AA16" s="147" t="e">
        <f>SQRT(Z16^3/4/$Y$33/$Y$34)</f>
        <v>#REF!</v>
      </c>
      <c r="AB16" s="97" t="e">
        <f t="shared" si="13"/>
        <v>#REF!</v>
      </c>
      <c r="AC16" t="e">
        <f>SQRT(Z16/$AF$27/$AF$28)</f>
        <v>#REF!</v>
      </c>
      <c r="AD16" s="175" t="e">
        <f t="shared" si="7"/>
        <v>#REF!</v>
      </c>
      <c r="AE16" s="175">
        <f>Q16/60*PI()*$AB$34/1000</f>
        <v>99.303216061746326</v>
      </c>
      <c r="AF16" s="158" t="e">
        <f t="shared" si="10"/>
        <v>#REF!</v>
      </c>
      <c r="AG16" s="151"/>
      <c r="AH16" s="95" t="e">
        <f>D16/$AF$18*#REF!</f>
        <v>#REF!</v>
      </c>
      <c r="AI16" s="95" t="e">
        <f>AH16/#REF!*$AF$18</f>
        <v>#REF!</v>
      </c>
      <c r="AJ16" s="96" t="e">
        <f>MAX(($AF$21+$AG$21*LN($AI16)),0)</f>
        <v>#VALUE!</v>
      </c>
      <c r="AK16" s="96" t="e">
        <f>MAX(($AF$21+$AG$21*LN(AI16))/#REF!,0)</f>
        <v>#VALUE!</v>
      </c>
      <c r="AL16" s="96" t="e">
        <f>($AF$22+$AG$22*AK16*#REF!)/#REF!</f>
        <v>#VALUE!</v>
      </c>
      <c r="AM16" s="96" t="e">
        <f>($AF$23+$AG$23*AL16*#REF!)/#REF!</f>
        <v>#VALUE!</v>
      </c>
      <c r="AN16" s="97" t="e">
        <f>AO16/#REF!</f>
        <v>#VALUE!</v>
      </c>
      <c r="AO16" s="174" t="e">
        <f>MAX($AF$22+$AG$22*AJ16, 0)</f>
        <v>#VALUE!</v>
      </c>
      <c r="AP16" s="127" t="e">
        <f>MAX($AF$24+$AJ16*($AG$24+$AJ16*$AH$24), 0)</f>
        <v>#VALUE!</v>
      </c>
      <c r="AQ16" s="127" t="e">
        <f t="shared" si="14"/>
        <v>#VALUE!</v>
      </c>
      <c r="AR16" s="146" t="e">
        <f>MAX($AG$24+$AH$24*2*AJ16,1E-32)</f>
        <v>#VALUE!</v>
      </c>
      <c r="AS16" s="95" t="e">
        <f>$Y$27/AR16</f>
        <v>#REF!</v>
      </c>
      <c r="AT16" s="127"/>
      <c r="AU16" s="153" t="e">
        <f>$AF$29*$AF$28*$AF$33^2*$AF$27*PI()/240*($AC16-$AF$34)/$AF$30*$AF$31</f>
        <v>#REF!</v>
      </c>
      <c r="AV16" s="151" t="e">
        <f>-$AF$32/AU16</f>
        <v>#REF!</v>
      </c>
      <c r="AX16" s="127">
        <f>$Y$24/$Y$23</f>
        <v>1.0526315789473683E-4</v>
      </c>
      <c r="AY16" s="96" t="e">
        <f>$Y$26/$Y$23/$Y$21/AR16</f>
        <v>#VALUE!</v>
      </c>
    </row>
    <row r="17" spans="2:51" ht="13.9" customHeight="1" x14ac:dyDescent="0.25"/>
    <row r="18" spans="2:51" ht="13.9" customHeight="1" x14ac:dyDescent="0.25">
      <c r="C18" s="5"/>
      <c r="D18" s="6"/>
      <c r="E18" s="6"/>
      <c r="F18" s="6"/>
      <c r="G18" s="6"/>
      <c r="H18" s="6"/>
      <c r="I18" s="6"/>
      <c r="J18" s="6"/>
      <c r="K18" s="2"/>
      <c r="N18" s="3"/>
      <c r="O18" s="3"/>
      <c r="P18" s="3"/>
      <c r="Q18" s="3"/>
      <c r="R18" s="3"/>
      <c r="S18" s="3"/>
      <c r="T18" s="3"/>
      <c r="U18" s="4"/>
      <c r="V18" s="4"/>
      <c r="AE18" s="65" t="s">
        <v>18</v>
      </c>
      <c r="AF18" s="66">
        <f>AA38</f>
        <v>180</v>
      </c>
      <c r="AG18" s="30"/>
      <c r="AH18" s="31"/>
      <c r="AJ18" s="19" t="s">
        <v>143</v>
      </c>
      <c r="AK18" s="178">
        <f>3/4*25.4</f>
        <v>19.049999999999997</v>
      </c>
      <c r="AL18" s="30" t="s">
        <v>93</v>
      </c>
      <c r="AM18" s="31" t="s">
        <v>142</v>
      </c>
      <c r="AN18" s="5" t="e">
        <f>AO18*#REF!</f>
        <v>#REF!</v>
      </c>
      <c r="AO18" s="157">
        <v>52</v>
      </c>
      <c r="AP18" s="157">
        <v>2.8687189497277076E-2</v>
      </c>
      <c r="AQ18" s="157">
        <v>1.3128852647530663E-2</v>
      </c>
      <c r="AR18" s="172">
        <v>6.4000000000000001E-2</v>
      </c>
      <c r="AS18" s="185" t="e">
        <f>$AF$32/AR18</f>
        <v>#REF!</v>
      </c>
      <c r="AT18" s="157" t="s">
        <v>201</v>
      </c>
    </row>
    <row r="19" spans="2:51" ht="13.9" customHeight="1" thickBot="1" x14ac:dyDescent="0.3">
      <c r="C19" s="5"/>
      <c r="D19" s="6"/>
      <c r="E19" s="6"/>
      <c r="F19" s="6"/>
      <c r="G19" s="6"/>
      <c r="H19" s="6"/>
      <c r="I19" s="6"/>
      <c r="J19" s="6"/>
      <c r="K19" s="2"/>
      <c r="N19" s="3"/>
      <c r="O19" s="3"/>
      <c r="P19" s="3"/>
      <c r="Q19" s="3"/>
      <c r="R19" s="3"/>
      <c r="S19" s="3"/>
      <c r="T19" s="3"/>
      <c r="U19" s="3"/>
      <c r="V19" s="3"/>
      <c r="X19" t="s">
        <v>32</v>
      </c>
      <c r="AA19" t="s">
        <v>33</v>
      </c>
      <c r="AD19" s="30"/>
      <c r="AE19" s="65" t="s">
        <v>13</v>
      </c>
      <c r="AF19" s="66">
        <f>AA37</f>
        <v>0</v>
      </c>
      <c r="AG19" s="30"/>
      <c r="AH19" s="31"/>
      <c r="AJ19" s="19" t="s">
        <v>145</v>
      </c>
      <c r="AK19" s="30" t="e">
        <f>PI()*(#REF!/25.4)^2/4*3/4*0.3</f>
        <v>#REF!</v>
      </c>
      <c r="AL19" s="30" t="s">
        <v>148</v>
      </c>
      <c r="AM19" s="31" t="s">
        <v>142</v>
      </c>
      <c r="AN19" s="5" t="e">
        <f>AO19*#REF!</f>
        <v>#REF!</v>
      </c>
      <c r="AO19" s="157">
        <v>55</v>
      </c>
      <c r="AP19" s="157">
        <v>3.4912727705496999E-2</v>
      </c>
      <c r="AQ19" s="157">
        <v>1.6549422883591874E-2</v>
      </c>
      <c r="AR19" s="172">
        <v>5.6000000000000001E-2</v>
      </c>
      <c r="AS19" s="185" t="e">
        <f>$AF$32/AR19</f>
        <v>#REF!</v>
      </c>
      <c r="AT19" s="157" t="s">
        <v>201</v>
      </c>
    </row>
    <row r="20" spans="2:51" ht="13.9" customHeight="1" x14ac:dyDescent="0.25">
      <c r="B20" s="3" t="s">
        <v>28</v>
      </c>
      <c r="C20" s="11" t="s">
        <v>29</v>
      </c>
      <c r="D20" s="12"/>
      <c r="E20" s="12"/>
      <c r="F20" s="6"/>
      <c r="G20" s="6"/>
      <c r="H20" s="6"/>
      <c r="I20" s="6"/>
      <c r="J20" s="6"/>
      <c r="K20" s="2"/>
      <c r="N20" s="3"/>
      <c r="O20" s="3"/>
      <c r="P20" s="3"/>
      <c r="Q20" s="3"/>
      <c r="R20" s="3"/>
      <c r="S20" s="3"/>
      <c r="T20" s="3"/>
      <c r="U20" s="3"/>
      <c r="V20" s="3"/>
      <c r="X20" s="17" t="s">
        <v>3</v>
      </c>
      <c r="Y20" s="18">
        <v>1</v>
      </c>
      <c r="AA20" s="17"/>
      <c r="AB20" s="23" t="s">
        <v>22</v>
      </c>
      <c r="AC20" s="7"/>
      <c r="AD20" s="30"/>
      <c r="AE20" s="65" t="s">
        <v>121</v>
      </c>
      <c r="AF20" s="66" t="e">
        <f>Y46</f>
        <v>#VALUE!</v>
      </c>
      <c r="AG20" s="67" t="e">
        <f>Y45</f>
        <v>#VALUE!</v>
      </c>
      <c r="AH20" s="68" t="e">
        <f>Y44</f>
        <v>#VALUE!</v>
      </c>
      <c r="AJ20" s="19" t="s">
        <v>135</v>
      </c>
      <c r="AK20" s="30" t="e">
        <f>(#REF!/25.4)^2*$AK$19/2</f>
        <v>#REF!</v>
      </c>
      <c r="AL20" s="30" t="s">
        <v>96</v>
      </c>
      <c r="AM20" s="31" t="s">
        <v>147</v>
      </c>
      <c r="AN20" s="5" t="e">
        <f>AO20*#REF!</f>
        <v>#REF!</v>
      </c>
      <c r="AO20" s="157">
        <v>62</v>
      </c>
      <c r="AP20" s="157">
        <v>5.2819357330458824E-2</v>
      </c>
      <c r="AQ20" s="157">
        <v>2.6818816528704516E-2</v>
      </c>
      <c r="AR20" s="134">
        <v>3.5000000000000003E-2</v>
      </c>
      <c r="AS20" s="185" t="e">
        <f>$AF$32/AR20</f>
        <v>#REF!</v>
      </c>
      <c r="AT20" s="136" t="e">
        <f>-AS20/$AF$31</f>
        <v>#REF!</v>
      </c>
      <c r="AU20" s="146"/>
    </row>
    <row r="21" spans="2:51" x14ac:dyDescent="0.25">
      <c r="B21" s="3"/>
      <c r="C21" s="13" t="s">
        <v>30</v>
      </c>
      <c r="D21" s="14"/>
      <c r="E21" s="14"/>
      <c r="F21" s="6"/>
      <c r="G21" s="6"/>
      <c r="H21" s="6"/>
      <c r="I21" s="6"/>
      <c r="J21" s="6"/>
      <c r="K21" s="2"/>
      <c r="N21" s="3"/>
      <c r="O21" s="3"/>
      <c r="P21" s="3"/>
      <c r="Q21" s="3"/>
      <c r="R21" s="3"/>
      <c r="S21" s="3"/>
      <c r="T21" s="3"/>
      <c r="U21" s="3"/>
      <c r="V21" s="3"/>
      <c r="X21" s="19" t="s">
        <v>4</v>
      </c>
      <c r="Y21" s="20">
        <v>4800</v>
      </c>
      <c r="Z21" t="s">
        <v>77</v>
      </c>
      <c r="AA21" s="24" t="s">
        <v>16</v>
      </c>
      <c r="AB21" s="25">
        <v>0</v>
      </c>
      <c r="AD21" s="30"/>
      <c r="AE21" s="65" t="s">
        <v>21</v>
      </c>
      <c r="AF21" s="66" t="e">
        <f>Y48</f>
        <v>#VALUE!</v>
      </c>
      <c r="AG21" s="67" t="e">
        <f>Y47</f>
        <v>#VALUE!</v>
      </c>
      <c r="AH21" s="31"/>
      <c r="AJ21" s="19" t="s">
        <v>95</v>
      </c>
      <c r="AK21" s="30" t="e">
        <f>#REF!+AK20</f>
        <v>#REF!</v>
      </c>
      <c r="AL21" s="30" t="s">
        <v>96</v>
      </c>
      <c r="AM21" s="31"/>
    </row>
    <row r="22" spans="2:51" ht="13.9" customHeight="1" thickBot="1" x14ac:dyDescent="0.3">
      <c r="B22" s="3"/>
      <c r="C22" s="15" t="s">
        <v>31</v>
      </c>
      <c r="D22" s="16"/>
      <c r="E22" s="16"/>
      <c r="F22" s="6"/>
      <c r="G22" s="6"/>
      <c r="H22" s="6"/>
      <c r="I22" s="6"/>
      <c r="J22" s="6"/>
      <c r="K22" s="2"/>
      <c r="N22" s="3"/>
      <c r="O22" s="3"/>
      <c r="P22" s="3"/>
      <c r="Q22" s="2"/>
      <c r="R22" s="3"/>
      <c r="S22" s="3"/>
      <c r="T22" s="3"/>
      <c r="U22" s="3"/>
      <c r="V22" s="3"/>
      <c r="X22" s="19" t="s">
        <v>5</v>
      </c>
      <c r="Y22" s="20">
        <v>12</v>
      </c>
      <c r="AA22" s="26" t="s">
        <v>17</v>
      </c>
      <c r="AB22" s="27">
        <v>5</v>
      </c>
      <c r="AD22" s="30"/>
      <c r="AE22" s="65" t="s">
        <v>122</v>
      </c>
      <c r="AF22" s="66" t="e">
        <f>AB47</f>
        <v>#VALUE!</v>
      </c>
      <c r="AG22" s="69" t="e">
        <f>AB46</f>
        <v>#VALUE!</v>
      </c>
      <c r="AH22" s="31"/>
      <c r="AJ22" s="19" t="s">
        <v>95</v>
      </c>
      <c r="AK22" s="30" t="e">
        <f>AK21/144</f>
        <v>#REF!</v>
      </c>
      <c r="AL22" s="30" t="s">
        <v>97</v>
      </c>
      <c r="AM22" s="31"/>
    </row>
    <row r="23" spans="2:51" ht="13.9" customHeight="1" thickBot="1" x14ac:dyDescent="0.3">
      <c r="C23" s="5"/>
      <c r="D23" s="6"/>
      <c r="E23" s="6"/>
      <c r="F23" s="6"/>
      <c r="G23" s="6"/>
      <c r="H23" s="6"/>
      <c r="I23" s="6"/>
      <c r="J23" s="6"/>
      <c r="K23" s="2"/>
      <c r="N23" s="3"/>
      <c r="O23" s="3"/>
      <c r="P23" s="3"/>
      <c r="Q23" s="3"/>
      <c r="R23" s="3"/>
      <c r="S23" s="3"/>
      <c r="T23" s="3"/>
      <c r="U23" s="3"/>
      <c r="V23" s="3"/>
      <c r="X23" s="57" t="s">
        <v>69</v>
      </c>
      <c r="Y23" s="20">
        <v>3.9899999999999998E-2</v>
      </c>
      <c r="Z23" t="s">
        <v>76</v>
      </c>
      <c r="AD23" s="30"/>
      <c r="AE23" s="65" t="s">
        <v>123</v>
      </c>
      <c r="AF23" s="66" t="e">
        <f>AB45</f>
        <v>#VALUE!</v>
      </c>
      <c r="AG23" s="69" t="e">
        <f>AB44</f>
        <v>#VALUE!</v>
      </c>
      <c r="AH23" s="31"/>
      <c r="AJ23" s="21" t="s">
        <v>95</v>
      </c>
      <c r="AK23" s="32" t="e">
        <f>AK22/2048.5*6.66</f>
        <v>#REF!</v>
      </c>
      <c r="AL23" s="32" t="s">
        <v>98</v>
      </c>
      <c r="AM23" s="33"/>
    </row>
    <row r="24" spans="2:51" ht="15" customHeight="1" x14ac:dyDescent="0.35">
      <c r="C24" s="5"/>
      <c r="D24" s="6"/>
      <c r="E24" s="6"/>
      <c r="F24" s="6"/>
      <c r="G24" s="6"/>
      <c r="H24" s="6"/>
      <c r="I24" s="6"/>
      <c r="J24" s="6"/>
      <c r="K24" s="2"/>
      <c r="N24" s="3"/>
      <c r="O24" s="3"/>
      <c r="P24" s="3"/>
      <c r="Q24" s="3"/>
      <c r="R24" s="3"/>
      <c r="S24" s="3"/>
      <c r="T24" s="3"/>
      <c r="U24" s="3"/>
      <c r="V24" s="3"/>
      <c r="X24" s="57" t="s">
        <v>70</v>
      </c>
      <c r="Y24" s="129">
        <v>4.1999999999999996E-6</v>
      </c>
      <c r="Z24" t="s">
        <v>75</v>
      </c>
      <c r="AD24" s="94" t="s">
        <v>54</v>
      </c>
      <c r="AE24" s="65" t="s">
        <v>92</v>
      </c>
      <c r="AF24" s="124" t="e">
        <f>Y54</f>
        <v>#VALUE!</v>
      </c>
      <c r="AG24" s="124" t="e">
        <f>Y53</f>
        <v>#VALUE!</v>
      </c>
      <c r="AH24" s="139" t="e">
        <f>Y52</f>
        <v>#VALUE!</v>
      </c>
    </row>
    <row r="25" spans="2:51" x14ac:dyDescent="0.25">
      <c r="C25" s="5"/>
      <c r="D25" s="6"/>
      <c r="E25" s="6"/>
      <c r="F25" s="6"/>
      <c r="G25" s="6"/>
      <c r="H25" s="6"/>
      <c r="I25" s="6"/>
      <c r="J25" s="6"/>
      <c r="K25" s="2"/>
      <c r="N25" s="3"/>
      <c r="O25" s="3"/>
      <c r="P25" s="3"/>
      <c r="Q25" s="3"/>
      <c r="R25" s="3"/>
      <c r="S25" s="3"/>
      <c r="T25" s="3"/>
      <c r="U25" s="3"/>
      <c r="V25" s="3"/>
      <c r="X25" s="57" t="s">
        <v>71</v>
      </c>
      <c r="Y25" s="130">
        <f>Y21*2*PI()/60</f>
        <v>502.6548245743669</v>
      </c>
      <c r="Z25" t="s">
        <v>73</v>
      </c>
      <c r="AE25" s="65" t="s">
        <v>130</v>
      </c>
      <c r="AF25" s="124">
        <f>AB54</f>
        <v>2.0111653701195102E-3</v>
      </c>
      <c r="AG25" s="124">
        <f>AB53</f>
        <v>-3.0709262345742761E-7</v>
      </c>
      <c r="AH25" s="139">
        <f>AB52</f>
        <v>1.4325144135226059E-11</v>
      </c>
      <c r="AI25" s="5"/>
      <c r="AJ25" s="5"/>
      <c r="AK25" s="5"/>
    </row>
    <row r="26" spans="2:51" x14ac:dyDescent="0.25">
      <c r="C26" s="5"/>
      <c r="D26" s="6"/>
      <c r="E26" s="6"/>
      <c r="F26" s="6"/>
      <c r="G26" s="6"/>
      <c r="H26" s="6"/>
      <c r="I26" s="6"/>
      <c r="J26" s="6"/>
      <c r="K26" s="2"/>
      <c r="N26" s="3"/>
      <c r="O26" s="3"/>
      <c r="P26" s="3"/>
      <c r="Q26" s="3"/>
      <c r="R26" s="3"/>
      <c r="S26" s="3"/>
      <c r="T26" s="3"/>
      <c r="U26" s="3"/>
      <c r="V26" s="3"/>
      <c r="X26" s="57" t="s">
        <v>72</v>
      </c>
      <c r="Y26" s="132">
        <f>7/Y25</f>
        <v>1.3926057520540842E-2</v>
      </c>
      <c r="Z26" t="s">
        <v>74</v>
      </c>
      <c r="AE26" s="65" t="s">
        <v>179</v>
      </c>
      <c r="AF26" s="69" t="e">
        <f>#REF!</f>
        <v>#REF!</v>
      </c>
      <c r="AG26" s="30"/>
      <c r="AH26" s="31"/>
      <c r="AI26" s="5"/>
      <c r="AJ26" s="5"/>
      <c r="AK26" s="151"/>
    </row>
    <row r="27" spans="2:51" ht="15.75" thickBot="1" x14ac:dyDescent="0.3"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3"/>
      <c r="V27" s="3"/>
      <c r="X27" s="131" t="s">
        <v>79</v>
      </c>
      <c r="Y27" s="145" t="e">
        <f>AK23</f>
        <v>#REF!</v>
      </c>
      <c r="Z27" t="s">
        <v>80</v>
      </c>
      <c r="AB27" t="s">
        <v>112</v>
      </c>
      <c r="AE27" s="65" t="s">
        <v>178</v>
      </c>
      <c r="AF27" s="160">
        <f>$Y$34</f>
        <v>2.1213604393365078E-3</v>
      </c>
      <c r="AG27" s="30"/>
      <c r="AH27" s="31"/>
      <c r="AI27" s="5"/>
      <c r="AJ27" s="5"/>
      <c r="AK27" s="151"/>
    </row>
    <row r="28" spans="2:51" ht="15.75" thickBot="1" x14ac:dyDescent="0.3">
      <c r="X28" t="s">
        <v>35</v>
      </c>
      <c r="AE28" s="65" t="s">
        <v>177</v>
      </c>
      <c r="AF28" s="160">
        <f>$Y$33</f>
        <v>1.2250000000000001</v>
      </c>
      <c r="AG28" s="30"/>
      <c r="AH28" s="31"/>
      <c r="AI28" s="5"/>
      <c r="AJ28" s="5"/>
      <c r="AK28" s="151"/>
      <c r="AV28" t="s">
        <v>188</v>
      </c>
      <c r="AY28" t="s">
        <v>193</v>
      </c>
    </row>
    <row r="29" spans="2:51" ht="15.75" thickBot="1" x14ac:dyDescent="0.3">
      <c r="X29" s="34">
        <v>240</v>
      </c>
      <c r="Y29" s="35" t="s">
        <v>34</v>
      </c>
      <c r="Z29" s="36"/>
      <c r="AA29" s="35"/>
      <c r="AB29" s="37"/>
      <c r="AC29" s="30"/>
      <c r="AE29" s="65" t="s">
        <v>180</v>
      </c>
      <c r="AF29" s="162" t="e">
        <f>$AG$11</f>
        <v>#REF!</v>
      </c>
      <c r="AG29" s="30"/>
      <c r="AH29" s="31"/>
      <c r="AI29" s="5"/>
      <c r="AJ29" s="5"/>
      <c r="AK29" s="151"/>
      <c r="AV29" t="s">
        <v>186</v>
      </c>
      <c r="AW29" s="151"/>
      <c r="AX29" s="164" t="s">
        <v>189</v>
      </c>
      <c r="AY29" t="s">
        <v>190</v>
      </c>
    </row>
    <row r="30" spans="2:51" ht="15.75" thickBot="1" x14ac:dyDescent="0.3">
      <c r="D30" s="6"/>
      <c r="E30" s="6"/>
      <c r="F30" s="6"/>
      <c r="G30" s="6"/>
      <c r="H30" s="6"/>
      <c r="I30" s="6"/>
      <c r="J30" s="6"/>
      <c r="K30" s="9"/>
      <c r="L30" s="6"/>
      <c r="M30" s="6"/>
      <c r="N30" s="10"/>
      <c r="O30" s="10"/>
      <c r="P30" s="10"/>
      <c r="Q30" s="10"/>
      <c r="R30" s="10"/>
      <c r="S30" s="10"/>
      <c r="T30" s="10"/>
      <c r="U30" s="10"/>
      <c r="V30" s="10"/>
      <c r="X30" t="s">
        <v>36</v>
      </c>
      <c r="AE30" s="65" t="s">
        <v>182</v>
      </c>
      <c r="AF30" s="92" t="e">
        <f>AF11</f>
        <v>#REF!</v>
      </c>
      <c r="AG30" s="30"/>
      <c r="AH30" s="31"/>
      <c r="AI30" s="5"/>
      <c r="AJ30" s="5"/>
      <c r="AK30" s="151"/>
      <c r="AV30" t="s">
        <v>187</v>
      </c>
      <c r="AY30" t="s">
        <v>191</v>
      </c>
    </row>
    <row r="31" spans="2:51" x14ac:dyDescent="0.25">
      <c r="D31" s="6"/>
      <c r="E31" s="6"/>
      <c r="F31" s="6"/>
      <c r="G31" s="6"/>
      <c r="H31" s="6"/>
      <c r="I31" s="6"/>
      <c r="J31" s="6"/>
      <c r="K31" s="9"/>
      <c r="L31" s="6"/>
      <c r="M31" s="6"/>
      <c r="N31" s="10"/>
      <c r="O31" s="10"/>
      <c r="P31" s="10"/>
      <c r="Q31" s="10"/>
      <c r="R31" s="10"/>
      <c r="S31" s="10"/>
      <c r="T31" s="10"/>
      <c r="U31" s="10"/>
      <c r="V31" s="10"/>
      <c r="X31" s="17" t="s">
        <v>6</v>
      </c>
      <c r="Y31" s="50">
        <f>Y21*Y22/Z31</f>
        <v>46080</v>
      </c>
      <c r="Z31" s="154">
        <v>1.25</v>
      </c>
      <c r="AA31" s="28" t="s">
        <v>9</v>
      </c>
      <c r="AB31" s="155"/>
      <c r="AC31">
        <f>X29</f>
        <v>240</v>
      </c>
      <c r="AD31" t="s">
        <v>156</v>
      </c>
      <c r="AE31" s="65" t="s">
        <v>183</v>
      </c>
      <c r="AF31" s="162">
        <f>1/1.3556</f>
        <v>0.73768073177928595</v>
      </c>
      <c r="AG31" s="30"/>
      <c r="AH31" s="31"/>
      <c r="AI31" s="5"/>
      <c r="AJ31" s="5"/>
      <c r="AK31" s="151"/>
      <c r="AV31" t="s">
        <v>181</v>
      </c>
      <c r="AY31" t="s">
        <v>192</v>
      </c>
    </row>
    <row r="32" spans="2:51" ht="15.75" thickBot="1" x14ac:dyDescent="0.3">
      <c r="D32" s="6"/>
      <c r="E32" s="6"/>
      <c r="F32" s="6"/>
      <c r="G32" s="6"/>
      <c r="H32" s="6"/>
      <c r="I32" s="6"/>
      <c r="J32" s="6"/>
      <c r="K32" s="9"/>
      <c r="L32" s="6"/>
      <c r="M32" s="6"/>
      <c r="N32" s="10"/>
      <c r="O32" s="10"/>
      <c r="P32" s="10"/>
      <c r="Q32" s="10"/>
      <c r="R32" s="10"/>
      <c r="S32" s="10"/>
      <c r="T32" s="10"/>
      <c r="U32" s="10"/>
      <c r="V32" s="10"/>
      <c r="X32" s="21" t="s">
        <v>154</v>
      </c>
      <c r="Y32" s="156">
        <f>450/454</f>
        <v>0.99118942731277537</v>
      </c>
      <c r="Z32" s="32" t="s">
        <v>155</v>
      </c>
      <c r="AA32" s="166">
        <f>Y32/0.224</f>
        <v>4.4249528005034611</v>
      </c>
      <c r="AB32" s="33" t="s">
        <v>158</v>
      </c>
      <c r="AE32" s="65" t="s">
        <v>184</v>
      </c>
      <c r="AF32" s="179" t="e">
        <f>$Y$27</f>
        <v>#REF!</v>
      </c>
      <c r="AG32" s="30"/>
      <c r="AH32" s="31"/>
      <c r="AI32" s="5"/>
      <c r="AJ32" s="5"/>
      <c r="AK32" s="151"/>
      <c r="AV32" t="s">
        <v>194</v>
      </c>
      <c r="AW32" t="s">
        <v>197</v>
      </c>
    </row>
    <row r="33" spans="3:51" x14ac:dyDescent="0.25">
      <c r="C33" t="s">
        <v>55</v>
      </c>
      <c r="D33" s="6"/>
      <c r="E33" s="6"/>
      <c r="F33" s="6"/>
      <c r="G33" s="6"/>
      <c r="H33" s="6"/>
      <c r="I33" s="6"/>
      <c r="J33" s="6"/>
      <c r="K33" s="9"/>
      <c r="L33" s="6"/>
      <c r="M33" s="6"/>
      <c r="N33" s="10"/>
      <c r="O33" s="10"/>
      <c r="P33" s="10"/>
      <c r="Q33" s="10"/>
      <c r="R33" s="10"/>
      <c r="S33" s="10"/>
      <c r="T33" s="10"/>
      <c r="U33" s="10"/>
      <c r="V33" s="10"/>
      <c r="X33" s="45" t="s">
        <v>160</v>
      </c>
      <c r="Y33" s="5">
        <v>1.2250000000000001</v>
      </c>
      <c r="Z33" t="s">
        <v>161</v>
      </c>
      <c r="AA33" t="s">
        <v>169</v>
      </c>
      <c r="AE33" s="65" t="s">
        <v>199</v>
      </c>
      <c r="AF33" s="160">
        <f>AB34/1000</f>
        <v>5.5E-2</v>
      </c>
      <c r="AG33" s="30"/>
      <c r="AH33" s="31"/>
      <c r="AI33" s="5"/>
      <c r="AJ33" s="5"/>
      <c r="AK33" s="151"/>
      <c r="AV33" t="s">
        <v>195</v>
      </c>
      <c r="AX33" s="164" t="s">
        <v>196</v>
      </c>
      <c r="AY33" t="s">
        <v>214</v>
      </c>
    </row>
    <row r="34" spans="3:51" x14ac:dyDescent="0.25">
      <c r="C34" t="s">
        <v>51</v>
      </c>
      <c r="D34" s="6" t="s">
        <v>52</v>
      </c>
      <c r="E34" s="6" t="s">
        <v>53</v>
      </c>
      <c r="F34" s="6"/>
      <c r="G34" s="6"/>
      <c r="H34" s="6"/>
      <c r="I34" s="6"/>
      <c r="J34" s="6"/>
      <c r="K34" s="9"/>
      <c r="L34" s="6"/>
      <c r="M34" s="6"/>
      <c r="N34" s="10"/>
      <c r="O34" s="10"/>
      <c r="P34" s="10"/>
      <c r="Q34" s="10"/>
      <c r="R34" s="10"/>
      <c r="S34" s="10"/>
      <c r="T34" s="10"/>
      <c r="U34" s="10"/>
      <c r="V34" s="10"/>
      <c r="X34" s="45" t="s">
        <v>162</v>
      </c>
      <c r="Y34" s="157">
        <f>(55^2-18^2)*PI()/4/1000^2</f>
        <v>2.1213604393365078E-3</v>
      </c>
      <c r="Z34" t="s">
        <v>163</v>
      </c>
      <c r="AA34" t="s">
        <v>168</v>
      </c>
      <c r="AB34" s="157">
        <v>55</v>
      </c>
      <c r="AC34" t="s">
        <v>93</v>
      </c>
      <c r="AE34" s="161" t="s">
        <v>211</v>
      </c>
      <c r="AF34" s="160">
        <v>7</v>
      </c>
      <c r="AG34" s="30"/>
      <c r="AH34" s="31"/>
      <c r="AI34" s="5"/>
      <c r="AJ34" s="5"/>
      <c r="AK34" s="151"/>
      <c r="AV34" t="s">
        <v>198</v>
      </c>
    </row>
    <row r="35" spans="3:51" ht="15.75" thickBot="1" x14ac:dyDescent="0.3">
      <c r="C35" s="73">
        <v>87</v>
      </c>
      <c r="D35" s="6">
        <f>C35/180*(2.4-0.53)+0.53</f>
        <v>1.4338333333333333</v>
      </c>
      <c r="E35" s="88">
        <f>(D35-1)*180</f>
        <v>78.089999999999989</v>
      </c>
      <c r="F35" s="6"/>
      <c r="G35" s="6"/>
      <c r="H35" s="6"/>
      <c r="I35" s="6"/>
      <c r="J35" s="6"/>
      <c r="K35" s="9"/>
      <c r="L35" s="6"/>
      <c r="M35" s="6"/>
      <c r="N35" s="10"/>
      <c r="O35" s="10"/>
      <c r="P35" s="10"/>
      <c r="Q35" s="10"/>
      <c r="R35" s="10"/>
      <c r="S35" s="10"/>
      <c r="T35" s="10"/>
      <c r="U35" s="10">
        <f>(60*2.5/PI()/AB34*1000/41)^2</f>
        <v>448.32161728852856</v>
      </c>
      <c r="V35" s="10"/>
      <c r="AA35" t="s">
        <v>174</v>
      </c>
      <c r="AB35" s="157">
        <v>45</v>
      </c>
      <c r="AC35" t="s">
        <v>175</v>
      </c>
      <c r="AD35" t="s">
        <v>176</v>
      </c>
      <c r="AE35" s="70" t="s">
        <v>218</v>
      </c>
      <c r="AF35" s="183" t="e">
        <f>#REF!</f>
        <v>#REF!</v>
      </c>
      <c r="AG35" s="32"/>
      <c r="AH35" s="33"/>
      <c r="AX35" s="164" t="s">
        <v>189</v>
      </c>
      <c r="AY35" t="s">
        <v>200</v>
      </c>
    </row>
    <row r="36" spans="3:51" ht="30" x14ac:dyDescent="0.25">
      <c r="C36" s="73">
        <v>90</v>
      </c>
      <c r="D36" s="6">
        <f t="shared" ref="D36:D41" si="15">C36/180*(2.4-0.53)+0.53</f>
        <v>1.4649999999999999</v>
      </c>
      <c r="E36" s="88">
        <f t="shared" ref="E36:E41" si="16">(D36-1)*180</f>
        <v>83.699999999999974</v>
      </c>
      <c r="F36" s="6"/>
      <c r="G36" s="6"/>
      <c r="H36" s="6"/>
      <c r="I36" s="6"/>
      <c r="J36" s="6"/>
      <c r="K36" s="9"/>
      <c r="L36" s="6"/>
      <c r="M36" s="6"/>
      <c r="N36" s="10"/>
      <c r="O36" s="10"/>
      <c r="P36" s="10"/>
      <c r="Q36" s="10"/>
      <c r="R36" s="10"/>
      <c r="S36" s="10"/>
      <c r="T36" s="10"/>
      <c r="U36" s="10"/>
      <c r="V36" s="10"/>
      <c r="X36" s="17"/>
      <c r="Y36" s="42" t="s">
        <v>19</v>
      </c>
      <c r="Z36" s="28"/>
      <c r="AA36" s="42" t="s">
        <v>20</v>
      </c>
      <c r="AB36" s="29" t="s">
        <v>109</v>
      </c>
      <c r="AV36" t="s">
        <v>217</v>
      </c>
    </row>
    <row r="37" spans="3:51" x14ac:dyDescent="0.25">
      <c r="C37" s="73">
        <v>100</v>
      </c>
      <c r="D37" s="6">
        <f t="shared" si="15"/>
        <v>1.568888888888889</v>
      </c>
      <c r="E37" s="88">
        <f t="shared" si="16"/>
        <v>102.40000000000002</v>
      </c>
      <c r="F37" s="6"/>
      <c r="G37" s="6"/>
      <c r="H37" s="6"/>
      <c r="I37" s="6"/>
      <c r="J37" s="6"/>
      <c r="K37" s="9"/>
      <c r="L37" s="6"/>
      <c r="M37" s="6"/>
      <c r="N37" s="10"/>
      <c r="O37" s="10"/>
      <c r="P37" s="10"/>
      <c r="Q37" s="10"/>
      <c r="R37" s="10"/>
      <c r="S37" s="10"/>
      <c r="T37" s="10"/>
      <c r="U37" s="10"/>
      <c r="V37" s="10"/>
      <c r="X37" s="57" t="s">
        <v>14</v>
      </c>
      <c r="Y37" s="58">
        <v>0</v>
      </c>
      <c r="Z37" s="45" t="s">
        <v>13</v>
      </c>
      <c r="AA37" s="59">
        <v>0</v>
      </c>
      <c r="AB37" s="89" t="e">
        <f>AB47/Y31*100</f>
        <v>#VALUE!</v>
      </c>
      <c r="AC37" t="s">
        <v>106</v>
      </c>
      <c r="AV37" t="s">
        <v>215</v>
      </c>
    </row>
    <row r="38" spans="3:51" x14ac:dyDescent="0.25">
      <c r="C38" s="73">
        <v>110</v>
      </c>
      <c r="D38" s="6">
        <f t="shared" si="15"/>
        <v>1.6727777777777779</v>
      </c>
      <c r="E38" s="88">
        <f t="shared" si="16"/>
        <v>121.10000000000002</v>
      </c>
      <c r="F38" s="6"/>
      <c r="G38" s="6"/>
      <c r="H38" s="6"/>
      <c r="I38" s="6"/>
      <c r="J38" s="6"/>
      <c r="K38" s="2"/>
      <c r="N38" s="3"/>
      <c r="O38" s="3"/>
      <c r="P38" s="3"/>
      <c r="Q38" s="3"/>
      <c r="R38" s="3"/>
      <c r="S38" s="3"/>
      <c r="T38" s="3"/>
      <c r="U38" s="3"/>
      <c r="V38" s="3"/>
      <c r="X38" s="57" t="s">
        <v>15</v>
      </c>
      <c r="Y38" s="58">
        <v>5</v>
      </c>
      <c r="Z38" s="45" t="s">
        <v>18</v>
      </c>
      <c r="AA38" s="59">
        <v>180</v>
      </c>
      <c r="AB38" s="60">
        <v>77</v>
      </c>
      <c r="AV38" t="s">
        <v>216</v>
      </c>
    </row>
    <row r="39" spans="3:51" x14ac:dyDescent="0.25">
      <c r="C39" s="73">
        <v>114</v>
      </c>
      <c r="D39" s="6">
        <f t="shared" si="15"/>
        <v>1.7143333333333333</v>
      </c>
      <c r="E39" s="88">
        <f t="shared" si="16"/>
        <v>128.57999999999998</v>
      </c>
      <c r="X39" s="19"/>
      <c r="Y39" s="30" t="s">
        <v>40</v>
      </c>
      <c r="Z39" s="30"/>
      <c r="AA39" s="61"/>
      <c r="AB39" s="89" t="e">
        <f>(AB38-AB37)/(Y38-Y37)</f>
        <v>#VALUE!</v>
      </c>
      <c r="AJ39" s="104"/>
      <c r="AR39" s="3"/>
    </row>
    <row r="40" spans="3:51" x14ac:dyDescent="0.25">
      <c r="C40" s="73">
        <v>127.5</v>
      </c>
      <c r="D40" s="6">
        <f t="shared" si="15"/>
        <v>1.8545833333333333</v>
      </c>
      <c r="E40" s="88">
        <f t="shared" si="16"/>
        <v>153.82499999999999</v>
      </c>
      <c r="X40" s="19"/>
      <c r="Y40" s="30"/>
      <c r="Z40" s="30"/>
      <c r="AA40" s="61"/>
      <c r="AB40" s="89" t="e">
        <f>AB38-AB39*(Y38-Y37)</f>
        <v>#VALUE!</v>
      </c>
      <c r="AS40" s="3"/>
    </row>
    <row r="41" spans="3:51" ht="15.75" thickBot="1" x14ac:dyDescent="0.3">
      <c r="C41" s="80">
        <v>136.4</v>
      </c>
      <c r="D41" s="6">
        <f t="shared" si="15"/>
        <v>1.9470444444444444</v>
      </c>
      <c r="E41" s="88">
        <f t="shared" si="16"/>
        <v>170.46799999999999</v>
      </c>
      <c r="X41" s="21"/>
      <c r="Y41" s="32"/>
      <c r="Z41" s="32"/>
      <c r="AA41" s="47"/>
      <c r="AB41" s="48" t="s">
        <v>124</v>
      </c>
    </row>
    <row r="43" spans="3:51" ht="15.75" thickBot="1" x14ac:dyDescent="0.3">
      <c r="X43" t="s">
        <v>38</v>
      </c>
    </row>
    <row r="44" spans="3:51" x14ac:dyDescent="0.25">
      <c r="X44" s="49" t="s">
        <v>121</v>
      </c>
      <c r="Y44" s="50" t="e">
        <f>INDEX(LINEST($Q$6:$Q$16,$E$6:$E$16^{1,2},FALSE,FALSE),1)</f>
        <v>#VALUE!</v>
      </c>
      <c r="Z44" s="28"/>
      <c r="AA44" s="51" t="s">
        <v>123</v>
      </c>
      <c r="AB44" s="52" t="e">
        <f>INDEX(LINEST($P$6:$P$16,$Q$6:$Q$16),1)</f>
        <v>#VALUE!</v>
      </c>
    </row>
    <row r="45" spans="3:51" x14ac:dyDescent="0.25">
      <c r="X45" s="43"/>
      <c r="Y45" s="54" t="e">
        <f>INDEX(LINEST($Q$6:$Q$16,$E$6:$E$16^{1,2},FALSE,FALSE),2)</f>
        <v>#VALUE!</v>
      </c>
      <c r="Z45" s="30"/>
      <c r="AA45" s="44"/>
      <c r="AB45" s="46" t="e">
        <f>INDEX(LINEST($P$6:$P$16,$Q$6:$Q$16),2)</f>
        <v>#VALUE!</v>
      </c>
    </row>
    <row r="46" spans="3:51" x14ac:dyDescent="0.25">
      <c r="X46" s="43"/>
      <c r="Y46" s="54" t="e">
        <f>INDEX(LINEST($Q$6:$Q$16,$E$6:$E$16^{1,2},FALSE,FALSE),3)</f>
        <v>#VALUE!</v>
      </c>
      <c r="Z46" s="30"/>
      <c r="AA46" s="44" t="s">
        <v>122</v>
      </c>
      <c r="AB46" s="46" t="e">
        <f>INDEX(LINEST($Q$6:$Q$16,$P$6:$P$16),1)</f>
        <v>#VALUE!</v>
      </c>
    </row>
    <row r="47" spans="3:51" x14ac:dyDescent="0.25">
      <c r="X47" s="43" t="s">
        <v>21</v>
      </c>
      <c r="Y47" s="54" t="e">
        <f>INDEX(LINEST($P$6:$P$16,$M$6:$M$16),1)</f>
        <v>#VALUE!</v>
      </c>
      <c r="Z47" s="30"/>
      <c r="AA47" s="44"/>
      <c r="AB47" s="46" t="e">
        <f>INDEX(LINEST($Q$6:$Q$16,$P$6:$P$16),2)</f>
        <v>#VALUE!</v>
      </c>
      <c r="AC47" t="s">
        <v>60</v>
      </c>
    </row>
    <row r="48" spans="3:51" x14ac:dyDescent="0.25">
      <c r="X48" s="43"/>
      <c r="Y48" s="54" t="e">
        <f>INDEX(LINEST($P$6:$P$16,$M$6:$M$16),2)</f>
        <v>#VALUE!</v>
      </c>
      <c r="Z48" s="30"/>
      <c r="AA48" s="30"/>
      <c r="AB48" s="31"/>
    </row>
    <row r="49" spans="3:34" x14ac:dyDescent="0.25">
      <c r="X49" s="19"/>
      <c r="Y49" s="30"/>
      <c r="Z49" s="30"/>
      <c r="AA49" s="30"/>
      <c r="AB49" s="31"/>
    </row>
    <row r="50" spans="3:34" x14ac:dyDescent="0.25">
      <c r="H50" s="176" t="s">
        <v>212</v>
      </c>
      <c r="X50" s="181" t="s">
        <v>62</v>
      </c>
      <c r="Y50" s="44" t="e">
        <f>EXP((0-$AF$21)/$AG$21)</f>
        <v>#VALUE!</v>
      </c>
      <c r="Z50" s="30"/>
      <c r="AA50" s="30"/>
      <c r="AB50" s="31"/>
      <c r="AC50" t="s">
        <v>65</v>
      </c>
    </row>
    <row r="51" spans="3:34" x14ac:dyDescent="0.25">
      <c r="X51" s="19"/>
      <c r="Y51" s="30"/>
      <c r="Z51" s="30"/>
      <c r="AA51" s="30"/>
      <c r="AB51" s="31"/>
    </row>
    <row r="52" spans="3:34" x14ac:dyDescent="0.25">
      <c r="X52" s="43" t="s">
        <v>92</v>
      </c>
      <c r="Y52" s="180" t="e">
        <f>INDEX(LINEST($Y$4:$Y$16,$P$4:$P$16^{1,2}),1)</f>
        <v>#VALUE!</v>
      </c>
      <c r="Z52" s="30"/>
      <c r="AA52" s="44" t="s">
        <v>130</v>
      </c>
      <c r="AB52" s="122">
        <f>INDEX(LINEST($Y$58:$Y$75,$P$58:$P$75^{1,2}),1)</f>
        <v>1.4325144135226059E-11</v>
      </c>
      <c r="AG52" s="45"/>
      <c r="AH52" s="149"/>
    </row>
    <row r="53" spans="3:34" x14ac:dyDescent="0.25">
      <c r="X53" s="43"/>
      <c r="Y53" s="180" t="e">
        <f>INDEX(LINEST($Y$4:$Y$16,$P$4:$P$16^{1,2}),2)</f>
        <v>#VALUE!</v>
      </c>
      <c r="Z53" s="30"/>
      <c r="AA53" s="44"/>
      <c r="AB53" s="122">
        <f>INDEX(LINEST($Y$58:$Y$75,$P$58:$P$75^{1,2}),2)</f>
        <v>-3.0709262345742761E-7</v>
      </c>
      <c r="AG53" s="45"/>
      <c r="AH53" s="149"/>
    </row>
    <row r="54" spans="3:34" ht="15.75" thickBot="1" x14ac:dyDescent="0.3">
      <c r="X54" s="55"/>
      <c r="Y54" s="182" t="e">
        <f>INDEX(LINEST($Y$4:$Y$16,$P$4:$P$16^{1,2}),3)</f>
        <v>#VALUE!</v>
      </c>
      <c r="Z54" s="32"/>
      <c r="AA54" s="108"/>
      <c r="AB54" s="123">
        <f>INDEX(LINEST($Y$58:$Y$75,$P$58:$P$75^{1,2}),3)</f>
        <v>2.0111653701195102E-3</v>
      </c>
      <c r="AG54" s="45"/>
      <c r="AH54" s="149"/>
    </row>
    <row r="57" spans="3:34" x14ac:dyDescent="0.25">
      <c r="C57" t="s">
        <v>116</v>
      </c>
      <c r="W57" t="s">
        <v>89</v>
      </c>
      <c r="X57" t="s">
        <v>150</v>
      </c>
      <c r="Y57" t="s">
        <v>151</v>
      </c>
    </row>
    <row r="58" spans="3:34" x14ac:dyDescent="0.25">
      <c r="C58" s="113">
        <f t="shared" ref="C58:C75" si="17">D58/180+1</f>
        <v>1.0611111111111111</v>
      </c>
      <c r="D58" s="142">
        <v>11</v>
      </c>
      <c r="E58" s="142"/>
      <c r="F58" s="142">
        <v>13.68</v>
      </c>
      <c r="G58" s="142">
        <v>0.6</v>
      </c>
      <c r="H58" s="142">
        <v>6860</v>
      </c>
      <c r="I58" s="143"/>
      <c r="J58" s="142"/>
      <c r="K58" s="2">
        <f>F58*G58</f>
        <v>8.2080000000000002</v>
      </c>
      <c r="L58" s="1">
        <f>D58</f>
        <v>11</v>
      </c>
      <c r="M58" s="1">
        <f>LN(L58)</f>
        <v>2.3978952727983707</v>
      </c>
      <c r="N58" s="3">
        <f>1/H58/0.000001</f>
        <v>145.77259475218659</v>
      </c>
      <c r="O58" s="3"/>
      <c r="P58" s="3">
        <f t="shared" ref="P58:Q73" si="18">N58*60/$Y$20</f>
        <v>8746.3556851311951</v>
      </c>
      <c r="Q58" s="3">
        <f t="shared" si="18"/>
        <v>0</v>
      </c>
      <c r="R58" s="3">
        <f t="shared" ref="R58:S73" si="19">P58/$Y$31*100</f>
        <v>18.980806608357629</v>
      </c>
      <c r="S58" s="3">
        <f t="shared" si="19"/>
        <v>0</v>
      </c>
      <c r="T58" s="3">
        <f>L58</f>
        <v>11</v>
      </c>
      <c r="U58" s="4">
        <f>K58</f>
        <v>8.2080000000000002</v>
      </c>
      <c r="V58" s="4"/>
      <c r="W58">
        <f>(U58-$U$3)*0.001341022</f>
        <v>5.0395070351200002E-3</v>
      </c>
      <c r="X58" s="137">
        <f>$W58/$P58*5252</f>
        <v>3.0261164651061443E-3</v>
      </c>
      <c r="Y58" s="150">
        <f>X58-$X$58</f>
        <v>0</v>
      </c>
      <c r="Z58">
        <f t="shared" ref="Z58:Z75" si="20">-Y58/2/P58</f>
        <v>0</v>
      </c>
    </row>
    <row r="59" spans="3:34" x14ac:dyDescent="0.25">
      <c r="C59" s="113">
        <f t="shared" si="17"/>
        <v>1.0833333333333333</v>
      </c>
      <c r="D59" s="142">
        <v>15</v>
      </c>
      <c r="E59" s="142"/>
      <c r="F59" s="142">
        <v>13.66</v>
      </c>
      <c r="G59" s="142">
        <v>0.65100000000000002</v>
      </c>
      <c r="H59" s="142">
        <v>6180</v>
      </c>
      <c r="I59" s="143"/>
      <c r="J59" s="142"/>
      <c r="K59" s="2">
        <f>F59*G59</f>
        <v>8.8926600000000011</v>
      </c>
      <c r="L59" s="1">
        <f>D59</f>
        <v>15</v>
      </c>
      <c r="M59" s="1">
        <f>LN(L59)</f>
        <v>2.7080502011022101</v>
      </c>
      <c r="N59" s="3">
        <f>1/H59/0.000001</f>
        <v>161.81229773462783</v>
      </c>
      <c r="O59" s="3"/>
      <c r="P59" s="3">
        <f t="shared" si="18"/>
        <v>9708.7378640776697</v>
      </c>
      <c r="Q59" s="3">
        <f t="shared" si="18"/>
        <v>0</v>
      </c>
      <c r="R59" s="3">
        <f t="shared" si="19"/>
        <v>21.069309600862997</v>
      </c>
      <c r="S59" s="3">
        <f t="shared" si="19"/>
        <v>0</v>
      </c>
      <c r="T59" s="3">
        <f>L59</f>
        <v>15</v>
      </c>
      <c r="U59" s="4">
        <f>K59</f>
        <v>8.8926600000000011</v>
      </c>
      <c r="V59" s="4"/>
      <c r="W59">
        <f t="shared" ref="W59:W75" si="21">(U59-$U$3)*0.001341022</f>
        <v>5.9576511576400013E-3</v>
      </c>
      <c r="X59" s="127">
        <f>$W59/$P59*5252</f>
        <v>3.2228271396323046E-3</v>
      </c>
      <c r="Y59" s="150">
        <f t="shared" ref="Y59:Y75" si="22">X59-$X$58</f>
        <v>1.967106745261603E-4</v>
      </c>
      <c r="Z59">
        <f t="shared" si="20"/>
        <v>-1.0130599738097255E-8</v>
      </c>
    </row>
    <row r="60" spans="3:34" x14ac:dyDescent="0.25">
      <c r="C60" s="113">
        <f t="shared" si="17"/>
        <v>1.0666666666666667</v>
      </c>
      <c r="D60" s="142">
        <v>12</v>
      </c>
      <c r="E60" s="142"/>
      <c r="F60" s="142">
        <v>13.63</v>
      </c>
      <c r="G60" s="142">
        <v>0.68</v>
      </c>
      <c r="H60" s="142">
        <v>5840</v>
      </c>
      <c r="I60" s="143"/>
      <c r="J60" s="142"/>
      <c r="K60" s="2">
        <f>F60*G60</f>
        <v>9.2684000000000015</v>
      </c>
      <c r="L60" s="1">
        <f>D60</f>
        <v>12</v>
      </c>
      <c r="M60" s="1">
        <f>LN(L60)</f>
        <v>2.4849066497880004</v>
      </c>
      <c r="N60" s="3">
        <f>1/H60/0.000001</f>
        <v>171.23287671232879</v>
      </c>
      <c r="O60" s="3"/>
      <c r="P60" s="3">
        <f t="shared" si="18"/>
        <v>10273.972602739726</v>
      </c>
      <c r="Q60" s="3">
        <f t="shared" si="18"/>
        <v>0</v>
      </c>
      <c r="R60" s="3">
        <f t="shared" si="19"/>
        <v>22.295947488584474</v>
      </c>
      <c r="S60" s="3">
        <f t="shared" si="19"/>
        <v>0</v>
      </c>
      <c r="T60" s="3">
        <f>L60</f>
        <v>12</v>
      </c>
      <c r="U60" s="4">
        <f>K60</f>
        <v>9.2684000000000015</v>
      </c>
      <c r="V60" s="4"/>
      <c r="W60">
        <f t="shared" si="21"/>
        <v>6.4615267639200015E-3</v>
      </c>
      <c r="X60" s="127">
        <f t="shared" ref="X60:X75" si="23">$W60/$P60*5252</f>
        <v>3.3030980202398302E-3</v>
      </c>
      <c r="Y60" s="150">
        <f t="shared" si="22"/>
        <v>2.7698155513368591E-4</v>
      </c>
      <c r="Z60">
        <f t="shared" si="20"/>
        <v>-1.3479769016506046E-8</v>
      </c>
    </row>
    <row r="61" spans="3:34" x14ac:dyDescent="0.25">
      <c r="C61" s="113">
        <f t="shared" si="17"/>
        <v>1.0722222222222222</v>
      </c>
      <c r="D61" s="142">
        <v>13</v>
      </c>
      <c r="E61" s="142"/>
      <c r="F61" s="142">
        <v>13.6</v>
      </c>
      <c r="G61" s="142">
        <v>0.74</v>
      </c>
      <c r="H61" s="142">
        <v>5280</v>
      </c>
      <c r="I61" s="143"/>
      <c r="J61" s="142"/>
      <c r="K61" s="2">
        <f>F61*G61</f>
        <v>10.064</v>
      </c>
      <c r="L61" s="1">
        <f>D61</f>
        <v>13</v>
      </c>
      <c r="M61" s="1">
        <f>LN(L61)</f>
        <v>2.5649493574615367</v>
      </c>
      <c r="N61" s="3">
        <f>1/H61/0.000001</f>
        <v>189.39393939393941</v>
      </c>
      <c r="O61" s="3"/>
      <c r="P61" s="3">
        <f t="shared" si="18"/>
        <v>11363.636363636364</v>
      </c>
      <c r="Q61" s="3">
        <f t="shared" si="18"/>
        <v>0</v>
      </c>
      <c r="R61" s="3">
        <f t="shared" si="19"/>
        <v>24.660669191919194</v>
      </c>
      <c r="S61" s="3">
        <f t="shared" si="19"/>
        <v>0</v>
      </c>
      <c r="T61" s="3">
        <f>L61</f>
        <v>13</v>
      </c>
      <c r="U61" s="4">
        <f>K61</f>
        <v>10.064</v>
      </c>
      <c r="V61" s="4"/>
      <c r="W61">
        <f t="shared" si="21"/>
        <v>7.52844386712E-3</v>
      </c>
      <c r="X61" s="127">
        <f t="shared" si="23"/>
        <v>3.479466072730053E-3</v>
      </c>
      <c r="Y61" s="150">
        <f t="shared" si="22"/>
        <v>4.5334960762390868E-4</v>
      </c>
      <c r="Z61">
        <f t="shared" si="20"/>
        <v>-1.9947382735451983E-8</v>
      </c>
    </row>
    <row r="62" spans="3:34" x14ac:dyDescent="0.25">
      <c r="C62" s="113">
        <f t="shared" si="17"/>
        <v>1.0777777777777777</v>
      </c>
      <c r="D62" s="142">
        <v>14</v>
      </c>
      <c r="E62" s="142"/>
      <c r="F62" s="142">
        <v>13.57</v>
      </c>
      <c r="G62" s="142">
        <v>0.78700000000000003</v>
      </c>
      <c r="H62" s="142">
        <v>4900</v>
      </c>
      <c r="I62" s="143"/>
      <c r="J62" s="142"/>
      <c r="K62" s="2">
        <f>F62*G62</f>
        <v>10.679590000000001</v>
      </c>
      <c r="L62" s="1">
        <f>D62</f>
        <v>14</v>
      </c>
      <c r="M62" s="1">
        <f>LN(L62)</f>
        <v>2.6390573296152584</v>
      </c>
      <c r="N62" s="3">
        <f>1/H62/0.000001</f>
        <v>204.08163265306123</v>
      </c>
      <c r="O62" s="3"/>
      <c r="P62" s="3">
        <f t="shared" si="18"/>
        <v>12244.897959183674</v>
      </c>
      <c r="Q62" s="3">
        <f t="shared" si="18"/>
        <v>0</v>
      </c>
      <c r="R62" s="3">
        <f t="shared" si="19"/>
        <v>26.573129251700685</v>
      </c>
      <c r="S62" s="3">
        <f t="shared" si="19"/>
        <v>0</v>
      </c>
      <c r="T62" s="3">
        <f>L62</f>
        <v>14</v>
      </c>
      <c r="U62" s="4">
        <f>K62</f>
        <v>10.679590000000001</v>
      </c>
      <c r="V62" s="4"/>
      <c r="W62">
        <f t="shared" si="21"/>
        <v>8.3539636001000016E-3</v>
      </c>
      <c r="X62" s="127">
        <f t="shared" si="23"/>
        <v>3.5831263742642254E-3</v>
      </c>
      <c r="Y62" s="150">
        <f t="shared" si="22"/>
        <v>5.5700990915808109E-4</v>
      </c>
      <c r="Z62">
        <f t="shared" si="20"/>
        <v>-2.2744571290621641E-8</v>
      </c>
    </row>
    <row r="63" spans="3:34" x14ac:dyDescent="0.25">
      <c r="C63" s="113">
        <f t="shared" si="17"/>
        <v>1.1111111111111112</v>
      </c>
      <c r="D63" s="142">
        <v>20</v>
      </c>
      <c r="E63" s="142"/>
      <c r="F63" s="142">
        <v>13.77</v>
      </c>
      <c r="G63" s="142">
        <v>0.92900000000000005</v>
      </c>
      <c r="H63" s="142">
        <v>3500</v>
      </c>
      <c r="I63" s="143"/>
      <c r="J63" s="142"/>
      <c r="K63" s="2">
        <f t="shared" ref="K63:K75" si="24">F63*G63</f>
        <v>12.79233</v>
      </c>
      <c r="L63" s="1">
        <f t="shared" ref="L63:L75" si="25">D63</f>
        <v>20</v>
      </c>
      <c r="M63" s="1">
        <f t="shared" ref="M63:M75" si="26">LN(L63)</f>
        <v>2.9957322735539909</v>
      </c>
      <c r="N63" s="3">
        <f t="shared" ref="N63:N75" si="27">1/H63/0.000001</f>
        <v>285.71428571428572</v>
      </c>
      <c r="O63" s="3"/>
      <c r="P63" s="3">
        <f t="shared" si="18"/>
        <v>17142.857142857145</v>
      </c>
      <c r="Q63" s="3">
        <f t="shared" si="18"/>
        <v>0</v>
      </c>
      <c r="R63" s="3">
        <f t="shared" si="19"/>
        <v>37.202380952380956</v>
      </c>
      <c r="S63" s="3">
        <f t="shared" si="19"/>
        <v>0</v>
      </c>
      <c r="T63" s="3">
        <f t="shared" ref="T63:T75" si="28">L63</f>
        <v>20</v>
      </c>
      <c r="U63" s="4">
        <f t="shared" ref="U63:U75" si="29">K63</f>
        <v>12.79233</v>
      </c>
      <c r="V63" s="4"/>
      <c r="W63">
        <f t="shared" si="21"/>
        <v>1.1187194420379999E-2</v>
      </c>
      <c r="X63" s="127">
        <f t="shared" si="23"/>
        <v>3.4273834639237518E-3</v>
      </c>
      <c r="Y63" s="150">
        <f t="shared" si="22"/>
        <v>4.0126699881760756E-4</v>
      </c>
      <c r="Z63">
        <f t="shared" si="20"/>
        <v>-1.1703620798846885E-8</v>
      </c>
    </row>
    <row r="64" spans="3:34" x14ac:dyDescent="0.25">
      <c r="C64" s="113">
        <f t="shared" si="17"/>
        <v>1.1388888888888888</v>
      </c>
      <c r="D64" s="142">
        <v>25</v>
      </c>
      <c r="E64" s="142"/>
      <c r="F64" s="142">
        <v>13.74</v>
      </c>
      <c r="G64" s="142">
        <v>1.26</v>
      </c>
      <c r="H64" s="142">
        <v>3010</v>
      </c>
      <c r="I64" s="142"/>
      <c r="J64" s="142"/>
      <c r="K64" s="2">
        <f t="shared" si="24"/>
        <v>17.3124</v>
      </c>
      <c r="L64" s="1">
        <f t="shared" si="25"/>
        <v>25</v>
      </c>
      <c r="M64" s="1">
        <f t="shared" si="26"/>
        <v>3.2188758248682006</v>
      </c>
      <c r="N64" s="3">
        <f t="shared" si="27"/>
        <v>332.22591362126246</v>
      </c>
      <c r="O64" s="3"/>
      <c r="P64" s="3">
        <f t="shared" si="18"/>
        <v>19933.554817275748</v>
      </c>
      <c r="Q64" s="3">
        <f t="shared" si="18"/>
        <v>0</v>
      </c>
      <c r="R64" s="3">
        <f t="shared" si="19"/>
        <v>43.258582502768547</v>
      </c>
      <c r="S64" s="3">
        <f t="shared" si="19"/>
        <v>0</v>
      </c>
      <c r="T64" s="3">
        <f t="shared" si="28"/>
        <v>25</v>
      </c>
      <c r="U64" s="4">
        <f t="shared" si="29"/>
        <v>17.3124</v>
      </c>
      <c r="V64" s="4"/>
      <c r="W64">
        <f t="shared" si="21"/>
        <v>1.7248707731919999E-2</v>
      </c>
      <c r="X64" s="127">
        <f t="shared" si="23"/>
        <v>4.5446090192368654E-3</v>
      </c>
      <c r="Y64" s="150">
        <f t="shared" si="22"/>
        <v>1.5184925541307211E-3</v>
      </c>
      <c r="Z64">
        <f t="shared" si="20"/>
        <v>-3.8088854899445583E-8</v>
      </c>
    </row>
    <row r="65" spans="3:26" x14ac:dyDescent="0.25">
      <c r="C65" s="113">
        <f t="shared" si="17"/>
        <v>1.1666666666666667</v>
      </c>
      <c r="D65" s="142">
        <v>30</v>
      </c>
      <c r="E65" s="142"/>
      <c r="F65" s="142">
        <v>13.72</v>
      </c>
      <c r="G65" s="142">
        <v>1.734</v>
      </c>
      <c r="H65" s="142">
        <v>2650</v>
      </c>
      <c r="I65" s="142"/>
      <c r="J65" s="142"/>
      <c r="K65" s="2">
        <f t="shared" si="24"/>
        <v>23.790480000000002</v>
      </c>
      <c r="L65" s="1">
        <f t="shared" si="25"/>
        <v>30</v>
      </c>
      <c r="M65" s="1">
        <f t="shared" si="26"/>
        <v>3.4011973816621555</v>
      </c>
      <c r="N65" s="3">
        <f t="shared" si="27"/>
        <v>377.35849056603774</v>
      </c>
      <c r="O65" s="3"/>
      <c r="P65" s="3">
        <f t="shared" si="18"/>
        <v>22641.509433962266</v>
      </c>
      <c r="Q65" s="3">
        <f t="shared" si="18"/>
        <v>0</v>
      </c>
      <c r="R65" s="3">
        <f t="shared" si="19"/>
        <v>49.135220125786169</v>
      </c>
      <c r="S65" s="3">
        <f t="shared" si="19"/>
        <v>0</v>
      </c>
      <c r="T65" s="3">
        <f t="shared" si="28"/>
        <v>30</v>
      </c>
      <c r="U65" s="4">
        <f t="shared" si="29"/>
        <v>23.790480000000002</v>
      </c>
      <c r="V65" s="4"/>
      <c r="W65">
        <f t="shared" si="21"/>
        <v>2.5935955529680001E-2</v>
      </c>
      <c r="X65" s="127">
        <f t="shared" si="23"/>
        <v>6.0161906978496715E-3</v>
      </c>
      <c r="Y65" s="150">
        <f t="shared" si="22"/>
        <v>2.9900742327435273E-3</v>
      </c>
      <c r="Z65">
        <f t="shared" si="20"/>
        <v>-6.6030805973086218E-8</v>
      </c>
    </row>
    <row r="66" spans="3:26" x14ac:dyDescent="0.25">
      <c r="C66" s="113">
        <f t="shared" si="17"/>
        <v>1.1944444444444444</v>
      </c>
      <c r="D66" s="142">
        <v>35</v>
      </c>
      <c r="E66" s="142"/>
      <c r="F66" s="142">
        <v>13.69</v>
      </c>
      <c r="G66" s="142">
        <v>2.113</v>
      </c>
      <c r="H66" s="142">
        <v>2500</v>
      </c>
      <c r="I66" s="142"/>
      <c r="J66" s="142"/>
      <c r="K66" s="2">
        <f t="shared" si="24"/>
        <v>28.926969999999997</v>
      </c>
      <c r="L66" s="1">
        <f t="shared" si="25"/>
        <v>35</v>
      </c>
      <c r="M66" s="1">
        <f t="shared" si="26"/>
        <v>3.5553480614894135</v>
      </c>
      <c r="N66" s="3">
        <f t="shared" si="27"/>
        <v>400.00000000000006</v>
      </c>
      <c r="O66" s="3"/>
      <c r="P66" s="3">
        <f t="shared" si="18"/>
        <v>24000.000000000004</v>
      </c>
      <c r="Q66" s="3">
        <f t="shared" si="18"/>
        <v>0</v>
      </c>
      <c r="R66" s="3">
        <f t="shared" si="19"/>
        <v>52.083333333333336</v>
      </c>
      <c r="S66" s="3">
        <f t="shared" si="19"/>
        <v>0</v>
      </c>
      <c r="T66" s="3">
        <f t="shared" si="28"/>
        <v>35</v>
      </c>
      <c r="U66" s="4">
        <f t="shared" si="29"/>
        <v>28.926969999999997</v>
      </c>
      <c r="V66" s="4"/>
      <c r="W66">
        <f t="shared" si="21"/>
        <v>3.2824101622459995E-2</v>
      </c>
      <c r="X66" s="127">
        <f t="shared" si="23"/>
        <v>7.1830075717149939E-3</v>
      </c>
      <c r="Y66" s="150">
        <f t="shared" si="22"/>
        <v>4.1568911066088496E-3</v>
      </c>
      <c r="Z66">
        <f t="shared" si="20"/>
        <v>-8.6601898054351018E-8</v>
      </c>
    </row>
    <row r="67" spans="3:26" x14ac:dyDescent="0.25">
      <c r="C67" s="113">
        <f t="shared" si="17"/>
        <v>1.2222222222222223</v>
      </c>
      <c r="D67" s="142">
        <v>40</v>
      </c>
      <c r="E67" s="142"/>
      <c r="F67" s="142">
        <v>13.66</v>
      </c>
      <c r="G67" s="142">
        <v>2.37</v>
      </c>
      <c r="H67" s="142">
        <v>2270</v>
      </c>
      <c r="I67" s="142"/>
      <c r="J67" s="142"/>
      <c r="K67" s="2">
        <f t="shared" si="24"/>
        <v>32.374200000000002</v>
      </c>
      <c r="L67" s="1">
        <f t="shared" si="25"/>
        <v>40</v>
      </c>
      <c r="M67" s="1">
        <f t="shared" si="26"/>
        <v>3.6888794541139363</v>
      </c>
      <c r="N67" s="3">
        <f t="shared" si="27"/>
        <v>440.52863436123351</v>
      </c>
      <c r="O67" s="3"/>
      <c r="P67" s="3">
        <f t="shared" si="18"/>
        <v>26431.718061674012</v>
      </c>
      <c r="Q67" s="3">
        <f t="shared" si="18"/>
        <v>0</v>
      </c>
      <c r="R67" s="3">
        <f t="shared" si="19"/>
        <v>57.360499265785613</v>
      </c>
      <c r="S67" s="3">
        <f t="shared" si="19"/>
        <v>0</v>
      </c>
      <c r="T67" s="3">
        <f t="shared" si="28"/>
        <v>40</v>
      </c>
      <c r="U67" s="4">
        <f t="shared" si="29"/>
        <v>32.374200000000002</v>
      </c>
      <c r="V67" s="4"/>
      <c r="W67">
        <f t="shared" si="21"/>
        <v>3.7446912891520003E-2</v>
      </c>
      <c r="X67" s="127">
        <f t="shared" si="23"/>
        <v>7.4407265561536179E-3</v>
      </c>
      <c r="Y67" s="150">
        <f t="shared" si="22"/>
        <v>4.4146100910474736E-3</v>
      </c>
      <c r="Z67">
        <f t="shared" si="20"/>
        <v>-8.3509707555648035E-8</v>
      </c>
    </row>
    <row r="68" spans="3:26" x14ac:dyDescent="0.25">
      <c r="C68" s="113">
        <f t="shared" si="17"/>
        <v>1.2777777777777777</v>
      </c>
      <c r="D68" s="142">
        <v>50</v>
      </c>
      <c r="E68" s="142"/>
      <c r="F68" s="142">
        <v>13.6</v>
      </c>
      <c r="G68" s="142">
        <v>3.1</v>
      </c>
      <c r="H68" s="142">
        <v>2020</v>
      </c>
      <c r="I68" s="142"/>
      <c r="J68" s="142"/>
      <c r="K68" s="2">
        <f t="shared" si="24"/>
        <v>42.16</v>
      </c>
      <c r="L68" s="1">
        <f t="shared" si="25"/>
        <v>50</v>
      </c>
      <c r="M68" s="1">
        <f t="shared" si="26"/>
        <v>3.912023005428146</v>
      </c>
      <c r="N68" s="3">
        <f t="shared" si="27"/>
        <v>495.04950495049508</v>
      </c>
      <c r="O68" s="3"/>
      <c r="P68" s="3">
        <f t="shared" si="18"/>
        <v>29702.970297029704</v>
      </c>
      <c r="Q68" s="3">
        <f t="shared" si="18"/>
        <v>0</v>
      </c>
      <c r="R68" s="3">
        <f t="shared" si="19"/>
        <v>64.459570957095707</v>
      </c>
      <c r="S68" s="3">
        <f t="shared" si="19"/>
        <v>0</v>
      </c>
      <c r="T68" s="3">
        <f t="shared" si="28"/>
        <v>50</v>
      </c>
      <c r="U68" s="4">
        <f t="shared" si="29"/>
        <v>42.16</v>
      </c>
      <c r="V68" s="4"/>
      <c r="W68">
        <f t="shared" si="21"/>
        <v>5.0569885979119995E-2</v>
      </c>
      <c r="X68" s="127">
        <f t="shared" si="23"/>
        <v>8.9416323857987191E-3</v>
      </c>
      <c r="Y68" s="150">
        <f t="shared" si="22"/>
        <v>5.9155159206925748E-3</v>
      </c>
      <c r="Z68">
        <f t="shared" si="20"/>
        <v>-9.957785133165834E-8</v>
      </c>
    </row>
    <row r="69" spans="3:26" x14ac:dyDescent="0.25">
      <c r="C69" s="113">
        <f t="shared" si="17"/>
        <v>1.3333333333333333</v>
      </c>
      <c r="D69" s="142">
        <v>60</v>
      </c>
      <c r="E69" s="142"/>
      <c r="F69" s="142">
        <v>13.52</v>
      </c>
      <c r="G69" s="142">
        <v>3.9</v>
      </c>
      <c r="H69" s="142">
        <v>1870</v>
      </c>
      <c r="I69" s="142"/>
      <c r="J69" s="142"/>
      <c r="K69" s="2">
        <f t="shared" si="24"/>
        <v>52.727999999999994</v>
      </c>
      <c r="L69" s="1">
        <f t="shared" si="25"/>
        <v>60</v>
      </c>
      <c r="M69" s="1">
        <f t="shared" si="26"/>
        <v>4.0943445622221004</v>
      </c>
      <c r="N69" s="3">
        <f t="shared" si="27"/>
        <v>534.75935828877004</v>
      </c>
      <c r="O69" s="3"/>
      <c r="P69" s="3">
        <f t="shared" si="18"/>
        <v>32085.561497326202</v>
      </c>
      <c r="Q69" s="3">
        <f t="shared" si="18"/>
        <v>0</v>
      </c>
      <c r="R69" s="3">
        <f t="shared" si="19"/>
        <v>69.630124777183596</v>
      </c>
      <c r="S69" s="3">
        <f t="shared" si="19"/>
        <v>0</v>
      </c>
      <c r="T69" s="3">
        <f t="shared" si="28"/>
        <v>60</v>
      </c>
      <c r="U69" s="4">
        <f t="shared" si="29"/>
        <v>52.727999999999994</v>
      </c>
      <c r="V69" s="4"/>
      <c r="W69">
        <f t="shared" si="21"/>
        <v>6.4741806475119998E-2</v>
      </c>
      <c r="X69" s="127">
        <f t="shared" si="23"/>
        <v>1.0597413657095125E-2</v>
      </c>
      <c r="Y69" s="150">
        <f t="shared" si="22"/>
        <v>7.5712971919889805E-3</v>
      </c>
      <c r="Z69">
        <f t="shared" si="20"/>
        <v>-1.1798604790849495E-7</v>
      </c>
    </row>
    <row r="70" spans="3:26" x14ac:dyDescent="0.25">
      <c r="C70" s="113">
        <f t="shared" si="17"/>
        <v>1.4166666666666667</v>
      </c>
      <c r="D70" s="142">
        <v>75</v>
      </c>
      <c r="E70" s="142"/>
      <c r="F70" s="142">
        <v>13.2</v>
      </c>
      <c r="G70" s="142">
        <v>4.92</v>
      </c>
      <c r="H70" s="142">
        <v>1650</v>
      </c>
      <c r="I70" s="142"/>
      <c r="J70" s="142"/>
      <c r="K70" s="2">
        <f t="shared" si="24"/>
        <v>64.944000000000003</v>
      </c>
      <c r="L70" s="1">
        <f t="shared" si="25"/>
        <v>75</v>
      </c>
      <c r="M70" s="1">
        <f t="shared" si="26"/>
        <v>4.3174881135363101</v>
      </c>
      <c r="N70" s="3">
        <f t="shared" si="27"/>
        <v>606.06060606060612</v>
      </c>
      <c r="O70" s="3"/>
      <c r="P70" s="3">
        <f t="shared" si="18"/>
        <v>36363.636363636368</v>
      </c>
      <c r="Q70" s="3">
        <f t="shared" si="18"/>
        <v>0</v>
      </c>
      <c r="R70" s="3">
        <f t="shared" si="19"/>
        <v>78.914141414141426</v>
      </c>
      <c r="S70" s="3">
        <f t="shared" si="19"/>
        <v>0</v>
      </c>
      <c r="T70" s="3">
        <f t="shared" si="28"/>
        <v>75</v>
      </c>
      <c r="U70" s="4">
        <f t="shared" si="29"/>
        <v>64.944000000000003</v>
      </c>
      <c r="V70" s="4"/>
      <c r="W70">
        <f t="shared" si="21"/>
        <v>8.1123731227120008E-2</v>
      </c>
      <c r="X70" s="127">
        <f t="shared" si="23"/>
        <v>1.1716700501132942E-2</v>
      </c>
      <c r="Y70" s="150">
        <f t="shared" si="22"/>
        <v>8.6905840360267973E-3</v>
      </c>
      <c r="Z70">
        <f t="shared" si="20"/>
        <v>-1.1949553049536844E-7</v>
      </c>
    </row>
    <row r="71" spans="3:26" x14ac:dyDescent="0.25">
      <c r="C71" s="113">
        <f t="shared" si="17"/>
        <v>1.5</v>
      </c>
      <c r="D71" s="142">
        <v>90</v>
      </c>
      <c r="E71" s="142"/>
      <c r="F71" s="142">
        <v>13.31</v>
      </c>
      <c r="G71" s="142">
        <v>6.12</v>
      </c>
      <c r="H71" s="142">
        <v>1510</v>
      </c>
      <c r="I71" s="142"/>
      <c r="J71" s="142"/>
      <c r="K71" s="2">
        <f t="shared" si="24"/>
        <v>81.4572</v>
      </c>
      <c r="L71" s="1">
        <f t="shared" si="25"/>
        <v>90</v>
      </c>
      <c r="M71" s="1">
        <f t="shared" si="26"/>
        <v>4.499809670330265</v>
      </c>
      <c r="N71" s="3">
        <f t="shared" si="27"/>
        <v>662.25165562913912</v>
      </c>
      <c r="O71" s="3"/>
      <c r="P71" s="3">
        <f t="shared" si="18"/>
        <v>39735.099337748346</v>
      </c>
      <c r="Q71" s="3">
        <f t="shared" si="18"/>
        <v>0</v>
      </c>
      <c r="R71" s="3">
        <f t="shared" si="19"/>
        <v>86.230684326710815</v>
      </c>
      <c r="S71" s="3">
        <f t="shared" si="19"/>
        <v>0</v>
      </c>
      <c r="T71" s="3">
        <f t="shared" si="28"/>
        <v>90</v>
      </c>
      <c r="U71" s="4">
        <f t="shared" si="29"/>
        <v>81.4572</v>
      </c>
      <c r="V71" s="4"/>
      <c r="W71">
        <f t="shared" si="21"/>
        <v>0.10326829571752001</v>
      </c>
      <c r="X71" s="127">
        <f t="shared" si="23"/>
        <v>1.3649521409228446E-2</v>
      </c>
      <c r="Y71" s="150">
        <f t="shared" si="22"/>
        <v>1.0623404944122301E-2</v>
      </c>
      <c r="Z71">
        <f t="shared" si="20"/>
        <v>-1.3367784554687227E-7</v>
      </c>
    </row>
    <row r="72" spans="3:26" x14ac:dyDescent="0.25">
      <c r="C72" s="113">
        <f t="shared" si="17"/>
        <v>1.6055555555555556</v>
      </c>
      <c r="D72" s="142">
        <v>109</v>
      </c>
      <c r="E72" s="142"/>
      <c r="F72" s="142">
        <v>12.93</v>
      </c>
      <c r="G72" s="142">
        <v>7.27</v>
      </c>
      <c r="H72" s="142">
        <v>1470</v>
      </c>
      <c r="I72" s="142"/>
      <c r="J72" s="142"/>
      <c r="K72" s="2">
        <f t="shared" si="24"/>
        <v>94.001099999999994</v>
      </c>
      <c r="L72" s="1">
        <f t="shared" si="25"/>
        <v>109</v>
      </c>
      <c r="M72" s="1">
        <f t="shared" si="26"/>
        <v>4.6913478822291435</v>
      </c>
      <c r="N72" s="3">
        <f t="shared" si="27"/>
        <v>680.27210884353735</v>
      </c>
      <c r="O72" s="3"/>
      <c r="P72" s="3">
        <f t="shared" si="18"/>
        <v>40816.326530612241</v>
      </c>
      <c r="Q72" s="3">
        <f t="shared" si="18"/>
        <v>0</v>
      </c>
      <c r="R72" s="3">
        <f t="shared" si="19"/>
        <v>88.577097505668917</v>
      </c>
      <c r="S72" s="3">
        <f t="shared" si="19"/>
        <v>0</v>
      </c>
      <c r="T72" s="3">
        <f t="shared" si="28"/>
        <v>109</v>
      </c>
      <c r="U72" s="4">
        <f t="shared" si="29"/>
        <v>94.001099999999994</v>
      </c>
      <c r="V72" s="4"/>
      <c r="W72">
        <f t="shared" si="21"/>
        <v>0.12008994158332</v>
      </c>
      <c r="X72" s="127">
        <f t="shared" si="23"/>
        <v>1.5452453143292119E-2</v>
      </c>
      <c r="Y72" s="150">
        <f t="shared" si="22"/>
        <v>1.2426336678185976E-2</v>
      </c>
      <c r="Z72">
        <f t="shared" si="20"/>
        <v>-1.5222262430777822E-7</v>
      </c>
    </row>
    <row r="73" spans="3:26" ht="15.75" thickBot="1" x14ac:dyDescent="0.3">
      <c r="C73" s="116">
        <f t="shared" si="17"/>
        <v>1.7222222222222223</v>
      </c>
      <c r="D73" s="142">
        <v>130</v>
      </c>
      <c r="E73" s="142"/>
      <c r="F73" s="142">
        <v>13.08</v>
      </c>
      <c r="G73" s="142">
        <v>8.9600000000000009</v>
      </c>
      <c r="H73" s="142">
        <v>1380</v>
      </c>
      <c r="I73" s="142"/>
      <c r="J73" s="142"/>
      <c r="K73" s="2">
        <f t="shared" si="24"/>
        <v>117.19680000000001</v>
      </c>
      <c r="L73" s="1">
        <f t="shared" si="25"/>
        <v>130</v>
      </c>
      <c r="M73" s="1">
        <f t="shared" si="26"/>
        <v>4.8675344504555822</v>
      </c>
      <c r="N73" s="3">
        <f t="shared" si="27"/>
        <v>724.63768115942037</v>
      </c>
      <c r="O73" s="3"/>
      <c r="P73" s="3">
        <f t="shared" si="18"/>
        <v>43478.260869565223</v>
      </c>
      <c r="Q73" s="3">
        <f t="shared" si="18"/>
        <v>0</v>
      </c>
      <c r="R73" s="3">
        <f t="shared" si="19"/>
        <v>94.353864734299535</v>
      </c>
      <c r="S73" s="3">
        <f t="shared" si="19"/>
        <v>0</v>
      </c>
      <c r="T73" s="3">
        <f t="shared" si="28"/>
        <v>130</v>
      </c>
      <c r="U73" s="4">
        <f t="shared" si="29"/>
        <v>117.19680000000001</v>
      </c>
      <c r="V73" s="4"/>
      <c r="W73">
        <f t="shared" si="21"/>
        <v>0.15119588558872002</v>
      </c>
      <c r="X73" s="127">
        <f t="shared" si="23"/>
        <v>1.8263858195575022E-2</v>
      </c>
      <c r="Y73" s="150">
        <f t="shared" si="22"/>
        <v>1.5237741730468879E-2</v>
      </c>
      <c r="Z73">
        <f t="shared" si="20"/>
        <v>-1.7523402990039207E-7</v>
      </c>
    </row>
    <row r="74" spans="3:26" x14ac:dyDescent="0.25">
      <c r="C74" s="144">
        <f t="shared" si="17"/>
        <v>1.8277777777777777</v>
      </c>
      <c r="D74" s="142">
        <v>149</v>
      </c>
      <c r="E74" s="142"/>
      <c r="F74" s="142">
        <v>12.95</v>
      </c>
      <c r="G74" s="142">
        <v>10.8</v>
      </c>
      <c r="H74" s="142">
        <v>1310</v>
      </c>
      <c r="I74" s="142"/>
      <c r="J74" s="142"/>
      <c r="K74" s="1">
        <f t="shared" si="24"/>
        <v>139.86000000000001</v>
      </c>
      <c r="L74" s="1">
        <f t="shared" si="25"/>
        <v>149</v>
      </c>
      <c r="M74" s="1">
        <f t="shared" si="26"/>
        <v>5.0039463059454592</v>
      </c>
      <c r="N74" s="1">
        <f t="shared" si="27"/>
        <v>763.35877862595419</v>
      </c>
      <c r="P74" s="1">
        <f>N74*60/$Y$20</f>
        <v>45801.526717557252</v>
      </c>
      <c r="R74" s="1">
        <f>P74/$Y$31*100</f>
        <v>99.395674300254456</v>
      </c>
      <c r="T74" s="1">
        <f t="shared" si="28"/>
        <v>149</v>
      </c>
      <c r="U74" s="4">
        <f t="shared" si="29"/>
        <v>139.86000000000001</v>
      </c>
      <c r="V74" s="4"/>
      <c r="W74">
        <f t="shared" si="21"/>
        <v>0.18158773537912004</v>
      </c>
      <c r="X74" s="127">
        <f t="shared" si="23"/>
        <v>2.0822423498943188E-2</v>
      </c>
      <c r="Y74" s="150">
        <f t="shared" si="22"/>
        <v>1.7796307033837045E-2</v>
      </c>
      <c r="Z74">
        <f t="shared" si="20"/>
        <v>-1.942763517860544E-7</v>
      </c>
    </row>
    <row r="75" spans="3:26" x14ac:dyDescent="0.25">
      <c r="C75" s="144">
        <f t="shared" si="17"/>
        <v>1.911111111111111</v>
      </c>
      <c r="D75" s="142">
        <v>164</v>
      </c>
      <c r="E75" s="142"/>
      <c r="F75" s="142">
        <v>12.75</v>
      </c>
      <c r="G75" s="142">
        <v>13.9</v>
      </c>
      <c r="H75" s="142">
        <v>1252</v>
      </c>
      <c r="I75" s="142"/>
      <c r="J75" s="142"/>
      <c r="K75" s="1">
        <f t="shared" si="24"/>
        <v>177.22499999999999</v>
      </c>
      <c r="L75" s="1">
        <f t="shared" si="25"/>
        <v>164</v>
      </c>
      <c r="M75" s="1">
        <f t="shared" si="26"/>
        <v>5.0998664278241987</v>
      </c>
      <c r="N75" s="1">
        <f t="shared" si="27"/>
        <v>798.72204472843453</v>
      </c>
      <c r="P75" s="1">
        <f>N75*60/$Y$20</f>
        <v>47923.322683706072</v>
      </c>
      <c r="R75" s="1">
        <f>P75/$Y$31*100</f>
        <v>104.00026624068157</v>
      </c>
      <c r="T75" s="1">
        <f t="shared" si="28"/>
        <v>164</v>
      </c>
      <c r="U75" s="4">
        <f t="shared" si="29"/>
        <v>177.22499999999999</v>
      </c>
      <c r="V75" s="4"/>
      <c r="W75">
        <f t="shared" si="21"/>
        <v>0.23169502240912002</v>
      </c>
      <c r="X75" s="127">
        <f t="shared" si="23"/>
        <v>2.539185911052097E-2</v>
      </c>
      <c r="Y75" s="150">
        <f t="shared" si="22"/>
        <v>2.2365742645414827E-2</v>
      </c>
      <c r="Z75">
        <f t="shared" si="20"/>
        <v>-2.3334924826716135E-7</v>
      </c>
    </row>
    <row r="78" spans="3:26" x14ac:dyDescent="0.25">
      <c r="C78" t="s">
        <v>117</v>
      </c>
      <c r="W78" t="s">
        <v>90</v>
      </c>
      <c r="Y78" t="s">
        <v>91</v>
      </c>
    </row>
    <row r="79" spans="3:26" x14ac:dyDescent="0.25">
      <c r="C79" s="113">
        <f>D79/180+1</f>
        <v>1.0611111111111111</v>
      </c>
      <c r="D79" s="142">
        <v>11</v>
      </c>
      <c r="E79" s="142"/>
      <c r="F79" s="142">
        <v>13.81</v>
      </c>
      <c r="G79" s="142">
        <v>0.57599999999999996</v>
      </c>
      <c r="H79" s="142">
        <v>4880</v>
      </c>
      <c r="I79" s="143"/>
      <c r="J79" s="142"/>
      <c r="K79" s="2">
        <f>F79*G79</f>
        <v>7.9545599999999999</v>
      </c>
      <c r="L79" s="1">
        <f t="shared" ref="L79:L93" si="30">D79</f>
        <v>11</v>
      </c>
      <c r="M79" s="1">
        <f t="shared" ref="M79:M93" si="31">LN(L79)</f>
        <v>2.3978952727983707</v>
      </c>
      <c r="N79" s="3">
        <f t="shared" ref="N79:N93" si="32">1/H79/0.000001</f>
        <v>204.91803278688525</v>
      </c>
      <c r="O79" s="3"/>
      <c r="P79" s="3">
        <f t="shared" ref="P79:Q91" si="33">N79*60/$Y$20</f>
        <v>12295.081967213115</v>
      </c>
      <c r="Q79" s="3">
        <f t="shared" si="33"/>
        <v>0</v>
      </c>
      <c r="R79" s="3">
        <f t="shared" ref="R79:S91" si="34">P79/$Y$31*100</f>
        <v>26.682035519125684</v>
      </c>
      <c r="S79" s="3">
        <f t="shared" si="34"/>
        <v>0</v>
      </c>
      <c r="T79" s="3">
        <f t="shared" ref="T79:T93" si="35">L79</f>
        <v>11</v>
      </c>
      <c r="U79" s="4">
        <f t="shared" ref="U79:U93" si="36">K79</f>
        <v>7.9545599999999999</v>
      </c>
      <c r="V79" s="4"/>
      <c r="W79">
        <f>U79*0.001341022</f>
        <v>1.0667239960320001E-2</v>
      </c>
      <c r="X79" s="137">
        <f>$W79/$P79*5252</f>
        <v>4.5566466674235194E-3</v>
      </c>
      <c r="Y79" s="127">
        <f>X79-$X$79</f>
        <v>0</v>
      </c>
      <c r="Z79">
        <f t="shared" ref="Z79:Z93" si="37">-Y79/2/P79</f>
        <v>0</v>
      </c>
    </row>
    <row r="80" spans="3:26" x14ac:dyDescent="0.25">
      <c r="C80" s="113">
        <f>D80/180+1</f>
        <v>1.0833333333333333</v>
      </c>
      <c r="D80" s="142">
        <v>15</v>
      </c>
      <c r="E80" s="142"/>
      <c r="F80" s="142">
        <v>13.8</v>
      </c>
      <c r="G80" s="142">
        <v>0.77800000000000002</v>
      </c>
      <c r="H80" s="142">
        <v>3900</v>
      </c>
      <c r="I80" s="143"/>
      <c r="J80" s="142"/>
      <c r="K80" s="2">
        <f t="shared" ref="K80:K93" si="38">F80*G80</f>
        <v>10.736400000000001</v>
      </c>
      <c r="L80" s="1">
        <f t="shared" si="30"/>
        <v>15</v>
      </c>
      <c r="M80" s="1">
        <f t="shared" si="31"/>
        <v>2.7080502011022101</v>
      </c>
      <c r="N80" s="3">
        <f t="shared" si="32"/>
        <v>256.41025641025641</v>
      </c>
      <c r="O80" s="3"/>
      <c r="P80" s="3">
        <f t="shared" si="33"/>
        <v>15384.615384615385</v>
      </c>
      <c r="Q80" s="3">
        <f t="shared" si="33"/>
        <v>0</v>
      </c>
      <c r="R80" s="3">
        <f t="shared" si="34"/>
        <v>33.386752136752136</v>
      </c>
      <c r="S80" s="3">
        <f t="shared" si="34"/>
        <v>0</v>
      </c>
      <c r="T80" s="3">
        <f t="shared" si="35"/>
        <v>15</v>
      </c>
      <c r="U80" s="4">
        <f t="shared" si="36"/>
        <v>10.736400000000001</v>
      </c>
      <c r="V80" s="4"/>
      <c r="W80">
        <f t="shared" ref="W80:W93" si="39">U80*0.001341022</f>
        <v>1.4397748600800004E-2</v>
      </c>
      <c r="X80" s="127">
        <f t="shared" ref="X80:X93" si="40">$W80/$P80*5252</f>
        <v>4.9151034173411049E-3</v>
      </c>
      <c r="Y80" s="127">
        <f t="shared" ref="Y80:Y93" si="41">X80-$X$79</f>
        <v>3.5845674991758555E-4</v>
      </c>
      <c r="Z80">
        <f t="shared" si="37"/>
        <v>-1.1649844372321531E-8</v>
      </c>
    </row>
    <row r="81" spans="3:26" x14ac:dyDescent="0.25">
      <c r="C81" s="113">
        <f>D81/180+1</f>
        <v>1.1111111111111112</v>
      </c>
      <c r="D81" s="142">
        <v>20</v>
      </c>
      <c r="E81" s="142"/>
      <c r="F81" s="142">
        <v>13.78</v>
      </c>
      <c r="G81" s="142">
        <v>1.04</v>
      </c>
      <c r="H81" s="142">
        <v>3260</v>
      </c>
      <c r="I81" s="143"/>
      <c r="J81" s="142"/>
      <c r="K81" s="2">
        <f t="shared" si="38"/>
        <v>14.331199999999999</v>
      </c>
      <c r="L81" s="1">
        <f t="shared" si="30"/>
        <v>20</v>
      </c>
      <c r="M81" s="1">
        <f t="shared" si="31"/>
        <v>2.9957322735539909</v>
      </c>
      <c r="N81" s="3">
        <f t="shared" si="32"/>
        <v>306.74846625766872</v>
      </c>
      <c r="O81" s="3"/>
      <c r="P81" s="3">
        <f t="shared" si="33"/>
        <v>18404.907975460123</v>
      </c>
      <c r="Q81" s="3">
        <f t="shared" si="33"/>
        <v>0</v>
      </c>
      <c r="R81" s="3">
        <f t="shared" si="34"/>
        <v>39.941206543967276</v>
      </c>
      <c r="S81" s="3">
        <f t="shared" si="34"/>
        <v>0</v>
      </c>
      <c r="T81" s="3">
        <f t="shared" si="35"/>
        <v>20</v>
      </c>
      <c r="U81" s="4">
        <f t="shared" si="36"/>
        <v>14.331199999999999</v>
      </c>
      <c r="V81" s="4"/>
      <c r="W81">
        <f t="shared" si="39"/>
        <v>1.92184544864E-2</v>
      </c>
      <c r="X81" s="127">
        <f t="shared" si="40"/>
        <v>5.4841525476331228E-3</v>
      </c>
      <c r="Y81" s="127">
        <f t="shared" si="41"/>
        <v>9.2750588020960346E-4</v>
      </c>
      <c r="Z81">
        <f t="shared" si="37"/>
        <v>-2.519724307902756E-8</v>
      </c>
    </row>
    <row r="82" spans="3:26" x14ac:dyDescent="0.25">
      <c r="C82" s="113">
        <f t="shared" ref="C82:C93" si="42">D82/180+1</f>
        <v>1.1388888888888888</v>
      </c>
      <c r="D82" s="142">
        <v>25</v>
      </c>
      <c r="E82" s="142"/>
      <c r="F82" s="142">
        <v>13.76</v>
      </c>
      <c r="G82" s="142">
        <v>1.363</v>
      </c>
      <c r="H82" s="142">
        <v>2870</v>
      </c>
      <c r="I82" s="142"/>
      <c r="J82" s="142"/>
      <c r="K82" s="2">
        <f t="shared" si="38"/>
        <v>18.75488</v>
      </c>
      <c r="L82" s="1">
        <f t="shared" si="30"/>
        <v>25</v>
      </c>
      <c r="M82" s="1">
        <f t="shared" si="31"/>
        <v>3.2188758248682006</v>
      </c>
      <c r="N82" s="3">
        <f t="shared" si="32"/>
        <v>348.43205574912895</v>
      </c>
      <c r="O82" s="3"/>
      <c r="P82" s="3">
        <f t="shared" si="33"/>
        <v>20905.923344947736</v>
      </c>
      <c r="Q82" s="3">
        <f t="shared" si="33"/>
        <v>0</v>
      </c>
      <c r="R82" s="3">
        <f t="shared" si="34"/>
        <v>45.368757259001164</v>
      </c>
      <c r="S82" s="3">
        <f t="shared" si="34"/>
        <v>0</v>
      </c>
      <c r="T82" s="3">
        <f t="shared" si="35"/>
        <v>25</v>
      </c>
      <c r="U82" s="4">
        <f t="shared" si="36"/>
        <v>18.75488</v>
      </c>
      <c r="V82" s="4"/>
      <c r="W82">
        <f t="shared" si="39"/>
        <v>2.5150706687360001E-2</v>
      </c>
      <c r="X82" s="127">
        <f t="shared" si="40"/>
        <v>6.3183773011363711E-3</v>
      </c>
      <c r="Y82" s="127">
        <f t="shared" si="41"/>
        <v>1.7617306337128517E-3</v>
      </c>
      <c r="Z82">
        <f t="shared" si="37"/>
        <v>-4.21347243229657E-8</v>
      </c>
    </row>
    <row r="83" spans="3:26" x14ac:dyDescent="0.25">
      <c r="C83" s="113">
        <f t="shared" si="42"/>
        <v>1.1666666666666667</v>
      </c>
      <c r="D83" s="142">
        <v>30</v>
      </c>
      <c r="E83" s="142"/>
      <c r="F83" s="142">
        <v>13.74</v>
      </c>
      <c r="G83" s="142">
        <v>1.67</v>
      </c>
      <c r="H83" s="142">
        <v>2640</v>
      </c>
      <c r="I83" s="142"/>
      <c r="J83" s="142"/>
      <c r="K83" s="2">
        <f t="shared" si="38"/>
        <v>22.945799999999998</v>
      </c>
      <c r="L83" s="1">
        <f t="shared" si="30"/>
        <v>30</v>
      </c>
      <c r="M83" s="1">
        <f t="shared" si="31"/>
        <v>3.4011973816621555</v>
      </c>
      <c r="N83" s="3">
        <f t="shared" si="32"/>
        <v>378.78787878787881</v>
      </c>
      <c r="O83" s="3"/>
      <c r="P83" s="3">
        <f t="shared" si="33"/>
        <v>22727.272727272728</v>
      </c>
      <c r="Q83" s="3">
        <f t="shared" si="33"/>
        <v>0</v>
      </c>
      <c r="R83" s="3">
        <f t="shared" si="34"/>
        <v>49.321338383838388</v>
      </c>
      <c r="S83" s="3">
        <f t="shared" si="34"/>
        <v>0</v>
      </c>
      <c r="T83" s="3">
        <f t="shared" si="35"/>
        <v>30</v>
      </c>
      <c r="U83" s="4">
        <f t="shared" si="36"/>
        <v>22.945799999999998</v>
      </c>
      <c r="V83" s="4"/>
      <c r="W83">
        <f t="shared" si="39"/>
        <v>3.0770822607600001E-2</v>
      </c>
      <c r="X83" s="127">
        <f t="shared" si="40"/>
        <v>7.1107678547450686E-3</v>
      </c>
      <c r="Y83" s="127">
        <f t="shared" si="41"/>
        <v>2.5541211873215492E-3</v>
      </c>
      <c r="Z83">
        <f t="shared" si="37"/>
        <v>-5.6190666121074085E-8</v>
      </c>
    </row>
    <row r="84" spans="3:26" x14ac:dyDescent="0.25">
      <c r="C84" s="113">
        <f t="shared" si="42"/>
        <v>1.1944444444444444</v>
      </c>
      <c r="D84" s="142">
        <v>35</v>
      </c>
      <c r="E84" s="142"/>
      <c r="F84" s="142">
        <v>13.72</v>
      </c>
      <c r="G84" s="142">
        <v>2.0550000000000002</v>
      </c>
      <c r="H84" s="142">
        <v>2400</v>
      </c>
      <c r="I84" s="142"/>
      <c r="J84" s="142"/>
      <c r="K84" s="2">
        <f t="shared" si="38"/>
        <v>28.194600000000005</v>
      </c>
      <c r="L84" s="1">
        <f t="shared" si="30"/>
        <v>35</v>
      </c>
      <c r="M84" s="1">
        <f t="shared" si="31"/>
        <v>3.5553480614894135</v>
      </c>
      <c r="N84" s="3">
        <f t="shared" si="32"/>
        <v>416.66666666666669</v>
      </c>
      <c r="O84" s="3"/>
      <c r="P84" s="3">
        <f t="shared" si="33"/>
        <v>25000</v>
      </c>
      <c r="Q84" s="3">
        <f t="shared" si="33"/>
        <v>0</v>
      </c>
      <c r="R84" s="3">
        <f t="shared" si="34"/>
        <v>54.253472222222221</v>
      </c>
      <c r="S84" s="3">
        <f t="shared" si="34"/>
        <v>0</v>
      </c>
      <c r="T84" s="3">
        <f t="shared" si="35"/>
        <v>35</v>
      </c>
      <c r="U84" s="4">
        <f t="shared" si="36"/>
        <v>28.194600000000005</v>
      </c>
      <c r="V84" s="4"/>
      <c r="W84">
        <f t="shared" si="39"/>
        <v>3.7809578881200012E-2</v>
      </c>
      <c r="X84" s="127">
        <f t="shared" si="40"/>
        <v>7.9430363313624987E-3</v>
      </c>
      <c r="Y84" s="127">
        <f t="shared" si="41"/>
        <v>3.3863896639389794E-3</v>
      </c>
      <c r="Z84">
        <f t="shared" si="37"/>
        <v>-6.7727793278779586E-8</v>
      </c>
    </row>
    <row r="85" spans="3:26" x14ac:dyDescent="0.25">
      <c r="C85" s="113">
        <f t="shared" si="42"/>
        <v>1.2222222222222223</v>
      </c>
      <c r="D85" s="142">
        <v>40</v>
      </c>
      <c r="E85" s="142"/>
      <c r="F85" s="142">
        <v>13.7</v>
      </c>
      <c r="G85" s="142">
        <v>2.2999999999999998</v>
      </c>
      <c r="H85" s="142">
        <v>2250</v>
      </c>
      <c r="I85" s="142"/>
      <c r="J85" s="142"/>
      <c r="K85" s="2">
        <f t="shared" si="38"/>
        <v>31.509999999999994</v>
      </c>
      <c r="L85" s="1">
        <f t="shared" si="30"/>
        <v>40</v>
      </c>
      <c r="M85" s="1">
        <f t="shared" si="31"/>
        <v>3.6888794541139363</v>
      </c>
      <c r="N85" s="3">
        <f t="shared" si="32"/>
        <v>444.44444444444451</v>
      </c>
      <c r="O85" s="3"/>
      <c r="P85" s="3">
        <f t="shared" si="33"/>
        <v>26666.666666666672</v>
      </c>
      <c r="Q85" s="3">
        <f t="shared" si="33"/>
        <v>0</v>
      </c>
      <c r="R85" s="3">
        <f t="shared" si="34"/>
        <v>57.870370370370381</v>
      </c>
      <c r="S85" s="3">
        <f t="shared" si="34"/>
        <v>0</v>
      </c>
      <c r="T85" s="3">
        <f t="shared" si="35"/>
        <v>40</v>
      </c>
      <c r="U85" s="4">
        <f t="shared" si="36"/>
        <v>31.509999999999994</v>
      </c>
      <c r="V85" s="4"/>
      <c r="W85">
        <f t="shared" si="39"/>
        <v>4.2255603219999993E-2</v>
      </c>
      <c r="X85" s="127">
        <f t="shared" si="40"/>
        <v>8.3222410541789974E-3</v>
      </c>
      <c r="Y85" s="127">
        <f t="shared" si="41"/>
        <v>3.765594386755478E-3</v>
      </c>
      <c r="Z85">
        <f t="shared" si="37"/>
        <v>-7.0604894751665205E-8</v>
      </c>
    </row>
    <row r="86" spans="3:26" x14ac:dyDescent="0.25">
      <c r="C86" s="113">
        <f t="shared" si="42"/>
        <v>1.2777777777777777</v>
      </c>
      <c r="D86" s="142">
        <v>50</v>
      </c>
      <c r="E86" s="142"/>
      <c r="F86" s="142">
        <v>13.65</v>
      </c>
      <c r="G86" s="142">
        <v>3.02</v>
      </c>
      <c r="H86" s="142">
        <v>2010</v>
      </c>
      <c r="I86" s="142"/>
      <c r="J86" s="142"/>
      <c r="K86" s="2">
        <f t="shared" si="38"/>
        <v>41.222999999999999</v>
      </c>
      <c r="L86" s="1">
        <f t="shared" si="30"/>
        <v>50</v>
      </c>
      <c r="M86" s="1">
        <f t="shared" si="31"/>
        <v>3.912023005428146</v>
      </c>
      <c r="N86" s="3">
        <f t="shared" si="32"/>
        <v>497.51243781094524</v>
      </c>
      <c r="O86" s="3"/>
      <c r="P86" s="3">
        <f t="shared" si="33"/>
        <v>29850.746268656716</v>
      </c>
      <c r="Q86" s="3">
        <f t="shared" si="33"/>
        <v>0</v>
      </c>
      <c r="R86" s="3">
        <f t="shared" si="34"/>
        <v>64.780265339966832</v>
      </c>
      <c r="S86" s="3">
        <f t="shared" si="34"/>
        <v>0</v>
      </c>
      <c r="T86" s="3">
        <f t="shared" si="35"/>
        <v>50</v>
      </c>
      <c r="U86" s="4">
        <f t="shared" si="36"/>
        <v>41.222999999999999</v>
      </c>
      <c r="V86" s="4"/>
      <c r="W86">
        <f t="shared" si="39"/>
        <v>5.5280949906E-2</v>
      </c>
      <c r="X86" s="127">
        <f t="shared" si="40"/>
        <v>9.7262408883614527E-3</v>
      </c>
      <c r="Y86" s="127">
        <f t="shared" si="41"/>
        <v>5.1695942209379333E-3</v>
      </c>
      <c r="Z86">
        <f t="shared" si="37"/>
        <v>-8.6590703200710378E-8</v>
      </c>
    </row>
    <row r="87" spans="3:26" x14ac:dyDescent="0.25">
      <c r="C87" s="113">
        <f t="shared" si="42"/>
        <v>1.3333333333333333</v>
      </c>
      <c r="D87" s="142">
        <v>60</v>
      </c>
      <c r="E87" s="142"/>
      <c r="F87" s="142">
        <v>13.6</v>
      </c>
      <c r="G87" s="142">
        <v>3.81</v>
      </c>
      <c r="H87" s="142">
        <v>1880</v>
      </c>
      <c r="I87" s="142"/>
      <c r="J87" s="142"/>
      <c r="K87" s="2">
        <f t="shared" si="38"/>
        <v>51.816000000000003</v>
      </c>
      <c r="L87" s="1">
        <f t="shared" si="30"/>
        <v>60</v>
      </c>
      <c r="M87" s="1">
        <f t="shared" si="31"/>
        <v>4.0943445622221004</v>
      </c>
      <c r="N87" s="3">
        <f t="shared" si="32"/>
        <v>531.91489361702133</v>
      </c>
      <c r="O87" s="3"/>
      <c r="P87" s="3">
        <f t="shared" si="33"/>
        <v>31914.89361702128</v>
      </c>
      <c r="Q87" s="3">
        <f t="shared" si="33"/>
        <v>0</v>
      </c>
      <c r="R87" s="3">
        <f t="shared" si="34"/>
        <v>69.259751773049643</v>
      </c>
      <c r="S87" s="3">
        <f t="shared" si="34"/>
        <v>0</v>
      </c>
      <c r="T87" s="3">
        <f t="shared" si="35"/>
        <v>60</v>
      </c>
      <c r="U87" s="4">
        <f t="shared" si="36"/>
        <v>51.816000000000003</v>
      </c>
      <c r="V87" s="4"/>
      <c r="W87">
        <f t="shared" si="39"/>
        <v>6.9486395952000013E-2</v>
      </c>
      <c r="X87" s="127">
        <f t="shared" si="40"/>
        <v>1.1434866614916992E-2</v>
      </c>
      <c r="Y87" s="127">
        <f t="shared" si="41"/>
        <v>6.8782199474934731E-3</v>
      </c>
      <c r="Z87">
        <f t="shared" si="37"/>
        <v>-1.0775877917739773E-7</v>
      </c>
    </row>
    <row r="88" spans="3:26" x14ac:dyDescent="0.25">
      <c r="C88" s="113">
        <f t="shared" si="42"/>
        <v>1.4166666666666667</v>
      </c>
      <c r="D88" s="142">
        <v>75</v>
      </c>
      <c r="E88" s="142"/>
      <c r="F88" s="142">
        <v>13.54</v>
      </c>
      <c r="G88" s="142">
        <v>4.91</v>
      </c>
      <c r="H88" s="142">
        <v>1630</v>
      </c>
      <c r="I88" s="142"/>
      <c r="J88" s="142"/>
      <c r="K88" s="2">
        <f t="shared" si="38"/>
        <v>66.481399999999994</v>
      </c>
      <c r="L88" s="1">
        <f t="shared" si="30"/>
        <v>75</v>
      </c>
      <c r="M88" s="1">
        <f t="shared" si="31"/>
        <v>4.3174881135363101</v>
      </c>
      <c r="N88" s="3">
        <f t="shared" si="32"/>
        <v>613.49693251533745</v>
      </c>
      <c r="O88" s="3"/>
      <c r="P88" s="3">
        <f t="shared" si="33"/>
        <v>36809.815950920245</v>
      </c>
      <c r="Q88" s="3">
        <f t="shared" si="33"/>
        <v>0</v>
      </c>
      <c r="R88" s="3">
        <f t="shared" si="34"/>
        <v>79.882413087934552</v>
      </c>
      <c r="S88" s="3">
        <f t="shared" si="34"/>
        <v>0</v>
      </c>
      <c r="T88" s="3">
        <f t="shared" si="35"/>
        <v>75</v>
      </c>
      <c r="U88" s="4">
        <f t="shared" si="36"/>
        <v>66.481399999999994</v>
      </c>
      <c r="V88" s="4"/>
      <c r="W88">
        <f t="shared" si="39"/>
        <v>8.9153019990799998E-2</v>
      </c>
      <c r="X88" s="127">
        <f t="shared" si="40"/>
        <v>1.2720293456940682E-2</v>
      </c>
      <c r="Y88" s="127">
        <f t="shared" si="41"/>
        <v>8.1636467895171635E-3</v>
      </c>
      <c r="Z88">
        <f t="shared" si="37"/>
        <v>-1.1088953555760814E-7</v>
      </c>
    </row>
    <row r="89" spans="3:26" x14ac:dyDescent="0.25">
      <c r="C89" s="113">
        <f t="shared" si="42"/>
        <v>1.5</v>
      </c>
      <c r="D89" s="142">
        <v>90</v>
      </c>
      <c r="E89" s="142"/>
      <c r="F89" s="142">
        <v>13.47</v>
      </c>
      <c r="G89" s="142">
        <v>6</v>
      </c>
      <c r="H89" s="142">
        <v>1520</v>
      </c>
      <c r="I89" s="142"/>
      <c r="J89" s="142"/>
      <c r="K89" s="2">
        <f t="shared" si="38"/>
        <v>80.820000000000007</v>
      </c>
      <c r="L89" s="1">
        <f t="shared" si="30"/>
        <v>90</v>
      </c>
      <c r="M89" s="1">
        <f t="shared" si="31"/>
        <v>4.499809670330265</v>
      </c>
      <c r="N89" s="3">
        <f t="shared" si="32"/>
        <v>657.89473684210532</v>
      </c>
      <c r="O89" s="3"/>
      <c r="P89" s="3">
        <f t="shared" si="33"/>
        <v>39473.68421052632</v>
      </c>
      <c r="Q89" s="3">
        <f t="shared" si="33"/>
        <v>0</v>
      </c>
      <c r="R89" s="3">
        <f t="shared" si="34"/>
        <v>85.663377192982466</v>
      </c>
      <c r="S89" s="3">
        <f t="shared" si="34"/>
        <v>0</v>
      </c>
      <c r="T89" s="3">
        <f t="shared" si="35"/>
        <v>90</v>
      </c>
      <c r="U89" s="4">
        <f t="shared" si="36"/>
        <v>80.820000000000007</v>
      </c>
      <c r="V89" s="4"/>
      <c r="W89">
        <f t="shared" si="39"/>
        <v>0.10838139804000002</v>
      </c>
      <c r="X89" s="127">
        <f t="shared" si="40"/>
        <v>1.4420217263487361E-2</v>
      </c>
      <c r="Y89" s="127">
        <f t="shared" si="41"/>
        <v>9.8635705960638427E-3</v>
      </c>
      <c r="Z89">
        <f t="shared" si="37"/>
        <v>-1.2493856088347532E-7</v>
      </c>
    </row>
    <row r="90" spans="3:26" x14ac:dyDescent="0.25">
      <c r="C90" s="113">
        <f t="shared" si="42"/>
        <v>1.6055555555555556</v>
      </c>
      <c r="D90" s="142">
        <v>109</v>
      </c>
      <c r="E90" s="142"/>
      <c r="F90" s="142">
        <v>13.38</v>
      </c>
      <c r="G90" s="142">
        <v>7.4</v>
      </c>
      <c r="H90" s="142">
        <v>1390</v>
      </c>
      <c r="I90" s="142"/>
      <c r="J90" s="142"/>
      <c r="K90" s="2">
        <f t="shared" si="38"/>
        <v>99.012000000000015</v>
      </c>
      <c r="L90" s="1">
        <f t="shared" si="30"/>
        <v>109</v>
      </c>
      <c r="M90" s="1">
        <f t="shared" si="31"/>
        <v>4.6913478822291435</v>
      </c>
      <c r="N90" s="3">
        <f t="shared" si="32"/>
        <v>719.42446043165478</v>
      </c>
      <c r="O90" s="3"/>
      <c r="P90" s="3">
        <f t="shared" si="33"/>
        <v>43165.467625899284</v>
      </c>
      <c r="Q90" s="3">
        <f t="shared" si="33"/>
        <v>0</v>
      </c>
      <c r="R90" s="3">
        <f t="shared" si="34"/>
        <v>93.675059952038382</v>
      </c>
      <c r="S90" s="3">
        <f t="shared" si="34"/>
        <v>0</v>
      </c>
      <c r="T90" s="3">
        <f t="shared" si="35"/>
        <v>109</v>
      </c>
      <c r="U90" s="4">
        <f t="shared" si="36"/>
        <v>99.012000000000015</v>
      </c>
      <c r="V90" s="4"/>
      <c r="W90">
        <f t="shared" si="39"/>
        <v>0.13277727026400002</v>
      </c>
      <c r="X90" s="127">
        <f t="shared" si="40"/>
        <v>1.6155187509381233E-2</v>
      </c>
      <c r="Y90" s="127">
        <f t="shared" si="41"/>
        <v>1.1598540841957713E-2</v>
      </c>
      <c r="Z90">
        <f t="shared" si="37"/>
        <v>-1.3434976475267684E-7</v>
      </c>
    </row>
    <row r="91" spans="3:26" ht="15.75" thickBot="1" x14ac:dyDescent="0.3">
      <c r="C91" s="116">
        <f t="shared" si="42"/>
        <v>1.7222222222222223</v>
      </c>
      <c r="D91" s="142">
        <v>130</v>
      </c>
      <c r="E91" s="142"/>
      <c r="F91" s="142">
        <v>13.29</v>
      </c>
      <c r="G91" s="142">
        <v>8.9</v>
      </c>
      <c r="H91" s="142">
        <v>1350</v>
      </c>
      <c r="I91" s="142"/>
      <c r="J91" s="142"/>
      <c r="K91" s="2">
        <f t="shared" si="38"/>
        <v>118.28099999999999</v>
      </c>
      <c r="L91" s="1">
        <f t="shared" si="30"/>
        <v>130</v>
      </c>
      <c r="M91" s="1">
        <f t="shared" si="31"/>
        <v>4.8675344504555822</v>
      </c>
      <c r="N91" s="3">
        <f t="shared" si="32"/>
        <v>740.74074074074076</v>
      </c>
      <c r="O91" s="3"/>
      <c r="P91" s="3">
        <f t="shared" si="33"/>
        <v>44444.444444444445</v>
      </c>
      <c r="Q91" s="3">
        <f t="shared" si="33"/>
        <v>0</v>
      </c>
      <c r="R91" s="3">
        <f t="shared" si="34"/>
        <v>96.450617283950621</v>
      </c>
      <c r="S91" s="3">
        <f t="shared" si="34"/>
        <v>0</v>
      </c>
      <c r="T91" s="3">
        <f t="shared" si="35"/>
        <v>130</v>
      </c>
      <c r="U91" s="4">
        <f t="shared" si="36"/>
        <v>118.28099999999999</v>
      </c>
      <c r="V91" s="4"/>
      <c r="W91">
        <f t="shared" si="39"/>
        <v>0.15861742318200001</v>
      </c>
      <c r="X91" s="127">
        <f t="shared" si="40"/>
        <v>1.8743820897416941E-2</v>
      </c>
      <c r="Y91" s="127">
        <f t="shared" si="41"/>
        <v>1.418717422999342E-2</v>
      </c>
      <c r="Z91">
        <f t="shared" si="37"/>
        <v>-1.5960571008742599E-7</v>
      </c>
    </row>
    <row r="92" spans="3:26" x14ac:dyDescent="0.25">
      <c r="C92" s="144">
        <f t="shared" si="42"/>
        <v>1.8444444444444446</v>
      </c>
      <c r="D92" s="142">
        <v>152</v>
      </c>
      <c r="E92" s="142"/>
      <c r="F92" s="142">
        <v>13.1</v>
      </c>
      <c r="G92" s="142">
        <v>11.64</v>
      </c>
      <c r="H92" s="142">
        <v>1280</v>
      </c>
      <c r="I92" s="142"/>
      <c r="J92" s="142"/>
      <c r="K92" s="1">
        <f t="shared" si="38"/>
        <v>152.48400000000001</v>
      </c>
      <c r="L92" s="1">
        <f t="shared" si="30"/>
        <v>152</v>
      </c>
      <c r="M92" s="1">
        <f t="shared" si="31"/>
        <v>5.0238805208462765</v>
      </c>
      <c r="N92" s="1">
        <f t="shared" si="32"/>
        <v>781.25000000000011</v>
      </c>
      <c r="P92" s="1">
        <f>N92*60/$Y$20</f>
        <v>46875.000000000007</v>
      </c>
      <c r="R92" s="1">
        <f>P92/$Y$31*100</f>
        <v>101.72526041666667</v>
      </c>
      <c r="T92" s="1">
        <f t="shared" si="35"/>
        <v>152</v>
      </c>
      <c r="U92" s="4">
        <f t="shared" si="36"/>
        <v>152.48400000000001</v>
      </c>
      <c r="V92" s="4"/>
      <c r="W92">
        <f t="shared" si="39"/>
        <v>0.20448439864800003</v>
      </c>
      <c r="X92" s="127">
        <f t="shared" si="40"/>
        <v>2.2910977316251649E-2</v>
      </c>
      <c r="Y92" s="127">
        <f t="shared" si="41"/>
        <v>1.8354330648828129E-2</v>
      </c>
      <c r="Z92">
        <f t="shared" si="37"/>
        <v>-1.9577952692083334E-7</v>
      </c>
    </row>
    <row r="93" spans="3:26" x14ac:dyDescent="0.25">
      <c r="C93" s="144">
        <f t="shared" si="42"/>
        <v>1.911111111111111</v>
      </c>
      <c r="D93" s="142">
        <v>164</v>
      </c>
      <c r="E93" s="142"/>
      <c r="F93" s="142">
        <v>12.93</v>
      </c>
      <c r="G93" s="142">
        <v>14.16</v>
      </c>
      <c r="H93" s="142">
        <v>1236</v>
      </c>
      <c r="I93" s="142"/>
      <c r="J93" s="142"/>
      <c r="K93" s="1">
        <f t="shared" si="38"/>
        <v>183.08879999999999</v>
      </c>
      <c r="L93" s="1">
        <f t="shared" si="30"/>
        <v>164</v>
      </c>
      <c r="M93" s="1">
        <f t="shared" si="31"/>
        <v>5.0998664278241987</v>
      </c>
      <c r="N93" s="1">
        <f t="shared" si="32"/>
        <v>809.06148867313925</v>
      </c>
      <c r="P93" s="1">
        <f>N93*60/$Y$20</f>
        <v>48543.689320388352</v>
      </c>
      <c r="R93" s="1">
        <f>P93/$Y$31*100</f>
        <v>105.346548004315</v>
      </c>
      <c r="T93" s="1">
        <f t="shared" si="35"/>
        <v>164</v>
      </c>
      <c r="U93" s="4">
        <f t="shared" si="36"/>
        <v>183.08879999999999</v>
      </c>
      <c r="V93" s="4"/>
      <c r="W93">
        <f t="shared" si="39"/>
        <v>0.24552610875360001</v>
      </c>
      <c r="X93" s="127">
        <f t="shared" si="40"/>
        <v>2.6563764337382487E-2</v>
      </c>
      <c r="Y93" s="127">
        <f t="shared" si="41"/>
        <v>2.2007117669958966E-2</v>
      </c>
      <c r="Z93">
        <f t="shared" si="37"/>
        <v>-2.2667331200057733E-7</v>
      </c>
    </row>
    <row r="94" spans="3:26" x14ac:dyDescent="0.25">
      <c r="X94" s="127"/>
    </row>
    <row r="95" spans="3:26" x14ac:dyDescent="0.25">
      <c r="X95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"/>
  <sheetViews>
    <sheetView tabSelected="1" zoomScale="60" zoomScaleNormal="60" workbookViewId="0">
      <pane ySplit="7" topLeftCell="A8" activePane="bottomLeft" state="frozen"/>
      <selection pane="bottomLeft" activeCell="Q30" sqref="Q30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9.140625" style="1" bestFit="1" customWidth="1"/>
    <col min="8" max="8" width="8.5703125" style="1" bestFit="1" customWidth="1"/>
    <col min="9" max="9" width="5.8554687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10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2.42578125" customWidth="1"/>
    <col min="33" max="33" width="11.85546875" customWidth="1"/>
    <col min="34" max="35" width="11.5703125" customWidth="1"/>
    <col min="36" max="36" width="8.7109375" customWidth="1"/>
    <col min="37" max="37" width="11.5703125" bestFit="1" customWidth="1"/>
    <col min="38" max="38" width="9.7109375" customWidth="1"/>
    <col min="43" max="44" width="9.85546875" bestFit="1" customWidth="1"/>
    <col min="45" max="45" width="13.140625" bestFit="1" customWidth="1"/>
    <col min="46" max="46" width="12" bestFit="1" customWidth="1"/>
    <col min="47" max="47" width="10.42578125" bestFit="1" customWidth="1"/>
    <col min="48" max="48" width="10.28515625" customWidth="1"/>
    <col min="49" max="49" width="9.28515625" bestFit="1" customWidth="1"/>
    <col min="50" max="50" width="10.28515625" bestFit="1" customWidth="1"/>
  </cols>
  <sheetData>
    <row r="1" spans="1:50" x14ac:dyDescent="0.25">
      <c r="A1" t="s">
        <v>237</v>
      </c>
      <c r="H1" s="3" t="s">
        <v>28</v>
      </c>
      <c r="I1" s="11" t="s">
        <v>29</v>
      </c>
      <c r="J1" s="12"/>
      <c r="K1" s="12"/>
    </row>
    <row r="2" spans="1:50" x14ac:dyDescent="0.25">
      <c r="A2">
        <v>1</v>
      </c>
      <c r="B2" t="s">
        <v>238</v>
      </c>
      <c r="H2" s="3"/>
      <c r="I2" s="13" t="s">
        <v>30</v>
      </c>
      <c r="J2" s="14"/>
      <c r="K2" s="14"/>
    </row>
    <row r="3" spans="1:50" x14ac:dyDescent="0.25">
      <c r="A3">
        <v>2</v>
      </c>
      <c r="B3" t="s">
        <v>239</v>
      </c>
      <c r="H3" s="3"/>
      <c r="I3" s="15" t="s">
        <v>31</v>
      </c>
      <c r="J3" s="16"/>
      <c r="K3" s="16"/>
    </row>
    <row r="4" spans="1:50" x14ac:dyDescent="0.25">
      <c r="A4">
        <v>3</v>
      </c>
      <c r="B4" t="s">
        <v>240</v>
      </c>
    </row>
    <row r="6" spans="1:50" ht="15.75" thickBot="1" x14ac:dyDescent="0.3"/>
    <row r="7" spans="1:50" ht="90" x14ac:dyDescent="0.25">
      <c r="A7" t="s">
        <v>39</v>
      </c>
      <c r="B7" s="74" t="s">
        <v>50</v>
      </c>
      <c r="C7" s="75" t="s">
        <v>0</v>
      </c>
      <c r="D7" s="75" t="s">
        <v>1</v>
      </c>
      <c r="E7" s="75" t="s">
        <v>10</v>
      </c>
      <c r="F7" s="75" t="s">
        <v>11</v>
      </c>
      <c r="G7" s="75" t="s">
        <v>23</v>
      </c>
      <c r="H7" s="75" t="s">
        <v>110</v>
      </c>
      <c r="I7" s="76" t="s">
        <v>2</v>
      </c>
      <c r="J7" s="4" t="s">
        <v>12</v>
      </c>
      <c r="K7" s="4" t="s">
        <v>7</v>
      </c>
      <c r="L7" s="4" t="s">
        <v>61</v>
      </c>
      <c r="M7" s="4" t="s">
        <v>24</v>
      </c>
      <c r="N7" s="4" t="s">
        <v>115</v>
      </c>
      <c r="O7" s="4" t="s">
        <v>25</v>
      </c>
      <c r="P7" s="4" t="s">
        <v>136</v>
      </c>
      <c r="Q7" s="4" t="s">
        <v>26</v>
      </c>
      <c r="R7" s="4" t="s">
        <v>100</v>
      </c>
      <c r="S7" s="4" t="s">
        <v>7</v>
      </c>
      <c r="T7" s="4" t="str">
        <f t="shared" ref="T7:T21" si="0">J7</f>
        <v>Charger Pwr, W</v>
      </c>
      <c r="U7" s="4" t="s">
        <v>170</v>
      </c>
      <c r="V7" s="4" t="s">
        <v>137</v>
      </c>
      <c r="W7" s="4" t="s">
        <v>149</v>
      </c>
      <c r="X7" s="4" t="s">
        <v>46</v>
      </c>
      <c r="Y7" s="4" t="s">
        <v>157</v>
      </c>
      <c r="Z7" s="4" t="s">
        <v>159</v>
      </c>
      <c r="AA7" s="4" t="s">
        <v>171</v>
      </c>
      <c r="AB7" s="4" t="s">
        <v>165</v>
      </c>
      <c r="AC7" s="4" t="s">
        <v>166</v>
      </c>
      <c r="AD7" s="4" t="s">
        <v>167</v>
      </c>
      <c r="AE7" s="4" t="s">
        <v>213</v>
      </c>
      <c r="AF7" s="4" t="s">
        <v>172</v>
      </c>
      <c r="AG7" s="4" t="s">
        <v>66</v>
      </c>
      <c r="AH7" s="4" t="s">
        <v>63</v>
      </c>
      <c r="AI7" s="4" t="s">
        <v>67</v>
      </c>
      <c r="AJ7" s="4" t="s">
        <v>64</v>
      </c>
      <c r="AK7" s="4" t="s">
        <v>107</v>
      </c>
      <c r="AL7" s="4" t="s">
        <v>108</v>
      </c>
      <c r="AM7" s="4" t="s">
        <v>101</v>
      </c>
      <c r="AN7" s="4" t="s">
        <v>102</v>
      </c>
      <c r="AO7" s="4" t="s">
        <v>85</v>
      </c>
      <c r="AP7" s="4" t="s">
        <v>138</v>
      </c>
      <c r="AQ7" s="4" t="s">
        <v>84</v>
      </c>
      <c r="AR7" s="4" t="s">
        <v>81</v>
      </c>
      <c r="AS7" s="4"/>
      <c r="AT7" s="4"/>
      <c r="AU7" s="4"/>
      <c r="AW7" s="4"/>
      <c r="AX7" s="4"/>
    </row>
    <row r="8" spans="1:50" x14ac:dyDescent="0.25">
      <c r="B8" s="113">
        <f t="shared" ref="B8:B22" si="1">C8/180+1</f>
        <v>1.0000055555555556</v>
      </c>
      <c r="C8" s="110">
        <v>1E-3</v>
      </c>
      <c r="D8" s="110"/>
      <c r="E8" s="110"/>
      <c r="F8" s="110"/>
      <c r="G8" s="110"/>
      <c r="H8" s="110"/>
      <c r="I8" s="114"/>
      <c r="J8" s="4"/>
      <c r="K8" s="1">
        <f t="shared" ref="K8:K21" si="2">C8</f>
        <v>1E-3</v>
      </c>
      <c r="L8" s="1">
        <f t="shared" ref="L8:L21" si="3">LN(K8)</f>
        <v>-6.9077552789821368</v>
      </c>
      <c r="M8" s="3"/>
      <c r="N8" s="4"/>
      <c r="O8" s="4">
        <v>0</v>
      </c>
      <c r="P8" s="4">
        <v>0</v>
      </c>
      <c r="Q8" s="3">
        <f>O8/$X$35*100</f>
        <v>0</v>
      </c>
      <c r="R8" s="3">
        <f>P8/$X$35*100</f>
        <v>0</v>
      </c>
      <c r="S8" s="3">
        <f t="shared" ref="S8:S21" si="4">K8</f>
        <v>1E-3</v>
      </c>
      <c r="T8" s="4">
        <f t="shared" si="0"/>
        <v>0</v>
      </c>
      <c r="U8" s="4"/>
      <c r="AC8" s="4"/>
      <c r="AD8" s="4"/>
      <c r="AE8" s="4"/>
      <c r="AG8" s="95">
        <f>C8/$AE$29*$AE$24</f>
        <v>2.7777777777777779E-5</v>
      </c>
      <c r="AH8" s="95">
        <f>AG8/$AE$24*$AE$29</f>
        <v>1E-3</v>
      </c>
      <c r="AI8" s="96">
        <f>MAX(($AE$32+$AF$32*LN($AH8)),0)</f>
        <v>0</v>
      </c>
      <c r="AJ8" s="96">
        <f>MAX(($AE$32+$AF$32*LN($AH8))/$AE$28,0)</f>
        <v>0</v>
      </c>
      <c r="AK8" s="96">
        <f>($AE$33+$AF$33*AJ8*$AE$28)/$AE$28</f>
        <v>-18.907319518350299</v>
      </c>
      <c r="AL8" s="96">
        <f>($AE$34+$AF$34*AK8*$AE$28)/$AE$28</f>
        <v>7.9793218228958712E-2</v>
      </c>
      <c r="AN8">
        <f>MAX($AE$33+$AF$33*AI8, 0)</f>
        <v>0</v>
      </c>
      <c r="AO8" s="127"/>
      <c r="AP8" s="127"/>
      <c r="AS8" s="127"/>
      <c r="AT8" s="127"/>
    </row>
    <row r="9" spans="1:50" x14ac:dyDescent="0.25">
      <c r="B9" s="113">
        <f t="shared" si="1"/>
        <v>1.0408972290491105</v>
      </c>
      <c r="C9" s="111">
        <f>EXP((0-$AE$32)/$AF$32)</f>
        <v>7.361501228839896</v>
      </c>
      <c r="D9" s="109"/>
      <c r="E9" s="109">
        <v>13.82</v>
      </c>
      <c r="F9" s="109">
        <v>0.32200000000000001</v>
      </c>
      <c r="G9" s="148">
        <v>1.0000000000000001E+32</v>
      </c>
      <c r="H9" s="105">
        <v>1.0000000000000001E+32</v>
      </c>
      <c r="I9" s="115">
        <v>0</v>
      </c>
      <c r="J9" s="2">
        <f>E9*F9</f>
        <v>4.4500400000000004</v>
      </c>
      <c r="K9" s="1">
        <f>C9</f>
        <v>7.361501228839896</v>
      </c>
      <c r="L9" s="1">
        <f t="shared" si="3"/>
        <v>1.9962638832512341</v>
      </c>
      <c r="M9" s="3">
        <f t="shared" ref="M9:N21" si="5">1/G9/0.000001</f>
        <v>9.999999999999999E-27</v>
      </c>
      <c r="N9" s="3">
        <f t="shared" si="5"/>
        <v>9.999999999999999E-27</v>
      </c>
      <c r="O9" s="3">
        <f>M9*60/$X$24</f>
        <v>5.9999999999999995E-25</v>
      </c>
      <c r="P9" s="4">
        <v>0</v>
      </c>
      <c r="Q9" s="3">
        <f>O9/$X$35*100</f>
        <v>1.3020833333333332E-27</v>
      </c>
      <c r="R9" s="3">
        <f>P9/$X$35*100</f>
        <v>0</v>
      </c>
      <c r="S9" s="3">
        <f t="shared" si="4"/>
        <v>7.361501228839896</v>
      </c>
      <c r="T9" s="4">
        <f t="shared" si="0"/>
        <v>4.4500400000000004</v>
      </c>
      <c r="U9">
        <f>($T9-$T$9)</f>
        <v>0</v>
      </c>
      <c r="V9">
        <f>($T9-$T$9)*0.001341022</f>
        <v>0</v>
      </c>
      <c r="W9" s="127">
        <v>0</v>
      </c>
      <c r="X9" s="127">
        <v>0</v>
      </c>
      <c r="Y9" s="95">
        <f>$AE$46*(O9/$AE$28/100)^3</f>
        <v>9.76843480821773E-87</v>
      </c>
      <c r="Z9" s="127">
        <f>SQRT(Y9^3/4/$X$37/$X$38)</f>
        <v>9.469612348787209E-129</v>
      </c>
      <c r="AB9">
        <f>SQRT(Y9/$AE$38/$AE$39)</f>
        <v>1.9388187636407961E-42</v>
      </c>
      <c r="AC9" s="4">
        <f t="shared" ref="AC9:AC20" si="6">AB9*1/1.6/1000*3600</f>
        <v>4.3623422181917907E-42</v>
      </c>
      <c r="AD9" s="4">
        <f>P9/60*PI()*$AA$38/1000</f>
        <v>0</v>
      </c>
      <c r="AE9" s="158">
        <f>AD9/AB9</f>
        <v>0</v>
      </c>
      <c r="AG9" s="95">
        <f>C9/$AE$29*$AE$24</f>
        <v>0.20448614524555267</v>
      </c>
      <c r="AH9" s="95">
        <f>AG9/$AE$24*$AE$29</f>
        <v>7.361501228839896</v>
      </c>
      <c r="AI9" s="96">
        <f>MAX(($AE$32+$AF$32*LN($AH9)),0)</f>
        <v>0</v>
      </c>
      <c r="AJ9" s="96">
        <f>MAX(($AE$32+$AF$32*LN(AH9))/$AE$28,0)</f>
        <v>0</v>
      </c>
      <c r="AK9" s="96">
        <f>($AE$33+$AF$33*AJ9*$AE$28)/$AE$28</f>
        <v>-18.907319518350299</v>
      </c>
      <c r="AL9" s="96">
        <f>($AE$34+$AF$34*AK9*$AE$28)/$AE$28</f>
        <v>7.9793218228958712E-2</v>
      </c>
      <c r="AN9">
        <f>MAX($AE$33+$AF$33*AI9, 0)</f>
        <v>0</v>
      </c>
      <c r="AO9" s="127"/>
      <c r="AP9" s="127"/>
      <c r="AQ9" s="127"/>
      <c r="AS9" s="127"/>
      <c r="AT9" s="127"/>
    </row>
    <row r="10" spans="1:50" ht="15" customHeight="1" x14ac:dyDescent="0.25">
      <c r="B10" s="113">
        <f t="shared" si="1"/>
        <v>1.05</v>
      </c>
      <c r="C10" s="73">
        <v>9</v>
      </c>
      <c r="D10" s="109"/>
      <c r="E10" s="73">
        <v>13.69</v>
      </c>
      <c r="F10" s="106">
        <v>0.56000000000000005</v>
      </c>
      <c r="G10" s="73">
        <v>7880</v>
      </c>
      <c r="H10" s="105">
        <v>1.0000000000000001E+32</v>
      </c>
      <c r="I10" s="78">
        <v>0</v>
      </c>
      <c r="J10" s="2">
        <f>E10*F10</f>
        <v>7.6664000000000003</v>
      </c>
      <c r="K10" s="1">
        <f>C10</f>
        <v>9</v>
      </c>
      <c r="L10" s="1">
        <f t="shared" si="3"/>
        <v>2.1972245773362196</v>
      </c>
      <c r="M10" s="3">
        <f t="shared" si="5"/>
        <v>126.9035532994924</v>
      </c>
      <c r="N10" s="3">
        <f t="shared" si="5"/>
        <v>9.999999999999999E-27</v>
      </c>
      <c r="O10" s="3">
        <f>M10*60/$X$24</f>
        <v>7614.2131979695441</v>
      </c>
      <c r="P10" s="3">
        <f>N10*60/$X$24</f>
        <v>5.9999999999999995E-25</v>
      </c>
      <c r="Q10" s="3">
        <f>O10/$X$35*100</f>
        <v>16.52390016920474</v>
      </c>
      <c r="R10" s="3">
        <f>P10/$X$35*100</f>
        <v>1.3020833333333332E-27</v>
      </c>
      <c r="S10" s="3">
        <f>K10</f>
        <v>9</v>
      </c>
      <c r="T10" s="4">
        <f>J10</f>
        <v>7.6664000000000003</v>
      </c>
      <c r="U10">
        <f t="shared" ref="U10:U21" si="7">($T10-$T$9)</f>
        <v>3.2163599999999999</v>
      </c>
      <c r="V10">
        <f t="shared" ref="V10:V21" si="8">($T10-$T$9)*0.001341022</f>
        <v>4.3132095199200004E-3</v>
      </c>
      <c r="W10" s="150">
        <f>$V10/$O10*5252</f>
        <v>2.9750909003520725E-3</v>
      </c>
      <c r="X10" s="150">
        <f>W10-$W$10</f>
        <v>0</v>
      </c>
      <c r="Y10" s="95">
        <f>$AE$46*(O10/$AE$28/100)^3</f>
        <v>1.9963943404514357E-2</v>
      </c>
      <c r="Z10" s="127">
        <f>SQRT(Y10^3/4/$X$37/$X$38)</f>
        <v>2.766713710450296E-2</v>
      </c>
      <c r="AA10" s="97">
        <f>Z10/U10*100</f>
        <v>0.86020026068297573</v>
      </c>
      <c r="AB10">
        <f>SQRT(Y10/$AE$38/$AE$39)</f>
        <v>2.7717106329049916</v>
      </c>
      <c r="AC10" s="4">
        <f t="shared" si="6"/>
        <v>6.2363489240362311</v>
      </c>
      <c r="AD10" s="4">
        <f>P10/60*PI()*$AA$38/1000</f>
        <v>1.7278759594743859E-27</v>
      </c>
      <c r="AE10" s="158">
        <f t="shared" ref="AE10:AE21" si="9">AD10/AB10</f>
        <v>6.2339695167363955E-28</v>
      </c>
      <c r="AG10" s="95">
        <f>C10/$AE$29*$AE$24</f>
        <v>0.25</v>
      </c>
      <c r="AH10" s="95">
        <f>AG10/$AE$24*$AE$29</f>
        <v>9</v>
      </c>
      <c r="AI10" s="96">
        <f>MAX(($AE$32+$AF$32*LN($AH10)),0)</f>
        <v>2851.6343524568838</v>
      </c>
      <c r="AJ10" s="96">
        <f>MAX(($AE$32+$AF$32*LN(AH10))/$AE$28,0)</f>
        <v>6.1884426051581674</v>
      </c>
      <c r="AK10" s="96">
        <f>($AE$33+$AF$33*AJ10*$AE$28)/$AE$28</f>
        <v>-12.826465521236472</v>
      </c>
      <c r="AL10" s="96">
        <f>($AE$34+$AF$34*AK10*$AE$28)/$AE$28</f>
        <v>6.2612708809312894</v>
      </c>
      <c r="AN10">
        <f>MAX($AE$33+$AF$33*AI10, 0)</f>
        <v>0</v>
      </c>
      <c r="AO10" s="127">
        <f>MAX($AE$35+$AI10*($AF$35+$AI10*$AG$35), 0)</f>
        <v>2.8885232311502262E-4</v>
      </c>
      <c r="AP10" s="127">
        <f>AI10*AO10/5252</f>
        <v>1.568357211313355E-4</v>
      </c>
      <c r="AQ10" s="146">
        <f>MAX($AF$35+$AG$35*2*AI10,1E-32)</f>
        <v>1.0000000000000001E-32</v>
      </c>
      <c r="AR10" s="95"/>
      <c r="AS10" s="127"/>
      <c r="AU10" s="95"/>
      <c r="AW10" s="128"/>
      <c r="AX10" s="96"/>
    </row>
    <row r="11" spans="1:50" ht="15" customHeight="1" x14ac:dyDescent="0.25">
      <c r="B11" s="113">
        <f t="shared" si="1"/>
        <v>1.0555555555555556</v>
      </c>
      <c r="C11" s="73">
        <v>10</v>
      </c>
      <c r="D11" s="109"/>
      <c r="E11" s="73">
        <v>13.68</v>
      </c>
      <c r="F11" s="106">
        <v>0.60799999999999998</v>
      </c>
      <c r="G11" s="73">
        <v>7280</v>
      </c>
      <c r="H11" s="105">
        <v>1.0000000000000001E+32</v>
      </c>
      <c r="I11" s="78">
        <v>0</v>
      </c>
      <c r="J11" s="2">
        <f>E11*F11</f>
        <v>8.3174399999999995</v>
      </c>
      <c r="K11" s="1">
        <f>C11</f>
        <v>10</v>
      </c>
      <c r="L11" s="1">
        <f t="shared" si="3"/>
        <v>2.3025850929940459</v>
      </c>
      <c r="M11" s="3">
        <f t="shared" si="5"/>
        <v>137.36263736263737</v>
      </c>
      <c r="N11" s="3">
        <f t="shared" si="5"/>
        <v>9.999999999999999E-27</v>
      </c>
      <c r="O11" s="3">
        <f>M11*60/$X$24</f>
        <v>8241.7582417582416</v>
      </c>
      <c r="P11" s="3">
        <f>N11*60/$X$24</f>
        <v>5.9999999999999995E-25</v>
      </c>
      <c r="Q11" s="3">
        <f>O11/$X$35*100</f>
        <v>17.885760073260073</v>
      </c>
      <c r="R11" s="3">
        <f>P11/$X$35*100</f>
        <v>1.3020833333333332E-27</v>
      </c>
      <c r="S11" s="3">
        <f>K11</f>
        <v>10</v>
      </c>
      <c r="T11" s="158">
        <f>J11</f>
        <v>8.3174399999999995</v>
      </c>
      <c r="U11" s="96">
        <f t="shared" si="7"/>
        <v>3.8673999999999991</v>
      </c>
      <c r="V11">
        <f t="shared" si="8"/>
        <v>5.1862684827999987E-3</v>
      </c>
      <c r="W11" s="150">
        <f>$V11/$O11*5252</f>
        <v>3.3049115580287588E-3</v>
      </c>
      <c r="X11" s="150">
        <f t="shared" ref="X11:X21" si="10">W11-$W$10</f>
        <v>3.2982065767668631E-4</v>
      </c>
      <c r="Y11" s="95">
        <f>$AE$46*(O11/$AE$28/100)^3</f>
        <v>2.5318084473527055E-2</v>
      </c>
      <c r="Z11" s="147">
        <f>SQRT(Y11^3/4/$X$37/$X$38)</f>
        <v>3.9513090032507601E-2</v>
      </c>
      <c r="AA11" s="97">
        <f t="shared" ref="AA11:AA21" si="11">Z11/U11*100</f>
        <v>1.0216964894375449</v>
      </c>
      <c r="AB11">
        <f>SQRT(Y11/$AE$38/$AE$39)</f>
        <v>3.1213332962707385</v>
      </c>
      <c r="AC11" s="175">
        <f t="shared" si="6"/>
        <v>7.0229999166091615</v>
      </c>
      <c r="AD11" s="175">
        <f>P11/60*PI()*$AA$38/1000</f>
        <v>1.7278759594743859E-27</v>
      </c>
      <c r="AE11" s="158">
        <f t="shared" si="9"/>
        <v>5.5356983553752252E-28</v>
      </c>
      <c r="AG11" s="95">
        <f>C11/$AE$29*$AE$24</f>
        <v>0.27777777777777779</v>
      </c>
      <c r="AH11" s="95">
        <f>AG11/$AE$24*$AE$29</f>
        <v>10</v>
      </c>
      <c r="AI11" s="96">
        <f>MAX(($AE$32+$AF$32*LN($AH11)),0)</f>
        <v>4346.701172416062</v>
      </c>
      <c r="AJ11" s="96">
        <f>MAX(($AE$32+$AF$32*LN(AH11))/$AE$28,0)</f>
        <v>9.4329452526390227</v>
      </c>
      <c r="AK11" s="96">
        <f>($AE$33+$AF$33*AJ11*$AE$28)/$AE$28</f>
        <v>-9.6383698804793578</v>
      </c>
      <c r="AL11" s="96">
        <f>($AE$34+$AF$34*AK11*$AE$28)/$AE$28</f>
        <v>9.5021219191657913</v>
      </c>
      <c r="AN11">
        <f>MAX($AE$33+$AF$33*AI11, 0)</f>
        <v>0</v>
      </c>
      <c r="AO11" s="127">
        <f>MAX($AE$35+$AI11*($AF$35+$AI11*$AG$35), 0)</f>
        <v>1.9093165395329351E-4</v>
      </c>
      <c r="AP11" s="127">
        <f t="shared" ref="AP11:AP21" si="12">AI11*AO11/5252</f>
        <v>1.5802034350535392E-4</v>
      </c>
      <c r="AQ11" s="146">
        <f>MAX($AF$35+$AG$35*2*AI11,1E-32)</f>
        <v>1.0000000000000001E-32</v>
      </c>
      <c r="AR11" s="95"/>
      <c r="AS11" s="127"/>
      <c r="AU11" s="95"/>
      <c r="AW11" s="127"/>
      <c r="AX11" s="96"/>
    </row>
    <row r="12" spans="1:50" ht="15" customHeight="1" x14ac:dyDescent="0.25">
      <c r="B12" s="113">
        <f t="shared" si="1"/>
        <v>1.0611111111111111</v>
      </c>
      <c r="C12" s="73">
        <v>11</v>
      </c>
      <c r="D12" s="109"/>
      <c r="E12" s="73">
        <v>13.65</v>
      </c>
      <c r="F12" s="106">
        <v>0.66400000000000003</v>
      </c>
      <c r="G12" s="73">
        <v>6600</v>
      </c>
      <c r="H12" s="105">
        <v>1.0000000000000001E+32</v>
      </c>
      <c r="I12" s="78">
        <v>0</v>
      </c>
      <c r="J12" s="2">
        <f>E12*F12</f>
        <v>9.063600000000001</v>
      </c>
      <c r="K12" s="1">
        <f>C12</f>
        <v>11</v>
      </c>
      <c r="L12" s="1">
        <f t="shared" si="3"/>
        <v>2.3978952727983707</v>
      </c>
      <c r="M12" s="3">
        <f t="shared" si="5"/>
        <v>151.51515151515153</v>
      </c>
      <c r="N12" s="3">
        <f t="shared" si="5"/>
        <v>9.999999999999999E-27</v>
      </c>
      <c r="O12" s="3">
        <f>M12*60/$X$24</f>
        <v>9090.9090909090919</v>
      </c>
      <c r="P12" s="3">
        <f>N12*60/$X$24</f>
        <v>5.9999999999999995E-25</v>
      </c>
      <c r="Q12" s="3">
        <f>O12/$X$35*100</f>
        <v>19.728535353535356</v>
      </c>
      <c r="R12" s="3">
        <f>P12/$X$35*100</f>
        <v>1.3020833333333332E-27</v>
      </c>
      <c r="S12" s="3">
        <f>K12</f>
        <v>11</v>
      </c>
      <c r="T12" s="158">
        <f>J12</f>
        <v>9.063600000000001</v>
      </c>
      <c r="U12" s="96">
        <f t="shared" si="7"/>
        <v>4.6135600000000005</v>
      </c>
      <c r="V12">
        <f t="shared" si="8"/>
        <v>6.1868854583200013E-3</v>
      </c>
      <c r="W12" s="150">
        <f t="shared" ref="W12:W21" si="13">$V12/$O12*5252</f>
        <v>3.5742874669806306E-3</v>
      </c>
      <c r="X12" s="150">
        <f t="shared" si="10"/>
        <v>5.9919656662855807E-4</v>
      </c>
      <c r="Y12" s="95">
        <f>$AE$46*(O12/$AE$28/100)^3</f>
        <v>3.397763728266736E-2</v>
      </c>
      <c r="Z12" s="147">
        <f>SQRT(Y12^3/4/$X$37/$X$38)</f>
        <v>6.1430562354518103E-2</v>
      </c>
      <c r="AA12" s="97">
        <f t="shared" si="11"/>
        <v>1.3315219126773705</v>
      </c>
      <c r="AB12">
        <f>SQRT(Y12/$AE$38/$AE$39)</f>
        <v>3.6159407932613967</v>
      </c>
      <c r="AC12" s="175">
        <f t="shared" si="6"/>
        <v>8.135866784838143</v>
      </c>
      <c r="AD12" s="175">
        <f>P12/60*PI()*$AA$38/1000</f>
        <v>1.7278759594743859E-27</v>
      </c>
      <c r="AE12" s="158">
        <f t="shared" si="9"/>
        <v>4.7784962704434349E-28</v>
      </c>
      <c r="AG12" s="95">
        <f>C12/$AE$29*$AE$24</f>
        <v>0.30555555555555552</v>
      </c>
      <c r="AH12" s="95">
        <f>AG12/$AE$24*$AE$29</f>
        <v>10.999999999999998</v>
      </c>
      <c r="AI12" s="96">
        <f>MAX(($AE$32+$AF$32*LN($AH12)),0)</f>
        <v>5699.1536214204207</v>
      </c>
      <c r="AJ12" s="96">
        <f>MAX(($AE$32+$AF$32*LN(AH12))/$AE$28,0)</f>
        <v>12.367954907596399</v>
      </c>
      <c r="AK12" s="96">
        <f>($AE$33+$AF$33*AJ12*$AE$28)/$AE$28</f>
        <v>-6.7543865698740113</v>
      </c>
      <c r="AL12" s="96">
        <f>($AE$34+$AF$34*AK12*$AE$28)/$AE$28</f>
        <v>12.433828291753372</v>
      </c>
      <c r="AN12">
        <f>MAX($AE$33+$AF$33*AI12, 0)</f>
        <v>0</v>
      </c>
      <c r="AO12" s="127">
        <f>MAX($AE$35+$AI12*($AF$35+$AI12*$AG$35), 0)</f>
        <v>1.7100500229004468E-4</v>
      </c>
      <c r="AP12" s="127">
        <f t="shared" si="12"/>
        <v>1.8556431418170516E-4</v>
      </c>
      <c r="AQ12" s="146">
        <f>MAX($AF$35+$AG$35*2*AI12,1E-32)</f>
        <v>9.3761701698468599E-9</v>
      </c>
      <c r="AR12" s="95">
        <f>$X$31/AQ12</f>
        <v>3.9916956312459519</v>
      </c>
      <c r="AS12" s="127"/>
      <c r="AU12" s="95"/>
      <c r="AW12" s="127"/>
      <c r="AX12" s="96"/>
    </row>
    <row r="13" spans="1:50" ht="15" customHeight="1" x14ac:dyDescent="0.25">
      <c r="B13" s="113">
        <f t="shared" si="1"/>
        <v>1.0666666666666667</v>
      </c>
      <c r="C13" s="73">
        <v>12</v>
      </c>
      <c r="D13" s="109"/>
      <c r="E13" s="73">
        <v>13.68</v>
      </c>
      <c r="F13" s="106">
        <v>0.68600000000000005</v>
      </c>
      <c r="G13" s="73">
        <v>6200</v>
      </c>
      <c r="H13" s="105">
        <v>1.0000000000000001E+32</v>
      </c>
      <c r="I13" s="78">
        <v>0</v>
      </c>
      <c r="J13" s="2">
        <f>E13*F13</f>
        <v>9.3844799999999999</v>
      </c>
      <c r="K13" s="1">
        <f>C13</f>
        <v>12</v>
      </c>
      <c r="L13" s="1">
        <f t="shared" si="3"/>
        <v>2.4849066497880004</v>
      </c>
      <c r="M13" s="3">
        <f t="shared" si="5"/>
        <v>161.29032258064518</v>
      </c>
      <c r="N13" s="3">
        <f t="shared" si="5"/>
        <v>9.999999999999999E-27</v>
      </c>
      <c r="O13" s="3">
        <f>M13*60/$X$24</f>
        <v>9677.4193548387102</v>
      </c>
      <c r="P13" s="3">
        <f>N13*60/$X$24</f>
        <v>5.9999999999999995E-25</v>
      </c>
      <c r="Q13" s="3">
        <f>O13/$X$35*100</f>
        <v>21.001344086021508</v>
      </c>
      <c r="R13" s="3">
        <f>P13/$X$35*100</f>
        <v>1.3020833333333332E-27</v>
      </c>
      <c r="S13" s="3">
        <f>K13</f>
        <v>12</v>
      </c>
      <c r="T13" s="158">
        <f>J13</f>
        <v>9.3844799999999999</v>
      </c>
      <c r="U13" s="96">
        <f t="shared" si="7"/>
        <v>4.9344399999999995</v>
      </c>
      <c r="V13">
        <f t="shared" si="8"/>
        <v>6.6171925976800001E-3</v>
      </c>
      <c r="W13" s="150">
        <f t="shared" si="13"/>
        <v>3.5911945373782541E-3</v>
      </c>
      <c r="X13" s="150">
        <f t="shared" si="10"/>
        <v>6.1610363702618159E-4</v>
      </c>
      <c r="Y13" s="95">
        <f>$AE$46*(O13/$AE$28/100)^3</f>
        <v>4.0987356954355909E-2</v>
      </c>
      <c r="Z13" s="147">
        <f>SQRT(Y13^3/4/$X$37/$X$38)</f>
        <v>8.1389728207219222E-2</v>
      </c>
      <c r="AA13" s="97">
        <f t="shared" si="11"/>
        <v>1.6494217825572755</v>
      </c>
      <c r="AB13">
        <f>SQRT(Y13/$AE$38/$AE$39)</f>
        <v>3.9714553098827987</v>
      </c>
      <c r="AC13" s="175">
        <f t="shared" si="6"/>
        <v>8.9357744472362963</v>
      </c>
      <c r="AD13" s="175">
        <f>P13/60*PI()*$AA$38/1000</f>
        <v>1.7278759594743859E-27</v>
      </c>
      <c r="AE13" s="158">
        <f t="shared" si="9"/>
        <v>4.3507375122027426E-28</v>
      </c>
      <c r="AG13" s="95">
        <f>C13/$AE$29*$AE$24</f>
        <v>0.33333333333333331</v>
      </c>
      <c r="AH13" s="95">
        <f>AG13/$AE$24*$AE$29</f>
        <v>12</v>
      </c>
      <c r="AI13" s="96">
        <f>MAX(($AE$32+$AF$32*LN($AH13)),0)</f>
        <v>6933.8459716233592</v>
      </c>
      <c r="AJ13" s="96">
        <f>MAX(($AE$32+$AF$32*LN(AH13))/$AE$28,0)</f>
        <v>15.047408792585415</v>
      </c>
      <c r="AK13" s="96">
        <f>($AE$33+$AF$33*AJ13*$AE$28)/$AE$28</f>
        <v>-4.1215160875596348</v>
      </c>
      <c r="AL13" s="96">
        <f>($AE$34+$AF$34*AK13*$AE$28)/$AE$28</f>
        <v>15.110266516209885</v>
      </c>
      <c r="AN13">
        <f>MAX($AE$33+$AF$33*AI13, 0)</f>
        <v>0</v>
      </c>
      <c r="AO13" s="127">
        <f>MAX($AE$35+$AI13*($AF$35+$AI13*$AG$35), 0)</f>
        <v>2.0975801042066519E-4</v>
      </c>
      <c r="AP13" s="127">
        <f t="shared" si="12"/>
        <v>2.7692873868451255E-4</v>
      </c>
      <c r="AQ13" s="146">
        <f>MAX($AF$35+$AG$35*2*AI13,1E-32)</f>
        <v>5.3397375198359203E-8</v>
      </c>
      <c r="AR13" s="95">
        <f>$X$31/AQ13</f>
        <v>0.70091118459969504</v>
      </c>
      <c r="AS13" s="127"/>
      <c r="AU13" s="95"/>
      <c r="AW13" s="127"/>
      <c r="AX13" s="96"/>
    </row>
    <row r="14" spans="1:50" ht="15" customHeight="1" x14ac:dyDescent="0.25">
      <c r="A14">
        <v>28</v>
      </c>
      <c r="B14" s="113">
        <f t="shared" si="1"/>
        <v>1.1388888888888888</v>
      </c>
      <c r="C14" s="140">
        <v>25</v>
      </c>
      <c r="D14" s="141">
        <v>0.61099999999999999</v>
      </c>
      <c r="E14" s="73">
        <v>13.77</v>
      </c>
      <c r="F14" s="106">
        <v>1.48</v>
      </c>
      <c r="G14" s="73">
        <v>3260</v>
      </c>
      <c r="H14" s="140">
        <v>6740</v>
      </c>
      <c r="I14" s="78">
        <v>4.08</v>
      </c>
      <c r="J14" s="2">
        <f>E14*F14</f>
        <v>20.3796</v>
      </c>
      <c r="K14" s="1">
        <f t="shared" si="2"/>
        <v>25</v>
      </c>
      <c r="L14" s="1">
        <f t="shared" si="3"/>
        <v>3.2188758248682006</v>
      </c>
      <c r="M14" s="3">
        <f t="shared" si="5"/>
        <v>306.74846625766872</v>
      </c>
      <c r="N14" s="3">
        <f t="shared" si="5"/>
        <v>148.36795252225519</v>
      </c>
      <c r="O14" s="3">
        <f>M14*60/$X$24</f>
        <v>18404.907975460123</v>
      </c>
      <c r="P14" s="3">
        <f>N14*60/$X$24</f>
        <v>8902.077151335312</v>
      </c>
      <c r="Q14" s="3">
        <f>O14/$X$35*100</f>
        <v>39.941206543967276</v>
      </c>
      <c r="R14" s="3">
        <f>P14/$X$35*100</f>
        <v>19.31874381800198</v>
      </c>
      <c r="S14" s="3">
        <f t="shared" si="4"/>
        <v>25</v>
      </c>
      <c r="T14" s="158">
        <f t="shared" si="0"/>
        <v>20.3796</v>
      </c>
      <c r="U14" s="96">
        <f t="shared" si="7"/>
        <v>15.929559999999999</v>
      </c>
      <c r="V14">
        <f t="shared" si="8"/>
        <v>2.1361890410319998E-2</v>
      </c>
      <c r="W14" s="150">
        <f t="shared" si="13"/>
        <v>6.0958005649683674E-3</v>
      </c>
      <c r="X14" s="150">
        <f t="shared" si="10"/>
        <v>3.1207096646162949E-3</v>
      </c>
      <c r="Y14" s="95">
        <f>$AE$46*(O14/$AE$28/100)^3</f>
        <v>0.28195005411935081</v>
      </c>
      <c r="Z14" s="147">
        <f>SQRT(Y14^3/4/$X$37/$X$38)</f>
        <v>1.4684291617572443</v>
      </c>
      <c r="AA14" s="97">
        <f t="shared" si="11"/>
        <v>9.2182656756196923</v>
      </c>
      <c r="AB14">
        <f>SQRT(Y14/$AE$38/$AE$39)</f>
        <v>10.416236069496557</v>
      </c>
      <c r="AC14" s="175">
        <f t="shared" si="6"/>
        <v>23.436531156367252</v>
      </c>
      <c r="AD14" s="175">
        <f>P14/60*PI()*$AA$38/1000</f>
        <v>25.636141831964185</v>
      </c>
      <c r="AE14" s="158">
        <f t="shared" si="9"/>
        <v>2.4611713541169045</v>
      </c>
      <c r="AF14" s="151"/>
      <c r="AG14" s="95">
        <f>C14/$AE$29*$AE$24</f>
        <v>0.69444444444444442</v>
      </c>
      <c r="AH14" s="95">
        <f>AG14/$AE$24*$AE$29</f>
        <v>25</v>
      </c>
      <c r="AI14" s="96">
        <f>MAX(($AE$32+$AF$32*LN($AH14)),0)</f>
        <v>17348.876248230645</v>
      </c>
      <c r="AJ14" s="96">
        <f>MAX(($AE$32+$AF$32*LN(AH14))/$AE$28,0)</f>
        <v>37.649471024806083</v>
      </c>
      <c r="AK14" s="96">
        <f>($AE$33+$AF$33*AJ14*$AE$28)/$AE$28</f>
        <v>18.087600040180838</v>
      </c>
      <c r="AL14" s="96">
        <f>($AE$34+$AF$34*AK14*$AE$28)/$AE$28</f>
        <v>37.686890674124193</v>
      </c>
      <c r="AM14" s="97">
        <f>AN14/$AE$28</f>
        <v>18.087600040180838</v>
      </c>
      <c r="AN14" s="174">
        <f>MAX($AE$33+$AF$33*AI14, 0)</f>
        <v>8334.7660985153307</v>
      </c>
      <c r="AO14" s="127">
        <f>MAX($AE$35+$AI14*($AF$35+$AI14*$AG$35), 0)</f>
        <v>2.6996162202028583E-3</v>
      </c>
      <c r="AP14" s="127">
        <f t="shared" si="12"/>
        <v>8.9176138084568844E-3</v>
      </c>
      <c r="AQ14" s="146">
        <f>MAX($AF$35+$AG$35*2*AI14,1E-32)</f>
        <v>4.2473051183708176E-7</v>
      </c>
      <c r="AR14" s="95">
        <f>$X$31/AQ14</f>
        <v>8.8118975354312457E-2</v>
      </c>
      <c r="AS14" s="127"/>
      <c r="AT14" s="153"/>
      <c r="AU14" s="151"/>
      <c r="AW14" s="127"/>
      <c r="AX14" s="96"/>
    </row>
    <row r="15" spans="1:50" ht="13.9" customHeight="1" x14ac:dyDescent="0.25">
      <c r="B15" s="113">
        <f t="shared" si="1"/>
        <v>1.1944444444444444</v>
      </c>
      <c r="C15" s="73">
        <v>35</v>
      </c>
      <c r="D15" s="73">
        <v>0.98599999999999999</v>
      </c>
      <c r="E15" s="73">
        <v>13.69</v>
      </c>
      <c r="F15" s="73">
        <v>2.19</v>
      </c>
      <c r="G15" s="73">
        <v>2680</v>
      </c>
      <c r="H15" s="73">
        <v>4532</v>
      </c>
      <c r="I15" s="78">
        <v>6.04</v>
      </c>
      <c r="J15" s="2">
        <f>E15*F15</f>
        <v>29.981099999999998</v>
      </c>
      <c r="K15" s="1">
        <f t="shared" si="2"/>
        <v>35</v>
      </c>
      <c r="L15" s="1">
        <f t="shared" si="3"/>
        <v>3.5553480614894135</v>
      </c>
      <c r="M15" s="3">
        <f t="shared" si="5"/>
        <v>373.13432835820896</v>
      </c>
      <c r="N15" s="3">
        <f t="shared" si="5"/>
        <v>220.65313327449252</v>
      </c>
      <c r="O15" s="3">
        <f>M15*60/$X$24</f>
        <v>22388.059701492537</v>
      </c>
      <c r="P15" s="3">
        <f>N15*60/$X$24</f>
        <v>13239.187996469551</v>
      </c>
      <c r="Q15" s="3">
        <f>O15/$X$35*100</f>
        <v>48.585199004975124</v>
      </c>
      <c r="R15" s="3">
        <f>P15/$X$35*100</f>
        <v>28.730876728449545</v>
      </c>
      <c r="S15" s="3">
        <f t="shared" si="4"/>
        <v>35</v>
      </c>
      <c r="T15" s="158">
        <f t="shared" si="0"/>
        <v>29.981099999999998</v>
      </c>
      <c r="U15" s="96">
        <f t="shared" si="7"/>
        <v>25.531059999999997</v>
      </c>
      <c r="V15">
        <f t="shared" si="8"/>
        <v>3.4237713143319998E-2</v>
      </c>
      <c r="W15" s="150">
        <f t="shared" si="13"/>
        <v>8.0318023011493427E-3</v>
      </c>
      <c r="X15" s="150">
        <f t="shared" si="10"/>
        <v>5.0567114007972706E-3</v>
      </c>
      <c r="Y15" s="95">
        <f>$AE$46*(O15/$AE$28/100)^3</f>
        <v>0.50748195050056688</v>
      </c>
      <c r="Z15" s="147">
        <f>SQRT(Y15^3/4/$X$37/$X$38)</f>
        <v>3.5458930123707444</v>
      </c>
      <c r="AA15" s="97">
        <f t="shared" si="11"/>
        <v>13.888545999933982</v>
      </c>
      <c r="AB15">
        <f>SQRT(Y15/$AE$38/$AE$39)</f>
        <v>13.974459619196972</v>
      </c>
      <c r="AC15" s="175">
        <f t="shared" si="6"/>
        <v>31.442534143193186</v>
      </c>
      <c r="AD15" s="175">
        <f>P15/60*PI()*$AA$38/1000</f>
        <v>38.126124436769338</v>
      </c>
      <c r="AE15" s="158">
        <f t="shared" si="9"/>
        <v>2.728271824149449</v>
      </c>
      <c r="AF15" s="151"/>
      <c r="AG15" s="95">
        <f>C15/$AE$29*$AE$24</f>
        <v>0.97222222222222221</v>
      </c>
      <c r="AH15" s="95">
        <f>AG15/$AE$24*$AE$29</f>
        <v>35</v>
      </c>
      <c r="AI15" s="96">
        <f>MAX(($AE$32+$AF$32*LN($AH15)),0)</f>
        <v>22123.420807632323</v>
      </c>
      <c r="AJ15" s="96">
        <f>MAX(($AE$32+$AF$32*LN(AH15))/$AE$28,0)</f>
        <v>48.010895849896535</v>
      </c>
      <c r="AK15" s="96">
        <f>($AE$33+$AF$33*AJ15*$AE$28)/$AE$28</f>
        <v>28.268887253045815</v>
      </c>
      <c r="AL15" s="96">
        <f>($AE$34+$AF$34*AK15*$AE$28)/$AE$28</f>
        <v>48.036653966213251</v>
      </c>
      <c r="AM15" s="97">
        <f>AN15/$AE$28</f>
        <v>28.268887253045815</v>
      </c>
      <c r="AN15" s="174">
        <f>MAX($AE$33+$AF$33*AI15, 0)</f>
        <v>13026.303246203512</v>
      </c>
      <c r="AO15" s="127">
        <f>MAX($AE$35+$AI15*($AF$35+$AI15*$AG$35), 0)</f>
        <v>5.1338954187745353E-3</v>
      </c>
      <c r="AP15" s="127">
        <f t="shared" si="12"/>
        <v>2.1625919408211122E-2</v>
      </c>
      <c r="AQ15" s="146">
        <f>MAX($AF$35+$AG$35*2*AI15,1E-32)</f>
        <v>5.9496012809140091E-7</v>
      </c>
      <c r="AR15" s="95">
        <f>$X$31/AQ15</f>
        <v>6.2906429754981188E-2</v>
      </c>
      <c r="AS15" s="127"/>
      <c r="AT15" s="153"/>
      <c r="AU15" s="151"/>
      <c r="AW15" s="127"/>
      <c r="AX15" s="96"/>
    </row>
    <row r="16" spans="1:50" ht="13.9" customHeight="1" x14ac:dyDescent="0.25">
      <c r="B16" s="113">
        <f t="shared" si="1"/>
        <v>1.3</v>
      </c>
      <c r="C16" s="73">
        <v>54</v>
      </c>
      <c r="D16" s="73">
        <v>1.375</v>
      </c>
      <c r="E16" s="73">
        <v>13.62</v>
      </c>
      <c r="F16" s="73">
        <v>3.93</v>
      </c>
      <c r="G16" s="73">
        <v>2150</v>
      </c>
      <c r="H16" s="73">
        <v>3180</v>
      </c>
      <c r="I16" s="78">
        <v>8.24</v>
      </c>
      <c r="J16" s="2">
        <f>E16*F16</f>
        <v>53.526600000000002</v>
      </c>
      <c r="K16" s="1">
        <f t="shared" si="2"/>
        <v>54</v>
      </c>
      <c r="L16" s="1">
        <f t="shared" si="3"/>
        <v>3.9889840465642745</v>
      </c>
      <c r="M16" s="3">
        <f t="shared" si="5"/>
        <v>465.11627906976747</v>
      </c>
      <c r="N16" s="3">
        <f t="shared" si="5"/>
        <v>314.46540880503147</v>
      </c>
      <c r="O16" s="3">
        <f>M16*60/$X$24</f>
        <v>27906.976744186049</v>
      </c>
      <c r="P16" s="3">
        <f>N16*60/$X$24</f>
        <v>18867.92452830189</v>
      </c>
      <c r="Q16" s="3">
        <f>O16/$X$35*100</f>
        <v>60.562015503875976</v>
      </c>
      <c r="R16" s="3">
        <f>P16/$X$35*100</f>
        <v>40.946016771488473</v>
      </c>
      <c r="S16" s="3">
        <f t="shared" si="4"/>
        <v>54</v>
      </c>
      <c r="T16" s="158">
        <f t="shared" si="0"/>
        <v>53.526600000000002</v>
      </c>
      <c r="U16" s="96">
        <f t="shared" si="7"/>
        <v>49.076560000000001</v>
      </c>
      <c r="V16">
        <f t="shared" si="8"/>
        <v>6.5812746644320005E-2</v>
      </c>
      <c r="W16" s="150">
        <f t="shared" si="13"/>
        <v>1.2385739542638876E-2</v>
      </c>
      <c r="X16" s="150">
        <f t="shared" si="10"/>
        <v>9.4106486422868042E-3</v>
      </c>
      <c r="Y16" s="95">
        <f>$AE$46*(O16/$AE$28/100)^3</f>
        <v>0.98290060580504701</v>
      </c>
      <c r="Z16" s="147">
        <f>SQRT(Y16^3/4/$X$37/$X$38)</f>
        <v>9.5578262506065865</v>
      </c>
      <c r="AA16" s="97">
        <f t="shared" si="11"/>
        <v>19.475338635402696</v>
      </c>
      <c r="AB16">
        <f>SQRT(Y16/$AE$38/$AE$39)</f>
        <v>19.448205025325478</v>
      </c>
      <c r="AC16" s="175">
        <f t="shared" si="6"/>
        <v>43.758461306982326</v>
      </c>
      <c r="AD16" s="175">
        <f>P16/60*PI()*$AA$38/1000</f>
        <v>54.335721996049891</v>
      </c>
      <c r="AE16" s="158">
        <f t="shared" si="9"/>
        <v>2.7938682220438258</v>
      </c>
      <c r="AF16" s="151"/>
      <c r="AG16" s="95">
        <f>C16/$AE$29*$AE$24</f>
        <v>1.5</v>
      </c>
      <c r="AH16" s="95">
        <f>AG16/$AE$24*$AE$29</f>
        <v>54</v>
      </c>
      <c r="AI16" s="96">
        <f>MAX(($AE$32+$AF$32*LN($AH16)),0)</f>
        <v>28276.719974572956</v>
      </c>
      <c r="AJ16" s="96">
        <f>MAX(($AE$32+$AF$32*LN(AH16))/$AE$28,0)</f>
        <v>61.364409667042004</v>
      </c>
      <c r="AK16" s="96">
        <f>($AE$33+$AF$33*AJ16*$AE$28)/$AE$28</f>
        <v>41.390244765971858</v>
      </c>
      <c r="AL16" s="96">
        <f>($AE$34+$AF$34*AK16*$AE$28)/$AE$28</f>
        <v>61.375138726574363</v>
      </c>
      <c r="AM16" s="97">
        <f>AN16/$AE$28</f>
        <v>41.390244765971858</v>
      </c>
      <c r="AN16" s="174">
        <f>MAX($AE$33+$AF$33*AI16, 0)</f>
        <v>19072.624788159832</v>
      </c>
      <c r="AO16" s="127">
        <f>MAX($AE$35+$AI16*($AF$35+$AI16*$AG$35), 0)</f>
        <v>9.4698404838995734E-3</v>
      </c>
      <c r="AP16" s="127">
        <f t="shared" si="12"/>
        <v>5.0985534571040117E-2</v>
      </c>
      <c r="AQ16" s="146">
        <f>MAX($AF$35+$AG$35*2*AI16,1E-32)</f>
        <v>8.1434728488810894E-7</v>
      </c>
      <c r="AR16" s="95">
        <f>$X$31/AQ16</f>
        <v>4.5959283219000058E-2</v>
      </c>
      <c r="AS16" s="127"/>
      <c r="AT16" s="153"/>
      <c r="AU16" s="151"/>
      <c r="AW16" s="127"/>
      <c r="AX16" s="96"/>
    </row>
    <row r="17" spans="1:50" ht="13.9" customHeight="1" x14ac:dyDescent="0.25">
      <c r="A17">
        <v>64</v>
      </c>
      <c r="B17" s="113">
        <f t="shared" si="1"/>
        <v>1.3555555555555556</v>
      </c>
      <c r="C17" s="140">
        <v>64</v>
      </c>
      <c r="D17" s="140">
        <v>1.41</v>
      </c>
      <c r="E17" s="73">
        <v>13.54</v>
      </c>
      <c r="F17" s="140">
        <v>4.6100000000000003</v>
      </c>
      <c r="G17" s="73">
        <v>2020</v>
      </c>
      <c r="H17" s="140">
        <v>2870</v>
      </c>
      <c r="I17" s="78">
        <v>9</v>
      </c>
      <c r="J17" s="2">
        <f>E17*F17</f>
        <v>62.419400000000003</v>
      </c>
      <c r="K17" s="1">
        <f t="shared" si="2"/>
        <v>64</v>
      </c>
      <c r="L17" s="1">
        <f t="shared" si="3"/>
        <v>4.1588830833596715</v>
      </c>
      <c r="M17" s="3">
        <f t="shared" si="5"/>
        <v>495.04950495049508</v>
      </c>
      <c r="N17" s="3">
        <f t="shared" si="5"/>
        <v>348.43205574912895</v>
      </c>
      <c r="O17" s="3">
        <f>M17*60/$X$24</f>
        <v>29702.970297029704</v>
      </c>
      <c r="P17" s="3">
        <f>N17*60/$X$24</f>
        <v>20905.923344947736</v>
      </c>
      <c r="Q17" s="3">
        <f>O17/$X$35*100</f>
        <v>64.459570957095707</v>
      </c>
      <c r="R17" s="3">
        <f>P17/$X$35*100</f>
        <v>45.368757259001164</v>
      </c>
      <c r="S17" s="3">
        <f t="shared" si="4"/>
        <v>64</v>
      </c>
      <c r="T17" s="158">
        <f t="shared" si="0"/>
        <v>62.419400000000003</v>
      </c>
      <c r="U17" s="96">
        <f t="shared" si="7"/>
        <v>57.969360000000002</v>
      </c>
      <c r="V17">
        <f t="shared" si="8"/>
        <v>7.7738187085920007E-2</v>
      </c>
      <c r="W17" s="150">
        <f t="shared" si="13"/>
        <v>1.3745458938700147E-2</v>
      </c>
      <c r="X17" s="150">
        <f t="shared" si="10"/>
        <v>1.0770368038348075E-2</v>
      </c>
      <c r="Y17" s="95">
        <f>$AE$46*(O17/$AE$28/100)^3</f>
        <v>1.1851433231911994</v>
      </c>
      <c r="Z17" s="147">
        <f>SQRT(Y17^3/4/$X$37/$X$38)</f>
        <v>12.654676236558226</v>
      </c>
      <c r="AA17" s="97">
        <f t="shared" si="11"/>
        <v>21.829939534537253</v>
      </c>
      <c r="AB17">
        <f>SQRT(Y17/$AE$38/$AE$39)</f>
        <v>21.355520448756128</v>
      </c>
      <c r="AC17" s="175">
        <f t="shared" si="6"/>
        <v>48.049921009701286</v>
      </c>
      <c r="AD17" s="175">
        <f>P17/60*PI()*$AA$38/1000</f>
        <v>60.204737263915909</v>
      </c>
      <c r="AE17" s="158">
        <f t="shared" si="9"/>
        <v>2.819165068272667</v>
      </c>
      <c r="AF17" s="151"/>
      <c r="AG17" s="95"/>
      <c r="AH17" s="151">
        <v>70.201599999999999</v>
      </c>
      <c r="AI17" s="152">
        <f>MAX(($AE$32+$AF$32*LN($AH17)),0)</f>
        <v>31999.995048805355</v>
      </c>
      <c r="AJ17" s="152">
        <f>MAX(($AE$32+$AF$32*LN(AH17))/$AE$28,0)</f>
        <v>69.444433699664401</v>
      </c>
      <c r="AK17" s="152">
        <f>($AE$33+$AF$33*AJ17*$AE$28)/$AE$28</f>
        <v>49.329794273079528</v>
      </c>
      <c r="AL17" s="152">
        <f>($AE$34+$AF$34*AK17*$AE$28)/$AE$28</f>
        <v>69.446068887600987</v>
      </c>
      <c r="AM17" s="173">
        <f>AN17/$AE$28</f>
        <v>49.329794273079528</v>
      </c>
      <c r="AN17" s="8">
        <f>MAX($AE$33+$AF$33*AI17, 0)</f>
        <v>22731.169201035049</v>
      </c>
      <c r="AO17" s="150">
        <f>MAX($AE$35+$AI17*($AF$35+$AI17*$AG$35), 0)</f>
        <v>1.2749008265139302E-2</v>
      </c>
      <c r="AP17" s="150">
        <f t="shared" si="12"/>
        <v>7.7678636969085335E-2</v>
      </c>
      <c r="AQ17" s="153">
        <f>MAX($AF$35+$AG$35*2*AI17,1E-32)</f>
        <v>9.4709537828432563E-7</v>
      </c>
      <c r="AR17" s="151">
        <f>$X$31/AQ17</f>
        <v>3.9517474546856564E-2</v>
      </c>
      <c r="AS17" s="150"/>
      <c r="AT17" s="153"/>
      <c r="AU17" s="151"/>
      <c r="AW17" s="150"/>
      <c r="AX17" s="152"/>
    </row>
    <row r="18" spans="1:50" ht="13.9" customHeight="1" x14ac:dyDescent="0.25">
      <c r="B18" s="113">
        <f t="shared" si="1"/>
        <v>1.4944444444444445</v>
      </c>
      <c r="C18" s="73">
        <v>89</v>
      </c>
      <c r="D18" s="73">
        <v>1.81</v>
      </c>
      <c r="E18" s="73">
        <v>13.45</v>
      </c>
      <c r="F18" s="73">
        <v>6.61</v>
      </c>
      <c r="G18" s="73">
        <v>1770</v>
      </c>
      <c r="H18" s="73">
        <v>2400</v>
      </c>
      <c r="I18" s="78">
        <v>10.8</v>
      </c>
      <c r="J18" s="2">
        <f>E18*F18</f>
        <v>88.904499999999999</v>
      </c>
      <c r="K18" s="1">
        <f t="shared" si="2"/>
        <v>89</v>
      </c>
      <c r="L18" s="1">
        <f t="shared" si="3"/>
        <v>4.4886363697321396</v>
      </c>
      <c r="M18" s="3">
        <f t="shared" si="5"/>
        <v>564.9717514124294</v>
      </c>
      <c r="N18" s="3">
        <f t="shared" si="5"/>
        <v>416.66666666666669</v>
      </c>
      <c r="O18" s="3">
        <f>M18*60/$X$24</f>
        <v>33898.305084745763</v>
      </c>
      <c r="P18" s="3">
        <f>N18*60/$X$24</f>
        <v>25000</v>
      </c>
      <c r="Q18" s="3">
        <f>O18/$X$35*100</f>
        <v>73.56403013182674</v>
      </c>
      <c r="R18" s="3">
        <f>P18/$X$35*100</f>
        <v>54.253472222222221</v>
      </c>
      <c r="S18" s="3">
        <f t="shared" si="4"/>
        <v>89</v>
      </c>
      <c r="T18" s="158">
        <f t="shared" si="0"/>
        <v>88.904499999999999</v>
      </c>
      <c r="U18" s="96">
        <f t="shared" si="7"/>
        <v>84.454459999999997</v>
      </c>
      <c r="V18">
        <f t="shared" si="8"/>
        <v>0.11325528885812</v>
      </c>
      <c r="W18" s="150">
        <f t="shared" si="13"/>
        <v>1.7547094923943962E-2</v>
      </c>
      <c r="X18" s="150">
        <f t="shared" si="10"/>
        <v>1.457200402359189E-2</v>
      </c>
      <c r="Y18" s="95">
        <f>$AE$46*(O18/$AE$28/100)^3</f>
        <v>1.7615914080107602</v>
      </c>
      <c r="Z18" s="147">
        <f>SQRT(Y18^3/4/$X$37/$X$38)</f>
        <v>22.932558091663331</v>
      </c>
      <c r="AA18" s="97">
        <f t="shared" si="11"/>
        <v>27.153756109107007</v>
      </c>
      <c r="AB18">
        <f>SQRT(Y18/$AE$38/$AE$39)</f>
        <v>26.036182950687113</v>
      </c>
      <c r="AC18" s="175">
        <f t="shared" si="6"/>
        <v>58.58141163904601</v>
      </c>
      <c r="AD18" s="175">
        <f>P18/60*PI()*$AA$38/1000</f>
        <v>71.994831644766094</v>
      </c>
      <c r="AE18" s="158">
        <f t="shared" si="9"/>
        <v>2.7651838128932069</v>
      </c>
      <c r="AF18" s="151"/>
      <c r="AG18" s="95">
        <f>C18/$AE$29*$AE$24</f>
        <v>2.4722222222222223</v>
      </c>
      <c r="AH18" s="95">
        <f>AG18/$AE$24*$AE$29</f>
        <v>89</v>
      </c>
      <c r="AI18" s="96">
        <f>MAX(($AE$32+$AF$32*LN($AH18)),0)</f>
        <v>35366.791670025093</v>
      </c>
      <c r="AJ18" s="96">
        <f>MAX(($AE$32+$AF$32*LN(AH18))/$AE$28,0)</f>
        <v>76.75084997835306</v>
      </c>
      <c r="AK18" s="96">
        <f>($AE$33+$AF$33*AJ18*$AE$28)/$AE$28</f>
        <v>56.509185513746289</v>
      </c>
      <c r="AL18" s="96">
        <f>($AE$34+$AF$34*AK18*$AE$28)/$AE$28</f>
        <v>76.744261971507669</v>
      </c>
      <c r="AM18" s="97">
        <f>AN18/$AE$28</f>
        <v>56.509185513746289</v>
      </c>
      <c r="AN18" s="174">
        <f>MAX($AE$33+$AF$33*AI18, 0)</f>
        <v>26039.432684734289</v>
      </c>
      <c r="AO18" s="127">
        <f>MAX($AE$35+$AI18*($AF$35+$AI18*$AG$35), 0)</f>
        <v>1.6139758156510163E-2</v>
      </c>
      <c r="AP18" s="127">
        <f t="shared" si="12"/>
        <v>0.10868458955176756</v>
      </c>
      <c r="AQ18" s="146">
        <f>MAX($AF$35+$AG$35*2*AI18,1E-32)</f>
        <v>1.0671337379029437E-6</v>
      </c>
      <c r="AR18" s="95">
        <f>$X$31/AQ18</f>
        <v>3.5072283984146989E-2</v>
      </c>
      <c r="AS18" s="127"/>
      <c r="AT18" s="153"/>
      <c r="AU18" s="151"/>
      <c r="AW18" s="127"/>
      <c r="AX18" s="96"/>
    </row>
    <row r="19" spans="1:50" ht="13.9" customHeight="1" x14ac:dyDescent="0.25">
      <c r="B19" s="113">
        <f t="shared" si="1"/>
        <v>1.6944444444444444</v>
      </c>
      <c r="C19" s="73">
        <v>125</v>
      </c>
      <c r="D19" s="73">
        <v>2.16</v>
      </c>
      <c r="E19" s="73">
        <v>13.2</v>
      </c>
      <c r="F19" s="73">
        <v>10.3</v>
      </c>
      <c r="G19" s="73">
        <v>1520</v>
      </c>
      <c r="H19" s="73">
        <v>2000</v>
      </c>
      <c r="I19" s="78">
        <v>14</v>
      </c>
      <c r="J19" s="2">
        <f>E19*F19</f>
        <v>135.96</v>
      </c>
      <c r="K19" s="1">
        <f t="shared" si="2"/>
        <v>125</v>
      </c>
      <c r="L19" s="1">
        <f t="shared" si="3"/>
        <v>4.8283137373023015</v>
      </c>
      <c r="M19" s="3">
        <f t="shared" si="5"/>
        <v>657.89473684210532</v>
      </c>
      <c r="N19" s="3">
        <f t="shared" si="5"/>
        <v>500.00000000000006</v>
      </c>
      <c r="O19" s="3">
        <f>M19*60/$X$24</f>
        <v>39473.68421052632</v>
      </c>
      <c r="P19" s="3">
        <f>N19*60/$X$24</f>
        <v>30000.000000000004</v>
      </c>
      <c r="Q19" s="3">
        <f>O19/$X$35*100</f>
        <v>85.663377192982466</v>
      </c>
      <c r="R19" s="3">
        <f>P19/$X$35*100</f>
        <v>65.104166666666671</v>
      </c>
      <c r="S19" s="3">
        <f t="shared" si="4"/>
        <v>125</v>
      </c>
      <c r="T19" s="158">
        <f t="shared" si="0"/>
        <v>135.96</v>
      </c>
      <c r="U19" s="96">
        <f t="shared" si="7"/>
        <v>131.50996000000001</v>
      </c>
      <c r="V19">
        <f t="shared" si="8"/>
        <v>0.17635774957912001</v>
      </c>
      <c r="W19" s="150">
        <f t="shared" si="13"/>
        <v>2.3464516153334967E-2</v>
      </c>
      <c r="X19" s="150">
        <f t="shared" si="10"/>
        <v>2.0489425252982894E-2</v>
      </c>
      <c r="Y19" s="95">
        <f>$AE$46*(O19/$AE$28/100)^3</f>
        <v>2.7815970600379454</v>
      </c>
      <c r="Z19" s="147">
        <f>SQRT(Y19^3/4/$X$37/$X$38)</f>
        <v>45.502583489373642</v>
      </c>
      <c r="AA19" s="97">
        <f t="shared" si="11"/>
        <v>34.600104425074448</v>
      </c>
      <c r="AB19">
        <f>SQRT(Y19/$AE$38/$AE$39)</f>
        <v>32.716876317630934</v>
      </c>
      <c r="AC19" s="175">
        <f t="shared" si="6"/>
        <v>73.612971714669598</v>
      </c>
      <c r="AD19" s="175">
        <f>P19/60*PI()*$AA$38/1000</f>
        <v>86.39379797371933</v>
      </c>
      <c r="AE19" s="163">
        <f t="shared" si="9"/>
        <v>2.6406493436282674</v>
      </c>
      <c r="AF19" s="159">
        <f>$AS$35/($AE$39*$AE$44*$AE$38*($AB19-$AE$45)^2/4/$AE19)/(PI()*$AE$44/60/($AB19-$AE$45))</f>
        <v>0</v>
      </c>
      <c r="AG19" s="95">
        <f>C19/$AE$29*$AE$24</f>
        <v>3.4722222222222223</v>
      </c>
      <c r="AH19" s="95">
        <f>AG19/$AE$24*$AE$29</f>
        <v>125</v>
      </c>
      <c r="AI19" s="96">
        <f>MAX(($AE$32+$AF$32*LN($AH19)),0)</f>
        <v>40186.817071139434</v>
      </c>
      <c r="AJ19" s="96">
        <f>MAX(($AE$32+$AF$32*LN(AH19))/$AE$28,0)</f>
        <v>87.210974546743557</v>
      </c>
      <c r="AK19" s="96">
        <f>($AE$33+$AF$33*AJ19*$AE$28)/$AE$28</f>
        <v>66.787456534469484</v>
      </c>
      <c r="AL19" s="96">
        <f>($AE$34+$AF$34*AK19*$AE$28)/$AE$28</f>
        <v>87.192613922723197</v>
      </c>
      <c r="AM19" s="97">
        <f>AN19/$AE$28</f>
        <v>66.787456534469484</v>
      </c>
      <c r="AN19" s="174">
        <f>MAX($AE$33+$AF$33*AI19, 0)</f>
        <v>30775.659971083536</v>
      </c>
      <c r="AO19" s="127">
        <f>MAX($AE$35+$AI19*($AF$35+$AI19*$AG$35), 0)</f>
        <v>2.1697533384729531E-2</v>
      </c>
      <c r="AP19" s="127">
        <f t="shared" si="12"/>
        <v>0.16602338252609797</v>
      </c>
      <c r="AQ19" s="146">
        <f>MAX($AF$35+$AG$35*2*AI19,1E-32)</f>
        <v>1.2389849090794855E-6</v>
      </c>
      <c r="AR19" s="95">
        <f>$X$31/AQ19</f>
        <v>3.0207645977385553E-2</v>
      </c>
      <c r="AS19" s="127"/>
      <c r="AT19" s="153"/>
      <c r="AU19" s="134"/>
      <c r="AW19" s="127"/>
      <c r="AX19" s="96"/>
    </row>
    <row r="20" spans="1:50" ht="13.9" customHeight="1" x14ac:dyDescent="0.25">
      <c r="B20" s="113">
        <f t="shared" si="1"/>
        <v>1.8611111111111112</v>
      </c>
      <c r="C20" s="73">
        <v>155</v>
      </c>
      <c r="D20" s="73">
        <v>2.5299999999999998</v>
      </c>
      <c r="E20" s="73">
        <v>12.85</v>
      </c>
      <c r="F20" s="73">
        <v>15</v>
      </c>
      <c r="G20" s="73">
        <v>1364</v>
      </c>
      <c r="H20" s="73">
        <v>1740</v>
      </c>
      <c r="I20" s="78">
        <v>15.8</v>
      </c>
      <c r="J20" s="2">
        <f>E20*F20</f>
        <v>192.75</v>
      </c>
      <c r="K20" s="1">
        <f t="shared" si="2"/>
        <v>155</v>
      </c>
      <c r="L20" s="1">
        <f t="shared" si="3"/>
        <v>5.0434251169192468</v>
      </c>
      <c r="M20" s="3">
        <f t="shared" si="5"/>
        <v>733.13782991202345</v>
      </c>
      <c r="N20" s="3">
        <f t="shared" si="5"/>
        <v>574.71264367816093</v>
      </c>
      <c r="O20" s="3">
        <f>M20*60/$X$24</f>
        <v>43988.269794721404</v>
      </c>
      <c r="P20" s="3">
        <f>N20*60/$X$24</f>
        <v>34482.758620689652</v>
      </c>
      <c r="Q20" s="3">
        <f>O20/$X$35*100</f>
        <v>95.460654936461381</v>
      </c>
      <c r="R20" s="3">
        <f>P20/$X$35*100</f>
        <v>74.83237547892719</v>
      </c>
      <c r="S20" s="3">
        <f t="shared" si="4"/>
        <v>155</v>
      </c>
      <c r="T20" s="158">
        <f t="shared" si="0"/>
        <v>192.75</v>
      </c>
      <c r="U20" s="96">
        <f t="shared" si="7"/>
        <v>188.29996</v>
      </c>
      <c r="V20">
        <f t="shared" si="8"/>
        <v>0.25251438895912004</v>
      </c>
      <c r="W20" s="150">
        <f t="shared" si="13"/>
        <v>3.0149073309822319E-2</v>
      </c>
      <c r="X20" s="150">
        <f t="shared" si="10"/>
        <v>2.7173982409470245E-2</v>
      </c>
      <c r="Y20" s="95">
        <f>$AE$46*(O20/$AE$28/100)^3</f>
        <v>3.8493009912054741</v>
      </c>
      <c r="Z20" s="147">
        <f>SQRT(Y20^3/4/$X$37/$X$38)</f>
        <v>74.07429631585768</v>
      </c>
      <c r="AA20" s="97">
        <f t="shared" si="11"/>
        <v>39.338455683080163</v>
      </c>
      <c r="AB20">
        <f>SQRT(Y20/$AE$38/$AE$39)</f>
        <v>38.487141683695697</v>
      </c>
      <c r="AC20" s="175">
        <f t="shared" si="6"/>
        <v>86.596068788315307</v>
      </c>
      <c r="AD20" s="175">
        <f>P20/60*PI()*$AA$38/1000</f>
        <v>99.303216061746326</v>
      </c>
      <c r="AE20" s="158">
        <f t="shared" si="9"/>
        <v>2.5801660429310118</v>
      </c>
      <c r="AF20" s="151"/>
      <c r="AG20" s="95">
        <f>C20/$AE$29*$AE$24</f>
        <v>4.3055555555555554</v>
      </c>
      <c r="AH20" s="95">
        <f>AG20/$AE$24*$AE$29</f>
        <v>155</v>
      </c>
      <c r="AI20" s="96">
        <f>MAX(($AE$32+$AF$32*LN($AH20)),0)</f>
        <v>43239.249799405501</v>
      </c>
      <c r="AJ20" s="96">
        <f>MAX(($AE$32+$AF$32*LN(AH20))/$AE$28,0)</f>
        <v>93.835177516070971</v>
      </c>
      <c r="AK20" s="96">
        <f>($AE$33+$AF$33*AJ20*$AE$28)/$AE$28</f>
        <v>73.296495023434872</v>
      </c>
      <c r="AL20" s="96">
        <f>($AE$34+$AF$34*AK20*$AE$28)/$AE$28</f>
        <v>93.809361511845779</v>
      </c>
      <c r="AM20" s="97">
        <f>AN20/$AE$28</f>
        <v>73.296495023434872</v>
      </c>
      <c r="AN20" s="174">
        <f>MAX($AE$33+$AF$33*AI20, 0)</f>
        <v>33775.02490679879</v>
      </c>
      <c r="AO20" s="127">
        <f>MAX($AE$35+$AI20*($AF$35+$AI20*$AG$35), 0)</f>
        <v>2.5645549843300849E-2</v>
      </c>
      <c r="AP20" s="127">
        <f t="shared" si="12"/>
        <v>0.21113753539938881</v>
      </c>
      <c r="AQ20" s="146">
        <f>MAX($AF$35+$AG$35*2*AI20,1E-32)</f>
        <v>1.3478150698435463E-6</v>
      </c>
      <c r="AR20" s="95">
        <f>$X$31/AQ20</f>
        <v>2.7768510934620141E-2</v>
      </c>
      <c r="AS20" s="127"/>
      <c r="AT20" s="153"/>
      <c r="AU20" s="151"/>
      <c r="AW20" s="127"/>
      <c r="AX20" s="96"/>
    </row>
    <row r="21" spans="1:50" ht="13.9" customHeight="1" x14ac:dyDescent="0.25">
      <c r="B21" s="113">
        <f t="shared" si="1"/>
        <v>1.9166666666666665</v>
      </c>
      <c r="C21" s="73">
        <v>165</v>
      </c>
      <c r="D21" s="73">
        <v>2.63</v>
      </c>
      <c r="E21" s="73">
        <v>12.75</v>
      </c>
      <c r="F21" s="73">
        <v>16.399999999999999</v>
      </c>
      <c r="G21" s="73">
        <v>1316</v>
      </c>
      <c r="H21" s="73">
        <v>1680</v>
      </c>
      <c r="I21" s="78">
        <v>17.2</v>
      </c>
      <c r="J21" s="2">
        <f>E21*F21</f>
        <v>209.1</v>
      </c>
      <c r="K21" s="1">
        <f t="shared" si="2"/>
        <v>165</v>
      </c>
      <c r="L21" s="1">
        <f t="shared" si="3"/>
        <v>5.1059454739005803</v>
      </c>
      <c r="M21" s="3">
        <f t="shared" si="5"/>
        <v>759.87841945288756</v>
      </c>
      <c r="N21" s="3">
        <f t="shared" si="5"/>
        <v>595.2380952380953</v>
      </c>
      <c r="O21" s="3">
        <f>M21*60/$X$24</f>
        <v>45592.705167173255</v>
      </c>
      <c r="P21" s="3">
        <f>N21*60/$X$24</f>
        <v>35714.285714285717</v>
      </c>
      <c r="Q21" s="3">
        <f>O21/$X$35*100</f>
        <v>98.942502532928074</v>
      </c>
      <c r="R21" s="3">
        <f>P21/$X$35*100</f>
        <v>77.504960317460331</v>
      </c>
      <c r="S21" s="3">
        <f t="shared" si="4"/>
        <v>165</v>
      </c>
      <c r="T21" s="158">
        <f t="shared" si="0"/>
        <v>209.1</v>
      </c>
      <c r="U21" s="96">
        <f t="shared" si="7"/>
        <v>204.64995999999999</v>
      </c>
      <c r="V21">
        <f t="shared" si="8"/>
        <v>0.27444009865912</v>
      </c>
      <c r="W21" s="150">
        <f t="shared" si="13"/>
        <v>3.1613816132925514E-2</v>
      </c>
      <c r="X21" s="150">
        <f t="shared" si="10"/>
        <v>2.863872523257344E-2</v>
      </c>
      <c r="Y21" s="134">
        <f>$Z$36</f>
        <v>4.4249528005034611</v>
      </c>
      <c r="Z21" s="147">
        <f>SQRT(Y21^3/4/$X$37/$X$38)</f>
        <v>91.297248929319878</v>
      </c>
      <c r="AA21" s="97">
        <f t="shared" si="11"/>
        <v>44.611417920296624</v>
      </c>
      <c r="AB21">
        <f>SQRT(Y21/$AE$38/$AE$39)</f>
        <v>41.264733453849395</v>
      </c>
      <c r="AC21" s="175">
        <f>AB21*1/1.6/1000*3600</f>
        <v>92.845650271161119</v>
      </c>
      <c r="AD21" s="175">
        <f>P21/60*PI()*$AA$38/1000</f>
        <v>102.84975949252301</v>
      </c>
      <c r="AE21" s="165">
        <f t="shared" si="9"/>
        <v>2.4924372674683695</v>
      </c>
      <c r="AF21" s="151"/>
      <c r="AG21" s="95">
        <f>C21/$AE$29*$AE$24</f>
        <v>4.583333333333333</v>
      </c>
      <c r="AH21" s="95">
        <f>AG21/$AE$24*$AE$29</f>
        <v>165</v>
      </c>
      <c r="AI21" s="96">
        <f>MAX(($AE$32+$AF$32*LN($AH21)),0)</f>
        <v>44126.414319351083</v>
      </c>
      <c r="AJ21" s="96">
        <f>MAX(($AE$32+$AF$32*LN(AH21))/$AE$28,0)</f>
        <v>95.760447741647312</v>
      </c>
      <c r="AK21" s="96">
        <f>($AE$33+$AF$33*AJ21*$AE$28)/$AE$28</f>
        <v>75.188293637994533</v>
      </c>
      <c r="AL21" s="96">
        <f>($AE$34+$AF$34*AK21*$AE$28)/$AE$28</f>
        <v>95.732464892354869</v>
      </c>
      <c r="AM21" s="97">
        <f>AN21/$AE$28</f>
        <v>75.188293637994533</v>
      </c>
      <c r="AN21" s="174">
        <f>MAX($AE$33+$AF$33*AI21, 0)</f>
        <v>34646.76570838788</v>
      </c>
      <c r="AO21" s="127">
        <f>MAX($AE$35+$AI21*($AF$35+$AI21*$AG$35), 0)</f>
        <v>2.6855314322647372E-2</v>
      </c>
      <c r="AP21" s="127">
        <f t="shared" si="12"/>
        <v>0.22563380169031633</v>
      </c>
      <c r="AQ21" s="146">
        <f>MAX($AF$35+$AG$35*2*AI21,1E-32)</f>
        <v>1.3794456628573665E-6</v>
      </c>
      <c r="AR21" s="95">
        <f>$X$31/AQ21</f>
        <v>2.7131780912102679E-2</v>
      </c>
      <c r="AS21" s="127"/>
      <c r="AT21" s="153"/>
      <c r="AU21" s="151"/>
      <c r="AW21" s="127"/>
      <c r="AX21" s="96"/>
    </row>
    <row r="22" spans="1:50" ht="13.9" customHeight="1" thickBot="1" x14ac:dyDescent="0.3">
      <c r="B22" s="116">
        <f t="shared" si="1"/>
        <v>2</v>
      </c>
      <c r="C22" s="117">
        <v>180</v>
      </c>
      <c r="D22" s="117"/>
      <c r="E22" s="117"/>
      <c r="F22" s="117"/>
      <c r="G22" s="117"/>
      <c r="H22" s="117"/>
      <c r="I22" s="118"/>
      <c r="O22" s="3"/>
      <c r="P22" s="3"/>
      <c r="Q22" s="3"/>
      <c r="R22" s="3"/>
      <c r="T22" s="4"/>
      <c r="AC22" s="4"/>
      <c r="AD22" s="97"/>
      <c r="AG22" s="95"/>
      <c r="AH22" s="95"/>
      <c r="AI22" s="96"/>
      <c r="AJ22" s="96"/>
      <c r="AK22" s="96"/>
      <c r="AL22" s="96"/>
      <c r="AO22" s="127"/>
      <c r="AP22" s="127"/>
      <c r="AQ22" s="146"/>
      <c r="AR22" s="95"/>
      <c r="AS22" s="127"/>
      <c r="AU22" s="146"/>
      <c r="AV22" s="95"/>
      <c r="AW22" s="128"/>
      <c r="AX22" s="96"/>
    </row>
    <row r="23" spans="1:50" ht="13.9" customHeight="1" thickBot="1" x14ac:dyDescent="0.3">
      <c r="W23" t="s">
        <v>32</v>
      </c>
      <c r="Z23" t="s">
        <v>33</v>
      </c>
      <c r="AD23" s="5" t="s">
        <v>56</v>
      </c>
      <c r="AE23" s="5"/>
      <c r="AF23" s="5"/>
      <c r="AG23" s="5"/>
    </row>
    <row r="24" spans="1:50" ht="13.9" customHeight="1" x14ac:dyDescent="0.25">
      <c r="E24" s="61"/>
      <c r="F24" s="61"/>
      <c r="G24" s="61"/>
      <c r="H24" s="61"/>
      <c r="I24" s="61"/>
      <c r="J24" s="187"/>
      <c r="K24" s="61"/>
      <c r="L24" s="61"/>
      <c r="M24" s="188"/>
      <c r="N24" s="188"/>
      <c r="O24" s="188"/>
      <c r="P24" s="188"/>
      <c r="Q24" s="188"/>
      <c r="R24" s="45"/>
      <c r="S24" s="188"/>
      <c r="T24" s="189"/>
      <c r="U24" s="189"/>
      <c r="V24" s="45"/>
      <c r="W24" s="17" t="s">
        <v>3</v>
      </c>
      <c r="X24" s="18">
        <v>1</v>
      </c>
      <c r="Z24" s="17"/>
      <c r="AA24" s="23" t="s">
        <v>22</v>
      </c>
      <c r="AB24" s="7"/>
      <c r="AD24" s="62" t="s">
        <v>15</v>
      </c>
      <c r="AE24" s="63">
        <f>X42</f>
        <v>5</v>
      </c>
      <c r="AF24" s="64"/>
      <c r="AG24" s="29"/>
      <c r="AI24" s="17" t="s">
        <v>134</v>
      </c>
      <c r="AJ24" s="28"/>
      <c r="AK24" s="28"/>
      <c r="AL24" s="29"/>
      <c r="AM24" s="45"/>
      <c r="AN24" s="45"/>
      <c r="AO24" s="45"/>
      <c r="AP24" s="45"/>
      <c r="AQ24" s="45"/>
      <c r="AR24" s="45"/>
      <c r="AS24" s="45"/>
    </row>
    <row r="25" spans="1:50" ht="13.9" customHeight="1" x14ac:dyDescent="0.25">
      <c r="E25" s="61"/>
      <c r="F25" s="61"/>
      <c r="G25" s="61"/>
      <c r="H25" s="61"/>
      <c r="I25" s="61"/>
      <c r="J25" s="187"/>
      <c r="K25" s="61"/>
      <c r="L25" s="61"/>
      <c r="M25" s="188"/>
      <c r="N25" s="188"/>
      <c r="O25" s="188"/>
      <c r="P25" s="188"/>
      <c r="Q25" s="188"/>
      <c r="R25" s="45"/>
      <c r="S25" s="188"/>
      <c r="T25" s="189"/>
      <c r="U25" s="189"/>
      <c r="V25" s="45"/>
      <c r="W25" s="19" t="s">
        <v>4</v>
      </c>
      <c r="X25" s="20">
        <v>4800</v>
      </c>
      <c r="Y25" t="s">
        <v>77</v>
      </c>
      <c r="Z25" s="24" t="s">
        <v>16</v>
      </c>
      <c r="AA25" s="25">
        <v>0</v>
      </c>
      <c r="AD25" s="65" t="s">
        <v>14</v>
      </c>
      <c r="AE25" s="66">
        <f>X41</f>
        <v>0</v>
      </c>
      <c r="AF25" s="45"/>
      <c r="AG25" s="31"/>
      <c r="AI25" s="19" t="s">
        <v>128</v>
      </c>
      <c r="AJ25" s="30">
        <v>25</v>
      </c>
      <c r="AK25" s="30" t="s">
        <v>93</v>
      </c>
      <c r="AL25" s="31"/>
      <c r="AM25" s="45"/>
      <c r="AN25" s="45"/>
      <c r="AO25" s="45"/>
      <c r="AP25" s="45"/>
      <c r="AQ25" s="45"/>
      <c r="AR25" s="45"/>
      <c r="AS25" s="45"/>
    </row>
    <row r="26" spans="1:50" ht="13.9" customHeight="1" thickBot="1" x14ac:dyDescent="0.3">
      <c r="E26" s="61"/>
      <c r="F26" s="61"/>
      <c r="G26" s="61"/>
      <c r="H26" s="61"/>
      <c r="I26" s="61"/>
      <c r="J26" s="187"/>
      <c r="K26" s="61"/>
      <c r="L26" s="61"/>
      <c r="M26" s="188"/>
      <c r="N26" s="188"/>
      <c r="O26" s="188"/>
      <c r="P26" s="188"/>
      <c r="Q26" s="188"/>
      <c r="R26" s="45"/>
      <c r="S26" s="188"/>
      <c r="T26" s="189"/>
      <c r="U26" s="189"/>
      <c r="V26" s="45"/>
      <c r="W26" s="19" t="s">
        <v>5</v>
      </c>
      <c r="X26" s="20">
        <v>12</v>
      </c>
      <c r="Z26" s="26" t="s">
        <v>17</v>
      </c>
      <c r="AA26" s="27">
        <v>5</v>
      </c>
      <c r="AD26" s="65" t="s">
        <v>17</v>
      </c>
      <c r="AE26" s="66">
        <f>AA26</f>
        <v>5</v>
      </c>
      <c r="AF26" s="30"/>
      <c r="AG26" s="31"/>
      <c r="AI26" s="19" t="s">
        <v>144</v>
      </c>
      <c r="AJ26" s="30">
        <v>2.1797</v>
      </c>
      <c r="AK26" s="30" t="s">
        <v>94</v>
      </c>
      <c r="AL26" s="31"/>
      <c r="AM26" s="45"/>
      <c r="AN26" s="45"/>
      <c r="AO26" s="45"/>
      <c r="AP26" s="45"/>
      <c r="AQ26" s="45"/>
      <c r="AR26" s="45"/>
      <c r="AS26" s="45"/>
    </row>
    <row r="27" spans="1:50" ht="13.9" customHeight="1" x14ac:dyDescent="0.25">
      <c r="A27" s="45"/>
      <c r="B27" s="45"/>
      <c r="C27" s="61"/>
      <c r="D27" s="61"/>
      <c r="E27" s="61"/>
      <c r="F27" s="61"/>
      <c r="G27" s="61"/>
      <c r="H27" s="61"/>
      <c r="I27" s="61"/>
      <c r="J27" s="187"/>
      <c r="K27" s="61"/>
      <c r="L27" s="61"/>
      <c r="M27" s="188"/>
      <c r="N27" s="188"/>
      <c r="O27" s="188"/>
      <c r="P27" s="188"/>
      <c r="Q27" s="188"/>
      <c r="R27" s="45"/>
      <c r="S27" s="188"/>
      <c r="T27" s="189"/>
      <c r="U27" s="189"/>
      <c r="V27" s="45"/>
      <c r="W27" s="57" t="s">
        <v>69</v>
      </c>
      <c r="X27" s="20">
        <v>3.9899999999999998E-2</v>
      </c>
      <c r="Y27" t="s">
        <v>76</v>
      </c>
      <c r="AD27" s="65" t="s">
        <v>16</v>
      </c>
      <c r="AE27" s="66">
        <f>AA25</f>
        <v>0</v>
      </c>
      <c r="AF27" s="30"/>
      <c r="AG27" s="31"/>
      <c r="AI27" s="19" t="s">
        <v>129</v>
      </c>
      <c r="AJ27" s="30">
        <f>($AJ$25/25.4)^2*$AJ$26/1000*2.2/3</f>
        <v>1.5484983053299442E-3</v>
      </c>
      <c r="AK27" s="30" t="s">
        <v>96</v>
      </c>
      <c r="AL27" s="177" t="s">
        <v>146</v>
      </c>
      <c r="AM27" s="45"/>
      <c r="AN27" s="45"/>
      <c r="AO27" s="45"/>
      <c r="AP27" s="45"/>
      <c r="AQ27" s="191"/>
      <c r="AR27" s="149"/>
      <c r="AS27" s="45"/>
    </row>
    <row r="28" spans="1:50" ht="13.9" customHeight="1" x14ac:dyDescent="0.25">
      <c r="A28" s="45"/>
      <c r="B28" s="45"/>
      <c r="C28" s="61"/>
      <c r="D28" s="61"/>
      <c r="E28" s="61"/>
      <c r="F28" s="61"/>
      <c r="G28" s="61"/>
      <c r="H28" s="61"/>
      <c r="I28" s="61"/>
      <c r="J28" s="187"/>
      <c r="K28" s="61"/>
      <c r="L28" s="61"/>
      <c r="M28" s="188"/>
      <c r="N28" s="188"/>
      <c r="O28" s="188"/>
      <c r="P28" s="188"/>
      <c r="Q28" s="188"/>
      <c r="R28" s="45"/>
      <c r="S28" s="188"/>
      <c r="T28" s="189"/>
      <c r="U28" s="189"/>
      <c r="V28" s="45"/>
      <c r="W28" s="57" t="s">
        <v>70</v>
      </c>
      <c r="X28" s="129">
        <v>4.1999999999999996E-6</v>
      </c>
      <c r="Y28" t="s">
        <v>75</v>
      </c>
      <c r="AD28" s="65" t="s">
        <v>27</v>
      </c>
      <c r="AE28" s="66">
        <f>X35/100</f>
        <v>460.8</v>
      </c>
      <c r="AF28" s="30"/>
      <c r="AG28" s="31"/>
      <c r="AI28" s="19" t="s">
        <v>141</v>
      </c>
      <c r="AJ28" s="178">
        <f>3/8/2*25.4</f>
        <v>4.7624999999999993</v>
      </c>
      <c r="AK28" s="30" t="s">
        <v>93</v>
      </c>
      <c r="AL28" s="31" t="s">
        <v>142</v>
      </c>
      <c r="AM28" s="45"/>
      <c r="AN28" s="45"/>
      <c r="AO28" s="45"/>
      <c r="AP28" s="45"/>
      <c r="AQ28" s="191"/>
      <c r="AR28" s="149"/>
      <c r="AS28" s="45"/>
    </row>
    <row r="29" spans="1:50" ht="13.9" customHeight="1" x14ac:dyDescent="0.25">
      <c r="A29" s="45"/>
      <c r="B29" s="45"/>
      <c r="C29" s="61"/>
      <c r="D29" s="61"/>
      <c r="E29" s="61"/>
      <c r="F29" s="61"/>
      <c r="G29" s="61"/>
      <c r="H29" s="61"/>
      <c r="I29" s="61"/>
      <c r="J29" s="187"/>
      <c r="K29" s="61"/>
      <c r="L29" s="61"/>
      <c r="M29" s="188"/>
      <c r="N29" s="188"/>
      <c r="O29" s="188"/>
      <c r="P29" s="188"/>
      <c r="Q29" s="188"/>
      <c r="R29" s="45"/>
      <c r="S29" s="188"/>
      <c r="T29" s="189"/>
      <c r="U29" s="189"/>
      <c r="V29" s="45"/>
      <c r="W29" s="57" t="s">
        <v>71</v>
      </c>
      <c r="X29" s="130">
        <f>X25*2*PI()/60</f>
        <v>502.6548245743669</v>
      </c>
      <c r="Y29" t="s">
        <v>73</v>
      </c>
      <c r="AD29" s="65" t="s">
        <v>18</v>
      </c>
      <c r="AE29" s="66">
        <f>Z42</f>
        <v>180</v>
      </c>
      <c r="AF29" s="30"/>
      <c r="AG29" s="31"/>
      <c r="AI29" s="19" t="s">
        <v>143</v>
      </c>
      <c r="AJ29" s="178">
        <f>3/4*25.4</f>
        <v>19.049999999999997</v>
      </c>
      <c r="AK29" s="30" t="s">
        <v>93</v>
      </c>
      <c r="AL29" s="31" t="s">
        <v>142</v>
      </c>
      <c r="AM29" s="45"/>
      <c r="AN29" s="45"/>
      <c r="AO29" s="45"/>
      <c r="AP29" s="45"/>
      <c r="AQ29" s="191"/>
      <c r="AR29" s="149"/>
      <c r="AS29" s="45"/>
    </row>
    <row r="30" spans="1:50" ht="13.9" customHeight="1" x14ac:dyDescent="0.25">
      <c r="A30" s="45"/>
      <c r="B30" s="45"/>
      <c r="C30" s="61"/>
      <c r="D30" s="61"/>
      <c r="E30" s="61"/>
      <c r="F30" s="61"/>
      <c r="G30" s="61"/>
      <c r="H30" s="61"/>
      <c r="I30" s="61"/>
      <c r="J30" s="187"/>
      <c r="K30" s="61"/>
      <c r="L30" s="61"/>
      <c r="M30" s="188"/>
      <c r="N30" s="188"/>
      <c r="O30" s="188"/>
      <c r="P30" s="188"/>
      <c r="Q30" s="188"/>
      <c r="R30" s="45"/>
      <c r="S30" s="188"/>
      <c r="T30" s="189"/>
      <c r="U30" s="189"/>
      <c r="V30" s="45"/>
      <c r="W30" s="57" t="s">
        <v>72</v>
      </c>
      <c r="X30" s="132">
        <f>7/X29</f>
        <v>1.3926057520540842E-2</v>
      </c>
      <c r="Y30" t="s">
        <v>74</v>
      </c>
      <c r="AD30" s="65" t="s">
        <v>13</v>
      </c>
      <c r="AE30" s="66">
        <f>Z41</f>
        <v>0</v>
      </c>
      <c r="AF30" s="30"/>
      <c r="AG30" s="31"/>
      <c r="AI30" s="19" t="s">
        <v>145</v>
      </c>
      <c r="AJ30" s="30">
        <f>PI()*(AJ28/25.4)^2/4*3/4*0.3</f>
        <v>6.2126221909368446E-3</v>
      </c>
      <c r="AK30" s="30" t="s">
        <v>148</v>
      </c>
      <c r="AL30" s="31" t="s">
        <v>142</v>
      </c>
      <c r="AM30" s="45"/>
      <c r="AN30" s="45"/>
      <c r="AO30" s="45"/>
      <c r="AP30" s="45"/>
      <c r="AQ30" s="191"/>
      <c r="AR30" s="149"/>
      <c r="AS30" s="45"/>
    </row>
    <row r="31" spans="1:50" ht="13.9" customHeight="1" thickBot="1" x14ac:dyDescent="0.3">
      <c r="A31" s="45"/>
      <c r="B31" s="45"/>
      <c r="C31" s="61"/>
      <c r="D31" s="61"/>
      <c r="E31" s="61"/>
      <c r="F31" s="61"/>
      <c r="G31" s="61"/>
      <c r="H31" s="61"/>
      <c r="I31" s="61"/>
      <c r="J31" s="187"/>
      <c r="K31" s="61"/>
      <c r="L31" s="61"/>
      <c r="M31" s="188"/>
      <c r="N31" s="188"/>
      <c r="O31" s="188"/>
      <c r="P31" s="188"/>
      <c r="Q31" s="188"/>
      <c r="R31" s="45"/>
      <c r="S31" s="188"/>
      <c r="T31" s="189"/>
      <c r="U31" s="189"/>
      <c r="V31" s="45"/>
      <c r="W31" s="131" t="s">
        <v>79</v>
      </c>
      <c r="X31" s="145">
        <f>AJ34</f>
        <v>3.7426817504796325E-8</v>
      </c>
      <c r="Y31" t="s">
        <v>80</v>
      </c>
      <c r="AA31" t="s">
        <v>112</v>
      </c>
      <c r="AC31" s="97"/>
      <c r="AD31" s="65" t="s">
        <v>121</v>
      </c>
      <c r="AE31" s="66">
        <f>X50</f>
        <v>0</v>
      </c>
      <c r="AF31" s="67">
        <f>X49</f>
        <v>14542.877489600363</v>
      </c>
      <c r="AG31" s="68">
        <f>X48</f>
        <v>-351.26655108462336</v>
      </c>
      <c r="AI31" s="19" t="s">
        <v>135</v>
      </c>
      <c r="AJ31" s="30">
        <f>($AJ$28/25.4)^2*$AJ$30/2</f>
        <v>1.0920624945006168E-4</v>
      </c>
      <c r="AK31" s="30" t="s">
        <v>96</v>
      </c>
      <c r="AL31" s="31" t="s">
        <v>147</v>
      </c>
      <c r="AM31" s="45"/>
      <c r="AN31" s="45"/>
      <c r="AO31" s="45"/>
      <c r="AP31" s="45"/>
      <c r="AQ31" s="191"/>
      <c r="AR31" s="149"/>
      <c r="AS31" s="45"/>
    </row>
    <row r="32" spans="1:50" ht="13.9" customHeight="1" thickBot="1" x14ac:dyDescent="0.3">
      <c r="A32" s="45"/>
      <c r="B32" s="45"/>
      <c r="C32" s="61"/>
      <c r="D32" s="61"/>
      <c r="E32" s="61"/>
      <c r="F32" s="61"/>
      <c r="G32" s="61"/>
      <c r="H32" s="61"/>
      <c r="I32" s="61"/>
      <c r="J32" s="187"/>
      <c r="K32" s="61"/>
      <c r="L32" s="61"/>
      <c r="M32" s="188"/>
      <c r="N32" s="188"/>
      <c r="O32" s="188"/>
      <c r="P32" s="188"/>
      <c r="Q32" s="188"/>
      <c r="R32" s="45"/>
      <c r="S32" s="188"/>
      <c r="T32" s="189"/>
      <c r="U32" s="189"/>
      <c r="V32" s="45"/>
      <c r="W32" t="s">
        <v>35</v>
      </c>
      <c r="AD32" s="65" t="s">
        <v>21</v>
      </c>
      <c r="AE32" s="66">
        <f>X52</f>
        <v>-28327.005397586898</v>
      </c>
      <c r="AF32" s="67">
        <f>X51</f>
        <v>14190.01046667831</v>
      </c>
      <c r="AG32" s="31"/>
      <c r="AI32" s="19" t="s">
        <v>95</v>
      </c>
      <c r="AJ32" s="30">
        <f>AJ27+AJ31</f>
        <v>1.6577045547800059E-3</v>
      </c>
      <c r="AK32" s="30" t="s">
        <v>96</v>
      </c>
      <c r="AL32" s="31"/>
      <c r="AM32" s="45"/>
      <c r="AN32" s="45"/>
      <c r="AO32" s="45"/>
      <c r="AP32" s="45"/>
      <c r="AQ32" s="191"/>
      <c r="AR32" s="149"/>
      <c r="AS32" s="45"/>
    </row>
    <row r="33" spans="2:49" ht="13.9" customHeight="1" thickBot="1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4"/>
      <c r="U33" s="4"/>
      <c r="W33" s="34">
        <v>240</v>
      </c>
      <c r="X33" s="35" t="s">
        <v>34</v>
      </c>
      <c r="Y33" s="36"/>
      <c r="Z33" s="35"/>
      <c r="AA33" s="37"/>
      <c r="AB33" s="30"/>
      <c r="AD33" s="65" t="s">
        <v>122</v>
      </c>
      <c r="AE33" s="66">
        <f>AA51</f>
        <v>-8712.4928340558181</v>
      </c>
      <c r="AF33" s="69">
        <f>AA50</f>
        <v>0.98261459063146772</v>
      </c>
      <c r="AG33" s="31"/>
      <c r="AI33" s="19" t="s">
        <v>95</v>
      </c>
      <c r="AJ33" s="30">
        <f>AJ32/144</f>
        <v>1.1511837185972264E-5</v>
      </c>
      <c r="AK33" s="30" t="s">
        <v>97</v>
      </c>
      <c r="AL33" s="31"/>
      <c r="AM33" s="45"/>
      <c r="AN33" s="45"/>
      <c r="AO33" s="45"/>
      <c r="AP33" s="45"/>
      <c r="AQ33" s="191"/>
      <c r="AR33" s="149"/>
      <c r="AS33" s="45"/>
    </row>
    <row r="34" spans="2:49" ht="13.9" customHeight="1" thickBot="1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t="s">
        <v>36</v>
      </c>
      <c r="AC34" s="30"/>
      <c r="AD34" s="65" t="s">
        <v>123</v>
      </c>
      <c r="AE34" s="66">
        <f>AA49</f>
        <v>8893.4325759458807</v>
      </c>
      <c r="AF34" s="69">
        <f>AA48</f>
        <v>1.0165476207184487</v>
      </c>
      <c r="AG34" s="31"/>
      <c r="AI34" s="21" t="s">
        <v>95</v>
      </c>
      <c r="AJ34" s="32">
        <f>AJ33/2048.5*6.66</f>
        <v>3.7426817504796325E-8</v>
      </c>
      <c r="AK34" s="32" t="s">
        <v>98</v>
      </c>
      <c r="AL34" s="33"/>
      <c r="AM34" s="45"/>
      <c r="AN34" s="45"/>
      <c r="AO34" s="45"/>
      <c r="AP34" s="45"/>
      <c r="AQ34" s="191"/>
      <c r="AR34" s="149"/>
      <c r="AS34" s="45"/>
    </row>
    <row r="35" spans="2:49" ht="13.9" customHeight="1" x14ac:dyDescent="0.25"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17" t="s">
        <v>6</v>
      </c>
      <c r="X35" s="50">
        <f>X25*X26/Y35</f>
        <v>46080</v>
      </c>
      <c r="Y35" s="154">
        <v>1.25</v>
      </c>
      <c r="Z35" s="28" t="s">
        <v>9</v>
      </c>
      <c r="AA35" s="155"/>
      <c r="AB35">
        <f>W33</f>
        <v>240</v>
      </c>
      <c r="AC35" s="30"/>
      <c r="AD35" s="65" t="s">
        <v>92</v>
      </c>
      <c r="AE35" s="124">
        <f>X58</f>
        <v>6.9658921582847581E-4</v>
      </c>
      <c r="AF35" s="124">
        <f>X57</f>
        <v>-1.9381907115184841E-7</v>
      </c>
      <c r="AG35" s="139">
        <f>X56</f>
        <v>1.782679103068748E-11</v>
      </c>
      <c r="AM35" s="45"/>
      <c r="AN35" s="45"/>
      <c r="AO35" s="45"/>
      <c r="AP35" s="45"/>
      <c r="AQ35" s="191"/>
      <c r="AR35" s="149"/>
      <c r="AS35" s="45"/>
      <c r="AT35" s="146"/>
    </row>
    <row r="36" spans="2:49" ht="15.75" thickBot="1" x14ac:dyDescent="0.3"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21" t="s">
        <v>154</v>
      </c>
      <c r="X36" s="156">
        <f>450/454</f>
        <v>0.99118942731277537</v>
      </c>
      <c r="Y36" s="32" t="s">
        <v>155</v>
      </c>
      <c r="Z36" s="166">
        <f>X36/0.224</f>
        <v>4.4249528005034611</v>
      </c>
      <c r="AA36" s="33" t="s">
        <v>158</v>
      </c>
      <c r="AC36" s="30"/>
      <c r="AD36" s="65" t="s">
        <v>130</v>
      </c>
      <c r="AE36" s="124" t="e">
        <f>AA58</f>
        <v>#VALUE!</v>
      </c>
      <c r="AF36" s="124" t="e">
        <f>AA57</f>
        <v>#VALUE!</v>
      </c>
      <c r="AG36" s="139" t="e">
        <f>AA56</f>
        <v>#VALUE!</v>
      </c>
    </row>
    <row r="37" spans="2:49" ht="13.9" customHeight="1" x14ac:dyDescent="0.25">
      <c r="E37" s="6"/>
      <c r="F37" s="6"/>
      <c r="G37" s="6"/>
      <c r="H37" s="6"/>
      <c r="I37" s="6"/>
      <c r="J37" s="2"/>
      <c r="M37" s="3"/>
      <c r="N37" s="3"/>
      <c r="O37" s="3"/>
      <c r="P37" s="2"/>
      <c r="Q37" s="3"/>
      <c r="R37" s="3"/>
      <c r="S37" s="3"/>
      <c r="T37" s="3"/>
      <c r="U37" s="3"/>
      <c r="W37" s="45" t="s">
        <v>160</v>
      </c>
      <c r="X37" s="5">
        <v>1.2250000000000001</v>
      </c>
      <c r="Y37" t="s">
        <v>161</v>
      </c>
      <c r="Z37" t="s">
        <v>169</v>
      </c>
      <c r="AC37" s="30"/>
      <c r="AD37" s="65" t="s">
        <v>179</v>
      </c>
      <c r="AE37" s="69">
        <f>Y21</f>
        <v>4.4249528005034611</v>
      </c>
      <c r="AF37" s="30"/>
      <c r="AG37" s="31"/>
    </row>
    <row r="38" spans="2:49" ht="13.9" customHeight="1" x14ac:dyDescent="0.25">
      <c r="B38" s="5"/>
      <c r="C38" s="6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45" t="s">
        <v>162</v>
      </c>
      <c r="X38" s="157">
        <f>(55^2-18^2)*PI()/4/1000^2</f>
        <v>2.1213604393365078E-3</v>
      </c>
      <c r="Y38" t="s">
        <v>163</v>
      </c>
      <c r="Z38" t="s">
        <v>168</v>
      </c>
      <c r="AA38" s="157">
        <v>55</v>
      </c>
      <c r="AB38" t="s">
        <v>93</v>
      </c>
      <c r="AC38" s="30"/>
      <c r="AD38" s="65" t="s">
        <v>178</v>
      </c>
      <c r="AE38" s="160">
        <f>$X$38</f>
        <v>2.1213604393365078E-3</v>
      </c>
      <c r="AF38" s="30"/>
      <c r="AG38" s="31"/>
    </row>
    <row r="39" spans="2:49" ht="15" customHeight="1" thickBot="1" x14ac:dyDescent="0.4">
      <c r="B39" s="5"/>
      <c r="C39" s="6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Z39" t="s">
        <v>174</v>
      </c>
      <c r="AA39" s="157">
        <v>45</v>
      </c>
      <c r="AB39" t="s">
        <v>175</v>
      </c>
      <c r="AC39" s="94" t="s">
        <v>54</v>
      </c>
      <c r="AD39" s="65" t="s">
        <v>177</v>
      </c>
      <c r="AE39" s="160">
        <f>$X$37</f>
        <v>1.2250000000000001</v>
      </c>
      <c r="AF39" s="30"/>
      <c r="AG39" s="31"/>
    </row>
    <row r="40" spans="2:49" ht="30" x14ac:dyDescent="0.25">
      <c r="B40" s="5"/>
      <c r="C40" s="6"/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7"/>
      <c r="X40" s="42" t="s">
        <v>19</v>
      </c>
      <c r="Y40" s="28"/>
      <c r="Z40" s="42" t="s">
        <v>20</v>
      </c>
      <c r="AA40" s="29" t="s">
        <v>109</v>
      </c>
      <c r="AD40" s="65" t="s">
        <v>180</v>
      </c>
      <c r="AE40" s="162">
        <f>$AF$19</f>
        <v>0</v>
      </c>
      <c r="AF40" s="30"/>
      <c r="AG40" s="31"/>
      <c r="AH40" s="5"/>
    </row>
    <row r="41" spans="2:49" x14ac:dyDescent="0.25">
      <c r="B41" s="5"/>
      <c r="C41" s="6"/>
      <c r="D41" s="6"/>
      <c r="E41" s="6"/>
      <c r="F41" s="6"/>
      <c r="G41" s="6"/>
      <c r="H41" s="6"/>
      <c r="I41" s="6"/>
      <c r="J41" s="2"/>
      <c r="M41" s="3"/>
      <c r="N41" s="3"/>
      <c r="O41" s="3"/>
      <c r="P41" s="3"/>
      <c r="Q41" s="3"/>
      <c r="R41" s="3"/>
      <c r="S41" s="3"/>
      <c r="T41" s="3"/>
      <c r="U41" s="3"/>
      <c r="W41" s="57" t="s">
        <v>14</v>
      </c>
      <c r="X41" s="58">
        <v>0</v>
      </c>
      <c r="Y41" s="45" t="s">
        <v>13</v>
      </c>
      <c r="Z41" s="59">
        <v>0</v>
      </c>
      <c r="AA41" s="89">
        <f>AA51/X35*100</f>
        <v>-18.907319518350299</v>
      </c>
      <c r="AB41" t="s">
        <v>106</v>
      </c>
      <c r="AD41" s="65" t="s">
        <v>182</v>
      </c>
      <c r="AE41" s="92">
        <f>AE19</f>
        <v>2.6406493436282674</v>
      </c>
      <c r="AF41" s="30"/>
      <c r="AG41" s="31"/>
      <c r="AH41" s="5"/>
    </row>
    <row r="42" spans="2:49" x14ac:dyDescent="0.25">
      <c r="C42" s="6"/>
      <c r="D42" s="6"/>
      <c r="E42" s="6"/>
      <c r="F42" s="6"/>
      <c r="G42" s="6"/>
      <c r="H42" s="6"/>
      <c r="I42" s="6"/>
      <c r="J42" s="2"/>
      <c r="M42" s="3"/>
      <c r="N42" s="3"/>
      <c r="O42" s="3"/>
      <c r="P42" s="3"/>
      <c r="Q42" s="3"/>
      <c r="R42" s="3"/>
      <c r="S42" s="3"/>
      <c r="T42" s="3"/>
      <c r="U42" s="3"/>
      <c r="W42" s="57" t="s">
        <v>15</v>
      </c>
      <c r="X42" s="58">
        <v>5</v>
      </c>
      <c r="Y42" s="45" t="s">
        <v>18</v>
      </c>
      <c r="Z42" s="59">
        <v>180</v>
      </c>
      <c r="AA42" s="60">
        <v>77</v>
      </c>
      <c r="AD42" s="65" t="s">
        <v>183</v>
      </c>
      <c r="AE42" s="162">
        <f>1/1.3556</f>
        <v>0.73768073177928595</v>
      </c>
      <c r="AF42" s="30"/>
      <c r="AG42" s="31"/>
      <c r="AH42" s="5"/>
    </row>
    <row r="43" spans="2:49" x14ac:dyDescent="0.25">
      <c r="W43" s="19"/>
      <c r="X43" s="30" t="s">
        <v>40</v>
      </c>
      <c r="Y43" s="30"/>
      <c r="Z43" s="61"/>
      <c r="AA43" s="89">
        <f>(AA42-AA41)/(X42-X41)</f>
        <v>19.18146390367006</v>
      </c>
      <c r="AD43" s="65" t="s">
        <v>184</v>
      </c>
      <c r="AE43" s="179">
        <f>$X$31</f>
        <v>3.7426817504796325E-8</v>
      </c>
      <c r="AF43" s="30"/>
      <c r="AG43" s="31"/>
      <c r="AH43" s="5"/>
    </row>
    <row r="44" spans="2:49" x14ac:dyDescent="0.25">
      <c r="W44" s="19"/>
      <c r="X44" s="30"/>
      <c r="Y44" s="30"/>
      <c r="Z44" s="61"/>
      <c r="AA44" s="89">
        <f>AA42-AA43*(X42-X41)</f>
        <v>-18.907319518350306</v>
      </c>
      <c r="AD44" s="65" t="s">
        <v>199</v>
      </c>
      <c r="AE44" s="160">
        <f>AA38/1000</f>
        <v>5.5E-2</v>
      </c>
      <c r="AF44" s="30"/>
      <c r="AG44" s="31"/>
      <c r="AH44" s="5"/>
      <c r="AV44" s="151"/>
      <c r="AW44" s="164"/>
    </row>
    <row r="45" spans="2:49" ht="15.75" thickBot="1" x14ac:dyDescent="0.3">
      <c r="C45" s="6"/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/>
      <c r="X45" s="32"/>
      <c r="Y45" s="32"/>
      <c r="Z45" s="47"/>
      <c r="AA45" s="48" t="s">
        <v>124</v>
      </c>
      <c r="AD45" s="161" t="s">
        <v>211</v>
      </c>
      <c r="AE45" s="160">
        <v>7</v>
      </c>
      <c r="AF45" s="30"/>
      <c r="AG45" s="31"/>
      <c r="AH45" s="5"/>
    </row>
    <row r="46" spans="2:49" ht="15.75" thickBot="1" x14ac:dyDescent="0.3">
      <c r="C46" s="6"/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AC46" t="s">
        <v>156</v>
      </c>
      <c r="AD46" s="70" t="s">
        <v>218</v>
      </c>
      <c r="AE46" s="183">
        <f>$Y$21</f>
        <v>4.4249528005034611</v>
      </c>
      <c r="AF46" s="32"/>
      <c r="AG46" s="33"/>
      <c r="AH46" s="5"/>
    </row>
    <row r="47" spans="2:49" ht="15.75" thickBot="1" x14ac:dyDescent="0.3">
      <c r="C47" s="6"/>
      <c r="D47" s="6"/>
      <c r="E47" s="6"/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t="s">
        <v>38</v>
      </c>
      <c r="AH47" s="5"/>
      <c r="AI47" s="5"/>
      <c r="AJ47" s="151"/>
    </row>
    <row r="48" spans="2:49" x14ac:dyDescent="0.25">
      <c r="B48" s="45"/>
      <c r="C48" s="61"/>
      <c r="D48" s="61"/>
      <c r="E48" s="6"/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/>
      <c r="U48" s="10"/>
      <c r="W48" s="49" t="s">
        <v>121</v>
      </c>
      <c r="X48" s="50">
        <f>INDEX(LINEST($P$14:$P$21,$D$14:$D$21^{1,2},FALSE,FALSE),1)</f>
        <v>-351.26655108462336</v>
      </c>
      <c r="Y48" s="28"/>
      <c r="Z48" s="51" t="s">
        <v>123</v>
      </c>
      <c r="AA48" s="52">
        <f>INDEX(LINEST($O$14:$O$21,$P$14:$P$21),1)</f>
        <v>1.0165476207184487</v>
      </c>
      <c r="AH48" s="5"/>
      <c r="AI48" s="5"/>
      <c r="AJ48" s="151"/>
      <c r="AW48" s="164"/>
    </row>
    <row r="49" spans="2:49" x14ac:dyDescent="0.25">
      <c r="B49" s="45"/>
      <c r="C49" s="61"/>
      <c r="D49" s="61"/>
      <c r="E49" s="6"/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43"/>
      <c r="X49" s="54">
        <f>INDEX(LINEST($P$14:$P$21,$D$14:$D$21^{1,2},FALSE,FALSE),2)</f>
        <v>14542.877489600363</v>
      </c>
      <c r="Y49" s="30"/>
      <c r="Z49" s="44"/>
      <c r="AA49" s="46">
        <f>INDEX(LINEST($O$14:$O$21,$P$14:$P$21),2)</f>
        <v>8893.4325759458807</v>
      </c>
      <c r="AH49" s="5"/>
      <c r="AI49" s="5"/>
      <c r="AJ49" s="151"/>
    </row>
    <row r="50" spans="2:49" x14ac:dyDescent="0.25">
      <c r="B50" s="61"/>
      <c r="C50" s="61"/>
      <c r="D50" s="61"/>
      <c r="E50" s="6"/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>
        <f>(60*2.5/PI()/AA38*1000/41)^2</f>
        <v>448.32161728852856</v>
      </c>
      <c r="U50" s="10"/>
      <c r="W50" s="43"/>
      <c r="X50" s="54">
        <f>INDEX(LINEST($P$14:$P$21,$D$14:$D$21^{1,2},FALSE,FALSE),3)</f>
        <v>0</v>
      </c>
      <c r="Y50" s="30"/>
      <c r="Z50" s="44" t="s">
        <v>122</v>
      </c>
      <c r="AA50" s="46">
        <f>INDEX(LINEST($P$14:$P$21,$O$14:$O$21),1)</f>
        <v>0.98261459063146772</v>
      </c>
      <c r="AC50" t="s">
        <v>176</v>
      </c>
      <c r="AW50" s="164"/>
    </row>
    <row r="51" spans="2:49" x14ac:dyDescent="0.25">
      <c r="B51" s="61"/>
      <c r="C51" s="61"/>
      <c r="D51" s="61"/>
      <c r="E51" s="6"/>
      <c r="F51" s="6"/>
      <c r="G51" s="6"/>
      <c r="H51" s="6"/>
      <c r="I51" s="6"/>
      <c r="J51" s="9"/>
      <c r="K51" s="6"/>
      <c r="L51" s="6"/>
      <c r="M51" s="10"/>
      <c r="N51" s="10"/>
      <c r="O51" s="10"/>
      <c r="P51" s="10"/>
      <c r="Q51" s="10"/>
      <c r="R51" s="10"/>
      <c r="S51" s="10"/>
      <c r="T51" s="10"/>
      <c r="U51" s="10"/>
      <c r="W51" s="43" t="s">
        <v>21</v>
      </c>
      <c r="X51" s="54">
        <f>INDEX(LINEST($O$14:$O$21,$L$14:$L$21),1)</f>
        <v>14190.01046667831</v>
      </c>
      <c r="Y51" s="30"/>
      <c r="Z51" s="44"/>
      <c r="AA51" s="46">
        <f>INDEX(LINEST($P$14:$P$21,$O$14:$O$21),2)</f>
        <v>-8712.4928340558181</v>
      </c>
      <c r="AB51" t="s">
        <v>60</v>
      </c>
    </row>
    <row r="52" spans="2:49" x14ac:dyDescent="0.25">
      <c r="B52" s="61"/>
      <c r="C52" s="61"/>
      <c r="D52" s="61"/>
      <c r="E52" s="6"/>
      <c r="F52" s="6"/>
      <c r="G52" s="6"/>
      <c r="H52" s="6"/>
      <c r="I52" s="6"/>
      <c r="J52" s="9"/>
      <c r="K52" s="6"/>
      <c r="L52" s="6"/>
      <c r="M52" s="10"/>
      <c r="N52" s="10"/>
      <c r="O52" s="10"/>
      <c r="P52" s="10"/>
      <c r="Q52" s="10"/>
      <c r="R52" s="10"/>
      <c r="S52" s="10"/>
      <c r="T52" s="10"/>
      <c r="U52" s="10"/>
      <c r="W52" s="43"/>
      <c r="X52" s="54">
        <f>INDEX(LINEST($O$14:$O$21,$L$14:$L$21),2)</f>
        <v>-28327.005397586898</v>
      </c>
      <c r="Y52" s="30"/>
      <c r="Z52" s="30"/>
      <c r="AA52" s="31"/>
    </row>
    <row r="53" spans="2:49" x14ac:dyDescent="0.25">
      <c r="B53" s="61"/>
      <c r="C53" s="61"/>
      <c r="D53" s="61"/>
      <c r="E53" s="6"/>
      <c r="F53" s="6"/>
      <c r="G53" s="6"/>
      <c r="H53" s="6"/>
      <c r="I53" s="6"/>
      <c r="J53" s="2"/>
      <c r="M53" s="3"/>
      <c r="N53" s="3"/>
      <c r="O53" s="3"/>
      <c r="P53" s="3"/>
      <c r="Q53" s="3"/>
      <c r="R53" s="3"/>
      <c r="S53" s="3"/>
      <c r="T53" s="3"/>
      <c r="U53" s="3"/>
      <c r="W53" s="19"/>
      <c r="X53" s="30"/>
      <c r="Y53" s="30"/>
      <c r="Z53" s="30"/>
      <c r="AA53" s="31"/>
    </row>
    <row r="54" spans="2:49" x14ac:dyDescent="0.25">
      <c r="B54" s="61"/>
      <c r="C54" s="61"/>
      <c r="D54" s="61"/>
      <c r="W54" s="181" t="s">
        <v>62</v>
      </c>
      <c r="X54" s="44">
        <f>EXP((0-$AE$32)/$AF$32)</f>
        <v>7.361501228839896</v>
      </c>
      <c r="Y54" s="30"/>
      <c r="Z54" s="30"/>
      <c r="AA54" s="31"/>
      <c r="AB54" t="s">
        <v>65</v>
      </c>
      <c r="AI54" s="104"/>
      <c r="AQ54" s="3"/>
    </row>
    <row r="55" spans="2:49" x14ac:dyDescent="0.25">
      <c r="B55" s="61"/>
      <c r="C55" s="61"/>
      <c r="D55" s="61"/>
      <c r="W55" s="19"/>
      <c r="X55" s="30"/>
      <c r="Y55" s="30"/>
      <c r="Z55" s="30"/>
      <c r="AA55" s="31"/>
      <c r="AR55" s="3"/>
    </row>
    <row r="56" spans="2:49" x14ac:dyDescent="0.25">
      <c r="B56" s="61"/>
      <c r="C56" s="61"/>
      <c r="D56" s="61"/>
      <c r="W56" s="43" t="s">
        <v>92</v>
      </c>
      <c r="X56" s="180">
        <f>INDEX(LINEST($X$10:$X$21,$O$10:$O$21^{1,2}),1)</f>
        <v>1.782679103068748E-11</v>
      </c>
      <c r="Y56" s="30"/>
      <c r="Z56" s="44" t="s">
        <v>130</v>
      </c>
      <c r="AA56" s="122" t="e">
        <f>INDEX(LINEST($X$73:$X$90,$O$73:$O$90^{1,2}),1)</f>
        <v>#VALUE!</v>
      </c>
    </row>
    <row r="57" spans="2:49" x14ac:dyDescent="0.25">
      <c r="W57" s="43"/>
      <c r="X57" s="180">
        <f>INDEX(LINEST($X$10:$X$21,$O$10:$O$21^{1,2}),2)</f>
        <v>-1.9381907115184841E-7</v>
      </c>
      <c r="Y57" s="30"/>
      <c r="Z57" s="44"/>
      <c r="AA57" s="122" t="e">
        <f>INDEX(LINEST($X$73:$X$90,$O$73:$O$90^{1,2}),2)</f>
        <v>#VALUE!</v>
      </c>
    </row>
    <row r="58" spans="2:49" ht="15.75" thickBot="1" x14ac:dyDescent="0.3">
      <c r="W58" s="55"/>
      <c r="X58" s="182">
        <f>INDEX(LINEST($X$10:$X$21,$O$10:$O$21^{1,2}),3)</f>
        <v>6.9658921582847581E-4</v>
      </c>
      <c r="Y58" s="32"/>
      <c r="Z58" s="108"/>
      <c r="AA58" s="123" t="e">
        <f>INDEX(LINEST($X$73:$X$90,$O$73:$O$90^{1,2}),3)</f>
        <v>#VALUE!</v>
      </c>
    </row>
    <row r="65" spans="1:35" x14ac:dyDescent="0.25">
      <c r="G65" s="176"/>
    </row>
    <row r="67" spans="1:35" x14ac:dyDescent="0.25">
      <c r="AF67" s="45"/>
      <c r="AG67" s="149"/>
    </row>
    <row r="68" spans="1:35" x14ac:dyDescent="0.25">
      <c r="AF68" s="45"/>
      <c r="AG68" s="149"/>
    </row>
    <row r="69" spans="1:35" x14ac:dyDescent="0.25">
      <c r="AF69" s="45"/>
      <c r="AG69" s="149"/>
    </row>
    <row r="71" spans="1:35" x14ac:dyDescent="0.25">
      <c r="A71" s="45"/>
      <c r="B71" s="45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</row>
    <row r="72" spans="1:35" x14ac:dyDescent="0.25">
      <c r="A72" s="45"/>
      <c r="B72" s="45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</row>
    <row r="73" spans="1:35" x14ac:dyDescent="0.25">
      <c r="A73" s="45"/>
      <c r="B73" s="45"/>
      <c r="C73" s="61"/>
      <c r="D73" s="61"/>
      <c r="E73" s="61"/>
      <c r="F73" s="61"/>
      <c r="G73" s="61"/>
      <c r="H73" s="190"/>
      <c r="I73" s="61"/>
      <c r="J73" s="187"/>
      <c r="K73" s="61"/>
      <c r="L73" s="61"/>
      <c r="M73" s="188"/>
      <c r="N73" s="188"/>
      <c r="O73" s="188"/>
      <c r="P73" s="188"/>
      <c r="Q73" s="188"/>
      <c r="R73" s="188"/>
      <c r="S73" s="188"/>
      <c r="T73" s="189"/>
      <c r="U73" s="189"/>
      <c r="V73" s="45"/>
      <c r="W73" s="186"/>
      <c r="X73" s="186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  <row r="74" spans="1:35" x14ac:dyDescent="0.25">
      <c r="A74" s="45"/>
      <c r="B74" s="45"/>
      <c r="C74" s="61"/>
      <c r="D74" s="61"/>
      <c r="E74" s="61"/>
      <c r="F74" s="61"/>
      <c r="G74" s="61"/>
      <c r="H74" s="190"/>
      <c r="I74" s="61"/>
      <c r="J74" s="187"/>
      <c r="K74" s="61"/>
      <c r="L74" s="61"/>
      <c r="M74" s="188"/>
      <c r="N74" s="188"/>
      <c r="O74" s="188"/>
      <c r="P74" s="188"/>
      <c r="Q74" s="188"/>
      <c r="R74" s="188"/>
      <c r="S74" s="188"/>
      <c r="T74" s="189"/>
      <c r="U74" s="189"/>
      <c r="V74" s="45"/>
      <c r="W74" s="186"/>
      <c r="X74" s="186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35" x14ac:dyDescent="0.25">
      <c r="A75" s="45"/>
      <c r="B75" s="45"/>
      <c r="C75" s="61"/>
      <c r="D75" s="61"/>
      <c r="E75" s="61"/>
      <c r="F75" s="61"/>
      <c r="G75" s="61"/>
      <c r="H75" s="190"/>
      <c r="I75" s="61"/>
      <c r="J75" s="187"/>
      <c r="K75" s="61"/>
      <c r="L75" s="61"/>
      <c r="M75" s="188"/>
      <c r="N75" s="188"/>
      <c r="O75" s="188"/>
      <c r="P75" s="188"/>
      <c r="Q75" s="188"/>
      <c r="R75" s="188"/>
      <c r="S75" s="188"/>
      <c r="T75" s="189"/>
      <c r="U75" s="189"/>
      <c r="V75" s="45"/>
      <c r="W75" s="186"/>
      <c r="X75" s="186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5" x14ac:dyDescent="0.25">
      <c r="A76" s="45"/>
      <c r="B76" s="45"/>
      <c r="C76" s="61"/>
      <c r="D76" s="61"/>
      <c r="E76" s="61"/>
      <c r="F76" s="61"/>
      <c r="G76" s="61"/>
      <c r="H76" s="190"/>
      <c r="I76" s="61"/>
      <c r="J76" s="187"/>
      <c r="K76" s="61"/>
      <c r="L76" s="61"/>
      <c r="M76" s="188"/>
      <c r="N76" s="188"/>
      <c r="O76" s="188"/>
      <c r="P76" s="188"/>
      <c r="Q76" s="188"/>
      <c r="R76" s="188"/>
      <c r="S76" s="188"/>
      <c r="T76" s="189"/>
      <c r="U76" s="189"/>
      <c r="V76" s="45"/>
      <c r="W76" s="186"/>
      <c r="X76" s="186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35" x14ac:dyDescent="0.25">
      <c r="A77" s="45"/>
      <c r="B77" s="45"/>
      <c r="C77" s="61"/>
      <c r="D77" s="61"/>
      <c r="E77" s="61"/>
      <c r="F77" s="61"/>
      <c r="G77" s="61"/>
      <c r="H77" s="190"/>
      <c r="I77" s="61"/>
      <c r="J77" s="187"/>
      <c r="K77" s="61"/>
      <c r="L77" s="61"/>
      <c r="M77" s="188"/>
      <c r="N77" s="188"/>
      <c r="O77" s="188"/>
      <c r="P77" s="188"/>
      <c r="Q77" s="188"/>
      <c r="R77" s="188"/>
      <c r="S77" s="188"/>
      <c r="T77" s="189"/>
      <c r="U77" s="189"/>
      <c r="V77" s="45"/>
      <c r="W77" s="186"/>
      <c r="X77" s="186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5" x14ac:dyDescent="0.25">
      <c r="A78" s="45"/>
      <c r="B78" s="45"/>
      <c r="C78" s="61"/>
      <c r="D78" s="61"/>
      <c r="E78" s="61"/>
      <c r="F78" s="61"/>
      <c r="G78" s="61"/>
      <c r="H78" s="190"/>
      <c r="I78" s="61"/>
      <c r="J78" s="187"/>
      <c r="K78" s="61"/>
      <c r="L78" s="61"/>
      <c r="M78" s="188"/>
      <c r="N78" s="188"/>
      <c r="O78" s="188"/>
      <c r="P78" s="188"/>
      <c r="Q78" s="188"/>
      <c r="R78" s="188"/>
      <c r="S78" s="188"/>
      <c r="T78" s="189"/>
      <c r="U78" s="189"/>
      <c r="V78" s="45"/>
      <c r="W78" s="186"/>
      <c r="X78" s="186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x14ac:dyDescent="0.25">
      <c r="A79" s="45"/>
      <c r="B79" s="45"/>
      <c r="C79" s="61"/>
      <c r="D79" s="61"/>
      <c r="E79" s="61"/>
      <c r="F79" s="61"/>
      <c r="G79" s="61"/>
      <c r="H79" s="61"/>
      <c r="I79" s="61"/>
      <c r="J79" s="187"/>
      <c r="K79" s="61"/>
      <c r="L79" s="61"/>
      <c r="M79" s="188"/>
      <c r="N79" s="188"/>
      <c r="O79" s="188"/>
      <c r="P79" s="188"/>
      <c r="Q79" s="188"/>
      <c r="R79" s="188"/>
      <c r="S79" s="188"/>
      <c r="T79" s="189"/>
      <c r="U79" s="189"/>
      <c r="V79" s="45"/>
      <c r="W79" s="186"/>
      <c r="X79" s="186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5" x14ac:dyDescent="0.25">
      <c r="A80" s="45"/>
      <c r="B80" s="45"/>
      <c r="C80" s="61"/>
      <c r="D80" s="61"/>
      <c r="E80" s="61"/>
      <c r="F80" s="61"/>
      <c r="G80" s="61"/>
      <c r="H80" s="61"/>
      <c r="I80" s="61"/>
      <c r="J80" s="187"/>
      <c r="K80" s="61"/>
      <c r="L80" s="61"/>
      <c r="M80" s="188"/>
      <c r="N80" s="188"/>
      <c r="O80" s="188"/>
      <c r="P80" s="188"/>
      <c r="Q80" s="188"/>
      <c r="R80" s="188"/>
      <c r="S80" s="188"/>
      <c r="T80" s="189"/>
      <c r="U80" s="189"/>
      <c r="V80" s="45"/>
      <c r="W80" s="186"/>
      <c r="X80" s="186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  <row r="81" spans="1:35" x14ac:dyDescent="0.25">
      <c r="A81" s="45"/>
      <c r="B81" s="45"/>
      <c r="C81" s="61"/>
      <c r="D81" s="61"/>
      <c r="E81" s="61"/>
      <c r="F81" s="61"/>
      <c r="G81" s="61"/>
      <c r="H81" s="61"/>
      <c r="I81" s="61"/>
      <c r="J81" s="187"/>
      <c r="K81" s="61"/>
      <c r="L81" s="61"/>
      <c r="M81" s="188"/>
      <c r="N81" s="188"/>
      <c r="O81" s="188"/>
      <c r="P81" s="188"/>
      <c r="Q81" s="188"/>
      <c r="R81" s="188"/>
      <c r="S81" s="188"/>
      <c r="T81" s="189"/>
      <c r="U81" s="189"/>
      <c r="V81" s="45"/>
      <c r="W81" s="186"/>
      <c r="X81" s="186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  <row r="82" spans="1:35" x14ac:dyDescent="0.25">
      <c r="A82" s="45"/>
      <c r="B82" s="45"/>
      <c r="C82" s="61"/>
      <c r="D82" s="61"/>
      <c r="E82" s="61"/>
      <c r="F82" s="61"/>
      <c r="G82" s="61"/>
      <c r="H82" s="61"/>
      <c r="I82" s="61"/>
      <c r="J82" s="187"/>
      <c r="K82" s="61"/>
      <c r="L82" s="61"/>
      <c r="M82" s="188"/>
      <c r="N82" s="188"/>
      <c r="O82" s="188"/>
      <c r="P82" s="188"/>
      <c r="Q82" s="188"/>
      <c r="R82" s="188"/>
      <c r="S82" s="188"/>
      <c r="T82" s="189"/>
      <c r="U82" s="189"/>
      <c r="V82" s="45"/>
      <c r="W82" s="186"/>
      <c r="X82" s="186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</row>
    <row r="83" spans="1:35" x14ac:dyDescent="0.25">
      <c r="A83" s="45"/>
      <c r="B83" s="45"/>
      <c r="C83" s="61"/>
      <c r="D83" s="61"/>
      <c r="E83" s="61"/>
      <c r="F83" s="61"/>
      <c r="G83" s="61"/>
      <c r="H83" s="61"/>
      <c r="I83" s="61"/>
      <c r="J83" s="187"/>
      <c r="K83" s="61"/>
      <c r="L83" s="61"/>
      <c r="M83" s="188"/>
      <c r="N83" s="188"/>
      <c r="O83" s="188"/>
      <c r="P83" s="188"/>
      <c r="Q83" s="188"/>
      <c r="R83" s="188"/>
      <c r="S83" s="188"/>
      <c r="T83" s="189"/>
      <c r="U83" s="189"/>
      <c r="V83" s="45"/>
      <c r="W83" s="186"/>
      <c r="X83" s="186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35" x14ac:dyDescent="0.25">
      <c r="A84" s="45"/>
      <c r="B84" s="45"/>
      <c r="C84" s="61"/>
      <c r="D84" s="61"/>
      <c r="E84" s="61"/>
      <c r="F84" s="61"/>
      <c r="G84" s="61"/>
      <c r="H84" s="61"/>
      <c r="I84" s="61"/>
      <c r="J84" s="187"/>
      <c r="K84" s="61"/>
      <c r="L84" s="61"/>
      <c r="M84" s="188"/>
      <c r="N84" s="188"/>
      <c r="O84" s="188"/>
      <c r="P84" s="188"/>
      <c r="Q84" s="188"/>
      <c r="R84" s="188"/>
      <c r="S84" s="188"/>
      <c r="T84" s="189"/>
      <c r="U84" s="189"/>
      <c r="V84" s="45"/>
      <c r="W84" s="186"/>
      <c r="X84" s="186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</row>
    <row r="85" spans="1:35" x14ac:dyDescent="0.25">
      <c r="A85" s="45"/>
      <c r="B85" s="45"/>
      <c r="C85" s="61"/>
      <c r="D85" s="61"/>
      <c r="E85" s="61"/>
      <c r="F85" s="61"/>
      <c r="G85" s="61"/>
      <c r="H85" s="61"/>
      <c r="I85" s="61"/>
      <c r="J85" s="187"/>
      <c r="K85" s="61"/>
      <c r="L85" s="61"/>
      <c r="M85" s="188"/>
      <c r="N85" s="188"/>
      <c r="O85" s="188"/>
      <c r="P85" s="188"/>
      <c r="Q85" s="188"/>
      <c r="R85" s="188"/>
      <c r="S85" s="188"/>
      <c r="T85" s="189"/>
      <c r="U85" s="189"/>
      <c r="V85" s="45"/>
      <c r="W85" s="186"/>
      <c r="X85" s="186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35" x14ac:dyDescent="0.25">
      <c r="A86" s="45"/>
      <c r="B86" s="45"/>
      <c r="C86" s="61"/>
      <c r="D86" s="61"/>
      <c r="E86" s="61"/>
      <c r="F86" s="61"/>
      <c r="G86" s="61"/>
      <c r="H86" s="61"/>
      <c r="I86" s="61"/>
      <c r="J86" s="187"/>
      <c r="K86" s="61"/>
      <c r="L86" s="61"/>
      <c r="M86" s="188"/>
      <c r="N86" s="188"/>
      <c r="O86" s="188"/>
      <c r="P86" s="188"/>
      <c r="Q86" s="188"/>
      <c r="R86" s="188"/>
      <c r="S86" s="188"/>
      <c r="T86" s="189"/>
      <c r="U86" s="189"/>
      <c r="V86" s="45"/>
      <c r="W86" s="186"/>
      <c r="X86" s="186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87" spans="1:35" x14ac:dyDescent="0.25">
      <c r="A87" s="45"/>
      <c r="B87" s="45"/>
      <c r="C87" s="61"/>
      <c r="D87" s="61"/>
      <c r="E87" s="61"/>
      <c r="F87" s="61"/>
      <c r="G87" s="61"/>
      <c r="H87" s="61"/>
      <c r="I87" s="61"/>
      <c r="J87" s="187"/>
      <c r="K87" s="61"/>
      <c r="L87" s="61"/>
      <c r="M87" s="188"/>
      <c r="N87" s="188"/>
      <c r="O87" s="188"/>
      <c r="P87" s="188"/>
      <c r="Q87" s="188"/>
      <c r="R87" s="188"/>
      <c r="S87" s="188"/>
      <c r="T87" s="189"/>
      <c r="U87" s="189"/>
      <c r="V87" s="45"/>
      <c r="W87" s="186"/>
      <c r="X87" s="186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x14ac:dyDescent="0.25">
      <c r="A88" s="45"/>
      <c r="B88" s="45"/>
      <c r="C88" s="61"/>
      <c r="D88" s="61"/>
      <c r="E88" s="61"/>
      <c r="F88" s="61"/>
      <c r="G88" s="61"/>
      <c r="H88" s="61"/>
      <c r="I88" s="61"/>
      <c r="J88" s="187"/>
      <c r="K88" s="61"/>
      <c r="L88" s="61"/>
      <c r="M88" s="188"/>
      <c r="N88" s="188"/>
      <c r="O88" s="188"/>
      <c r="P88" s="188"/>
      <c r="Q88" s="188"/>
      <c r="R88" s="188"/>
      <c r="S88" s="188"/>
      <c r="T88" s="189"/>
      <c r="U88" s="189"/>
      <c r="V88" s="45"/>
      <c r="W88" s="186"/>
      <c r="X88" s="186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</row>
    <row r="89" spans="1:35" x14ac:dyDescent="0.25">
      <c r="A89" s="45"/>
      <c r="B89" s="45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189"/>
      <c r="U89" s="189"/>
      <c r="V89" s="45"/>
      <c r="W89" s="186"/>
      <c r="X89" s="186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5" x14ac:dyDescent="0.25">
      <c r="A90" s="45"/>
      <c r="B90" s="45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189"/>
      <c r="U90" s="189"/>
      <c r="V90" s="45"/>
      <c r="W90" s="186"/>
      <c r="X90" s="186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5" x14ac:dyDescent="0.25">
      <c r="A91" s="45"/>
      <c r="B91" s="45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5" x14ac:dyDescent="0.25">
      <c r="A92" s="45"/>
      <c r="B92" s="45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5" x14ac:dyDescent="0.25">
      <c r="A93" s="45"/>
      <c r="B93" s="45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35" x14ac:dyDescent="0.25">
      <c r="A94" s="45"/>
      <c r="B94" s="45"/>
      <c r="C94" s="61"/>
      <c r="D94" s="61"/>
      <c r="E94" s="61"/>
      <c r="F94" s="61"/>
      <c r="G94" s="61"/>
      <c r="H94" s="190"/>
      <c r="I94" s="61"/>
      <c r="J94" s="187"/>
      <c r="K94" s="61"/>
      <c r="L94" s="61"/>
      <c r="M94" s="188"/>
      <c r="N94" s="188"/>
      <c r="O94" s="188"/>
      <c r="P94" s="188"/>
      <c r="Q94" s="188"/>
      <c r="R94" s="188"/>
      <c r="S94" s="188"/>
      <c r="T94" s="189"/>
      <c r="U94" s="189"/>
      <c r="V94" s="45"/>
      <c r="W94" s="186"/>
      <c r="X94" s="186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spans="1:35" x14ac:dyDescent="0.25">
      <c r="A95" s="45"/>
      <c r="B95" s="45"/>
      <c r="C95" s="61"/>
      <c r="D95" s="61"/>
      <c r="E95" s="61"/>
      <c r="F95" s="61"/>
      <c r="G95" s="61"/>
      <c r="H95" s="190"/>
      <c r="I95" s="61"/>
      <c r="J95" s="187"/>
      <c r="K95" s="61"/>
      <c r="L95" s="61"/>
      <c r="M95" s="188"/>
      <c r="N95" s="188"/>
      <c r="O95" s="188"/>
      <c r="P95" s="188"/>
      <c r="Q95" s="188"/>
      <c r="R95" s="188"/>
      <c r="S95" s="188"/>
      <c r="T95" s="189"/>
      <c r="U95" s="189"/>
      <c r="V95" s="45"/>
      <c r="W95" s="186"/>
      <c r="X95" s="186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spans="1:35" x14ac:dyDescent="0.25">
      <c r="A96" s="45"/>
      <c r="B96" s="45"/>
      <c r="C96" s="61"/>
      <c r="D96" s="61"/>
      <c r="E96" s="61"/>
      <c r="F96" s="61"/>
      <c r="G96" s="61"/>
      <c r="H96" s="190"/>
      <c r="I96" s="61"/>
      <c r="J96" s="187"/>
      <c r="K96" s="61"/>
      <c r="L96" s="61"/>
      <c r="M96" s="188"/>
      <c r="N96" s="188"/>
      <c r="O96" s="188"/>
      <c r="P96" s="188"/>
      <c r="Q96" s="188"/>
      <c r="R96" s="188"/>
      <c r="S96" s="188"/>
      <c r="T96" s="189"/>
      <c r="U96" s="189"/>
      <c r="V96" s="45"/>
      <c r="W96" s="186"/>
      <c r="X96" s="186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5" x14ac:dyDescent="0.25">
      <c r="A97" s="45"/>
      <c r="B97" s="45"/>
      <c r="C97" s="61"/>
      <c r="D97" s="61"/>
      <c r="E97" s="61"/>
      <c r="F97" s="61"/>
      <c r="G97" s="61"/>
      <c r="H97" s="61"/>
      <c r="I97" s="61"/>
      <c r="J97" s="187"/>
      <c r="K97" s="61"/>
      <c r="L97" s="61"/>
      <c r="M97" s="188"/>
      <c r="N97" s="188"/>
      <c r="O97" s="188"/>
      <c r="P97" s="188"/>
      <c r="Q97" s="188"/>
      <c r="R97" s="188"/>
      <c r="S97" s="188"/>
      <c r="T97" s="189"/>
      <c r="U97" s="189"/>
      <c r="V97" s="45"/>
      <c r="W97" s="186"/>
      <c r="X97" s="186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spans="1:35" x14ac:dyDescent="0.25">
      <c r="A98" s="45"/>
      <c r="B98" s="45"/>
      <c r="C98" s="61"/>
      <c r="D98" s="61"/>
      <c r="E98" s="61"/>
      <c r="F98" s="61"/>
      <c r="G98" s="61"/>
      <c r="H98" s="61"/>
      <c r="I98" s="61"/>
      <c r="J98" s="187"/>
      <c r="K98" s="61"/>
      <c r="L98" s="61"/>
      <c r="M98" s="188"/>
      <c r="N98" s="188"/>
      <c r="O98" s="188"/>
      <c r="P98" s="188"/>
      <c r="Q98" s="188"/>
      <c r="R98" s="188"/>
      <c r="S98" s="188"/>
      <c r="T98" s="189"/>
      <c r="U98" s="189"/>
      <c r="V98" s="45"/>
      <c r="W98" s="186"/>
      <c r="X98" s="186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1:35" x14ac:dyDescent="0.25">
      <c r="A99" s="45"/>
      <c r="B99" s="45"/>
      <c r="C99" s="61"/>
      <c r="D99" s="61"/>
      <c r="E99" s="61"/>
      <c r="F99" s="61"/>
      <c r="G99" s="61"/>
      <c r="H99" s="61"/>
      <c r="I99" s="61"/>
      <c r="J99" s="187"/>
      <c r="K99" s="61"/>
      <c r="L99" s="61"/>
      <c r="M99" s="188"/>
      <c r="N99" s="188"/>
      <c r="O99" s="188"/>
      <c r="P99" s="188"/>
      <c r="Q99" s="188"/>
      <c r="R99" s="188"/>
      <c r="S99" s="188"/>
      <c r="T99" s="189"/>
      <c r="U99" s="189"/>
      <c r="V99" s="45"/>
      <c r="W99" s="186"/>
      <c r="X99" s="186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spans="1:35" x14ac:dyDescent="0.25">
      <c r="A100" s="45"/>
      <c r="B100" s="45"/>
      <c r="C100" s="61"/>
      <c r="D100" s="61"/>
      <c r="E100" s="61"/>
      <c r="F100" s="61"/>
      <c r="G100" s="61"/>
      <c r="H100" s="61"/>
      <c r="I100" s="61"/>
      <c r="J100" s="187"/>
      <c r="K100" s="61"/>
      <c r="L100" s="61"/>
      <c r="M100" s="188"/>
      <c r="N100" s="188"/>
      <c r="O100" s="188"/>
      <c r="P100" s="188"/>
      <c r="Q100" s="188"/>
      <c r="R100" s="188"/>
      <c r="S100" s="188"/>
      <c r="T100" s="189"/>
      <c r="U100" s="189"/>
      <c r="V100" s="45"/>
      <c r="W100" s="186"/>
      <c r="X100" s="186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spans="1:35" x14ac:dyDescent="0.25">
      <c r="A101" s="45"/>
      <c r="B101" s="45"/>
      <c r="C101" s="61"/>
      <c r="D101" s="61"/>
      <c r="E101" s="61"/>
      <c r="F101" s="61"/>
      <c r="G101" s="61"/>
      <c r="H101" s="61"/>
      <c r="I101" s="61"/>
      <c r="J101" s="187"/>
      <c r="K101" s="61"/>
      <c r="L101" s="61"/>
      <c r="M101" s="188"/>
      <c r="N101" s="188"/>
      <c r="O101" s="188"/>
      <c r="P101" s="188"/>
      <c r="Q101" s="188"/>
      <c r="R101" s="188"/>
      <c r="S101" s="188"/>
      <c r="T101" s="189"/>
      <c r="U101" s="189"/>
      <c r="V101" s="45"/>
      <c r="W101" s="186"/>
      <c r="X101" s="186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spans="1:35" x14ac:dyDescent="0.25">
      <c r="A102" s="45"/>
      <c r="B102" s="45"/>
      <c r="C102" s="61"/>
      <c r="D102" s="61"/>
      <c r="E102" s="61"/>
      <c r="F102" s="61"/>
      <c r="G102" s="61"/>
      <c r="H102" s="61"/>
      <c r="I102" s="61"/>
      <c r="J102" s="187"/>
      <c r="K102" s="61"/>
      <c r="L102" s="61"/>
      <c r="M102" s="188"/>
      <c r="N102" s="188"/>
      <c r="O102" s="188"/>
      <c r="P102" s="188"/>
      <c r="Q102" s="188"/>
      <c r="R102" s="188"/>
      <c r="S102" s="188"/>
      <c r="T102" s="189"/>
      <c r="U102" s="189"/>
      <c r="V102" s="45"/>
      <c r="W102" s="186"/>
      <c r="X102" s="186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spans="1:35" x14ac:dyDescent="0.25">
      <c r="A103" s="45"/>
      <c r="B103" s="45"/>
      <c r="C103" s="61"/>
      <c r="D103" s="61"/>
      <c r="E103" s="61"/>
      <c r="F103" s="61"/>
      <c r="G103" s="61"/>
      <c r="H103" s="61"/>
      <c r="I103" s="61"/>
      <c r="J103" s="187"/>
      <c r="K103" s="61"/>
      <c r="L103" s="61"/>
      <c r="M103" s="188"/>
      <c r="N103" s="188"/>
      <c r="O103" s="188"/>
      <c r="P103" s="188"/>
      <c r="Q103" s="188"/>
      <c r="R103" s="188"/>
      <c r="S103" s="188"/>
      <c r="T103" s="189"/>
      <c r="U103" s="189"/>
      <c r="V103" s="45"/>
      <c r="W103" s="186"/>
      <c r="X103" s="186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spans="1:35" x14ac:dyDescent="0.25">
      <c r="A104" s="45"/>
      <c r="B104" s="45"/>
      <c r="C104" s="61"/>
      <c r="D104" s="61"/>
      <c r="E104" s="61"/>
      <c r="F104" s="61"/>
      <c r="G104" s="61"/>
      <c r="H104" s="61"/>
      <c r="I104" s="61"/>
      <c r="J104" s="187"/>
      <c r="K104" s="61"/>
      <c r="L104" s="61"/>
      <c r="M104" s="188"/>
      <c r="N104" s="188"/>
      <c r="O104" s="188"/>
      <c r="P104" s="188"/>
      <c r="Q104" s="188"/>
      <c r="R104" s="188"/>
      <c r="S104" s="188"/>
      <c r="T104" s="189"/>
      <c r="U104" s="189"/>
      <c r="V104" s="45"/>
      <c r="W104" s="186"/>
      <c r="X104" s="186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spans="1:35" x14ac:dyDescent="0.25">
      <c r="A105" s="45"/>
      <c r="B105" s="45"/>
      <c r="C105" s="61"/>
      <c r="D105" s="61"/>
      <c r="E105" s="61"/>
      <c r="F105" s="61"/>
      <c r="G105" s="61"/>
      <c r="H105" s="61"/>
      <c r="I105" s="61"/>
      <c r="J105" s="187"/>
      <c r="K105" s="61"/>
      <c r="L105" s="61"/>
      <c r="M105" s="188"/>
      <c r="N105" s="188"/>
      <c r="O105" s="188"/>
      <c r="P105" s="188"/>
      <c r="Q105" s="188"/>
      <c r="R105" s="188"/>
      <c r="S105" s="188"/>
      <c r="T105" s="189"/>
      <c r="U105" s="189"/>
      <c r="V105" s="45"/>
      <c r="W105" s="186"/>
      <c r="X105" s="186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spans="1:35" x14ac:dyDescent="0.25">
      <c r="A106" s="45"/>
      <c r="B106" s="45"/>
      <c r="C106" s="61"/>
      <c r="D106" s="61"/>
      <c r="E106" s="61"/>
      <c r="F106" s="61"/>
      <c r="G106" s="61"/>
      <c r="H106" s="61"/>
      <c r="I106" s="61"/>
      <c r="J106" s="187"/>
      <c r="K106" s="61"/>
      <c r="L106" s="61"/>
      <c r="M106" s="188"/>
      <c r="N106" s="188"/>
      <c r="O106" s="188"/>
      <c r="P106" s="188"/>
      <c r="Q106" s="188"/>
      <c r="R106" s="188"/>
      <c r="S106" s="188"/>
      <c r="T106" s="189"/>
      <c r="U106" s="189"/>
      <c r="V106" s="45"/>
      <c r="W106" s="186"/>
      <c r="X106" s="186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spans="1:35" x14ac:dyDescent="0.25">
      <c r="A107" s="45"/>
      <c r="B107" s="45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189"/>
      <c r="U107" s="189"/>
      <c r="V107" s="45"/>
      <c r="W107" s="186"/>
      <c r="X107" s="186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spans="1:35" x14ac:dyDescent="0.25">
      <c r="A108" s="45"/>
      <c r="B108" s="45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189"/>
      <c r="U108" s="189"/>
      <c r="V108" s="45"/>
      <c r="W108" s="186"/>
      <c r="X108" s="186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spans="1:35" x14ac:dyDescent="0.25">
      <c r="A109" s="45"/>
      <c r="B109" s="45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45"/>
      <c r="U109" s="45"/>
      <c r="V109" s="45"/>
      <c r="W109" s="186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spans="1:35" x14ac:dyDescent="0.25">
      <c r="A110" s="45"/>
      <c r="B110" s="45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45"/>
      <c r="U110" s="45"/>
      <c r="V110" s="45"/>
      <c r="W110" s="186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spans="1:35" x14ac:dyDescent="0.25">
      <c r="A111" s="45"/>
      <c r="B111" s="45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spans="1:35" x14ac:dyDescent="0.25">
      <c r="A112" s="45"/>
      <c r="B112" s="45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ySplit="1" topLeftCell="A16" activePane="bottomLeft" state="frozen"/>
      <selection pane="bottomLeft" activeCell="D40" sqref="D40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9.140625" style="1" bestFit="1" customWidth="1"/>
    <col min="8" max="8" width="8.5703125" style="1" bestFit="1" customWidth="1"/>
    <col min="9" max="9" width="5.8554687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10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1.5703125" bestFit="1" customWidth="1"/>
    <col min="38" max="38" width="9.7109375" customWidth="1"/>
    <col min="43" max="44" width="9.85546875" bestFit="1" customWidth="1"/>
    <col min="45" max="45" width="13.140625" bestFit="1" customWidth="1"/>
    <col min="46" max="46" width="12" bestFit="1" customWidth="1"/>
    <col min="47" max="47" width="10.42578125" bestFit="1" customWidth="1"/>
    <col min="48" max="48" width="10.28515625" customWidth="1"/>
    <col min="49" max="49" width="9.28515625" bestFit="1" customWidth="1"/>
    <col min="50" max="50" width="10.28515625" bestFit="1" customWidth="1"/>
  </cols>
  <sheetData>
    <row r="1" spans="1:50" ht="86.45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1:50" ht="14.45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-18.907319518350299</v>
      </c>
      <c r="AL2" s="96">
        <f t="shared" ref="AL2:AL15" si="11">($AE$32+$AF$32*AK2*$AE$26)/$AE$26</f>
        <v>7.9793218228958712E-2</v>
      </c>
      <c r="AN2">
        <f t="shared" ref="AN2:AN15" si="12">MAX($AE$31+$AF$31*AI2, 0)</f>
        <v>0</v>
      </c>
      <c r="AO2" s="127"/>
      <c r="AP2" s="127"/>
      <c r="AS2" s="127"/>
      <c r="AT2" s="127"/>
    </row>
    <row r="3" spans="1:50" ht="14.45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8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$AE$44*(O3/$AE$26/100)^3</f>
        <v>9.76843480821773E-87</v>
      </c>
      <c r="Z3" s="127">
        <f t="shared" ref="Z3:Z13" si="17">SQRT(Y3^3/4/$X$42/$X$43)</f>
        <v>9.469612348787209E-129</v>
      </c>
      <c r="AB3">
        <f t="shared" ref="AB3:AB15" si="18">SQRT(Y3/$AE$36/$AE$37)</f>
        <v>1.9388187636407961E-42</v>
      </c>
      <c r="AC3" s="4">
        <f t="shared" ref="AC3:AC14" si="19">AB3*1/1.6/1000*3600</f>
        <v>4.3623422181917907E-42</v>
      </c>
      <c r="AD3" s="4">
        <f t="shared" ref="AD3:AD15" si="20">P3/60*PI()*$AA$43/1000</f>
        <v>0</v>
      </c>
      <c r="AE3" s="158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-18.907319518350299</v>
      </c>
      <c r="AL3" s="96">
        <f t="shared" si="11"/>
        <v>7.9793218228958712E-2</v>
      </c>
      <c r="AN3">
        <f t="shared" si="12"/>
        <v>0</v>
      </c>
      <c r="AO3" s="127"/>
      <c r="AP3" s="127"/>
      <c r="AQ3" s="127"/>
      <c r="AS3" s="127"/>
      <c r="AT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0">
        <f>$V4/$O4*5252</f>
        <v>2.9750909003520725E-3</v>
      </c>
      <c r="X4" s="150">
        <f>W4-$W$4</f>
        <v>0</v>
      </c>
      <c r="Y4" s="95">
        <f t="shared" si="16"/>
        <v>1.9963943404514357E-2</v>
      </c>
      <c r="Z4" s="127">
        <f t="shared" si="17"/>
        <v>2.766713710450296E-2</v>
      </c>
      <c r="AA4" s="97">
        <f>Z4/U4*100</f>
        <v>0.86020026068297573</v>
      </c>
      <c r="AB4">
        <f t="shared" si="18"/>
        <v>2.7717106329049916</v>
      </c>
      <c r="AC4" s="4">
        <f t="shared" si="19"/>
        <v>6.2363489240362311</v>
      </c>
      <c r="AD4" s="4">
        <f t="shared" si="20"/>
        <v>1.7278759594743859E-27</v>
      </c>
      <c r="AE4" s="158">
        <f t="shared" ref="AE4:AE15" si="25">AD4/AB4</f>
        <v>6.2339695167363955E-28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-12.826465521236472</v>
      </c>
      <c r="AL4" s="96">
        <f t="shared" si="11"/>
        <v>6.2612708809312894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U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58">
        <f>J5</f>
        <v>8.3174399999999995</v>
      </c>
      <c r="U5" s="96">
        <f t="shared" si="23"/>
        <v>3.8673999999999991</v>
      </c>
      <c r="V5">
        <f t="shared" si="24"/>
        <v>5.1862684827999987E-3</v>
      </c>
      <c r="W5" s="150">
        <f>$V5/$O5*5252</f>
        <v>3.3049115580287588E-3</v>
      </c>
      <c r="X5" s="150">
        <f t="shared" ref="X5:X15" si="29">W5-$W$4</f>
        <v>3.2982065767668631E-4</v>
      </c>
      <c r="Y5" s="95">
        <f t="shared" si="16"/>
        <v>2.5318084473527055E-2</v>
      </c>
      <c r="Z5" s="147">
        <f t="shared" si="17"/>
        <v>3.9513090032507601E-2</v>
      </c>
      <c r="AA5" s="97">
        <f t="shared" ref="AA5:AA15" si="30">Z5/U5*100</f>
        <v>1.0216964894375449</v>
      </c>
      <c r="AB5">
        <f t="shared" si="18"/>
        <v>3.1213332962707385</v>
      </c>
      <c r="AC5" s="175">
        <f t="shared" si="19"/>
        <v>7.0229999166091615</v>
      </c>
      <c r="AD5" s="175">
        <f t="shared" si="20"/>
        <v>1.7278759594743859E-27</v>
      </c>
      <c r="AE5" s="158">
        <f t="shared" si="25"/>
        <v>5.5356983553752252E-28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-9.6383698804793578</v>
      </c>
      <c r="AL5" s="96">
        <f t="shared" si="11"/>
        <v>9.5021219191657913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U5" s="95"/>
      <c r="AW5" s="127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58">
        <f>J6</f>
        <v>9.063600000000001</v>
      </c>
      <c r="U6" s="96">
        <f t="shared" si="23"/>
        <v>4.6135600000000005</v>
      </c>
      <c r="V6">
        <f t="shared" si="24"/>
        <v>6.1868854583200013E-3</v>
      </c>
      <c r="W6" s="150">
        <f t="shared" ref="W6:W15" si="32">$V6/$O6*5252</f>
        <v>3.5742874669806306E-3</v>
      </c>
      <c r="X6" s="150">
        <f t="shared" si="29"/>
        <v>5.9919656662855807E-4</v>
      </c>
      <c r="Y6" s="95">
        <f t="shared" si="16"/>
        <v>3.397763728266736E-2</v>
      </c>
      <c r="Z6" s="147">
        <f t="shared" si="17"/>
        <v>6.1430562354518103E-2</v>
      </c>
      <c r="AA6" s="97">
        <f t="shared" si="30"/>
        <v>1.3315219126773705</v>
      </c>
      <c r="AB6">
        <f t="shared" si="18"/>
        <v>3.6159407932613967</v>
      </c>
      <c r="AC6" s="175">
        <f t="shared" si="19"/>
        <v>8.135866784838143</v>
      </c>
      <c r="AD6" s="175">
        <f t="shared" si="20"/>
        <v>1.7278759594743859E-27</v>
      </c>
      <c r="AE6" s="158">
        <f t="shared" si="25"/>
        <v>4.7784962704434349E-28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-6.7543865698740113</v>
      </c>
      <c r="AL6" s="96">
        <f t="shared" si="11"/>
        <v>12.433828291753372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U6" s="95"/>
      <c r="AW6" s="127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58">
        <f>J7</f>
        <v>9.3844799999999999</v>
      </c>
      <c r="U7" s="96">
        <f t="shared" si="23"/>
        <v>4.9344399999999995</v>
      </c>
      <c r="V7">
        <f t="shared" si="24"/>
        <v>6.6171925976800001E-3</v>
      </c>
      <c r="W7" s="150">
        <f t="shared" si="32"/>
        <v>3.5911945373782541E-3</v>
      </c>
      <c r="X7" s="150">
        <f t="shared" si="29"/>
        <v>6.1610363702618159E-4</v>
      </c>
      <c r="Y7" s="95">
        <f t="shared" si="16"/>
        <v>4.0987356954355909E-2</v>
      </c>
      <c r="Z7" s="147">
        <f t="shared" si="17"/>
        <v>8.1389728207219222E-2</v>
      </c>
      <c r="AA7" s="97">
        <f t="shared" si="30"/>
        <v>1.6494217825572755</v>
      </c>
      <c r="AB7">
        <f t="shared" si="18"/>
        <v>3.9714553098827987</v>
      </c>
      <c r="AC7" s="175">
        <f t="shared" si="19"/>
        <v>8.9357744472362963</v>
      </c>
      <c r="AD7" s="175">
        <f t="shared" si="20"/>
        <v>1.7278759594743859E-27</v>
      </c>
      <c r="AE7" s="158">
        <f t="shared" si="25"/>
        <v>4.3507375122027426E-28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-4.1215160875596348</v>
      </c>
      <c r="AL7" s="96">
        <f t="shared" si="11"/>
        <v>15.110266516209885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U7" s="95"/>
      <c r="AW7" s="127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58">
        <f t="shared" si="0"/>
        <v>20.3796</v>
      </c>
      <c r="U8" s="96">
        <f t="shared" si="23"/>
        <v>15.929559999999999</v>
      </c>
      <c r="V8">
        <f t="shared" si="24"/>
        <v>2.1361890410319998E-2</v>
      </c>
      <c r="W8" s="150">
        <f t="shared" si="32"/>
        <v>6.0958005649683674E-3</v>
      </c>
      <c r="X8" s="150">
        <f t="shared" si="29"/>
        <v>3.1207096646162949E-3</v>
      </c>
      <c r="Y8" s="95">
        <f t="shared" si="16"/>
        <v>0.28195005411935081</v>
      </c>
      <c r="Z8" s="147">
        <f t="shared" si="17"/>
        <v>1.4684291617572443</v>
      </c>
      <c r="AA8" s="97">
        <f t="shared" si="30"/>
        <v>9.2182656756196923</v>
      </c>
      <c r="AB8">
        <f t="shared" si="18"/>
        <v>10.416236069496557</v>
      </c>
      <c r="AC8" s="175">
        <f t="shared" si="19"/>
        <v>23.436531156367252</v>
      </c>
      <c r="AD8" s="175">
        <f t="shared" si="20"/>
        <v>25.636141831964185</v>
      </c>
      <c r="AE8" s="158">
        <f t="shared" si="25"/>
        <v>2.4611713541169045</v>
      </c>
      <c r="AF8" s="151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18.087600040180838</v>
      </c>
      <c r="AL8" s="96">
        <f t="shared" si="11"/>
        <v>37.686890674124193</v>
      </c>
      <c r="AM8" s="97">
        <f t="shared" ref="AM8:AM15" si="37">AN8/$AE$26</f>
        <v>18.087600040180838</v>
      </c>
      <c r="AN8" s="174">
        <f t="shared" si="12"/>
        <v>8334.7660985153307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/>
      <c r="AT8" s="153">
        <f t="shared" ref="AT8:AT15" si="38">$AE$38*$AE$37*$AE$42^2*$AE$36*PI()/240*($AB8-$AE$43)/$AE$39*$AE$40</f>
        <v>-1.4205107110783354E-7</v>
      </c>
      <c r="AU8" s="151">
        <f t="shared" ref="AU8:AU15" si="39">-$AE$41/AT8</f>
        <v>0.26347437729902756</v>
      </c>
      <c r="AW8" s="127">
        <f t="shared" si="28"/>
        <v>1.0526315789473683E-4</v>
      </c>
      <c r="AX8" s="96">
        <f t="shared" si="33"/>
        <v>171.198750482842</v>
      </c>
    </row>
    <row r="9" spans="1:50" ht="13.9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40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58">
        <f t="shared" si="0"/>
        <v>29.981099999999998</v>
      </c>
      <c r="U9" s="96">
        <f t="shared" si="23"/>
        <v>25.531059999999997</v>
      </c>
      <c r="V9">
        <f t="shared" si="24"/>
        <v>3.4237713143319998E-2</v>
      </c>
      <c r="W9" s="150">
        <f t="shared" si="32"/>
        <v>8.0318023011493427E-3</v>
      </c>
      <c r="X9" s="150">
        <f t="shared" si="29"/>
        <v>5.0567114007972706E-3</v>
      </c>
      <c r="Y9" s="95">
        <f t="shared" si="16"/>
        <v>0.50748195050056688</v>
      </c>
      <c r="Z9" s="147">
        <f t="shared" si="17"/>
        <v>3.5458930123707444</v>
      </c>
      <c r="AA9" s="97">
        <f t="shared" si="30"/>
        <v>13.888545999933982</v>
      </c>
      <c r="AB9">
        <f t="shared" si="18"/>
        <v>13.974459619196972</v>
      </c>
      <c r="AC9" s="175">
        <f t="shared" si="19"/>
        <v>31.442534143193186</v>
      </c>
      <c r="AD9" s="175">
        <f t="shared" si="20"/>
        <v>38.126124436769338</v>
      </c>
      <c r="AE9" s="158">
        <f t="shared" si="25"/>
        <v>2.728271824149449</v>
      </c>
      <c r="AF9" s="151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28.268887253045815</v>
      </c>
      <c r="AL9" s="96">
        <f t="shared" si="11"/>
        <v>48.036653966213251</v>
      </c>
      <c r="AM9" s="97">
        <f t="shared" si="37"/>
        <v>28.268887253045815</v>
      </c>
      <c r="AN9" s="174">
        <f t="shared" si="12"/>
        <v>13026.303246203512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41">$X$36/AQ9</f>
        <v>6.2906429754981188E-2</v>
      </c>
      <c r="AS9" s="127"/>
      <c r="AT9" s="153">
        <f t="shared" si="38"/>
        <v>-2.9000614686773219E-7</v>
      </c>
      <c r="AU9" s="151">
        <f t="shared" si="39"/>
        <v>0.12905525592830341</v>
      </c>
      <c r="AW9" s="127">
        <f t="shared" si="28"/>
        <v>1.0526315789473683E-4</v>
      </c>
      <c r="AX9" s="96">
        <f t="shared" si="33"/>
        <v>122.21547207155994</v>
      </c>
    </row>
    <row r="10" spans="1:50" ht="13.9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40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58">
        <f t="shared" si="0"/>
        <v>53.526600000000002</v>
      </c>
      <c r="U10" s="96">
        <f t="shared" si="23"/>
        <v>49.076560000000001</v>
      </c>
      <c r="V10">
        <f t="shared" si="24"/>
        <v>6.5812746644320005E-2</v>
      </c>
      <c r="W10" s="150">
        <f t="shared" si="32"/>
        <v>1.2385739542638876E-2</v>
      </c>
      <c r="X10" s="150">
        <f t="shared" si="29"/>
        <v>9.4106486422868042E-3</v>
      </c>
      <c r="Y10" s="95">
        <f t="shared" si="16"/>
        <v>0.98290060580504701</v>
      </c>
      <c r="Z10" s="147">
        <f t="shared" si="17"/>
        <v>9.5578262506065865</v>
      </c>
      <c r="AA10" s="97">
        <f t="shared" si="30"/>
        <v>19.475338635402696</v>
      </c>
      <c r="AB10">
        <f t="shared" si="18"/>
        <v>19.448205025325478</v>
      </c>
      <c r="AC10" s="175">
        <f t="shared" si="19"/>
        <v>43.758461306982326</v>
      </c>
      <c r="AD10" s="175">
        <f t="shared" si="20"/>
        <v>54.335721996049891</v>
      </c>
      <c r="AE10" s="158">
        <f t="shared" si="25"/>
        <v>2.7938682220438258</v>
      </c>
      <c r="AF10" s="151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41.390244765971858</v>
      </c>
      <c r="AL10" s="96">
        <f t="shared" si="11"/>
        <v>61.375138726574363</v>
      </c>
      <c r="AM10" s="97">
        <f t="shared" si="37"/>
        <v>41.390244765971858</v>
      </c>
      <c r="AN10" s="174">
        <f t="shared" si="12"/>
        <v>19072.624788159832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41"/>
        <v>4.5959283219000058E-2</v>
      </c>
      <c r="AS10" s="127"/>
      <c r="AT10" s="153">
        <f t="shared" si="38"/>
        <v>-5.176108504345801E-7</v>
      </c>
      <c r="AU10" s="151">
        <f t="shared" si="39"/>
        <v>7.2306864265641271E-2</v>
      </c>
      <c r="AW10" s="127">
        <f t="shared" si="28"/>
        <v>1.0526315789473683E-4</v>
      </c>
      <c r="AX10" s="96">
        <f t="shared" si="33"/>
        <v>89.290324002783549</v>
      </c>
    </row>
    <row r="11" spans="1:50" ht="13.9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40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58">
        <f t="shared" si="0"/>
        <v>62.419400000000003</v>
      </c>
      <c r="U11" s="96">
        <f t="shared" si="23"/>
        <v>57.969360000000002</v>
      </c>
      <c r="V11">
        <f t="shared" si="24"/>
        <v>7.7738187085920007E-2</v>
      </c>
      <c r="W11" s="150">
        <f t="shared" si="32"/>
        <v>1.3745458938700147E-2</v>
      </c>
      <c r="X11" s="150">
        <f t="shared" si="29"/>
        <v>1.0770368038348075E-2</v>
      </c>
      <c r="Y11" s="95">
        <f t="shared" si="16"/>
        <v>1.1851433231911994</v>
      </c>
      <c r="Z11" s="147">
        <f t="shared" si="17"/>
        <v>12.654676236558226</v>
      </c>
      <c r="AA11" s="97">
        <f t="shared" si="30"/>
        <v>21.829939534537253</v>
      </c>
      <c r="AB11">
        <f t="shared" si="18"/>
        <v>21.355520448756128</v>
      </c>
      <c r="AC11" s="175">
        <f t="shared" si="19"/>
        <v>48.049921009701286</v>
      </c>
      <c r="AD11" s="175">
        <f t="shared" si="20"/>
        <v>60.204737263915909</v>
      </c>
      <c r="AE11" s="158">
        <f t="shared" si="25"/>
        <v>2.819165068272667</v>
      </c>
      <c r="AF11" s="151"/>
      <c r="AG11" s="95"/>
      <c r="AH11" s="151">
        <v>70.201599999999999</v>
      </c>
      <c r="AI11" s="152">
        <f t="shared" si="9"/>
        <v>31999.995048805355</v>
      </c>
      <c r="AJ11" s="152">
        <f t="shared" si="21"/>
        <v>69.444433699664401</v>
      </c>
      <c r="AK11" s="152">
        <f t="shared" si="10"/>
        <v>49.329794273079528</v>
      </c>
      <c r="AL11" s="152">
        <f t="shared" si="11"/>
        <v>69.446068887600987</v>
      </c>
      <c r="AM11" s="173">
        <f t="shared" si="37"/>
        <v>49.329794273079528</v>
      </c>
      <c r="AN11" s="8">
        <f t="shared" si="12"/>
        <v>22731.169201035049</v>
      </c>
      <c r="AO11" s="150">
        <f t="shared" si="26"/>
        <v>1.2749008265139302E-2</v>
      </c>
      <c r="AP11" s="150">
        <f t="shared" si="31"/>
        <v>7.7678636969085335E-2</v>
      </c>
      <c r="AQ11" s="153">
        <f t="shared" si="27"/>
        <v>9.4709537828432563E-7</v>
      </c>
      <c r="AR11" s="151">
        <f t="shared" si="41"/>
        <v>3.9517474546856564E-2</v>
      </c>
      <c r="AS11" s="150"/>
      <c r="AT11" s="153">
        <f t="shared" si="38"/>
        <v>-5.969192452079957E-7</v>
      </c>
      <c r="AU11" s="151">
        <f t="shared" si="39"/>
        <v>6.2699967885530311E-2</v>
      </c>
      <c r="AW11" s="150">
        <f t="shared" si="28"/>
        <v>1.0526315789473683E-4</v>
      </c>
      <c r="AX11" s="152">
        <f t="shared" si="33"/>
        <v>76.775090012758156</v>
      </c>
    </row>
    <row r="12" spans="1:50" ht="13.9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40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58">
        <f t="shared" si="0"/>
        <v>88.904499999999999</v>
      </c>
      <c r="U12" s="96">
        <f t="shared" si="23"/>
        <v>84.454459999999997</v>
      </c>
      <c r="V12">
        <f t="shared" si="24"/>
        <v>0.11325528885812</v>
      </c>
      <c r="W12" s="150">
        <f t="shared" si="32"/>
        <v>1.7547094923943962E-2</v>
      </c>
      <c r="X12" s="150">
        <f t="shared" si="29"/>
        <v>1.457200402359189E-2</v>
      </c>
      <c r="Y12" s="95">
        <f t="shared" si="16"/>
        <v>1.7615914080107602</v>
      </c>
      <c r="Z12" s="147">
        <f t="shared" si="17"/>
        <v>22.932558091663331</v>
      </c>
      <c r="AA12" s="97">
        <f t="shared" si="30"/>
        <v>27.153756109107007</v>
      </c>
      <c r="AB12">
        <f t="shared" si="18"/>
        <v>26.036182950687113</v>
      </c>
      <c r="AC12" s="175">
        <f t="shared" si="19"/>
        <v>58.58141163904601</v>
      </c>
      <c r="AD12" s="175">
        <f t="shared" si="20"/>
        <v>71.994831644766094</v>
      </c>
      <c r="AE12" s="158">
        <f t="shared" si="25"/>
        <v>2.7651838128932069</v>
      </c>
      <c r="AF12" s="151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56.509185513746289</v>
      </c>
      <c r="AL12" s="96">
        <f t="shared" si="11"/>
        <v>76.744261971507669</v>
      </c>
      <c r="AM12" s="97">
        <f t="shared" si="37"/>
        <v>56.509185513746289</v>
      </c>
      <c r="AN12" s="174">
        <f t="shared" si="12"/>
        <v>26039.432684734289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41"/>
        <v>3.5072283984146989E-2</v>
      </c>
      <c r="AS12" s="127"/>
      <c r="AT12" s="153">
        <f t="shared" si="38"/>
        <v>-7.9154663873924901E-7</v>
      </c>
      <c r="AU12" s="151">
        <f t="shared" si="39"/>
        <v>4.7283148803977743E-2</v>
      </c>
      <c r="AW12" s="127">
        <f t="shared" si="28"/>
        <v>1.0526315789473683E-4</v>
      </c>
      <c r="AX12" s="96">
        <f t="shared" si="33"/>
        <v>68.138912992609036</v>
      </c>
    </row>
    <row r="13" spans="1:50" ht="13.9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40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58">
        <f t="shared" si="0"/>
        <v>135.96</v>
      </c>
      <c r="U13" s="96">
        <f t="shared" si="23"/>
        <v>131.50996000000001</v>
      </c>
      <c r="V13">
        <f t="shared" si="24"/>
        <v>0.17635774957912001</v>
      </c>
      <c r="W13" s="150">
        <f t="shared" si="32"/>
        <v>2.3464516153334967E-2</v>
      </c>
      <c r="X13" s="150">
        <f t="shared" si="29"/>
        <v>2.0489425252982894E-2</v>
      </c>
      <c r="Y13" s="95">
        <f t="shared" si="16"/>
        <v>2.7815970600379454</v>
      </c>
      <c r="Z13" s="147">
        <f t="shared" si="17"/>
        <v>45.502583489373642</v>
      </c>
      <c r="AA13" s="97">
        <f t="shared" si="30"/>
        <v>34.600104425074448</v>
      </c>
      <c r="AB13">
        <f t="shared" si="18"/>
        <v>32.716876317630934</v>
      </c>
      <c r="AC13" s="175">
        <f t="shared" si="19"/>
        <v>73.612971714669598</v>
      </c>
      <c r="AD13" s="175">
        <f t="shared" si="20"/>
        <v>86.39379797371933</v>
      </c>
      <c r="AE13" s="163">
        <f t="shared" si="25"/>
        <v>2.6406493436282674</v>
      </c>
      <c r="AF13" s="159">
        <f>$AS$29/($AE$37*$AE$42*$AE$36*($AB13-$AE$43)^2/4/$AE13)/(PI()*$AE$42/60/($AB13-$AE$43))</f>
        <v>-1.4465197554381539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66.787456534469484</v>
      </c>
      <c r="AL13" s="96">
        <f t="shared" si="11"/>
        <v>87.192613922723197</v>
      </c>
      <c r="AM13" s="97">
        <f t="shared" si="37"/>
        <v>66.787456534469484</v>
      </c>
      <c r="AN13" s="174">
        <f t="shared" si="12"/>
        <v>30775.659971083536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41"/>
        <v>3.0207645977385553E-2</v>
      </c>
      <c r="AS13" s="127"/>
      <c r="AT13" s="153">
        <f t="shared" si="38"/>
        <v>-1.0693376429941804E-6</v>
      </c>
      <c r="AU13" s="134">
        <f t="shared" si="39"/>
        <v>3.500000000000001E-2</v>
      </c>
      <c r="AW13" s="127">
        <f t="shared" si="28"/>
        <v>1.0526315789473683E-4</v>
      </c>
      <c r="AX13" s="96">
        <f t="shared" si="33"/>
        <v>58.687827741557669</v>
      </c>
    </row>
    <row r="14" spans="1:50" ht="13.9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40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58">
        <f t="shared" si="0"/>
        <v>192.75</v>
      </c>
      <c r="U14" s="96">
        <f t="shared" si="23"/>
        <v>188.29996</v>
      </c>
      <c r="V14">
        <f t="shared" si="24"/>
        <v>0.25251438895912004</v>
      </c>
      <c r="W14" s="150">
        <f t="shared" si="32"/>
        <v>3.0149073309822319E-2</v>
      </c>
      <c r="X14" s="150">
        <f t="shared" si="29"/>
        <v>2.7173982409470245E-2</v>
      </c>
      <c r="Y14" s="95">
        <f t="shared" si="16"/>
        <v>3.8493009912054741</v>
      </c>
      <c r="Z14" s="147">
        <f>SQRT(Y14^3/4/$X$42/$X$43)</f>
        <v>74.07429631585768</v>
      </c>
      <c r="AA14" s="97">
        <f t="shared" si="30"/>
        <v>39.338455683080163</v>
      </c>
      <c r="AB14">
        <f t="shared" si="18"/>
        <v>38.487141683695697</v>
      </c>
      <c r="AC14" s="175">
        <f t="shared" si="19"/>
        <v>86.596068788315307</v>
      </c>
      <c r="AD14" s="175">
        <f t="shared" si="20"/>
        <v>99.303216061746326</v>
      </c>
      <c r="AE14" s="158">
        <f t="shared" si="25"/>
        <v>2.5801660429310118</v>
      </c>
      <c r="AF14" s="151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73.296495023434872</v>
      </c>
      <c r="AL14" s="96">
        <f t="shared" si="11"/>
        <v>93.809361511845779</v>
      </c>
      <c r="AM14" s="97">
        <f t="shared" si="37"/>
        <v>73.296495023434872</v>
      </c>
      <c r="AN14" s="174">
        <f t="shared" si="12"/>
        <v>33775.02490679879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41"/>
        <v>2.7768510934620141E-2</v>
      </c>
      <c r="AS14" s="127"/>
      <c r="AT14" s="153">
        <f t="shared" si="38"/>
        <v>-1.3092719915436728E-6</v>
      </c>
      <c r="AU14" s="151">
        <f t="shared" si="39"/>
        <v>2.858597582971964E-2</v>
      </c>
      <c r="AW14" s="127">
        <f t="shared" si="28"/>
        <v>1.0526315789473683E-4</v>
      </c>
      <c r="AX14" s="96">
        <f t="shared" si="33"/>
        <v>53.949042821495425</v>
      </c>
    </row>
    <row r="15" spans="1:50" ht="13.9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40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58">
        <f t="shared" si="0"/>
        <v>209.1</v>
      </c>
      <c r="U15" s="96">
        <f t="shared" si="23"/>
        <v>204.64995999999999</v>
      </c>
      <c r="V15">
        <f t="shared" si="24"/>
        <v>0.27444009865912</v>
      </c>
      <c r="W15" s="150">
        <f t="shared" si="32"/>
        <v>3.1613816132925514E-2</v>
      </c>
      <c r="X15" s="150">
        <f t="shared" si="29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175">
        <f>AB15*1/1.6/1000*3600</f>
        <v>92.845650271161119</v>
      </c>
      <c r="AD15" s="175">
        <f t="shared" si="20"/>
        <v>102.84975949252301</v>
      </c>
      <c r="AE15" s="165">
        <f t="shared" si="25"/>
        <v>2.4924372674683695</v>
      </c>
      <c r="AF15" s="151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75.188293637994533</v>
      </c>
      <c r="AL15" s="96">
        <f t="shared" si="11"/>
        <v>95.732464892354869</v>
      </c>
      <c r="AM15" s="97">
        <f t="shared" si="37"/>
        <v>75.188293637994533</v>
      </c>
      <c r="AN15" s="174">
        <f t="shared" si="12"/>
        <v>34646.76570838788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41"/>
        <v>2.7131780912102679E-2</v>
      </c>
      <c r="AS15" s="127"/>
      <c r="AT15" s="153">
        <f t="shared" si="38"/>
        <v>-1.4247674895198362E-6</v>
      </c>
      <c r="AU15" s="151">
        <f t="shared" si="39"/>
        <v>2.62687194788601E-2</v>
      </c>
      <c r="AW15" s="127">
        <f t="shared" si="28"/>
        <v>1.0526315789473683E-4</v>
      </c>
      <c r="AX15" s="96">
        <f t="shared" si="33"/>
        <v>52.711995025471928</v>
      </c>
    </row>
    <row r="16" spans="1:50" ht="13.9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" customHeight="1" x14ac:dyDescent="0.3"/>
    <row r="18" spans="1:46" ht="13.9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2">E18*F18</f>
        <v>5.8512000000000004</v>
      </c>
      <c r="K18" s="1">
        <f t="shared" ref="K18:K26" si="43">C18</f>
        <v>9</v>
      </c>
      <c r="L18" s="1">
        <f t="shared" ref="L18:L26" si="44">LN(K18)</f>
        <v>2.1972245773362196</v>
      </c>
      <c r="M18" s="3">
        <f t="shared" ref="M18:M26" si="45">1/G18/0.000001</f>
        <v>162.33766233766235</v>
      </c>
      <c r="N18" s="3"/>
      <c r="O18" s="3">
        <f t="shared" ref="O18:O26" si="46">M18*60/$X$29</f>
        <v>9740.2597402597403</v>
      </c>
      <c r="P18" s="3"/>
      <c r="Q18" s="3">
        <f t="shared" ref="Q18:Q26" si="47">O18/$X$40*100</f>
        <v>21.137716450216452</v>
      </c>
      <c r="R18">
        <v>16</v>
      </c>
      <c r="S18" s="3">
        <f t="shared" ref="S18:S26" si="48">K18</f>
        <v>9</v>
      </c>
      <c r="T18" s="4">
        <f t="shared" ref="T18:T26" si="49">J18</f>
        <v>5.8512000000000004</v>
      </c>
      <c r="U18" s="4"/>
      <c r="V18">
        <f t="shared" ref="V18:V26" si="50">T18*0.001341022</f>
        <v>7.8465879264000005E-3</v>
      </c>
      <c r="W18" s="150">
        <f t="shared" ref="W18:W26" si="51">$V18/$O18*5252</f>
        <v>4.230922058383821E-3</v>
      </c>
      <c r="X18" s="150">
        <f t="shared" ref="X18:X26" si="52">W18-$W$4</f>
        <v>1.2558311580317485E-3</v>
      </c>
      <c r="AN18" s="157" t="s">
        <v>219</v>
      </c>
      <c r="AO18" s="157"/>
      <c r="AP18" s="157"/>
      <c r="AQ18" s="157"/>
      <c r="AR18" s="157"/>
    </row>
    <row r="19" spans="1:46" ht="13.9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2"/>
        <v>7.7969999999999997</v>
      </c>
      <c r="K19" s="1">
        <f t="shared" si="43"/>
        <v>13</v>
      </c>
      <c r="L19" s="1">
        <f t="shared" si="44"/>
        <v>2.5649493574615367</v>
      </c>
      <c r="M19" s="3">
        <f t="shared" si="45"/>
        <v>196.85039370078741</v>
      </c>
      <c r="N19" s="3"/>
      <c r="O19" s="3">
        <f t="shared" si="46"/>
        <v>11811.023622047245</v>
      </c>
      <c r="P19" s="3"/>
      <c r="Q19" s="3">
        <f t="shared" si="47"/>
        <v>25.631561679790028</v>
      </c>
      <c r="R19">
        <v>20</v>
      </c>
      <c r="S19" s="3">
        <f t="shared" si="48"/>
        <v>13</v>
      </c>
      <c r="T19" s="4">
        <f t="shared" si="49"/>
        <v>7.7969999999999997</v>
      </c>
      <c r="U19" s="4"/>
      <c r="V19">
        <f t="shared" si="50"/>
        <v>1.0455948534E-2</v>
      </c>
      <c r="W19" s="150">
        <f t="shared" si="51"/>
        <v>4.6494396639814237E-3</v>
      </c>
      <c r="X19" s="150">
        <f t="shared" si="52"/>
        <v>1.6743487636293511E-3</v>
      </c>
      <c r="AM19" s="5" t="s">
        <v>132</v>
      </c>
      <c r="AN19" s="157" t="s">
        <v>100</v>
      </c>
      <c r="AO19" s="157" t="s">
        <v>139</v>
      </c>
      <c r="AP19" s="157" t="s">
        <v>140</v>
      </c>
      <c r="AQ19" s="157" t="s">
        <v>131</v>
      </c>
      <c r="AR19" s="157" t="s">
        <v>164</v>
      </c>
      <c r="AS19" s="157" t="s">
        <v>173</v>
      </c>
    </row>
    <row r="20" spans="1:46" ht="13.9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2"/>
        <v>18.150000000000002</v>
      </c>
      <c r="K20" s="1">
        <f t="shared" si="43"/>
        <v>26</v>
      </c>
      <c r="L20" s="1">
        <f t="shared" si="44"/>
        <v>3.2580965380214821</v>
      </c>
      <c r="M20" s="3">
        <f t="shared" si="45"/>
        <v>314.46540880503147</v>
      </c>
      <c r="N20" s="3"/>
      <c r="O20" s="3">
        <f t="shared" si="46"/>
        <v>18867.92452830189</v>
      </c>
      <c r="P20" s="3"/>
      <c r="Q20" s="3">
        <f t="shared" si="47"/>
        <v>40.946016771488473</v>
      </c>
      <c r="R20">
        <v>25</v>
      </c>
      <c r="S20" s="3">
        <f t="shared" si="48"/>
        <v>26</v>
      </c>
      <c r="T20" s="4">
        <f t="shared" si="49"/>
        <v>18.150000000000002</v>
      </c>
      <c r="U20" s="4"/>
      <c r="V20">
        <f t="shared" si="50"/>
        <v>2.4339549300000006E-2</v>
      </c>
      <c r="W20" s="150">
        <f t="shared" si="51"/>
        <v>6.7750595849508004E-3</v>
      </c>
      <c r="X20" s="150">
        <f t="shared" si="52"/>
        <v>3.7999686845987279E-3</v>
      </c>
      <c r="AM20" s="5"/>
      <c r="AN20" s="157"/>
      <c r="AO20" s="157" t="s">
        <v>152</v>
      </c>
      <c r="AP20" s="157" t="s">
        <v>153</v>
      </c>
      <c r="AQ20" s="157"/>
      <c r="AR20" s="157"/>
      <c r="AS20" s="157"/>
    </row>
    <row r="21" spans="1:46" ht="13.9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2"/>
        <v>28.516800000000003</v>
      </c>
      <c r="K21" s="1">
        <f t="shared" si="43"/>
        <v>36</v>
      </c>
      <c r="L21" s="1">
        <f t="shared" si="44"/>
        <v>3.5835189384561099</v>
      </c>
      <c r="M21" s="3">
        <f t="shared" si="45"/>
        <v>377.35849056603774</v>
      </c>
      <c r="N21" s="3"/>
      <c r="O21" s="3">
        <f t="shared" si="46"/>
        <v>22641.509433962266</v>
      </c>
      <c r="P21" s="3"/>
      <c r="Q21" s="3">
        <f t="shared" si="47"/>
        <v>49.135220125786169</v>
      </c>
      <c r="R21">
        <v>36</v>
      </c>
      <c r="S21" s="3">
        <f t="shared" si="48"/>
        <v>36</v>
      </c>
      <c r="T21" s="4">
        <f t="shared" si="49"/>
        <v>28.516800000000003</v>
      </c>
      <c r="U21" s="4"/>
      <c r="V21">
        <f t="shared" si="50"/>
        <v>3.8241656169600007E-2</v>
      </c>
      <c r="W21" s="150">
        <f t="shared" si="51"/>
        <v>8.8706620372876483E-3</v>
      </c>
      <c r="X21" s="150">
        <f t="shared" si="52"/>
        <v>5.8955711369355762E-3</v>
      </c>
      <c r="AD21" s="5" t="s">
        <v>56</v>
      </c>
      <c r="AE21" s="5"/>
      <c r="AF21" s="5"/>
      <c r="AG21" s="5"/>
      <c r="AM21" s="5">
        <f t="shared" ref="AM21:AM29" si="53">AN21*$AE$26</f>
        <v>7372.8</v>
      </c>
      <c r="AN21" s="157">
        <v>16</v>
      </c>
      <c r="AO21" s="157">
        <v>3.3218574470251366E-4</v>
      </c>
      <c r="AP21" s="157">
        <v>7.3801227827272476E-4</v>
      </c>
      <c r="AQ21" s="172">
        <v>0.34399999999999997</v>
      </c>
      <c r="AR21" s="185">
        <f t="shared" ref="AR21:AR29" si="54">$AE$41/AQ21</f>
        <v>1.0879888809533816E-7</v>
      </c>
      <c r="AS21" s="157" t="s">
        <v>201</v>
      </c>
    </row>
    <row r="22" spans="1:46" ht="13.9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2"/>
        <v>51.68</v>
      </c>
      <c r="K22" s="1">
        <f t="shared" si="43"/>
        <v>56</v>
      </c>
      <c r="L22" s="1">
        <f t="shared" si="44"/>
        <v>4.0253516907351496</v>
      </c>
      <c r="M22" s="3">
        <f t="shared" si="45"/>
        <v>483.09178743961354</v>
      </c>
      <c r="N22" s="3"/>
      <c r="O22" s="3">
        <f t="shared" si="46"/>
        <v>28985.507246376812</v>
      </c>
      <c r="P22" s="3"/>
      <c r="Q22" s="3">
        <f t="shared" si="47"/>
        <v>62.902576489533011</v>
      </c>
      <c r="R22">
        <v>45</v>
      </c>
      <c r="S22" s="3">
        <f t="shared" si="48"/>
        <v>56</v>
      </c>
      <c r="T22" s="4">
        <f t="shared" si="49"/>
        <v>51.68</v>
      </c>
      <c r="U22" s="4"/>
      <c r="V22">
        <f t="shared" si="50"/>
        <v>6.9304016960000006E-2</v>
      </c>
      <c r="W22" s="150">
        <f t="shared" si="51"/>
        <v>1.255747204905024E-2</v>
      </c>
      <c r="X22" s="150">
        <f t="shared" si="52"/>
        <v>9.5823811486981676E-3</v>
      </c>
      <c r="AD22" s="62" t="s">
        <v>15</v>
      </c>
      <c r="AE22" s="63">
        <f>X47</f>
        <v>5</v>
      </c>
      <c r="AF22" s="64"/>
      <c r="AG22" s="29"/>
      <c r="AI22" s="17" t="s">
        <v>134</v>
      </c>
      <c r="AJ22" s="28"/>
      <c r="AK22" s="28"/>
      <c r="AL22" s="29"/>
      <c r="AM22" s="5">
        <f t="shared" si="53"/>
        <v>9216</v>
      </c>
      <c r="AN22" s="157">
        <v>20</v>
      </c>
      <c r="AO22" s="157">
        <v>7.4483427705766901E-4</v>
      </c>
      <c r="AP22" s="157">
        <v>6.978697406499287E-4</v>
      </c>
      <c r="AQ22" s="172">
        <v>0.27100000000000002</v>
      </c>
      <c r="AR22" s="185">
        <f t="shared" si="54"/>
        <v>1.3810633765607499E-7</v>
      </c>
      <c r="AS22" s="157" t="s">
        <v>201</v>
      </c>
    </row>
    <row r="23" spans="1:46" ht="13.9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2"/>
        <v>59.349000000000004</v>
      </c>
      <c r="K23" s="1">
        <f t="shared" si="43"/>
        <v>64</v>
      </c>
      <c r="L23" s="1">
        <f t="shared" si="44"/>
        <v>4.1588830833596715</v>
      </c>
      <c r="M23" s="3">
        <f t="shared" si="45"/>
        <v>500.00000000000006</v>
      </c>
      <c r="N23" s="3"/>
      <c r="O23" s="3">
        <f t="shared" si="46"/>
        <v>30000.000000000004</v>
      </c>
      <c r="P23" s="3"/>
      <c r="Q23" s="3">
        <f t="shared" si="47"/>
        <v>65.104166666666671</v>
      </c>
      <c r="R23">
        <v>50</v>
      </c>
      <c r="S23" s="3">
        <f t="shared" si="48"/>
        <v>64</v>
      </c>
      <c r="T23" s="4">
        <f t="shared" si="49"/>
        <v>59.349000000000004</v>
      </c>
      <c r="U23" s="4"/>
      <c r="V23">
        <f t="shared" si="50"/>
        <v>7.9588314678000011E-2</v>
      </c>
      <c r="W23" s="150">
        <f t="shared" si="51"/>
        <v>1.39332609562952E-2</v>
      </c>
      <c r="X23" s="150">
        <f t="shared" si="52"/>
        <v>1.0958170055943128E-2</v>
      </c>
      <c r="AD23" s="65" t="s">
        <v>14</v>
      </c>
      <c r="AE23" s="66">
        <f>X46</f>
        <v>0</v>
      </c>
      <c r="AF23" s="45"/>
      <c r="AG23" s="31"/>
      <c r="AI23" s="19" t="s">
        <v>128</v>
      </c>
      <c r="AJ23" s="30">
        <v>25</v>
      </c>
      <c r="AK23" s="30" t="s">
        <v>93</v>
      </c>
      <c r="AL23" s="31"/>
      <c r="AM23" s="5">
        <f t="shared" si="53"/>
        <v>11520</v>
      </c>
      <c r="AN23" s="157">
        <v>25</v>
      </c>
      <c r="AO23" s="157">
        <v>1.8196732395486779E-3</v>
      </c>
      <c r="AP23" s="157">
        <v>8.2156541787077825E-4</v>
      </c>
      <c r="AQ23" s="172">
        <v>0.185</v>
      </c>
      <c r="AR23" s="185">
        <f t="shared" si="54"/>
        <v>2.0230712164754772E-7</v>
      </c>
      <c r="AS23" s="157" t="s">
        <v>201</v>
      </c>
    </row>
    <row r="24" spans="1:46" ht="13.9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2"/>
        <v>84.545999999999992</v>
      </c>
      <c r="K24" s="1">
        <f t="shared" si="43"/>
        <v>89</v>
      </c>
      <c r="L24" s="1">
        <f t="shared" si="44"/>
        <v>4.4886363697321396</v>
      </c>
      <c r="M24" s="3">
        <f t="shared" si="45"/>
        <v>568.18181818181813</v>
      </c>
      <c r="N24" s="3"/>
      <c r="O24" s="3">
        <f t="shared" si="46"/>
        <v>34090.909090909088</v>
      </c>
      <c r="P24" s="3"/>
      <c r="Q24" s="3">
        <f t="shared" si="47"/>
        <v>73.982007575757564</v>
      </c>
      <c r="R24">
        <v>52</v>
      </c>
      <c r="S24" s="3">
        <f t="shared" si="48"/>
        <v>89</v>
      </c>
      <c r="T24" s="4">
        <f t="shared" si="49"/>
        <v>84.545999999999992</v>
      </c>
      <c r="U24" s="4"/>
      <c r="V24">
        <f t="shared" si="50"/>
        <v>0.11337804601199999</v>
      </c>
      <c r="W24" s="150">
        <f t="shared" si="51"/>
        <v>1.7466870597880702E-2</v>
      </c>
      <c r="X24" s="150">
        <f t="shared" si="52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I24" s="19" t="s">
        <v>144</v>
      </c>
      <c r="AJ24" s="30">
        <v>2.1797</v>
      </c>
      <c r="AK24" s="30" t="s">
        <v>94</v>
      </c>
      <c r="AL24" s="31"/>
      <c r="AM24" s="5">
        <f t="shared" si="53"/>
        <v>16588.8</v>
      </c>
      <c r="AN24" s="157">
        <v>36</v>
      </c>
      <c r="AO24" s="157">
        <v>7.5397784789642732E-3</v>
      </c>
      <c r="AP24" s="157">
        <v>2.7131440751281396E-3</v>
      </c>
      <c r="AQ24" s="172">
        <v>0.121</v>
      </c>
      <c r="AR24" s="185">
        <f t="shared" si="54"/>
        <v>3.0931254136195313E-7</v>
      </c>
      <c r="AS24" s="157" t="s">
        <v>201</v>
      </c>
    </row>
    <row r="25" spans="1:46" ht="13.9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2"/>
        <v>153.26999999999998</v>
      </c>
      <c r="K25" s="1">
        <f t="shared" si="43"/>
        <v>143</v>
      </c>
      <c r="L25" s="1">
        <f t="shared" si="44"/>
        <v>4.962844630259907</v>
      </c>
      <c r="M25" s="3">
        <f t="shared" si="45"/>
        <v>699.30069930069931</v>
      </c>
      <c r="N25" s="3"/>
      <c r="O25" s="3">
        <f t="shared" si="46"/>
        <v>41958.041958041955</v>
      </c>
      <c r="P25" s="3"/>
      <c r="Q25" s="3">
        <f t="shared" si="47"/>
        <v>91.054778554778551</v>
      </c>
      <c r="R25">
        <v>55</v>
      </c>
      <c r="S25" s="3">
        <f t="shared" si="48"/>
        <v>143</v>
      </c>
      <c r="T25" s="4">
        <f t="shared" si="49"/>
        <v>153.26999999999998</v>
      </c>
      <c r="U25" s="4"/>
      <c r="V25">
        <f t="shared" si="50"/>
        <v>0.20553844193999998</v>
      </c>
      <c r="W25" s="150">
        <f t="shared" si="51"/>
        <v>2.5727794880141638E-2</v>
      </c>
      <c r="X25" s="150">
        <f t="shared" si="52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I25" s="19" t="s">
        <v>129</v>
      </c>
      <c r="AJ25" s="30">
        <f>($AJ$23/25.4)^2*$AJ$24/1000*2.2/3</f>
        <v>1.5484983053299442E-3</v>
      </c>
      <c r="AK25" s="30" t="s">
        <v>96</v>
      </c>
      <c r="AL25" s="177" t="s">
        <v>146</v>
      </c>
      <c r="AM25" s="5">
        <f t="shared" si="53"/>
        <v>20736</v>
      </c>
      <c r="AN25" s="157">
        <v>45</v>
      </c>
      <c r="AO25" s="157">
        <v>1.7146093021340732E-2</v>
      </c>
      <c r="AP25" s="157">
        <v>7.1180011608729891E-3</v>
      </c>
      <c r="AQ25" s="172">
        <v>9.6000000000000002E-2</v>
      </c>
      <c r="AR25" s="185">
        <f t="shared" si="54"/>
        <v>3.8986268234162836E-7</v>
      </c>
      <c r="AS25" s="157" t="s">
        <v>201</v>
      </c>
    </row>
    <row r="26" spans="1:46" ht="13.9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2"/>
        <v>214.45920000000001</v>
      </c>
      <c r="K26" s="1">
        <f t="shared" si="43"/>
        <v>165</v>
      </c>
      <c r="L26" s="1">
        <f t="shared" si="44"/>
        <v>5.1059454739005803</v>
      </c>
      <c r="M26" s="3">
        <f t="shared" si="45"/>
        <v>781.25000000000011</v>
      </c>
      <c r="N26" s="3"/>
      <c r="O26" s="3">
        <f t="shared" si="46"/>
        <v>46875.000000000007</v>
      </c>
      <c r="P26" s="3"/>
      <c r="Q26" s="3">
        <f t="shared" si="47"/>
        <v>101.72526041666667</v>
      </c>
      <c r="R26">
        <v>62</v>
      </c>
      <c r="S26" s="3">
        <f t="shared" si="48"/>
        <v>165</v>
      </c>
      <c r="T26" s="4">
        <f t="shared" si="49"/>
        <v>214.45920000000001</v>
      </c>
      <c r="U26" s="4"/>
      <c r="V26">
        <f t="shared" si="50"/>
        <v>0.28759450530240005</v>
      </c>
      <c r="W26" s="150">
        <f t="shared" si="51"/>
        <v>3.2222855292761705E-2</v>
      </c>
      <c r="X26" s="150">
        <f t="shared" si="52"/>
        <v>2.9247764392409632E-2</v>
      </c>
      <c r="AD26" s="65" t="s">
        <v>27</v>
      </c>
      <c r="AE26" s="66">
        <f>X40/100</f>
        <v>460.8</v>
      </c>
      <c r="AF26" s="30"/>
      <c r="AG26" s="31"/>
      <c r="AI26" s="19" t="s">
        <v>141</v>
      </c>
      <c r="AJ26" s="178">
        <f>3/8/2*25.4</f>
        <v>4.7624999999999993</v>
      </c>
      <c r="AK26" s="30" t="s">
        <v>93</v>
      </c>
      <c r="AL26" s="31" t="s">
        <v>142</v>
      </c>
      <c r="AM26" s="5">
        <f t="shared" si="53"/>
        <v>23040</v>
      </c>
      <c r="AN26" s="157">
        <v>50</v>
      </c>
      <c r="AO26" s="157">
        <v>2.4979887676232684E-2</v>
      </c>
      <c r="AP26" s="157">
        <v>1.1143313366134135E-2</v>
      </c>
      <c r="AQ26" s="172">
        <v>7.0999999999999994E-2</v>
      </c>
      <c r="AR26" s="185">
        <f t="shared" si="54"/>
        <v>5.2713827471544122E-7</v>
      </c>
      <c r="AS26" s="157" t="s">
        <v>201</v>
      </c>
    </row>
    <row r="27" spans="1:46" ht="13.9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I27" s="19" t="s">
        <v>143</v>
      </c>
      <c r="AJ27" s="178">
        <f>3/4*25.4</f>
        <v>19.049999999999997</v>
      </c>
      <c r="AK27" s="30" t="s">
        <v>93</v>
      </c>
      <c r="AL27" s="31" t="s">
        <v>142</v>
      </c>
      <c r="AM27" s="5">
        <f t="shared" si="53"/>
        <v>23961.600000000002</v>
      </c>
      <c r="AN27" s="157">
        <v>52</v>
      </c>
      <c r="AO27" s="157">
        <v>2.8687189497277076E-2</v>
      </c>
      <c r="AP27" s="157">
        <v>1.3128852647530663E-2</v>
      </c>
      <c r="AQ27" s="172">
        <v>6.4000000000000001E-2</v>
      </c>
      <c r="AR27" s="185">
        <f t="shared" si="54"/>
        <v>5.8479402351244256E-7</v>
      </c>
      <c r="AS27" s="157" t="s">
        <v>201</v>
      </c>
    </row>
    <row r="28" spans="1:46" ht="13.9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I28" s="19" t="s">
        <v>145</v>
      </c>
      <c r="AJ28" s="30">
        <f>PI()*(AJ26/25.4)^2/4*3/4*0.3</f>
        <v>6.2126221909368446E-3</v>
      </c>
      <c r="AK28" s="30" t="s">
        <v>148</v>
      </c>
      <c r="AL28" s="31" t="s">
        <v>142</v>
      </c>
      <c r="AM28" s="5">
        <f t="shared" si="53"/>
        <v>25344</v>
      </c>
      <c r="AN28" s="157">
        <v>55</v>
      </c>
      <c r="AO28" s="157">
        <v>3.4912727705496999E-2</v>
      </c>
      <c r="AP28" s="157">
        <v>1.6549422883591874E-2</v>
      </c>
      <c r="AQ28" s="172">
        <v>5.6000000000000001E-2</v>
      </c>
      <c r="AR28" s="185">
        <f t="shared" si="54"/>
        <v>6.6833602687136296E-7</v>
      </c>
      <c r="AS28" s="157" t="s">
        <v>201</v>
      </c>
    </row>
    <row r="29" spans="1:46" ht="13.9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14542.877489600363</v>
      </c>
      <c r="AG29" s="68">
        <f>X53</f>
        <v>-351.26655108462336</v>
      </c>
      <c r="AI29" s="19" t="s">
        <v>135</v>
      </c>
      <c r="AJ29" s="30">
        <f>($AJ$26/25.4)^2*$AJ$28/2</f>
        <v>1.0920624945006168E-4</v>
      </c>
      <c r="AK29" s="30" t="s">
        <v>96</v>
      </c>
      <c r="AL29" s="31" t="s">
        <v>147</v>
      </c>
      <c r="AM29" s="5">
        <f t="shared" si="53"/>
        <v>28569.600000000002</v>
      </c>
      <c r="AN29" s="157">
        <v>62</v>
      </c>
      <c r="AO29" s="157">
        <v>5.2819357330458824E-2</v>
      </c>
      <c r="AP29" s="157">
        <v>2.6818816528704516E-2</v>
      </c>
      <c r="AQ29" s="134">
        <v>3.5000000000000003E-2</v>
      </c>
      <c r="AR29" s="185">
        <f t="shared" si="54"/>
        <v>1.0693376429941806E-6</v>
      </c>
      <c r="AS29" s="136">
        <f>-AR29/$AE$40</f>
        <v>-1.4495941088429112E-6</v>
      </c>
      <c r="AT29" s="146"/>
    </row>
    <row r="30" spans="1:46" ht="14.45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  <c r="AI30" s="19" t="s">
        <v>95</v>
      </c>
      <c r="AJ30" s="30">
        <f>AJ25+AJ29</f>
        <v>1.6577045547800059E-3</v>
      </c>
      <c r="AK30" s="30" t="s">
        <v>96</v>
      </c>
      <c r="AL30" s="31"/>
    </row>
    <row r="31" spans="1:46" ht="13.9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-8712.4928340558181</v>
      </c>
      <c r="AF31" s="69">
        <f>AA55</f>
        <v>0.98261459063146772</v>
      </c>
      <c r="AG31" s="31"/>
      <c r="AI31" s="19" t="s">
        <v>95</v>
      </c>
      <c r="AJ31" s="30">
        <f>AJ30/144</f>
        <v>1.1511837185972264E-5</v>
      </c>
      <c r="AK31" s="30" t="s">
        <v>97</v>
      </c>
      <c r="AL31" s="31"/>
    </row>
    <row r="32" spans="1:46" ht="13.9" customHeight="1" thickBot="1" x14ac:dyDescent="0.3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8893.4325759458807</v>
      </c>
      <c r="AF32" s="69">
        <f>AA53</f>
        <v>1.0165476207184487</v>
      </c>
      <c r="AG32" s="31"/>
      <c r="AI32" s="21" t="s">
        <v>95</v>
      </c>
      <c r="AJ32" s="32">
        <f>AJ31/2048.5*6.66</f>
        <v>3.7426817504796325E-8</v>
      </c>
      <c r="AK32" s="32" t="s">
        <v>98</v>
      </c>
      <c r="AL32" s="33"/>
    </row>
    <row r="33" spans="2:50" ht="15" customHeight="1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ht="14.45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  <c r="AH34" s="5"/>
      <c r="AI34" s="5"/>
      <c r="AJ34" s="5"/>
    </row>
    <row r="35" spans="2:50" ht="14.45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65" t="s">
        <v>179</v>
      </c>
      <c r="AE35" s="69">
        <f>Y15</f>
        <v>4.4249528005034611</v>
      </c>
      <c r="AF35" s="30"/>
      <c r="AG35" s="31"/>
      <c r="AH35" s="5"/>
      <c r="AI35" s="5"/>
      <c r="AJ35" s="151"/>
    </row>
    <row r="36" spans="2:50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AJ32</f>
        <v>3.7426817504796325E-8</v>
      </c>
      <c r="Y36" t="s">
        <v>80</v>
      </c>
      <c r="AA36" t="s">
        <v>112</v>
      </c>
      <c r="AD36" s="65" t="s">
        <v>178</v>
      </c>
      <c r="AE36" s="160">
        <f>$X$43</f>
        <v>2.1213604393365078E-3</v>
      </c>
      <c r="AF36" s="30"/>
      <c r="AG36" s="31"/>
      <c r="AH36" s="5"/>
      <c r="AI36" s="5"/>
      <c r="AJ36" s="151"/>
    </row>
    <row r="37" spans="2:50" thickBot="1" x14ac:dyDescent="0.35">
      <c r="W37" t="s">
        <v>35</v>
      </c>
      <c r="AD37" s="65" t="s">
        <v>177</v>
      </c>
      <c r="AE37" s="160">
        <f>$X$42</f>
        <v>1.2250000000000001</v>
      </c>
      <c r="AF37" s="30"/>
      <c r="AG37" s="31"/>
      <c r="AH37" s="5"/>
      <c r="AI37" s="5"/>
      <c r="AJ37" s="151"/>
      <c r="AU37" t="s">
        <v>188</v>
      </c>
      <c r="AX37" t="s">
        <v>193</v>
      </c>
    </row>
    <row r="38" spans="2:50" thickBot="1" x14ac:dyDescent="0.35">
      <c r="W38" s="34">
        <v>240</v>
      </c>
      <c r="X38" s="35" t="s">
        <v>34</v>
      </c>
      <c r="Y38" s="36"/>
      <c r="Z38" s="35"/>
      <c r="AA38" s="37"/>
      <c r="AB38" s="30"/>
      <c r="AD38" s="65" t="s">
        <v>180</v>
      </c>
      <c r="AE38" s="162">
        <f>$AF$13</f>
        <v>-1.4465197554381539</v>
      </c>
      <c r="AF38" s="30"/>
      <c r="AG38" s="31"/>
      <c r="AH38" s="5"/>
      <c r="AI38" s="5"/>
      <c r="AJ38" s="151"/>
      <c r="AU38" t="s">
        <v>186</v>
      </c>
      <c r="AV38" s="151"/>
      <c r="AW38" s="164" t="s">
        <v>189</v>
      </c>
      <c r="AX38" t="s">
        <v>190</v>
      </c>
    </row>
    <row r="39" spans="2:50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92">
        <f>AE13</f>
        <v>2.6406493436282674</v>
      </c>
      <c r="AF39" s="30"/>
      <c r="AG39" s="31"/>
      <c r="AH39" s="5"/>
      <c r="AI39" s="5"/>
      <c r="AJ39" s="151"/>
      <c r="AU39" t="s">
        <v>187</v>
      </c>
      <c r="AX39" t="s">
        <v>191</v>
      </c>
    </row>
    <row r="40" spans="2:50" ht="14.45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4">
        <v>1.25</v>
      </c>
      <c r="Z40" s="28" t="s">
        <v>9</v>
      </c>
      <c r="AA40" s="155"/>
      <c r="AB40">
        <f>W38</f>
        <v>240</v>
      </c>
      <c r="AC40" t="s">
        <v>156</v>
      </c>
      <c r="AD40" s="65" t="s">
        <v>183</v>
      </c>
      <c r="AE40" s="162">
        <f>1/1.3556</f>
        <v>0.73768073177928595</v>
      </c>
      <c r="AF40" s="30"/>
      <c r="AG40" s="31"/>
      <c r="AH40" s="5"/>
      <c r="AI40" s="5"/>
      <c r="AJ40" s="151"/>
      <c r="AU40" t="s">
        <v>181</v>
      </c>
      <c r="AX40" t="s">
        <v>192</v>
      </c>
    </row>
    <row r="41" spans="2:50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154</v>
      </c>
      <c r="X41" s="156">
        <f>450/454</f>
        <v>0.99118942731277537</v>
      </c>
      <c r="Y41" s="32" t="s">
        <v>155</v>
      </c>
      <c r="Z41" s="166">
        <f>X41/0.224</f>
        <v>4.4249528005034611</v>
      </c>
      <c r="AA41" s="33" t="s">
        <v>158</v>
      </c>
      <c r="AD41" s="65" t="s">
        <v>184</v>
      </c>
      <c r="AE41" s="179">
        <f>$X$36</f>
        <v>3.7426817504796325E-8</v>
      </c>
      <c r="AF41" s="30"/>
      <c r="AG41" s="31"/>
      <c r="AH41" s="5"/>
      <c r="AI41" s="5"/>
      <c r="AJ41" s="151"/>
      <c r="AU41" t="s">
        <v>194</v>
      </c>
      <c r="AV41" t="s">
        <v>197</v>
      </c>
    </row>
    <row r="42" spans="2:50" ht="14.45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160</v>
      </c>
      <c r="X42" s="5">
        <v>1.2250000000000001</v>
      </c>
      <c r="Y42" t="s">
        <v>161</v>
      </c>
      <c r="Z42" t="s">
        <v>169</v>
      </c>
      <c r="AD42" s="65" t="s">
        <v>199</v>
      </c>
      <c r="AE42" s="160">
        <f>AA43/1000</f>
        <v>5.5E-2</v>
      </c>
      <c r="AF42" s="30"/>
      <c r="AG42" s="31"/>
      <c r="AH42" s="5"/>
      <c r="AI42" s="5"/>
      <c r="AJ42" s="151"/>
      <c r="AU42" t="s">
        <v>195</v>
      </c>
      <c r="AW42" s="164" t="s">
        <v>196</v>
      </c>
      <c r="AX42" t="s">
        <v>214</v>
      </c>
    </row>
    <row r="43" spans="2:50" ht="14.45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162</v>
      </c>
      <c r="X43" s="157">
        <f>(55^2-18^2)*PI()/4/1000^2</f>
        <v>2.1213604393365078E-3</v>
      </c>
      <c r="Y43" t="s">
        <v>163</v>
      </c>
      <c r="Z43" t="s">
        <v>168</v>
      </c>
      <c r="AA43" s="157">
        <v>55</v>
      </c>
      <c r="AB43" t="s">
        <v>93</v>
      </c>
      <c r="AD43" s="161" t="s">
        <v>211</v>
      </c>
      <c r="AE43" s="160">
        <v>7</v>
      </c>
      <c r="AF43" s="30"/>
      <c r="AG43" s="31"/>
      <c r="AH43" s="5"/>
      <c r="AI43" s="5"/>
      <c r="AJ43" s="151"/>
      <c r="AU43" t="s">
        <v>198</v>
      </c>
    </row>
    <row r="44" spans="2:50" ht="15.75" thickBot="1" x14ac:dyDescent="0.3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Z44" t="s">
        <v>174</v>
      </c>
      <c r="AA44" s="157">
        <v>45</v>
      </c>
      <c r="AB44" t="s">
        <v>175</v>
      </c>
      <c r="AC44" t="s">
        <v>176</v>
      </c>
      <c r="AD44" s="70" t="s">
        <v>218</v>
      </c>
      <c r="AE44" s="183">
        <f>$Y$15</f>
        <v>4.4249528005034611</v>
      </c>
      <c r="AF44" s="32"/>
      <c r="AG44" s="33"/>
      <c r="AW44" s="164" t="s">
        <v>189</v>
      </c>
      <c r="AX44" t="s">
        <v>200</v>
      </c>
    </row>
    <row r="45" spans="2:50" ht="28.9" x14ac:dyDescent="0.3">
      <c r="B45" s="73">
        <v>90</v>
      </c>
      <c r="C45" s="6">
        <f t="shared" ref="C45:C50" si="55">B45/180*(2.4-0.53)+0.53</f>
        <v>1.4649999999999999</v>
      </c>
      <c r="D45" s="88">
        <f t="shared" ref="D45:D50" si="56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U45" t="s">
        <v>217</v>
      </c>
    </row>
    <row r="46" spans="2:50" ht="14.45" x14ac:dyDescent="0.3">
      <c r="B46" s="73">
        <v>100</v>
      </c>
      <c r="C46" s="6">
        <f t="shared" si="55"/>
        <v>1.568888888888889</v>
      </c>
      <c r="D46" s="88">
        <f t="shared" si="56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-18.907319518350299</v>
      </c>
      <c r="AB46" t="s">
        <v>106</v>
      </c>
      <c r="AU46" t="s">
        <v>215</v>
      </c>
    </row>
    <row r="47" spans="2:50" ht="14.45" x14ac:dyDescent="0.3">
      <c r="B47" s="73">
        <v>110</v>
      </c>
      <c r="C47" s="6">
        <f t="shared" si="55"/>
        <v>1.6727777777777779</v>
      </c>
      <c r="D47" s="88">
        <f t="shared" si="56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U47" t="s">
        <v>216</v>
      </c>
    </row>
    <row r="48" spans="2:50" ht="14.45" x14ac:dyDescent="0.3">
      <c r="B48" s="73">
        <v>114</v>
      </c>
      <c r="C48" s="6">
        <f t="shared" si="55"/>
        <v>1.7143333333333333</v>
      </c>
      <c r="D48" s="88">
        <f t="shared" si="56"/>
        <v>128.57999999999998</v>
      </c>
      <c r="W48" s="19"/>
      <c r="X48" s="30" t="s">
        <v>40</v>
      </c>
      <c r="Y48" s="30"/>
      <c r="Z48" s="61"/>
      <c r="AA48" s="89">
        <f>(AA47-AA46)/(X47-X46)</f>
        <v>19.18146390367006</v>
      </c>
      <c r="AI48" s="104"/>
      <c r="AQ48" s="3"/>
    </row>
    <row r="49" spans="2:44" ht="14.45" x14ac:dyDescent="0.3">
      <c r="B49" s="73">
        <v>127.5</v>
      </c>
      <c r="C49" s="6">
        <f t="shared" si="55"/>
        <v>1.8545833333333333</v>
      </c>
      <c r="D49" s="88">
        <f t="shared" si="56"/>
        <v>153.82499999999999</v>
      </c>
      <c r="W49" s="19"/>
      <c r="X49" s="30"/>
      <c r="Y49" s="30"/>
      <c r="Z49" s="61"/>
      <c r="AA49" s="89">
        <f>AA47-AA48*(X47-X46)</f>
        <v>-18.907319518350306</v>
      </c>
      <c r="AR49" s="3"/>
    </row>
    <row r="50" spans="2:44" thickBot="1" x14ac:dyDescent="0.35">
      <c r="B50" s="80">
        <v>136.4</v>
      </c>
      <c r="C50" s="6">
        <f t="shared" si="55"/>
        <v>1.9470444444444444</v>
      </c>
      <c r="D50" s="88">
        <f t="shared" si="56"/>
        <v>170.46799999999999</v>
      </c>
      <c r="W50" s="21"/>
      <c r="X50" s="32"/>
      <c r="Y50" s="32"/>
      <c r="Z50" s="47"/>
      <c r="AA50" s="48" t="s">
        <v>124</v>
      </c>
    </row>
    <row r="52" spans="2:44" thickBot="1" x14ac:dyDescent="0.35">
      <c r="W52" t="s">
        <v>38</v>
      </c>
    </row>
    <row r="53" spans="2:44" x14ac:dyDescent="0.25">
      <c r="W53" s="49" t="s">
        <v>121</v>
      </c>
      <c r="X53" s="50">
        <f>INDEX(LINEST($P$8:$P$15,$D$8:$D$15^{1,2},FALSE,FALSE),1)</f>
        <v>-351.26655108462336</v>
      </c>
      <c r="Y53" s="28"/>
      <c r="Z53" s="51" t="s">
        <v>123</v>
      </c>
      <c r="AA53" s="52">
        <f>INDEX(LINEST($O$8:$O$15,$P$8:$P$15),1)</f>
        <v>1.0165476207184487</v>
      </c>
    </row>
    <row r="54" spans="2:44" x14ac:dyDescent="0.25">
      <c r="W54" s="43"/>
      <c r="X54" s="54">
        <f>INDEX(LINEST($P$8:$P$15,$D$8:$D$15^{1,2},FALSE,FALSE),2)</f>
        <v>14542.877489600363</v>
      </c>
      <c r="Y54" s="30"/>
      <c r="Z54" s="44"/>
      <c r="AA54" s="46">
        <f>INDEX(LINEST($O$8:$O$15,$P$8:$P$15),2)</f>
        <v>8893.4325759458807</v>
      </c>
    </row>
    <row r="55" spans="2:44" x14ac:dyDescent="0.25">
      <c r="W55" s="43"/>
      <c r="X55" s="54">
        <f>INDEX(LINEST($P$8:$P$15,$D$8:$D$15^{1,2},FALSE,FALSE),3)</f>
        <v>0</v>
      </c>
      <c r="Y55" s="30"/>
      <c r="Z55" s="44" t="s">
        <v>122</v>
      </c>
      <c r="AA55" s="46">
        <f>INDEX(LINEST($P$8:$P$15,$O$8:$O$15),1)</f>
        <v>0.98261459063146772</v>
      </c>
    </row>
    <row r="56" spans="2:44" x14ac:dyDescent="0.25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INDEX(LINEST($P$8:$P$15,$O$8:$O$15),2)</f>
        <v>-8712.4928340558181</v>
      </c>
      <c r="AB56" t="s">
        <v>60</v>
      </c>
    </row>
    <row r="57" spans="2:44" x14ac:dyDescent="0.25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25">
      <c r="W58" s="19"/>
      <c r="X58" s="30"/>
      <c r="Y58" s="30"/>
      <c r="Z58" s="30"/>
      <c r="AA58" s="31"/>
    </row>
    <row r="59" spans="2:44" x14ac:dyDescent="0.25">
      <c r="G59" s="176" t="s">
        <v>212</v>
      </c>
      <c r="W59" s="181" t="s">
        <v>62</v>
      </c>
      <c r="X59" s="44">
        <f>EXP((0-$AE$30)/$AF$30)</f>
        <v>7.361501228839896</v>
      </c>
      <c r="Y59" s="30"/>
      <c r="Z59" s="30"/>
      <c r="AA59" s="31"/>
      <c r="AB59" t="s">
        <v>65</v>
      </c>
    </row>
    <row r="60" spans="2:44" x14ac:dyDescent="0.25">
      <c r="W60" s="19"/>
      <c r="X60" s="30"/>
      <c r="Y60" s="30"/>
      <c r="Z60" s="30"/>
      <c r="AA60" s="31"/>
    </row>
    <row r="61" spans="2:44" x14ac:dyDescent="0.25">
      <c r="W61" s="43" t="s">
        <v>92</v>
      </c>
      <c r="X61" s="180">
        <f>INDEX(LINEST($X$4:$X$15,$O$4:$O$15^{1,2}),1)</f>
        <v>1.782679103068748E-11</v>
      </c>
      <c r="Y61" s="30"/>
      <c r="Z61" s="44" t="s">
        <v>130</v>
      </c>
      <c r="AA61" s="122">
        <f>INDEX(LINEST($X$67:$X$84,$O$67:$O$84^{1,2}),1)</f>
        <v>1.4325144135226059E-11</v>
      </c>
      <c r="AF61" s="45"/>
      <c r="AG61" s="149"/>
    </row>
    <row r="62" spans="2:44" x14ac:dyDescent="0.25">
      <c r="W62" s="43"/>
      <c r="X62" s="180">
        <f>INDEX(LINEST($X$4:$X$15,$O$4:$O$15^{1,2}),2)</f>
        <v>-1.9381907115184841E-7</v>
      </c>
      <c r="Y62" s="30"/>
      <c r="Z62" s="44"/>
      <c r="AA62" s="122">
        <f>INDEX(LINEST($X$67:$X$84,$O$67:$O$84^{1,2}),2)</f>
        <v>-3.0709262345742761E-7</v>
      </c>
      <c r="AF62" s="45"/>
      <c r="AG62" s="149"/>
    </row>
    <row r="63" spans="2:44" ht="15.75" thickBot="1" x14ac:dyDescent="0.3">
      <c r="W63" s="55"/>
      <c r="X63" s="182">
        <f>INDEX(LINEST($X$4:$X$15,$O$4:$O$15^{1,2}),3)</f>
        <v>6.9658921582847581E-4</v>
      </c>
      <c r="Y63" s="32"/>
      <c r="Z63" s="108"/>
      <c r="AA63" s="123">
        <f>INDEX(LINEST($X$67:$X$84,$O$67:$O$84^{1,2}),3)</f>
        <v>2.0111653701195102E-3</v>
      </c>
      <c r="AF63" s="45"/>
      <c r="AG63" s="149"/>
    </row>
    <row r="66" spans="2:25" x14ac:dyDescent="0.25">
      <c r="B66" t="s">
        <v>116</v>
      </c>
      <c r="V66" t="s">
        <v>89</v>
      </c>
      <c r="W66" t="s">
        <v>150</v>
      </c>
      <c r="X66" t="s">
        <v>151</v>
      </c>
    </row>
    <row r="67" spans="2:25" x14ac:dyDescent="0.25">
      <c r="B67" s="113">
        <f t="shared" ref="B67:B72" si="57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8">M67*60/$X$29</f>
        <v>8746.3556851311951</v>
      </c>
      <c r="P67" s="3">
        <f t="shared" ref="P67:P82" si="59">N67*60/$X$29</f>
        <v>0</v>
      </c>
      <c r="Q67" s="3">
        <f t="shared" ref="Q67:Q82" si="60">O67/$X$40*100</f>
        <v>18.980806608357629</v>
      </c>
      <c r="R67" s="3">
        <f t="shared" ref="R67:R82" si="61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0">
        <f>W67-$W$67</f>
        <v>0</v>
      </c>
      <c r="Y67">
        <f t="shared" ref="Y67:Y84" si="62">-X67/2/O67</f>
        <v>0</v>
      </c>
    </row>
    <row r="68" spans="2:25" x14ac:dyDescent="0.25">
      <c r="B68" s="113">
        <f t="shared" si="57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8"/>
        <v>9708.7378640776697</v>
      </c>
      <c r="P68" s="3">
        <f t="shared" si="59"/>
        <v>0</v>
      </c>
      <c r="Q68" s="3">
        <f t="shared" si="60"/>
        <v>21.069309600862997</v>
      </c>
      <c r="R68" s="3">
        <f t="shared" si="61"/>
        <v>0</v>
      </c>
      <c r="S68" s="3">
        <f>K68</f>
        <v>15</v>
      </c>
      <c r="T68" s="4">
        <f>J68</f>
        <v>8.8926600000000011</v>
      </c>
      <c r="U68" s="4"/>
      <c r="V68">
        <f t="shared" ref="V68:V84" si="63">(T68-$T$3)*0.001341022</f>
        <v>5.9576511576400013E-3</v>
      </c>
      <c r="W68" s="127">
        <f>$V68/$O68*5252</f>
        <v>3.2228271396323046E-3</v>
      </c>
      <c r="X68" s="150">
        <f t="shared" ref="X68:X84" si="64">W68-$W$67</f>
        <v>1.967106745261603E-4</v>
      </c>
      <c r="Y68">
        <f t="shared" si="62"/>
        <v>-1.0130599738097255E-8</v>
      </c>
    </row>
    <row r="69" spans="2:25" x14ac:dyDescent="0.25">
      <c r="B69" s="113">
        <f t="shared" si="57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8"/>
        <v>10273.972602739726</v>
      </c>
      <c r="P69" s="3">
        <f t="shared" si="59"/>
        <v>0</v>
      </c>
      <c r="Q69" s="3">
        <f t="shared" si="60"/>
        <v>22.295947488584474</v>
      </c>
      <c r="R69" s="3">
        <f t="shared" si="61"/>
        <v>0</v>
      </c>
      <c r="S69" s="3">
        <f>K69</f>
        <v>12</v>
      </c>
      <c r="T69" s="4">
        <f>J69</f>
        <v>9.2684000000000015</v>
      </c>
      <c r="U69" s="4"/>
      <c r="V69">
        <f t="shared" si="63"/>
        <v>6.4615267639200015E-3</v>
      </c>
      <c r="W69" s="127">
        <f t="shared" ref="W69:W84" si="65">$V69/$O69*5252</f>
        <v>3.3030980202398302E-3</v>
      </c>
      <c r="X69" s="150">
        <f t="shared" si="64"/>
        <v>2.7698155513368591E-4</v>
      </c>
      <c r="Y69">
        <f t="shared" si="62"/>
        <v>-1.3479769016506046E-8</v>
      </c>
    </row>
    <row r="70" spans="2:25" x14ac:dyDescent="0.25">
      <c r="B70" s="113">
        <f t="shared" si="57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8"/>
        <v>11363.636363636364</v>
      </c>
      <c r="P70" s="3">
        <f t="shared" si="59"/>
        <v>0</v>
      </c>
      <c r="Q70" s="3">
        <f t="shared" si="60"/>
        <v>24.660669191919194</v>
      </c>
      <c r="R70" s="3">
        <f t="shared" si="61"/>
        <v>0</v>
      </c>
      <c r="S70" s="3">
        <f>K70</f>
        <v>13</v>
      </c>
      <c r="T70" s="4">
        <f>J70</f>
        <v>10.064</v>
      </c>
      <c r="U70" s="4"/>
      <c r="V70">
        <f t="shared" si="63"/>
        <v>7.52844386712E-3</v>
      </c>
      <c r="W70" s="127">
        <f t="shared" si="65"/>
        <v>3.479466072730053E-3</v>
      </c>
      <c r="X70" s="150">
        <f t="shared" si="64"/>
        <v>4.5334960762390868E-4</v>
      </c>
      <c r="Y70">
        <f t="shared" si="62"/>
        <v>-1.9947382735451983E-8</v>
      </c>
    </row>
    <row r="71" spans="2:25" x14ac:dyDescent="0.25">
      <c r="B71" s="113">
        <f t="shared" si="57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8"/>
        <v>12244.897959183674</v>
      </c>
      <c r="P71" s="3">
        <f t="shared" si="59"/>
        <v>0</v>
      </c>
      <c r="Q71" s="3">
        <f t="shared" si="60"/>
        <v>26.573129251700685</v>
      </c>
      <c r="R71" s="3">
        <f t="shared" si="61"/>
        <v>0</v>
      </c>
      <c r="S71" s="3">
        <f>K71</f>
        <v>14</v>
      </c>
      <c r="T71" s="4">
        <f>J71</f>
        <v>10.679590000000001</v>
      </c>
      <c r="U71" s="4"/>
      <c r="V71">
        <f t="shared" si="63"/>
        <v>8.3539636001000016E-3</v>
      </c>
      <c r="W71" s="127">
        <f t="shared" si="65"/>
        <v>3.5831263742642254E-3</v>
      </c>
      <c r="X71" s="150">
        <f t="shared" si="64"/>
        <v>5.5700990915808109E-4</v>
      </c>
      <c r="Y71">
        <f t="shared" si="62"/>
        <v>-2.2744571290621641E-8</v>
      </c>
    </row>
    <row r="72" spans="2:25" x14ac:dyDescent="0.25">
      <c r="B72" s="113">
        <f t="shared" si="57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6">E72*F72</f>
        <v>12.79233</v>
      </c>
      <c r="K72" s="1">
        <f t="shared" ref="K72:K84" si="67">C72</f>
        <v>20</v>
      </c>
      <c r="L72" s="1">
        <f t="shared" ref="L72:L84" si="68">LN(K72)</f>
        <v>2.9957322735539909</v>
      </c>
      <c r="M72" s="3">
        <f t="shared" ref="M72:M84" si="69">1/G72/0.000001</f>
        <v>285.71428571428572</v>
      </c>
      <c r="N72" s="3"/>
      <c r="O72" s="3">
        <f t="shared" si="58"/>
        <v>17142.857142857145</v>
      </c>
      <c r="P72" s="3">
        <f t="shared" si="59"/>
        <v>0</v>
      </c>
      <c r="Q72" s="3">
        <f t="shared" si="60"/>
        <v>37.202380952380956</v>
      </c>
      <c r="R72" s="3">
        <f t="shared" si="61"/>
        <v>0</v>
      </c>
      <c r="S72" s="3">
        <f t="shared" ref="S72:S84" si="70">K72</f>
        <v>20</v>
      </c>
      <c r="T72" s="4">
        <f t="shared" ref="T72:T84" si="71">J72</f>
        <v>12.79233</v>
      </c>
      <c r="U72" s="4"/>
      <c r="V72">
        <f t="shared" si="63"/>
        <v>1.1187194420379999E-2</v>
      </c>
      <c r="W72" s="127">
        <f t="shared" si="65"/>
        <v>3.4273834639237518E-3</v>
      </c>
      <c r="X72" s="150">
        <f t="shared" si="64"/>
        <v>4.0126699881760756E-4</v>
      </c>
      <c r="Y72">
        <f t="shared" si="62"/>
        <v>-1.1703620798846885E-8</v>
      </c>
    </row>
    <row r="73" spans="2:25" x14ac:dyDescent="0.25">
      <c r="B73" s="113">
        <f t="shared" ref="B73:B84" si="72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6"/>
        <v>17.3124</v>
      </c>
      <c r="K73" s="1">
        <f t="shared" si="67"/>
        <v>25</v>
      </c>
      <c r="L73" s="1">
        <f t="shared" si="68"/>
        <v>3.2188758248682006</v>
      </c>
      <c r="M73" s="3">
        <f t="shared" si="69"/>
        <v>332.22591362126246</v>
      </c>
      <c r="N73" s="3"/>
      <c r="O73" s="3">
        <f t="shared" si="58"/>
        <v>19933.554817275748</v>
      </c>
      <c r="P73" s="3">
        <f t="shared" si="59"/>
        <v>0</v>
      </c>
      <c r="Q73" s="3">
        <f t="shared" si="60"/>
        <v>43.258582502768547</v>
      </c>
      <c r="R73" s="3">
        <f t="shared" si="61"/>
        <v>0</v>
      </c>
      <c r="S73" s="3">
        <f t="shared" si="70"/>
        <v>25</v>
      </c>
      <c r="T73" s="4">
        <f t="shared" si="71"/>
        <v>17.3124</v>
      </c>
      <c r="U73" s="4"/>
      <c r="V73">
        <f t="shared" si="63"/>
        <v>1.7248707731919999E-2</v>
      </c>
      <c r="W73" s="127">
        <f t="shared" si="65"/>
        <v>4.5446090192368654E-3</v>
      </c>
      <c r="X73" s="150">
        <f t="shared" si="64"/>
        <v>1.5184925541307211E-3</v>
      </c>
      <c r="Y73">
        <f t="shared" si="62"/>
        <v>-3.8088854899445583E-8</v>
      </c>
    </row>
    <row r="74" spans="2:25" x14ac:dyDescent="0.25">
      <c r="B74" s="113">
        <f t="shared" si="72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6"/>
        <v>23.790480000000002</v>
      </c>
      <c r="K74" s="1">
        <f t="shared" si="67"/>
        <v>30</v>
      </c>
      <c r="L74" s="1">
        <f t="shared" si="68"/>
        <v>3.4011973816621555</v>
      </c>
      <c r="M74" s="3">
        <f t="shared" si="69"/>
        <v>377.35849056603774</v>
      </c>
      <c r="N74" s="3"/>
      <c r="O74" s="3">
        <f t="shared" si="58"/>
        <v>22641.509433962266</v>
      </c>
      <c r="P74" s="3">
        <f t="shared" si="59"/>
        <v>0</v>
      </c>
      <c r="Q74" s="3">
        <f t="shared" si="60"/>
        <v>49.135220125786169</v>
      </c>
      <c r="R74" s="3">
        <f t="shared" si="61"/>
        <v>0</v>
      </c>
      <c r="S74" s="3">
        <f t="shared" si="70"/>
        <v>30</v>
      </c>
      <c r="T74" s="4">
        <f t="shared" si="71"/>
        <v>23.790480000000002</v>
      </c>
      <c r="U74" s="4"/>
      <c r="V74">
        <f t="shared" si="63"/>
        <v>2.5935955529680001E-2</v>
      </c>
      <c r="W74" s="127">
        <f t="shared" si="65"/>
        <v>6.0161906978496715E-3</v>
      </c>
      <c r="X74" s="150">
        <f t="shared" si="64"/>
        <v>2.9900742327435273E-3</v>
      </c>
      <c r="Y74">
        <f t="shared" si="62"/>
        <v>-6.6030805973086218E-8</v>
      </c>
    </row>
    <row r="75" spans="2:25" x14ac:dyDescent="0.25">
      <c r="B75" s="113">
        <f t="shared" si="72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6"/>
        <v>28.926969999999997</v>
      </c>
      <c r="K75" s="1">
        <f t="shared" si="67"/>
        <v>35</v>
      </c>
      <c r="L75" s="1">
        <f t="shared" si="68"/>
        <v>3.5553480614894135</v>
      </c>
      <c r="M75" s="3">
        <f t="shared" si="69"/>
        <v>400.00000000000006</v>
      </c>
      <c r="N75" s="3"/>
      <c r="O75" s="3">
        <f t="shared" si="58"/>
        <v>24000.000000000004</v>
      </c>
      <c r="P75" s="3">
        <f t="shared" si="59"/>
        <v>0</v>
      </c>
      <c r="Q75" s="3">
        <f t="shared" si="60"/>
        <v>52.083333333333336</v>
      </c>
      <c r="R75" s="3">
        <f t="shared" si="61"/>
        <v>0</v>
      </c>
      <c r="S75" s="3">
        <f t="shared" si="70"/>
        <v>35</v>
      </c>
      <c r="T75" s="4">
        <f t="shared" si="71"/>
        <v>28.926969999999997</v>
      </c>
      <c r="U75" s="4"/>
      <c r="V75">
        <f t="shared" si="63"/>
        <v>3.2824101622459995E-2</v>
      </c>
      <c r="W75" s="127">
        <f t="shared" si="65"/>
        <v>7.1830075717149939E-3</v>
      </c>
      <c r="X75" s="150">
        <f t="shared" si="64"/>
        <v>4.1568911066088496E-3</v>
      </c>
      <c r="Y75">
        <f t="shared" si="62"/>
        <v>-8.6601898054351018E-8</v>
      </c>
    </row>
    <row r="76" spans="2:25" x14ac:dyDescent="0.25">
      <c r="B76" s="113">
        <f t="shared" si="72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6"/>
        <v>32.374200000000002</v>
      </c>
      <c r="K76" s="1">
        <f t="shared" si="67"/>
        <v>40</v>
      </c>
      <c r="L76" s="1">
        <f t="shared" si="68"/>
        <v>3.6888794541139363</v>
      </c>
      <c r="M76" s="3">
        <f t="shared" si="69"/>
        <v>440.52863436123351</v>
      </c>
      <c r="N76" s="3"/>
      <c r="O76" s="3">
        <f t="shared" si="58"/>
        <v>26431.718061674012</v>
      </c>
      <c r="P76" s="3">
        <f t="shared" si="59"/>
        <v>0</v>
      </c>
      <c r="Q76" s="3">
        <f t="shared" si="60"/>
        <v>57.360499265785613</v>
      </c>
      <c r="R76" s="3">
        <f t="shared" si="61"/>
        <v>0</v>
      </c>
      <c r="S76" s="3">
        <f t="shared" si="70"/>
        <v>40</v>
      </c>
      <c r="T76" s="4">
        <f t="shared" si="71"/>
        <v>32.374200000000002</v>
      </c>
      <c r="U76" s="4"/>
      <c r="V76">
        <f t="shared" si="63"/>
        <v>3.7446912891520003E-2</v>
      </c>
      <c r="W76" s="127">
        <f t="shared" si="65"/>
        <v>7.4407265561536179E-3</v>
      </c>
      <c r="X76" s="150">
        <f t="shared" si="64"/>
        <v>4.4146100910474736E-3</v>
      </c>
      <c r="Y76">
        <f t="shared" si="62"/>
        <v>-8.3509707555648035E-8</v>
      </c>
    </row>
    <row r="77" spans="2:25" x14ac:dyDescent="0.25">
      <c r="B77" s="113">
        <f t="shared" si="72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6"/>
        <v>42.16</v>
      </c>
      <c r="K77" s="1">
        <f t="shared" si="67"/>
        <v>50</v>
      </c>
      <c r="L77" s="1">
        <f t="shared" si="68"/>
        <v>3.912023005428146</v>
      </c>
      <c r="M77" s="3">
        <f t="shared" si="69"/>
        <v>495.04950495049508</v>
      </c>
      <c r="N77" s="3"/>
      <c r="O77" s="3">
        <f t="shared" si="58"/>
        <v>29702.970297029704</v>
      </c>
      <c r="P77" s="3">
        <f t="shared" si="59"/>
        <v>0</v>
      </c>
      <c r="Q77" s="3">
        <f t="shared" si="60"/>
        <v>64.459570957095707</v>
      </c>
      <c r="R77" s="3">
        <f t="shared" si="61"/>
        <v>0</v>
      </c>
      <c r="S77" s="3">
        <f t="shared" si="70"/>
        <v>50</v>
      </c>
      <c r="T77" s="4">
        <f t="shared" si="71"/>
        <v>42.16</v>
      </c>
      <c r="U77" s="4"/>
      <c r="V77">
        <f t="shared" si="63"/>
        <v>5.0569885979119995E-2</v>
      </c>
      <c r="W77" s="127">
        <f t="shared" si="65"/>
        <v>8.9416323857987191E-3</v>
      </c>
      <c r="X77" s="150">
        <f t="shared" si="64"/>
        <v>5.9155159206925748E-3</v>
      </c>
      <c r="Y77">
        <f t="shared" si="62"/>
        <v>-9.957785133165834E-8</v>
      </c>
    </row>
    <row r="78" spans="2:25" x14ac:dyDescent="0.25">
      <c r="B78" s="113">
        <f t="shared" si="72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6"/>
        <v>52.727999999999994</v>
      </c>
      <c r="K78" s="1">
        <f t="shared" si="67"/>
        <v>60</v>
      </c>
      <c r="L78" s="1">
        <f t="shared" si="68"/>
        <v>4.0943445622221004</v>
      </c>
      <c r="M78" s="3">
        <f t="shared" si="69"/>
        <v>534.75935828877004</v>
      </c>
      <c r="N78" s="3"/>
      <c r="O78" s="3">
        <f t="shared" si="58"/>
        <v>32085.561497326202</v>
      </c>
      <c r="P78" s="3">
        <f t="shared" si="59"/>
        <v>0</v>
      </c>
      <c r="Q78" s="3">
        <f t="shared" si="60"/>
        <v>69.630124777183596</v>
      </c>
      <c r="R78" s="3">
        <f t="shared" si="61"/>
        <v>0</v>
      </c>
      <c r="S78" s="3">
        <f t="shared" si="70"/>
        <v>60</v>
      </c>
      <c r="T78" s="4">
        <f t="shared" si="71"/>
        <v>52.727999999999994</v>
      </c>
      <c r="U78" s="4"/>
      <c r="V78">
        <f t="shared" si="63"/>
        <v>6.4741806475119998E-2</v>
      </c>
      <c r="W78" s="127">
        <f t="shared" si="65"/>
        <v>1.0597413657095125E-2</v>
      </c>
      <c r="X78" s="150">
        <f t="shared" si="64"/>
        <v>7.5712971919889805E-3</v>
      </c>
      <c r="Y78">
        <f t="shared" si="62"/>
        <v>-1.1798604790849495E-7</v>
      </c>
    </row>
    <row r="79" spans="2:25" x14ac:dyDescent="0.25">
      <c r="B79" s="113">
        <f t="shared" si="72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6"/>
        <v>64.944000000000003</v>
      </c>
      <c r="K79" s="1">
        <f t="shared" si="67"/>
        <v>75</v>
      </c>
      <c r="L79" s="1">
        <f t="shared" si="68"/>
        <v>4.3174881135363101</v>
      </c>
      <c r="M79" s="3">
        <f t="shared" si="69"/>
        <v>606.06060606060612</v>
      </c>
      <c r="N79" s="3"/>
      <c r="O79" s="3">
        <f t="shared" si="58"/>
        <v>36363.636363636368</v>
      </c>
      <c r="P79" s="3">
        <f t="shared" si="59"/>
        <v>0</v>
      </c>
      <c r="Q79" s="3">
        <f t="shared" si="60"/>
        <v>78.914141414141426</v>
      </c>
      <c r="R79" s="3">
        <f t="shared" si="61"/>
        <v>0</v>
      </c>
      <c r="S79" s="3">
        <f t="shared" si="70"/>
        <v>75</v>
      </c>
      <c r="T79" s="4">
        <f t="shared" si="71"/>
        <v>64.944000000000003</v>
      </c>
      <c r="U79" s="4"/>
      <c r="V79">
        <f t="shared" si="63"/>
        <v>8.1123731227120008E-2</v>
      </c>
      <c r="W79" s="127">
        <f t="shared" si="65"/>
        <v>1.1716700501132942E-2</v>
      </c>
      <c r="X79" s="150">
        <f t="shared" si="64"/>
        <v>8.6905840360267973E-3</v>
      </c>
      <c r="Y79">
        <f t="shared" si="62"/>
        <v>-1.1949553049536844E-7</v>
      </c>
    </row>
    <row r="80" spans="2:25" x14ac:dyDescent="0.25">
      <c r="B80" s="113">
        <f t="shared" si="72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6"/>
        <v>81.4572</v>
      </c>
      <c r="K80" s="1">
        <f t="shared" si="67"/>
        <v>90</v>
      </c>
      <c r="L80" s="1">
        <f t="shared" si="68"/>
        <v>4.499809670330265</v>
      </c>
      <c r="M80" s="3">
        <f t="shared" si="69"/>
        <v>662.25165562913912</v>
      </c>
      <c r="N80" s="3"/>
      <c r="O80" s="3">
        <f t="shared" si="58"/>
        <v>39735.099337748346</v>
      </c>
      <c r="P80" s="3">
        <f t="shared" si="59"/>
        <v>0</v>
      </c>
      <c r="Q80" s="3">
        <f t="shared" si="60"/>
        <v>86.230684326710815</v>
      </c>
      <c r="R80" s="3">
        <f t="shared" si="61"/>
        <v>0</v>
      </c>
      <c r="S80" s="3">
        <f t="shared" si="70"/>
        <v>90</v>
      </c>
      <c r="T80" s="4">
        <f t="shared" si="71"/>
        <v>81.4572</v>
      </c>
      <c r="U80" s="4"/>
      <c r="V80">
        <f t="shared" si="63"/>
        <v>0.10326829571752001</v>
      </c>
      <c r="W80" s="127">
        <f t="shared" si="65"/>
        <v>1.3649521409228446E-2</v>
      </c>
      <c r="X80" s="150">
        <f t="shared" si="64"/>
        <v>1.0623404944122301E-2</v>
      </c>
      <c r="Y80">
        <f t="shared" si="62"/>
        <v>-1.3367784554687227E-7</v>
      </c>
    </row>
    <row r="81" spans="2:25" x14ac:dyDescent="0.25">
      <c r="B81" s="113">
        <f t="shared" si="72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6"/>
        <v>94.001099999999994</v>
      </c>
      <c r="K81" s="1">
        <f t="shared" si="67"/>
        <v>109</v>
      </c>
      <c r="L81" s="1">
        <f t="shared" si="68"/>
        <v>4.6913478822291435</v>
      </c>
      <c r="M81" s="3">
        <f t="shared" si="69"/>
        <v>680.27210884353735</v>
      </c>
      <c r="N81" s="3"/>
      <c r="O81" s="3">
        <f t="shared" si="58"/>
        <v>40816.326530612241</v>
      </c>
      <c r="P81" s="3">
        <f t="shared" si="59"/>
        <v>0</v>
      </c>
      <c r="Q81" s="3">
        <f t="shared" si="60"/>
        <v>88.577097505668917</v>
      </c>
      <c r="R81" s="3">
        <f t="shared" si="61"/>
        <v>0</v>
      </c>
      <c r="S81" s="3">
        <f t="shared" si="70"/>
        <v>109</v>
      </c>
      <c r="T81" s="4">
        <f t="shared" si="71"/>
        <v>94.001099999999994</v>
      </c>
      <c r="U81" s="4"/>
      <c r="V81">
        <f t="shared" si="63"/>
        <v>0.12008994158332</v>
      </c>
      <c r="W81" s="127">
        <f t="shared" si="65"/>
        <v>1.5452453143292119E-2</v>
      </c>
      <c r="X81" s="150">
        <f t="shared" si="64"/>
        <v>1.2426336678185976E-2</v>
      </c>
      <c r="Y81">
        <f t="shared" si="62"/>
        <v>-1.5222262430777822E-7</v>
      </c>
    </row>
    <row r="82" spans="2:25" ht="15.75" thickBot="1" x14ac:dyDescent="0.3">
      <c r="B82" s="116">
        <f t="shared" si="72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6"/>
        <v>117.19680000000001</v>
      </c>
      <c r="K82" s="1">
        <f t="shared" si="67"/>
        <v>130</v>
      </c>
      <c r="L82" s="1">
        <f t="shared" si="68"/>
        <v>4.8675344504555822</v>
      </c>
      <c r="M82" s="3">
        <f t="shared" si="69"/>
        <v>724.63768115942037</v>
      </c>
      <c r="N82" s="3"/>
      <c r="O82" s="3">
        <f t="shared" si="58"/>
        <v>43478.260869565223</v>
      </c>
      <c r="P82" s="3">
        <f t="shared" si="59"/>
        <v>0</v>
      </c>
      <c r="Q82" s="3">
        <f t="shared" si="60"/>
        <v>94.353864734299535</v>
      </c>
      <c r="R82" s="3">
        <f t="shared" si="61"/>
        <v>0</v>
      </c>
      <c r="S82" s="3">
        <f t="shared" si="70"/>
        <v>130</v>
      </c>
      <c r="T82" s="4">
        <f t="shared" si="71"/>
        <v>117.19680000000001</v>
      </c>
      <c r="U82" s="4"/>
      <c r="V82">
        <f t="shared" si="63"/>
        <v>0.15119588558872002</v>
      </c>
      <c r="W82" s="127">
        <f t="shared" si="65"/>
        <v>1.8263858195575022E-2</v>
      </c>
      <c r="X82" s="150">
        <f t="shared" si="64"/>
        <v>1.5237741730468879E-2</v>
      </c>
      <c r="Y82">
        <f t="shared" si="62"/>
        <v>-1.7523402990039207E-7</v>
      </c>
    </row>
    <row r="83" spans="2:25" x14ac:dyDescent="0.25">
      <c r="B83" s="144">
        <f t="shared" si="72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6"/>
        <v>139.86000000000001</v>
      </c>
      <c r="K83" s="1">
        <f t="shared" si="67"/>
        <v>149</v>
      </c>
      <c r="L83" s="1">
        <f t="shared" si="68"/>
        <v>5.0039463059454592</v>
      </c>
      <c r="M83" s="1">
        <f t="shared" si="69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70"/>
        <v>149</v>
      </c>
      <c r="T83" s="4">
        <f t="shared" si="71"/>
        <v>139.86000000000001</v>
      </c>
      <c r="U83" s="4"/>
      <c r="V83">
        <f t="shared" si="63"/>
        <v>0.18158773537912004</v>
      </c>
      <c r="W83" s="127">
        <f t="shared" si="65"/>
        <v>2.0822423498943188E-2</v>
      </c>
      <c r="X83" s="150">
        <f t="shared" si="64"/>
        <v>1.7796307033837045E-2</v>
      </c>
      <c r="Y83">
        <f t="shared" si="62"/>
        <v>-1.942763517860544E-7</v>
      </c>
    </row>
    <row r="84" spans="2:25" x14ac:dyDescent="0.25">
      <c r="B84" s="144">
        <f t="shared" si="72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6"/>
        <v>177.22499999999999</v>
      </c>
      <c r="K84" s="1">
        <f t="shared" si="67"/>
        <v>164</v>
      </c>
      <c r="L84" s="1">
        <f t="shared" si="68"/>
        <v>5.0998664278241987</v>
      </c>
      <c r="M84" s="1">
        <f t="shared" si="69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70"/>
        <v>164</v>
      </c>
      <c r="T84" s="4">
        <f t="shared" si="71"/>
        <v>177.22499999999999</v>
      </c>
      <c r="U84" s="4"/>
      <c r="V84">
        <f t="shared" si="63"/>
        <v>0.23169502240912002</v>
      </c>
      <c r="W84" s="127">
        <f t="shared" si="65"/>
        <v>2.539185911052097E-2</v>
      </c>
      <c r="X84" s="150">
        <f t="shared" si="64"/>
        <v>2.2365742645414827E-2</v>
      </c>
      <c r="Y84">
        <f t="shared" si="62"/>
        <v>-2.3334924826716135E-7</v>
      </c>
    </row>
    <row r="87" spans="2:25" x14ac:dyDescent="0.25">
      <c r="B87" t="s">
        <v>117</v>
      </c>
      <c r="V87" t="s">
        <v>90</v>
      </c>
      <c r="X87" t="s">
        <v>91</v>
      </c>
    </row>
    <row r="88" spans="2:25" x14ac:dyDescent="0.25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3">C88</f>
        <v>11</v>
      </c>
      <c r="L88" s="1">
        <f t="shared" ref="L88:L102" si="74">LN(K88)</f>
        <v>2.3978952727983707</v>
      </c>
      <c r="M88" s="3">
        <f t="shared" ref="M88:M102" si="75">1/G88/0.000001</f>
        <v>204.91803278688525</v>
      </c>
      <c r="N88" s="3"/>
      <c r="O88" s="3">
        <f t="shared" ref="O88:O100" si="76">M88*60/$X$29</f>
        <v>12295.081967213115</v>
      </c>
      <c r="P88" s="3">
        <f t="shared" ref="P88:P100" si="77">N88*60/$X$29</f>
        <v>0</v>
      </c>
      <c r="Q88" s="3">
        <f t="shared" ref="Q88:Q100" si="78">O88/$X$40*100</f>
        <v>26.682035519125684</v>
      </c>
      <c r="R88" s="3">
        <f t="shared" ref="R88:R100" si="79">P88/$X$40*100</f>
        <v>0</v>
      </c>
      <c r="S88" s="3">
        <f t="shared" ref="S88:S102" si="80">K88</f>
        <v>11</v>
      </c>
      <c r="T88" s="4">
        <f t="shared" ref="T88:T102" si="81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2">-X88/2/O88</f>
        <v>0</v>
      </c>
    </row>
    <row r="89" spans="2:25" x14ac:dyDescent="0.25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3">E89*F89</f>
        <v>10.736400000000001</v>
      </c>
      <c r="K89" s="1">
        <f t="shared" si="73"/>
        <v>15</v>
      </c>
      <c r="L89" s="1">
        <f t="shared" si="74"/>
        <v>2.7080502011022101</v>
      </c>
      <c r="M89" s="3">
        <f t="shared" si="75"/>
        <v>256.41025641025641</v>
      </c>
      <c r="N89" s="3"/>
      <c r="O89" s="3">
        <f t="shared" si="76"/>
        <v>15384.615384615385</v>
      </c>
      <c r="P89" s="3">
        <f t="shared" si="77"/>
        <v>0</v>
      </c>
      <c r="Q89" s="3">
        <f t="shared" si="78"/>
        <v>33.386752136752136</v>
      </c>
      <c r="R89" s="3">
        <f t="shared" si="79"/>
        <v>0</v>
      </c>
      <c r="S89" s="3">
        <f t="shared" si="80"/>
        <v>15</v>
      </c>
      <c r="T89" s="4">
        <f t="shared" si="81"/>
        <v>10.736400000000001</v>
      </c>
      <c r="U89" s="4"/>
      <c r="V89">
        <f t="shared" ref="V89:V102" si="84">T89*0.001341022</f>
        <v>1.4397748600800004E-2</v>
      </c>
      <c r="W89" s="127">
        <f t="shared" ref="W89:W102" si="85">$V89/$O89*5252</f>
        <v>4.9151034173411049E-3</v>
      </c>
      <c r="X89" s="127">
        <f t="shared" ref="X89:X102" si="86">W89-$W$88</f>
        <v>3.5845674991758555E-4</v>
      </c>
      <c r="Y89">
        <f t="shared" si="82"/>
        <v>-1.1649844372321531E-8</v>
      </c>
    </row>
    <row r="90" spans="2:25" x14ac:dyDescent="0.25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3"/>
        <v>14.331199999999999</v>
      </c>
      <c r="K90" s="1">
        <f t="shared" si="73"/>
        <v>20</v>
      </c>
      <c r="L90" s="1">
        <f t="shared" si="74"/>
        <v>2.9957322735539909</v>
      </c>
      <c r="M90" s="3">
        <f t="shared" si="75"/>
        <v>306.74846625766872</v>
      </c>
      <c r="N90" s="3"/>
      <c r="O90" s="3">
        <f t="shared" si="76"/>
        <v>18404.907975460123</v>
      </c>
      <c r="P90" s="3">
        <f t="shared" si="77"/>
        <v>0</v>
      </c>
      <c r="Q90" s="3">
        <f t="shared" si="78"/>
        <v>39.941206543967276</v>
      </c>
      <c r="R90" s="3">
        <f t="shared" si="79"/>
        <v>0</v>
      </c>
      <c r="S90" s="3">
        <f t="shared" si="80"/>
        <v>20</v>
      </c>
      <c r="T90" s="4">
        <f t="shared" si="81"/>
        <v>14.331199999999999</v>
      </c>
      <c r="U90" s="4"/>
      <c r="V90">
        <f t="shared" si="84"/>
        <v>1.92184544864E-2</v>
      </c>
      <c r="W90" s="127">
        <f t="shared" si="85"/>
        <v>5.4841525476331228E-3</v>
      </c>
      <c r="X90" s="127">
        <f t="shared" si="86"/>
        <v>9.2750588020960346E-4</v>
      </c>
      <c r="Y90">
        <f t="shared" si="82"/>
        <v>-2.519724307902756E-8</v>
      </c>
    </row>
    <row r="91" spans="2:25" x14ac:dyDescent="0.25">
      <c r="B91" s="113">
        <f t="shared" ref="B91:B102" si="87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3"/>
        <v>18.75488</v>
      </c>
      <c r="K91" s="1">
        <f t="shared" si="73"/>
        <v>25</v>
      </c>
      <c r="L91" s="1">
        <f t="shared" si="74"/>
        <v>3.2188758248682006</v>
      </c>
      <c r="M91" s="3">
        <f t="shared" si="75"/>
        <v>348.43205574912895</v>
      </c>
      <c r="N91" s="3"/>
      <c r="O91" s="3">
        <f t="shared" si="76"/>
        <v>20905.923344947736</v>
      </c>
      <c r="P91" s="3">
        <f t="shared" si="77"/>
        <v>0</v>
      </c>
      <c r="Q91" s="3">
        <f t="shared" si="78"/>
        <v>45.368757259001164</v>
      </c>
      <c r="R91" s="3">
        <f t="shared" si="79"/>
        <v>0</v>
      </c>
      <c r="S91" s="3">
        <f t="shared" si="80"/>
        <v>25</v>
      </c>
      <c r="T91" s="4">
        <f t="shared" si="81"/>
        <v>18.75488</v>
      </c>
      <c r="U91" s="4"/>
      <c r="V91">
        <f t="shared" si="84"/>
        <v>2.5150706687360001E-2</v>
      </c>
      <c r="W91" s="127">
        <f t="shared" si="85"/>
        <v>6.3183773011363711E-3</v>
      </c>
      <c r="X91" s="127">
        <f t="shared" si="86"/>
        <v>1.7617306337128517E-3</v>
      </c>
      <c r="Y91">
        <f t="shared" si="82"/>
        <v>-4.21347243229657E-8</v>
      </c>
    </row>
    <row r="92" spans="2:25" x14ac:dyDescent="0.25">
      <c r="B92" s="113">
        <f t="shared" si="87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3"/>
        <v>22.945799999999998</v>
      </c>
      <c r="K92" s="1">
        <f t="shared" si="73"/>
        <v>30</v>
      </c>
      <c r="L92" s="1">
        <f t="shared" si="74"/>
        <v>3.4011973816621555</v>
      </c>
      <c r="M92" s="3">
        <f t="shared" si="75"/>
        <v>378.78787878787881</v>
      </c>
      <c r="N92" s="3"/>
      <c r="O92" s="3">
        <f t="shared" si="76"/>
        <v>22727.272727272728</v>
      </c>
      <c r="P92" s="3">
        <f t="shared" si="77"/>
        <v>0</v>
      </c>
      <c r="Q92" s="3">
        <f t="shared" si="78"/>
        <v>49.321338383838388</v>
      </c>
      <c r="R92" s="3">
        <f t="shared" si="79"/>
        <v>0</v>
      </c>
      <c r="S92" s="3">
        <f t="shared" si="80"/>
        <v>30</v>
      </c>
      <c r="T92" s="4">
        <f t="shared" si="81"/>
        <v>22.945799999999998</v>
      </c>
      <c r="U92" s="4"/>
      <c r="V92">
        <f t="shared" si="84"/>
        <v>3.0770822607600001E-2</v>
      </c>
      <c r="W92" s="127">
        <f t="shared" si="85"/>
        <v>7.1107678547450686E-3</v>
      </c>
      <c r="X92" s="127">
        <f t="shared" si="86"/>
        <v>2.5541211873215492E-3</v>
      </c>
      <c r="Y92">
        <f t="shared" si="82"/>
        <v>-5.6190666121074085E-8</v>
      </c>
    </row>
    <row r="93" spans="2:25" x14ac:dyDescent="0.25">
      <c r="B93" s="113">
        <f t="shared" si="87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3"/>
        <v>28.194600000000005</v>
      </c>
      <c r="K93" s="1">
        <f t="shared" si="73"/>
        <v>35</v>
      </c>
      <c r="L93" s="1">
        <f t="shared" si="74"/>
        <v>3.5553480614894135</v>
      </c>
      <c r="M93" s="3">
        <f t="shared" si="75"/>
        <v>416.66666666666669</v>
      </c>
      <c r="N93" s="3"/>
      <c r="O93" s="3">
        <f t="shared" si="76"/>
        <v>25000</v>
      </c>
      <c r="P93" s="3">
        <f t="shared" si="77"/>
        <v>0</v>
      </c>
      <c r="Q93" s="3">
        <f t="shared" si="78"/>
        <v>54.253472222222221</v>
      </c>
      <c r="R93" s="3">
        <f t="shared" si="79"/>
        <v>0</v>
      </c>
      <c r="S93" s="3">
        <f t="shared" si="80"/>
        <v>35</v>
      </c>
      <c r="T93" s="4">
        <f t="shared" si="81"/>
        <v>28.194600000000005</v>
      </c>
      <c r="U93" s="4"/>
      <c r="V93">
        <f t="shared" si="84"/>
        <v>3.7809578881200012E-2</v>
      </c>
      <c r="W93" s="127">
        <f t="shared" si="85"/>
        <v>7.9430363313624987E-3</v>
      </c>
      <c r="X93" s="127">
        <f t="shared" si="86"/>
        <v>3.3863896639389794E-3</v>
      </c>
      <c r="Y93">
        <f t="shared" si="82"/>
        <v>-6.7727793278779586E-8</v>
      </c>
    </row>
    <row r="94" spans="2:25" x14ac:dyDescent="0.25">
      <c r="B94" s="113">
        <f t="shared" si="87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3"/>
        <v>31.509999999999994</v>
      </c>
      <c r="K94" s="1">
        <f t="shared" si="73"/>
        <v>40</v>
      </c>
      <c r="L94" s="1">
        <f t="shared" si="74"/>
        <v>3.6888794541139363</v>
      </c>
      <c r="M94" s="3">
        <f t="shared" si="75"/>
        <v>444.44444444444451</v>
      </c>
      <c r="N94" s="3"/>
      <c r="O94" s="3">
        <f t="shared" si="76"/>
        <v>26666.666666666672</v>
      </c>
      <c r="P94" s="3">
        <f t="shared" si="77"/>
        <v>0</v>
      </c>
      <c r="Q94" s="3">
        <f t="shared" si="78"/>
        <v>57.870370370370381</v>
      </c>
      <c r="R94" s="3">
        <f t="shared" si="79"/>
        <v>0</v>
      </c>
      <c r="S94" s="3">
        <f t="shared" si="80"/>
        <v>40</v>
      </c>
      <c r="T94" s="4">
        <f t="shared" si="81"/>
        <v>31.509999999999994</v>
      </c>
      <c r="U94" s="4"/>
      <c r="V94">
        <f t="shared" si="84"/>
        <v>4.2255603219999993E-2</v>
      </c>
      <c r="W94" s="127">
        <f t="shared" si="85"/>
        <v>8.3222410541789974E-3</v>
      </c>
      <c r="X94" s="127">
        <f t="shared" si="86"/>
        <v>3.765594386755478E-3</v>
      </c>
      <c r="Y94">
        <f t="shared" si="82"/>
        <v>-7.0604894751665205E-8</v>
      </c>
    </row>
    <row r="95" spans="2:25" x14ac:dyDescent="0.25">
      <c r="B95" s="113">
        <f t="shared" si="87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3"/>
        <v>41.222999999999999</v>
      </c>
      <c r="K95" s="1">
        <f t="shared" si="73"/>
        <v>50</v>
      </c>
      <c r="L95" s="1">
        <f t="shared" si="74"/>
        <v>3.912023005428146</v>
      </c>
      <c r="M95" s="3">
        <f t="shared" si="75"/>
        <v>497.51243781094524</v>
      </c>
      <c r="N95" s="3"/>
      <c r="O95" s="3">
        <f t="shared" si="76"/>
        <v>29850.746268656716</v>
      </c>
      <c r="P95" s="3">
        <f t="shared" si="77"/>
        <v>0</v>
      </c>
      <c r="Q95" s="3">
        <f t="shared" si="78"/>
        <v>64.780265339966832</v>
      </c>
      <c r="R95" s="3">
        <f t="shared" si="79"/>
        <v>0</v>
      </c>
      <c r="S95" s="3">
        <f t="shared" si="80"/>
        <v>50</v>
      </c>
      <c r="T95" s="4">
        <f t="shared" si="81"/>
        <v>41.222999999999999</v>
      </c>
      <c r="U95" s="4"/>
      <c r="V95">
        <f t="shared" si="84"/>
        <v>5.5280949906E-2</v>
      </c>
      <c r="W95" s="127">
        <f t="shared" si="85"/>
        <v>9.7262408883614527E-3</v>
      </c>
      <c r="X95" s="127">
        <f t="shared" si="86"/>
        <v>5.1695942209379333E-3</v>
      </c>
      <c r="Y95">
        <f t="shared" si="82"/>
        <v>-8.6590703200710378E-8</v>
      </c>
    </row>
    <row r="96" spans="2:25" x14ac:dyDescent="0.25">
      <c r="B96" s="113">
        <f t="shared" si="87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3"/>
        <v>51.816000000000003</v>
      </c>
      <c r="K96" s="1">
        <f t="shared" si="73"/>
        <v>60</v>
      </c>
      <c r="L96" s="1">
        <f t="shared" si="74"/>
        <v>4.0943445622221004</v>
      </c>
      <c r="M96" s="3">
        <f t="shared" si="75"/>
        <v>531.91489361702133</v>
      </c>
      <c r="N96" s="3"/>
      <c r="O96" s="3">
        <f t="shared" si="76"/>
        <v>31914.89361702128</v>
      </c>
      <c r="P96" s="3">
        <f t="shared" si="77"/>
        <v>0</v>
      </c>
      <c r="Q96" s="3">
        <f t="shared" si="78"/>
        <v>69.259751773049643</v>
      </c>
      <c r="R96" s="3">
        <f t="shared" si="79"/>
        <v>0</v>
      </c>
      <c r="S96" s="3">
        <f t="shared" si="80"/>
        <v>60</v>
      </c>
      <c r="T96" s="4">
        <f t="shared" si="81"/>
        <v>51.816000000000003</v>
      </c>
      <c r="U96" s="4"/>
      <c r="V96">
        <f t="shared" si="84"/>
        <v>6.9486395952000013E-2</v>
      </c>
      <c r="W96" s="127">
        <f t="shared" si="85"/>
        <v>1.1434866614916992E-2</v>
      </c>
      <c r="X96" s="127">
        <f t="shared" si="86"/>
        <v>6.8782199474934731E-3</v>
      </c>
      <c r="Y96">
        <f t="shared" si="82"/>
        <v>-1.0775877917739773E-7</v>
      </c>
    </row>
    <row r="97" spans="2:25" x14ac:dyDescent="0.25">
      <c r="B97" s="113">
        <f t="shared" si="87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3"/>
        <v>66.481399999999994</v>
      </c>
      <c r="K97" s="1">
        <f t="shared" si="73"/>
        <v>75</v>
      </c>
      <c r="L97" s="1">
        <f t="shared" si="74"/>
        <v>4.3174881135363101</v>
      </c>
      <c r="M97" s="3">
        <f t="shared" si="75"/>
        <v>613.49693251533745</v>
      </c>
      <c r="N97" s="3"/>
      <c r="O97" s="3">
        <f t="shared" si="76"/>
        <v>36809.815950920245</v>
      </c>
      <c r="P97" s="3">
        <f t="shared" si="77"/>
        <v>0</v>
      </c>
      <c r="Q97" s="3">
        <f t="shared" si="78"/>
        <v>79.882413087934552</v>
      </c>
      <c r="R97" s="3">
        <f t="shared" si="79"/>
        <v>0</v>
      </c>
      <c r="S97" s="3">
        <f t="shared" si="80"/>
        <v>75</v>
      </c>
      <c r="T97" s="4">
        <f t="shared" si="81"/>
        <v>66.481399999999994</v>
      </c>
      <c r="U97" s="4"/>
      <c r="V97">
        <f t="shared" si="84"/>
        <v>8.9153019990799998E-2</v>
      </c>
      <c r="W97" s="127">
        <f t="shared" si="85"/>
        <v>1.2720293456940682E-2</v>
      </c>
      <c r="X97" s="127">
        <f t="shared" si="86"/>
        <v>8.1636467895171635E-3</v>
      </c>
      <c r="Y97">
        <f t="shared" si="82"/>
        <v>-1.1088953555760814E-7</v>
      </c>
    </row>
    <row r="98" spans="2:25" x14ac:dyDescent="0.25">
      <c r="B98" s="113">
        <f t="shared" si="87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3"/>
        <v>80.820000000000007</v>
      </c>
      <c r="K98" s="1">
        <f t="shared" si="73"/>
        <v>90</v>
      </c>
      <c r="L98" s="1">
        <f t="shared" si="74"/>
        <v>4.499809670330265</v>
      </c>
      <c r="M98" s="3">
        <f t="shared" si="75"/>
        <v>657.89473684210532</v>
      </c>
      <c r="N98" s="3"/>
      <c r="O98" s="3">
        <f t="shared" si="76"/>
        <v>39473.68421052632</v>
      </c>
      <c r="P98" s="3">
        <f t="shared" si="77"/>
        <v>0</v>
      </c>
      <c r="Q98" s="3">
        <f t="shared" si="78"/>
        <v>85.663377192982466</v>
      </c>
      <c r="R98" s="3">
        <f t="shared" si="79"/>
        <v>0</v>
      </c>
      <c r="S98" s="3">
        <f t="shared" si="80"/>
        <v>90</v>
      </c>
      <c r="T98" s="4">
        <f t="shared" si="81"/>
        <v>80.820000000000007</v>
      </c>
      <c r="U98" s="4"/>
      <c r="V98">
        <f t="shared" si="84"/>
        <v>0.10838139804000002</v>
      </c>
      <c r="W98" s="127">
        <f t="shared" si="85"/>
        <v>1.4420217263487361E-2</v>
      </c>
      <c r="X98" s="127">
        <f t="shared" si="86"/>
        <v>9.8635705960638427E-3</v>
      </c>
      <c r="Y98">
        <f t="shared" si="82"/>
        <v>-1.2493856088347532E-7</v>
      </c>
    </row>
    <row r="99" spans="2:25" x14ac:dyDescent="0.25">
      <c r="B99" s="113">
        <f t="shared" si="87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3"/>
        <v>99.012000000000015</v>
      </c>
      <c r="K99" s="1">
        <f t="shared" si="73"/>
        <v>109</v>
      </c>
      <c r="L99" s="1">
        <f t="shared" si="74"/>
        <v>4.6913478822291435</v>
      </c>
      <c r="M99" s="3">
        <f t="shared" si="75"/>
        <v>719.42446043165478</v>
      </c>
      <c r="N99" s="3"/>
      <c r="O99" s="3">
        <f t="shared" si="76"/>
        <v>43165.467625899284</v>
      </c>
      <c r="P99" s="3">
        <f t="shared" si="77"/>
        <v>0</v>
      </c>
      <c r="Q99" s="3">
        <f t="shared" si="78"/>
        <v>93.675059952038382</v>
      </c>
      <c r="R99" s="3">
        <f t="shared" si="79"/>
        <v>0</v>
      </c>
      <c r="S99" s="3">
        <f t="shared" si="80"/>
        <v>109</v>
      </c>
      <c r="T99" s="4">
        <f t="shared" si="81"/>
        <v>99.012000000000015</v>
      </c>
      <c r="U99" s="4"/>
      <c r="V99">
        <f t="shared" si="84"/>
        <v>0.13277727026400002</v>
      </c>
      <c r="W99" s="127">
        <f t="shared" si="85"/>
        <v>1.6155187509381233E-2</v>
      </c>
      <c r="X99" s="127">
        <f t="shared" si="86"/>
        <v>1.1598540841957713E-2</v>
      </c>
      <c r="Y99">
        <f t="shared" si="82"/>
        <v>-1.3434976475267684E-7</v>
      </c>
    </row>
    <row r="100" spans="2:25" ht="15.75" thickBot="1" x14ac:dyDescent="0.3">
      <c r="B100" s="116">
        <f t="shared" si="87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3"/>
        <v>118.28099999999999</v>
      </c>
      <c r="K100" s="1">
        <f t="shared" si="73"/>
        <v>130</v>
      </c>
      <c r="L100" s="1">
        <f t="shared" si="74"/>
        <v>4.8675344504555822</v>
      </c>
      <c r="M100" s="3">
        <f t="shared" si="75"/>
        <v>740.74074074074076</v>
      </c>
      <c r="N100" s="3"/>
      <c r="O100" s="3">
        <f t="shared" si="76"/>
        <v>44444.444444444445</v>
      </c>
      <c r="P100" s="3">
        <f t="shared" si="77"/>
        <v>0</v>
      </c>
      <c r="Q100" s="3">
        <f t="shared" si="78"/>
        <v>96.450617283950621</v>
      </c>
      <c r="R100" s="3">
        <f t="shared" si="79"/>
        <v>0</v>
      </c>
      <c r="S100" s="3">
        <f t="shared" si="80"/>
        <v>130</v>
      </c>
      <c r="T100" s="4">
        <f t="shared" si="81"/>
        <v>118.28099999999999</v>
      </c>
      <c r="U100" s="4"/>
      <c r="V100">
        <f t="shared" si="84"/>
        <v>0.15861742318200001</v>
      </c>
      <c r="W100" s="127">
        <f t="shared" si="85"/>
        <v>1.8743820897416941E-2</v>
      </c>
      <c r="X100" s="127">
        <f t="shared" si="86"/>
        <v>1.418717422999342E-2</v>
      </c>
      <c r="Y100">
        <f t="shared" si="82"/>
        <v>-1.5960571008742599E-7</v>
      </c>
    </row>
    <row r="101" spans="2:25" x14ac:dyDescent="0.25">
      <c r="B101" s="144">
        <f t="shared" si="87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3"/>
        <v>152.48400000000001</v>
      </c>
      <c r="K101" s="1">
        <f t="shared" si="73"/>
        <v>152</v>
      </c>
      <c r="L101" s="1">
        <f t="shared" si="74"/>
        <v>5.0238805208462765</v>
      </c>
      <c r="M101" s="1">
        <f t="shared" si="75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80"/>
        <v>152</v>
      </c>
      <c r="T101" s="4">
        <f t="shared" si="81"/>
        <v>152.48400000000001</v>
      </c>
      <c r="U101" s="4"/>
      <c r="V101">
        <f t="shared" si="84"/>
        <v>0.20448439864800003</v>
      </c>
      <c r="W101" s="127">
        <f t="shared" si="85"/>
        <v>2.2910977316251649E-2</v>
      </c>
      <c r="X101" s="127">
        <f t="shared" si="86"/>
        <v>1.8354330648828129E-2</v>
      </c>
      <c r="Y101">
        <f t="shared" si="82"/>
        <v>-1.9577952692083334E-7</v>
      </c>
    </row>
    <row r="102" spans="2:25" x14ac:dyDescent="0.25">
      <c r="B102" s="144">
        <f t="shared" si="87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3"/>
        <v>183.08879999999999</v>
      </c>
      <c r="K102" s="1">
        <f t="shared" si="73"/>
        <v>164</v>
      </c>
      <c r="L102" s="1">
        <f t="shared" si="74"/>
        <v>5.0998664278241987</v>
      </c>
      <c r="M102" s="1">
        <f t="shared" si="75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80"/>
        <v>164</v>
      </c>
      <c r="T102" s="4">
        <f t="shared" si="81"/>
        <v>183.08879999999999</v>
      </c>
      <c r="U102" s="4"/>
      <c r="V102">
        <f t="shared" si="84"/>
        <v>0.24552610875360001</v>
      </c>
      <c r="W102" s="127">
        <f t="shared" si="85"/>
        <v>2.6563764337382487E-2</v>
      </c>
      <c r="X102" s="127">
        <f t="shared" si="86"/>
        <v>2.2007117669958966E-2</v>
      </c>
      <c r="Y102">
        <f t="shared" si="82"/>
        <v>-2.2667331200057733E-7</v>
      </c>
    </row>
    <row r="103" spans="2:25" x14ac:dyDescent="0.25">
      <c r="W103" s="127"/>
    </row>
    <row r="104" spans="2:25" x14ac:dyDescent="0.25">
      <c r="W104" s="12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C2" sqref="C2:C10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0" activePane="bottomLeft" state="frozen"/>
      <selection pane="bottomLeft" activeCell="M6" sqref="M6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ht="14.45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ht="14.45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ht="14.45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ht="14.45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ht="14.45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Arduino1_Turnigy1_1a1ba</vt:lpstr>
      <vt:lpstr>Ard1_Turn1_ESC1_G1b_T1a</vt:lpstr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2016-12-07T20:16:05Z</dcterms:modified>
</cp:coreProperties>
</file>