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3.xml" ContentType="application/vnd.openxmlformats-officedocument.drawing+xml"/>
  <Override PartName="/xl/charts/chart18.xml" ContentType="application/vnd.openxmlformats-officedocument.drawingml.chart+xml"/>
  <Override PartName="/xl/drawings/drawing4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5.xml" ContentType="application/vnd.openxmlformats-officedocument.drawing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6.xml" ContentType="application/vnd.openxmlformats-officedocument.drawing+xml"/>
  <Override PartName="/xl/charts/chart3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  <Override PartName="/xl/charts/colors3.xml" ContentType="application/vnd.ms-office.chartcolorstyle+xml"/>
  <Override PartName="/xl/charts/style3.xml" ContentType="application/vnd.ms-office.chartstyle+xml"/>
  <Override PartName="/xl/charts/colors4.xml" ContentType="application/vnd.ms-office.chartcolorstyle+xml"/>
  <Override PartName="/xl/charts/style4.xml" ContentType="application/vnd.ms-office.chartstyle+xml"/>
  <Override PartName="/xl/charts/colors5.xml" ContentType="application/vnd.ms-office.chartcolorstyle+xml"/>
  <Override PartName="/xl/charts/style5.xml" ContentType="application/vnd.ms-office.chartstyle+xml"/>
  <Override PartName="/xl/charts/colors6.xml" ContentType="application/vnd.ms-office.chartcolorstyle+xml"/>
  <Override PartName="/xl/charts/style6.xml" ContentType="application/vnd.ms-office.chartstyle+xml"/>
  <Override PartName="/xl/charts/colors7.xml" ContentType="application/vnd.ms-office.chartcolorstyle+xml"/>
  <Override PartName="/xl/charts/style7.xml" ContentType="application/vnd.ms-office.chartstyle+xml"/>
  <Override PartName="/xl/charts/colors8.xml" ContentType="application/vnd.ms-office.chartcolorstyle+xml"/>
  <Override PartName="/xl/charts/style8.xml" ContentType="application/vnd.ms-office.chartstyle+xml"/>
  <Override PartName="/xl/charts/colors9.xml" ContentType="application/vnd.ms-office.chartcolorstyle+xml"/>
  <Override PartName="/xl/charts/style9.xml" ContentType="application/vnd.ms-office.chartstyle+xml"/>
  <Override PartName="/xl/charts/colors10.xml" ContentType="application/vnd.ms-office.chartcolorstyle+xml"/>
  <Override PartName="/xl/charts/style10.xml" ContentType="application/vnd.ms-office.chartstyle+xml"/>
  <Override PartName="/xl/charts/colors11.xml" ContentType="application/vnd.ms-office.chartcolorstyle+xml"/>
  <Override PartName="/xl/charts/style11.xml" ContentType="application/vnd.ms-office.chartstyle+xml"/>
  <Override PartName="/xl/charts/colors12.xml" ContentType="application/vnd.ms-office.chartcolorstyle+xml"/>
  <Override PartName="/xl/charts/style12.xml" ContentType="application/vnd.ms-office.chartstyle+xml"/>
  <Override PartName="/xl/charts/colors13.xml" ContentType="application/vnd.ms-office.chartcolorstyle+xml"/>
  <Override PartName="/xl/charts/style13.xml" ContentType="application/vnd.ms-office.chartstyle+xml"/>
  <Override PartName="/xl/charts/colors14.xml" ContentType="application/vnd.ms-office.chartcolorstyle+xml"/>
  <Override PartName="/xl/charts/style14.xml" ContentType="application/vnd.ms-office.chartstyle+xml"/>
  <Override PartName="/xl/charts/colors15.xml" ContentType="application/vnd.ms-office.chartcolorstyle+xml"/>
  <Override PartName="/xl/charts/style15.xml" ContentType="application/vnd.ms-office.chartstyle+xml"/>
  <Override PartName="/xl/charts/colors16.xml" ContentType="application/vnd.ms-office.chartcolorstyle+xml"/>
  <Override PartName="/xl/charts/style16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defaultThemeVersion="124226"/>
  <bookViews>
    <workbookView xWindow="0" yWindow="0" windowWidth="19650" windowHeight="8385"/>
  </bookViews>
  <sheets>
    <sheet name="Ard1_Turn1_ESC1_G1b_T1a" sheetId="7" r:id="rId1"/>
    <sheet name="CalPhotonTurnigy" sheetId="4" r:id="rId2"/>
    <sheet name="TauPhotonTurnigy" sheetId="5" r:id="rId3"/>
    <sheet name="CalArduinoTurnigy" sheetId="3" r:id="rId4"/>
    <sheet name="CalArduinoHiTec" sheetId="1" r:id="rId5"/>
    <sheet name="CalPhotonHiTec" sheetId="2" r:id="rId6"/>
  </sheets>
  <calcPr calcId="145621"/>
</workbook>
</file>

<file path=xl/calcChain.xml><?xml version="1.0" encoding="utf-8"?>
<calcChain xmlns="http://schemas.openxmlformats.org/spreadsheetml/2006/main">
  <c r="C21" i="7" l="1"/>
  <c r="C20" i="7"/>
  <c r="C19" i="7"/>
  <c r="C18" i="7"/>
  <c r="O21" i="7"/>
  <c r="Q21" i="7" s="1"/>
  <c r="AE21" i="7" s="1"/>
  <c r="N21" i="7"/>
  <c r="P21" i="7" s="1"/>
  <c r="L21" i="7"/>
  <c r="T21" i="7" s="1"/>
  <c r="K21" i="7"/>
  <c r="U21" i="7" s="1"/>
  <c r="O20" i="7"/>
  <c r="Q20" i="7" s="1"/>
  <c r="N20" i="7"/>
  <c r="P20" i="7" s="1"/>
  <c r="L20" i="7"/>
  <c r="M20" i="7" s="1"/>
  <c r="K20" i="7"/>
  <c r="U20" i="7" s="1"/>
  <c r="O19" i="7"/>
  <c r="Q19" i="7" s="1"/>
  <c r="N19" i="7"/>
  <c r="P19" i="7" s="1"/>
  <c r="L19" i="7"/>
  <c r="M19" i="7" s="1"/>
  <c r="K19" i="7"/>
  <c r="U19" i="7" s="1"/>
  <c r="O18" i="7"/>
  <c r="Q18" i="7" s="1"/>
  <c r="AE18" i="7" s="1"/>
  <c r="N18" i="7"/>
  <c r="P18" i="7" s="1"/>
  <c r="L18" i="7"/>
  <c r="T18" i="7" s="1"/>
  <c r="K18" i="7"/>
  <c r="U18" i="7" s="1"/>
  <c r="AB56" i="7"/>
  <c r="AB57" i="7"/>
  <c r="AB58" i="7"/>
  <c r="U50" i="7"/>
  <c r="Y38" i="7"/>
  <c r="AF38" i="7" s="1"/>
  <c r="AF44" i="7"/>
  <c r="Y36" i="7"/>
  <c r="AA36" i="7" s="1"/>
  <c r="Z22" i="7" s="1"/>
  <c r="AF42" i="7"/>
  <c r="AC35" i="7"/>
  <c r="Y35" i="7"/>
  <c r="S9" i="7" s="1"/>
  <c r="AF39" i="7"/>
  <c r="Y29" i="7"/>
  <c r="Y30" i="7" s="1"/>
  <c r="AF30" i="7"/>
  <c r="AK29" i="7"/>
  <c r="AF29" i="7"/>
  <c r="AK28" i="7"/>
  <c r="AK30" i="7" s="1"/>
  <c r="AK31" i="7" s="1"/>
  <c r="AK27" i="7"/>
  <c r="AF27" i="7"/>
  <c r="AF26" i="7"/>
  <c r="AF25" i="7"/>
  <c r="AF24" i="7"/>
  <c r="O22" i="7"/>
  <c r="Q22" i="7" s="1"/>
  <c r="N22" i="7"/>
  <c r="P22" i="7" s="1"/>
  <c r="L22" i="7"/>
  <c r="T22" i="7" s="1"/>
  <c r="K22" i="7"/>
  <c r="U22" i="7" s="1"/>
  <c r="C22" i="7"/>
  <c r="O17" i="7"/>
  <c r="Q17" i="7" s="1"/>
  <c r="AE17" i="7" s="1"/>
  <c r="N17" i="7"/>
  <c r="P17" i="7" s="1"/>
  <c r="L17" i="7"/>
  <c r="K17" i="7"/>
  <c r="U17" i="7" s="1"/>
  <c r="C17" i="7"/>
  <c r="O16" i="7"/>
  <c r="Q16" i="7" s="1"/>
  <c r="AE16" i="7" s="1"/>
  <c r="N16" i="7"/>
  <c r="P16" i="7" s="1"/>
  <c r="L16" i="7"/>
  <c r="T16" i="7" s="1"/>
  <c r="K16" i="7"/>
  <c r="U16" i="7" s="1"/>
  <c r="C16" i="7"/>
  <c r="O15" i="7"/>
  <c r="Q15" i="7" s="1"/>
  <c r="AE15" i="7" s="1"/>
  <c r="N15" i="7"/>
  <c r="P15" i="7" s="1"/>
  <c r="L15" i="7"/>
  <c r="M15" i="7" s="1"/>
  <c r="K15" i="7"/>
  <c r="U15" i="7" s="1"/>
  <c r="C15" i="7"/>
  <c r="O14" i="7"/>
  <c r="Q14" i="7" s="1"/>
  <c r="N14" i="7"/>
  <c r="P14" i="7" s="1"/>
  <c r="L14" i="7"/>
  <c r="T14" i="7" s="1"/>
  <c r="K14" i="7"/>
  <c r="U14" i="7" s="1"/>
  <c r="C14" i="7"/>
  <c r="O13" i="7"/>
  <c r="Q13" i="7" s="1"/>
  <c r="N13" i="7"/>
  <c r="P13" i="7" s="1"/>
  <c r="L13" i="7"/>
  <c r="T13" i="7" s="1"/>
  <c r="K13" i="7"/>
  <c r="U13" i="7" s="1"/>
  <c r="C13" i="7"/>
  <c r="O12" i="7"/>
  <c r="Q12" i="7" s="1"/>
  <c r="N12" i="7"/>
  <c r="P12" i="7" s="1"/>
  <c r="L12" i="7"/>
  <c r="M12" i="7" s="1"/>
  <c r="K12" i="7"/>
  <c r="U12" i="7" s="1"/>
  <c r="C12" i="7"/>
  <c r="O11" i="7"/>
  <c r="Q11" i="7" s="1"/>
  <c r="AE11" i="7" s="1"/>
  <c r="N11" i="7"/>
  <c r="P11" i="7" s="1"/>
  <c r="L11" i="7"/>
  <c r="M11" i="7" s="1"/>
  <c r="K11" i="7"/>
  <c r="U11" i="7" s="1"/>
  <c r="C11" i="7"/>
  <c r="O10" i="7"/>
  <c r="Q10" i="7" s="1"/>
  <c r="AE10" i="7" s="1"/>
  <c r="N10" i="7"/>
  <c r="P10" i="7" s="1"/>
  <c r="L10" i="7"/>
  <c r="M10" i="7" s="1"/>
  <c r="K10" i="7"/>
  <c r="U10" i="7" s="1"/>
  <c r="C10" i="7"/>
  <c r="AE9" i="7"/>
  <c r="O9" i="7"/>
  <c r="N9" i="7"/>
  <c r="P9" i="7" s="1"/>
  <c r="K9" i="7"/>
  <c r="U9" i="7" s="1"/>
  <c r="U8" i="7"/>
  <c r="L8" i="7"/>
  <c r="T8" i="7" s="1"/>
  <c r="C8" i="7"/>
  <c r="U7" i="7"/>
  <c r="AH21" i="7" l="1"/>
  <c r="AI21" i="7" s="1"/>
  <c r="AH18" i="7"/>
  <c r="AI18" i="7" s="1"/>
  <c r="AH19" i="7"/>
  <c r="AI19" i="7" s="1"/>
  <c r="Z20" i="7"/>
  <c r="AA20" i="7" s="1"/>
  <c r="AB20" i="7" s="1"/>
  <c r="W18" i="7"/>
  <c r="W21" i="7"/>
  <c r="X21" i="7" s="1"/>
  <c r="M18" i="7"/>
  <c r="V18" i="7"/>
  <c r="AH20" i="7"/>
  <c r="AI20" i="7" s="1"/>
  <c r="M21" i="7"/>
  <c r="X18" i="7"/>
  <c r="AE20" i="7"/>
  <c r="S20" i="7"/>
  <c r="R18" i="7"/>
  <c r="W20" i="7"/>
  <c r="X20" i="7" s="1"/>
  <c r="V20" i="7"/>
  <c r="S19" i="7"/>
  <c r="AE19" i="7"/>
  <c r="R19" i="7"/>
  <c r="V19" i="7"/>
  <c r="W19" i="7"/>
  <c r="X19" i="7" s="1"/>
  <c r="T20" i="7"/>
  <c r="S18" i="7"/>
  <c r="T19" i="7"/>
  <c r="R21" i="7"/>
  <c r="V21" i="7"/>
  <c r="R20" i="7"/>
  <c r="S21" i="7"/>
  <c r="T12" i="7"/>
  <c r="R22" i="7"/>
  <c r="M14" i="7"/>
  <c r="AH8" i="7"/>
  <c r="AI8" i="7" s="1"/>
  <c r="AH17" i="7"/>
  <c r="AI17" i="7" s="1"/>
  <c r="M8" i="7"/>
  <c r="W17" i="7"/>
  <c r="X17" i="7" s="1"/>
  <c r="S8" i="7"/>
  <c r="M13" i="7"/>
  <c r="S16" i="7"/>
  <c r="R14" i="7"/>
  <c r="AE14" i="7"/>
  <c r="S14" i="7"/>
  <c r="AF46" i="7"/>
  <c r="AF37" i="7"/>
  <c r="AC22" i="7"/>
  <c r="AD22" i="7" s="1"/>
  <c r="AA22" i="7"/>
  <c r="AH13" i="7"/>
  <c r="AI13" i="7" s="1"/>
  <c r="S17" i="7"/>
  <c r="AF28" i="7"/>
  <c r="R8" i="7"/>
  <c r="V15" i="7"/>
  <c r="M16" i="7"/>
  <c r="AE13" i="7"/>
  <c r="S13" i="7"/>
  <c r="R9" i="7"/>
  <c r="W10" i="7"/>
  <c r="X10" i="7" s="1"/>
  <c r="Y10" i="7" s="1"/>
  <c r="W11" i="7"/>
  <c r="X11" i="7" s="1"/>
  <c r="AB51" i="7"/>
  <c r="AB50" i="7"/>
  <c r="AG33" i="7" s="1"/>
  <c r="R12" i="7"/>
  <c r="R13" i="7"/>
  <c r="V13" i="7"/>
  <c r="V14" i="7"/>
  <c r="W14" i="7"/>
  <c r="X14" i="7" s="1"/>
  <c r="Y14" i="7" s="1"/>
  <c r="V17" i="7"/>
  <c r="R17" i="7"/>
  <c r="R10" i="7"/>
  <c r="R11" i="7"/>
  <c r="M17" i="7"/>
  <c r="T17" i="7"/>
  <c r="R16" i="7"/>
  <c r="V9" i="7"/>
  <c r="W9" i="7"/>
  <c r="T10" i="7"/>
  <c r="T11" i="7"/>
  <c r="W12" i="7"/>
  <c r="X12" i="7" s="1"/>
  <c r="W15" i="7"/>
  <c r="X15" i="7" s="1"/>
  <c r="R15" i="7"/>
  <c r="W16" i="7"/>
  <c r="X16" i="7" s="1"/>
  <c r="V16" i="7"/>
  <c r="Y49" i="7"/>
  <c r="AG31" i="7" s="1"/>
  <c r="AB48" i="7"/>
  <c r="AG34" i="7" s="1"/>
  <c r="Y48" i="7"/>
  <c r="AH31" i="7" s="1"/>
  <c r="AB49" i="7"/>
  <c r="AF34" i="7" s="1"/>
  <c r="AH12" i="7"/>
  <c r="AI12" i="7" s="1"/>
  <c r="V10" i="7"/>
  <c r="V11" i="7"/>
  <c r="V12" i="7"/>
  <c r="S15" i="7"/>
  <c r="AH16" i="7"/>
  <c r="AI16" i="7" s="1"/>
  <c r="M22" i="7"/>
  <c r="AE22" i="7"/>
  <c r="S22" i="7"/>
  <c r="AH22" i="7"/>
  <c r="AI22" i="7" s="1"/>
  <c r="AH10" i="7"/>
  <c r="AI10" i="7" s="1"/>
  <c r="AH11" i="7"/>
  <c r="AI11" i="7" s="1"/>
  <c r="S10" i="7"/>
  <c r="S11" i="7"/>
  <c r="S12" i="7"/>
  <c r="AE12" i="7"/>
  <c r="W13" i="7"/>
  <c r="X13" i="7" s="1"/>
  <c r="AH14" i="7"/>
  <c r="AI14" i="7" s="1"/>
  <c r="T15" i="7"/>
  <c r="W22" i="7"/>
  <c r="X22" i="7" s="1"/>
  <c r="V22" i="7"/>
  <c r="Y50" i="7"/>
  <c r="AF31" i="7" s="1"/>
  <c r="AK32" i="7"/>
  <c r="AK33" i="7" s="1"/>
  <c r="AK34" i="7" s="1"/>
  <c r="Y31" i="7" s="1"/>
  <c r="X55" i="4"/>
  <c r="X54" i="4"/>
  <c r="X53" i="4"/>
  <c r="AA54" i="4"/>
  <c r="AA53" i="4"/>
  <c r="AA56" i="4"/>
  <c r="AA55" i="4"/>
  <c r="Y18" i="7" l="1"/>
  <c r="Z21" i="7"/>
  <c r="Y19" i="7"/>
  <c r="AC21" i="7"/>
  <c r="AF21" i="7" s="1"/>
  <c r="AA21" i="7"/>
  <c r="Z19" i="7"/>
  <c r="AA19" i="7" s="1"/>
  <c r="AB19" i="7" s="1"/>
  <c r="Z18" i="7"/>
  <c r="AA18" i="7" s="1"/>
  <c r="AB18" i="7" s="1"/>
  <c r="Y21" i="7"/>
  <c r="AC20" i="7"/>
  <c r="Y20" i="7"/>
  <c r="AF20" i="7"/>
  <c r="AG20" i="7" s="1"/>
  <c r="AC19" i="7"/>
  <c r="AF19" i="7" s="1"/>
  <c r="AB21" i="7"/>
  <c r="AD20" i="7"/>
  <c r="AD21" i="7"/>
  <c r="Y17" i="7"/>
  <c r="Y16" i="7"/>
  <c r="Z11" i="7"/>
  <c r="AA11" i="7" s="1"/>
  <c r="AB11" i="7" s="1"/>
  <c r="Z10" i="7"/>
  <c r="AA10" i="7" s="1"/>
  <c r="AB10" i="7" s="1"/>
  <c r="Z9" i="7"/>
  <c r="AC9" i="7" s="1"/>
  <c r="Y22" i="7"/>
  <c r="Y13" i="7"/>
  <c r="Y15" i="7"/>
  <c r="AF22" i="7"/>
  <c r="Y12" i="7"/>
  <c r="Y51" i="7"/>
  <c r="AG32" i="7" s="1"/>
  <c r="Y11" i="7"/>
  <c r="AB22" i="7"/>
  <c r="Z13" i="7"/>
  <c r="AC13" i="7" s="1"/>
  <c r="AD13" i="7" s="1"/>
  <c r="Z17" i="7"/>
  <c r="Z15" i="7"/>
  <c r="AC15" i="7" s="1"/>
  <c r="Z16" i="7"/>
  <c r="AC16" i="7" s="1"/>
  <c r="Z12" i="7"/>
  <c r="AA12" i="7" s="1"/>
  <c r="AB12" i="7" s="1"/>
  <c r="Z14" i="7"/>
  <c r="Y52" i="7"/>
  <c r="AF32" i="7" s="1"/>
  <c r="AA9" i="7"/>
  <c r="AF43" i="7"/>
  <c r="AB41" i="7"/>
  <c r="AB43" i="7" s="1"/>
  <c r="AB44" i="7" s="1"/>
  <c r="AF33" i="7"/>
  <c r="AR22" i="4"/>
  <c r="AR23" i="4"/>
  <c r="AR24" i="4"/>
  <c r="AR25" i="4"/>
  <c r="AR26" i="4"/>
  <c r="AR27" i="4"/>
  <c r="AR28" i="4"/>
  <c r="AR29" i="4"/>
  <c r="AR21" i="4"/>
  <c r="AC18" i="7" l="1"/>
  <c r="AD18" i="7" s="1"/>
  <c r="AG21" i="7"/>
  <c r="AJ21" i="7"/>
  <c r="AO21" i="7" s="1"/>
  <c r="AN21" i="7" s="1"/>
  <c r="AK18" i="7"/>
  <c r="AL18" i="7" s="1"/>
  <c r="AM18" i="7" s="1"/>
  <c r="AK19" i="7"/>
  <c r="AL19" i="7" s="1"/>
  <c r="AM19" i="7" s="1"/>
  <c r="AJ18" i="7"/>
  <c r="AO18" i="7" s="1"/>
  <c r="AN18" i="7" s="1"/>
  <c r="AK21" i="7"/>
  <c r="AJ20" i="7"/>
  <c r="AK20" i="7"/>
  <c r="AL20" i="7" s="1"/>
  <c r="AM20" i="7" s="1"/>
  <c r="AJ19" i="7"/>
  <c r="AO19" i="7" s="1"/>
  <c r="AN19" i="7" s="1"/>
  <c r="AL21" i="7"/>
  <c r="AM21" i="7" s="1"/>
  <c r="AO20" i="7"/>
  <c r="AN20" i="7" s="1"/>
  <c r="AD19" i="7"/>
  <c r="AG19" i="7"/>
  <c r="AF18" i="7"/>
  <c r="AG18" i="7" s="1"/>
  <c r="AC11" i="7"/>
  <c r="AD11" i="7" s="1"/>
  <c r="AC10" i="7"/>
  <c r="AF10" i="7" s="1"/>
  <c r="Y58" i="7"/>
  <c r="AF35" i="7" s="1"/>
  <c r="AA13" i="7"/>
  <c r="AB13" i="7" s="1"/>
  <c r="AC12" i="7"/>
  <c r="AD12" i="7" s="1"/>
  <c r="Y57" i="7"/>
  <c r="AG35" i="7" s="1"/>
  <c r="AA16" i="7"/>
  <c r="AB16" i="7" s="1"/>
  <c r="Y56" i="7"/>
  <c r="AH35" i="7" s="1"/>
  <c r="AF12" i="7"/>
  <c r="AA14" i="7"/>
  <c r="AB14" i="7" s="1"/>
  <c r="AC14" i="7"/>
  <c r="AA15" i="7"/>
  <c r="AB15" i="7" s="1"/>
  <c r="AC17" i="7"/>
  <c r="AA17" i="7"/>
  <c r="AB17" i="7" s="1"/>
  <c r="AD9" i="7"/>
  <c r="AF9" i="7"/>
  <c r="AH36" i="7"/>
  <c r="AD16" i="7"/>
  <c r="AF16" i="7"/>
  <c r="AJ22" i="7"/>
  <c r="AO22" i="7" s="1"/>
  <c r="AN22" i="7" s="1"/>
  <c r="AK17" i="7"/>
  <c r="AL17" i="7" s="1"/>
  <c r="AM17" i="7" s="1"/>
  <c r="AK16" i="7"/>
  <c r="AL16" i="7" s="1"/>
  <c r="AM16" i="7" s="1"/>
  <c r="AJ15" i="7"/>
  <c r="AO15" i="7" s="1"/>
  <c r="AN15" i="7" s="1"/>
  <c r="AK14" i="7"/>
  <c r="AL14" i="7" s="1"/>
  <c r="AM14" i="7" s="1"/>
  <c r="AJ13" i="7"/>
  <c r="AK22" i="7"/>
  <c r="AL22" i="7" s="1"/>
  <c r="AM22" i="7" s="1"/>
  <c r="AJ12" i="7"/>
  <c r="AJ11" i="7"/>
  <c r="AJ10" i="7"/>
  <c r="AK8" i="7"/>
  <c r="AL8" i="7" s="1"/>
  <c r="AM8" i="7" s="1"/>
  <c r="AJ17" i="7"/>
  <c r="AK13" i="7"/>
  <c r="AL13" i="7" s="1"/>
  <c r="AM13" i="7" s="1"/>
  <c r="AJ8" i="7"/>
  <c r="AO8" i="7" s="1"/>
  <c r="AK15" i="7"/>
  <c r="AL15" i="7" s="1"/>
  <c r="AM15" i="7" s="1"/>
  <c r="AJ14" i="7"/>
  <c r="Y54" i="7"/>
  <c r="AJ16" i="7"/>
  <c r="AO16" i="7" s="1"/>
  <c r="AN16" i="7" s="1"/>
  <c r="AK12" i="7"/>
  <c r="AL12" i="7" s="1"/>
  <c r="AM12" i="7" s="1"/>
  <c r="AK11" i="7"/>
  <c r="AL11" i="7" s="1"/>
  <c r="AM11" i="7" s="1"/>
  <c r="AK10" i="7"/>
  <c r="AL10" i="7" s="1"/>
  <c r="AM10" i="7" s="1"/>
  <c r="D9" i="7"/>
  <c r="AF36" i="7"/>
  <c r="AF13" i="7"/>
  <c r="AD10" i="7"/>
  <c r="AD15" i="7"/>
  <c r="AF15" i="7"/>
  <c r="H2" i="5"/>
  <c r="J2" i="5"/>
  <c r="AF11" i="7" l="1"/>
  <c r="AR21" i="7"/>
  <c r="AS21" i="7" s="1"/>
  <c r="AR18" i="7"/>
  <c r="AS18" i="7" s="1"/>
  <c r="AR20" i="7"/>
  <c r="AS20" i="7" s="1"/>
  <c r="AR19" i="7"/>
  <c r="AS19" i="7" s="1"/>
  <c r="AP19" i="7"/>
  <c r="AP20" i="7"/>
  <c r="AQ20" i="7" s="1"/>
  <c r="AP18" i="7"/>
  <c r="AQ18" i="7" s="1"/>
  <c r="AP21" i="7"/>
  <c r="AQ21" i="7" s="1"/>
  <c r="AQ19" i="7"/>
  <c r="AR11" i="7"/>
  <c r="AS11" i="7" s="1"/>
  <c r="AR12" i="7"/>
  <c r="AR14" i="7"/>
  <c r="AR10" i="7"/>
  <c r="AR17" i="7"/>
  <c r="AS17" i="7" s="1"/>
  <c r="AR13" i="7"/>
  <c r="AO17" i="7"/>
  <c r="AN17" i="7" s="1"/>
  <c r="AO13" i="7"/>
  <c r="AN13" i="7" s="1"/>
  <c r="AD17" i="7"/>
  <c r="AF17" i="7"/>
  <c r="AF41" i="7" s="1"/>
  <c r="AD14" i="7"/>
  <c r="AF14" i="7"/>
  <c r="AO14" i="7"/>
  <c r="AN14" i="7" s="1"/>
  <c r="AO11" i="7"/>
  <c r="AP12" i="7"/>
  <c r="AQ12" i="7" s="1"/>
  <c r="AP22" i="7"/>
  <c r="AQ22" i="7" s="1"/>
  <c r="AR22" i="7"/>
  <c r="AP10" i="7"/>
  <c r="AQ10" i="7" s="1"/>
  <c r="AO12" i="7"/>
  <c r="AN12" i="7" s="1"/>
  <c r="AO10" i="7"/>
  <c r="AP17" i="7"/>
  <c r="AQ17" i="7" s="1"/>
  <c r="AP13" i="7"/>
  <c r="AQ13" i="7" s="1"/>
  <c r="AP16" i="7"/>
  <c r="AQ16" i="7" s="1"/>
  <c r="AP15" i="7"/>
  <c r="AQ15" i="7" s="1"/>
  <c r="AR16" i="7"/>
  <c r="AR15" i="7"/>
  <c r="AH9" i="7"/>
  <c r="AI9" i="7" s="1"/>
  <c r="C9" i="7"/>
  <c r="L9" i="7"/>
  <c r="AP14" i="7"/>
  <c r="AQ14" i="7" s="1"/>
  <c r="AP11" i="7"/>
  <c r="AQ11" i="7" s="1"/>
  <c r="B2" i="5"/>
  <c r="E2" i="5"/>
  <c r="G2" i="5" s="1"/>
  <c r="K2" i="5"/>
  <c r="L2" i="5"/>
  <c r="M2" i="5" s="1"/>
  <c r="B3" i="5"/>
  <c r="E3" i="5"/>
  <c r="G3" i="5" s="1"/>
  <c r="H3" i="5"/>
  <c r="J3" i="5"/>
  <c r="L3" i="5"/>
  <c r="M3" i="5" s="1"/>
  <c r="B4" i="5"/>
  <c r="E4" i="5"/>
  <c r="G4" i="5" s="1"/>
  <c r="H4" i="5"/>
  <c r="K4" i="5" s="1"/>
  <c r="J4" i="5"/>
  <c r="L4" i="5"/>
  <c r="M4" i="5" s="1"/>
  <c r="B5" i="5"/>
  <c r="E5" i="5"/>
  <c r="G5" i="5" s="1"/>
  <c r="H5" i="5"/>
  <c r="J5" i="5"/>
  <c r="L5" i="5"/>
  <c r="M5" i="5" s="1"/>
  <c r="B6" i="5"/>
  <c r="E6" i="5"/>
  <c r="G6" i="5" s="1"/>
  <c r="H6" i="5"/>
  <c r="K6" i="5" s="1"/>
  <c r="J6" i="5"/>
  <c r="L6" i="5"/>
  <c r="M6" i="5" s="1"/>
  <c r="B7" i="5"/>
  <c r="E7" i="5"/>
  <c r="G7" i="5" s="1"/>
  <c r="H7" i="5"/>
  <c r="K7" i="5" s="1"/>
  <c r="J7" i="5"/>
  <c r="L7" i="5"/>
  <c r="M7" i="5"/>
  <c r="B8" i="5"/>
  <c r="E8" i="5"/>
  <c r="G8" i="5" s="1"/>
  <c r="H8" i="5"/>
  <c r="K8" i="5" s="1"/>
  <c r="J8" i="5"/>
  <c r="L8" i="5"/>
  <c r="M8" i="5" s="1"/>
  <c r="B9" i="5"/>
  <c r="E9" i="5"/>
  <c r="G9" i="5" s="1"/>
  <c r="H9" i="5"/>
  <c r="K9" i="5" s="1"/>
  <c r="J9" i="5"/>
  <c r="L9" i="5"/>
  <c r="M9" i="5" s="1"/>
  <c r="B10" i="5"/>
  <c r="E10" i="5"/>
  <c r="G10" i="5" s="1"/>
  <c r="H10" i="5"/>
  <c r="K10" i="5" s="1"/>
  <c r="J10" i="5"/>
  <c r="L10" i="5"/>
  <c r="M10" i="5" s="1"/>
  <c r="AE40" i="4"/>
  <c r="AS29" i="4" s="1"/>
  <c r="AS12" i="7" l="1"/>
  <c r="AS13" i="7"/>
  <c r="AS14" i="7"/>
  <c r="AG17" i="7"/>
  <c r="AF40" i="7" s="1"/>
  <c r="AK9" i="7"/>
  <c r="AL9" i="7" s="1"/>
  <c r="AM9" i="7" s="1"/>
  <c r="AJ9" i="7"/>
  <c r="AO9" i="7" s="1"/>
  <c r="AS22" i="7"/>
  <c r="M9" i="7"/>
  <c r="T9" i="7"/>
  <c r="AS16" i="7"/>
  <c r="AS15" i="7"/>
  <c r="I5" i="5"/>
  <c r="K5" i="5"/>
  <c r="I3" i="5"/>
  <c r="I2" i="5" s="1"/>
  <c r="I7" i="5"/>
  <c r="I6" i="5"/>
  <c r="I10" i="5"/>
  <c r="I8" i="5"/>
  <c r="I9" i="5"/>
  <c r="K3" i="5"/>
  <c r="I4" i="5"/>
  <c r="AE42" i="4" l="1"/>
  <c r="AE37" i="4" l="1"/>
  <c r="T44" i="4"/>
  <c r="AD3" i="4" l="1"/>
  <c r="X43" i="4" l="1"/>
  <c r="AE36" i="4" s="1"/>
  <c r="X41" i="4"/>
  <c r="Z41" i="4" s="1"/>
  <c r="Y15" i="4" s="1"/>
  <c r="AJ27" i="4" l="1"/>
  <c r="AJ26" i="4"/>
  <c r="AJ28" i="4" s="1"/>
  <c r="AJ29" i="4" s="1"/>
  <c r="P69" i="4"/>
  <c r="M69" i="4"/>
  <c r="O69" i="4" s="1"/>
  <c r="K69" i="4"/>
  <c r="L69" i="4" s="1"/>
  <c r="J69" i="4"/>
  <c r="T69" i="4" s="1"/>
  <c r="B69" i="4"/>
  <c r="P70" i="4"/>
  <c r="M70" i="4"/>
  <c r="O70" i="4" s="1"/>
  <c r="K70" i="4"/>
  <c r="S70" i="4" s="1"/>
  <c r="J70" i="4"/>
  <c r="T70" i="4" s="1"/>
  <c r="B70" i="4"/>
  <c r="P71" i="4"/>
  <c r="M71" i="4"/>
  <c r="O71" i="4" s="1"/>
  <c r="K71" i="4"/>
  <c r="L71" i="4" s="1"/>
  <c r="J71" i="4"/>
  <c r="T71" i="4" s="1"/>
  <c r="B71" i="4"/>
  <c r="P68" i="4"/>
  <c r="M68" i="4"/>
  <c r="O68" i="4" s="1"/>
  <c r="K68" i="4"/>
  <c r="L68" i="4" s="1"/>
  <c r="J68" i="4"/>
  <c r="T68" i="4" s="1"/>
  <c r="B68" i="4"/>
  <c r="N3" i="4"/>
  <c r="M3" i="4"/>
  <c r="O3" i="4" s="1"/>
  <c r="J3" i="4"/>
  <c r="AW5" i="4"/>
  <c r="N5" i="4"/>
  <c r="P5" i="4" s="1"/>
  <c r="AD5" i="4" s="1"/>
  <c r="M5" i="4"/>
  <c r="O5" i="4" s="1"/>
  <c r="K5" i="4"/>
  <c r="L5" i="4" s="1"/>
  <c r="J5" i="4"/>
  <c r="T5" i="4" s="1"/>
  <c r="B5" i="4"/>
  <c r="AW4" i="4"/>
  <c r="N4" i="4"/>
  <c r="P4" i="4" s="1"/>
  <c r="AD4" i="4" s="1"/>
  <c r="M4" i="4"/>
  <c r="O4" i="4" s="1"/>
  <c r="K4" i="4"/>
  <c r="S4" i="4" s="1"/>
  <c r="J4" i="4"/>
  <c r="T4" i="4" s="1"/>
  <c r="B4" i="4"/>
  <c r="AW7" i="4"/>
  <c r="N7" i="4"/>
  <c r="P7" i="4" s="1"/>
  <c r="AD7" i="4" s="1"/>
  <c r="M7" i="4"/>
  <c r="O7" i="4" s="1"/>
  <c r="K7" i="4"/>
  <c r="S7" i="4" s="1"/>
  <c r="J7" i="4"/>
  <c r="T7" i="4" s="1"/>
  <c r="B7" i="4"/>
  <c r="AW6" i="4"/>
  <c r="N6" i="4"/>
  <c r="P6" i="4" s="1"/>
  <c r="AD6" i="4" s="1"/>
  <c r="M6" i="4"/>
  <c r="O6" i="4" s="1"/>
  <c r="K6" i="4"/>
  <c r="L6" i="4" s="1"/>
  <c r="J6" i="4"/>
  <c r="T6" i="4" s="1"/>
  <c r="B6" i="4"/>
  <c r="AJ25" i="4"/>
  <c r="AJ30" i="4" l="1"/>
  <c r="S68" i="4"/>
  <c r="S69" i="4"/>
  <c r="L70" i="4"/>
  <c r="S71" i="4"/>
  <c r="L7" i="4"/>
  <c r="L4" i="4"/>
  <c r="S5" i="4"/>
  <c r="S6" i="4"/>
  <c r="AA36" i="2"/>
  <c r="AA35" i="2"/>
  <c r="C34" i="2"/>
  <c r="D34" i="2" s="1"/>
  <c r="D33" i="2"/>
  <c r="C33" i="2"/>
  <c r="C32" i="2"/>
  <c r="D32" i="2" s="1"/>
  <c r="C31" i="2"/>
  <c r="D31" i="2" s="1"/>
  <c r="C30" i="2"/>
  <c r="D30" i="2" s="1"/>
  <c r="C29" i="2"/>
  <c r="D29" i="2" s="1"/>
  <c r="C28" i="2"/>
  <c r="D28" i="2" s="1"/>
  <c r="AI26" i="2"/>
  <c r="AH26" i="2"/>
  <c r="AH24" i="2"/>
  <c r="AH23" i="2"/>
  <c r="AH21" i="2"/>
  <c r="AA21" i="2"/>
  <c r="AH22" i="2" s="1"/>
  <c r="AH20" i="2"/>
  <c r="AH19" i="2"/>
  <c r="AH18" i="2"/>
  <c r="X9" i="2"/>
  <c r="U9" i="2"/>
  <c r="M9" i="2"/>
  <c r="O9" i="2" s="1"/>
  <c r="L9" i="2"/>
  <c r="N9" i="2" s="1"/>
  <c r="P9" i="2" s="1"/>
  <c r="K9" i="2"/>
  <c r="S9" i="2" s="1"/>
  <c r="X8" i="2"/>
  <c r="U8" i="2"/>
  <c r="M8" i="2"/>
  <c r="O8" i="2" s="1"/>
  <c r="L8" i="2"/>
  <c r="N8" i="2" s="1"/>
  <c r="P8" i="2" s="1"/>
  <c r="K8" i="2"/>
  <c r="S8" i="2" s="1"/>
  <c r="J8" i="2"/>
  <c r="U7" i="2"/>
  <c r="M7" i="2"/>
  <c r="O7" i="2" s="1"/>
  <c r="L7" i="2"/>
  <c r="N7" i="2" s="1"/>
  <c r="P7" i="2" s="1"/>
  <c r="K7" i="2"/>
  <c r="S7" i="2" s="1"/>
  <c r="J7" i="2"/>
  <c r="X7" i="2" s="1"/>
  <c r="U6" i="2"/>
  <c r="M6" i="2"/>
  <c r="O6" i="2" s="1"/>
  <c r="Q6" i="2" s="1"/>
  <c r="L6" i="2"/>
  <c r="N6" i="2" s="1"/>
  <c r="P6" i="2" s="1"/>
  <c r="K6" i="2"/>
  <c r="S6" i="2" s="1"/>
  <c r="J6" i="2"/>
  <c r="X6" i="2" s="1"/>
  <c r="U5" i="2"/>
  <c r="M5" i="2"/>
  <c r="O5" i="2" s="1"/>
  <c r="L5" i="2"/>
  <c r="N5" i="2" s="1"/>
  <c r="P5" i="2" s="1"/>
  <c r="K5" i="2"/>
  <c r="S5" i="2" s="1"/>
  <c r="J5" i="2"/>
  <c r="X5" i="2" s="1"/>
  <c r="X4" i="2"/>
  <c r="U4" i="2"/>
  <c r="O4" i="2"/>
  <c r="M4" i="2"/>
  <c r="L4" i="2"/>
  <c r="N4" i="2" s="1"/>
  <c r="P4" i="2" s="1"/>
  <c r="K4" i="2"/>
  <c r="S4" i="2" s="1"/>
  <c r="J4" i="2"/>
  <c r="U3" i="2"/>
  <c r="N3" i="2"/>
  <c r="P3" i="2" s="1"/>
  <c r="M3" i="2"/>
  <c r="O3" i="2" s="1"/>
  <c r="L3" i="2"/>
  <c r="K3" i="2"/>
  <c r="S3" i="2" s="1"/>
  <c r="J3" i="2"/>
  <c r="X3" i="2" s="1"/>
  <c r="U2" i="2"/>
  <c r="M2" i="2"/>
  <c r="O2" i="2" s="1"/>
  <c r="L2" i="2"/>
  <c r="N2" i="2" s="1"/>
  <c r="P2" i="2" s="1"/>
  <c r="K2" i="2"/>
  <c r="S2" i="2" s="1"/>
  <c r="J2" i="2"/>
  <c r="X2" i="2" s="1"/>
  <c r="B2" i="2"/>
  <c r="X1" i="2"/>
  <c r="C37" i="1"/>
  <c r="D37" i="1" s="1"/>
  <c r="C36" i="1"/>
  <c r="D36" i="1" s="1"/>
  <c r="D35" i="1"/>
  <c r="C35" i="1"/>
  <c r="C34" i="1"/>
  <c r="D34" i="1" s="1"/>
  <c r="D33" i="1"/>
  <c r="C33" i="1"/>
  <c r="C32" i="1"/>
  <c r="D32" i="1" s="1"/>
  <c r="C31" i="1"/>
  <c r="D31" i="1" s="1"/>
  <c r="AH27" i="1"/>
  <c r="AH26" i="1"/>
  <c r="AH24" i="1"/>
  <c r="AA24" i="1"/>
  <c r="AH25" i="1" s="1"/>
  <c r="AH23" i="1"/>
  <c r="AH22" i="1"/>
  <c r="AH21" i="1"/>
  <c r="X9" i="1"/>
  <c r="Y9" i="1" s="1"/>
  <c r="Z9" i="1" s="1"/>
  <c r="AA9" i="1" s="1"/>
  <c r="M9" i="1"/>
  <c r="O9" i="1" s="1"/>
  <c r="L9" i="1"/>
  <c r="N9" i="1" s="1"/>
  <c r="K9" i="1"/>
  <c r="S9" i="1" s="1"/>
  <c r="J9" i="1"/>
  <c r="M8" i="1"/>
  <c r="O8" i="1" s="1"/>
  <c r="L8" i="1"/>
  <c r="N8" i="1" s="1"/>
  <c r="K8" i="1"/>
  <c r="S8" i="1" s="1"/>
  <c r="J8" i="1"/>
  <c r="X8" i="1" s="1"/>
  <c r="Y8" i="1" s="1"/>
  <c r="Z8" i="1" s="1"/>
  <c r="AA8" i="1" s="1"/>
  <c r="N7" i="1"/>
  <c r="P7" i="1" s="1"/>
  <c r="M7" i="1"/>
  <c r="O7" i="1" s="1"/>
  <c r="L7" i="1"/>
  <c r="K7" i="1"/>
  <c r="S7" i="1" s="1"/>
  <c r="J7" i="1"/>
  <c r="X7" i="1" s="1"/>
  <c r="Y7" i="1" s="1"/>
  <c r="Z7" i="1" s="1"/>
  <c r="AA7" i="1" s="1"/>
  <c r="AC7" i="1" s="1"/>
  <c r="AD7" i="1" s="1"/>
  <c r="AE7" i="1" s="1"/>
  <c r="X6" i="1"/>
  <c r="Y6" i="1" s="1"/>
  <c r="S6" i="1"/>
  <c r="M6" i="1"/>
  <c r="O6" i="1" s="1"/>
  <c r="L6" i="1"/>
  <c r="N6" i="1" s="1"/>
  <c r="K6" i="1"/>
  <c r="J6" i="1"/>
  <c r="Y5" i="1"/>
  <c r="N5" i="1"/>
  <c r="P5" i="1" s="1"/>
  <c r="M5" i="1"/>
  <c r="O5" i="1" s="1"/>
  <c r="L5" i="1"/>
  <c r="K5" i="1"/>
  <c r="S5" i="1" s="1"/>
  <c r="J5" i="1"/>
  <c r="X5" i="1" s="1"/>
  <c r="M4" i="1"/>
  <c r="O4" i="1" s="1"/>
  <c r="L4" i="1"/>
  <c r="N4" i="1" s="1"/>
  <c r="P4" i="1" s="1"/>
  <c r="K4" i="1"/>
  <c r="S4" i="1" s="1"/>
  <c r="J4" i="1"/>
  <c r="X4" i="1" s="1"/>
  <c r="Y4" i="1" s="1"/>
  <c r="O3" i="1"/>
  <c r="Q3" i="1" s="1"/>
  <c r="M3" i="1"/>
  <c r="L3" i="1"/>
  <c r="N3" i="1" s="1"/>
  <c r="K3" i="1"/>
  <c r="J3" i="1"/>
  <c r="X3" i="1" s="1"/>
  <c r="Y3" i="1" s="1"/>
  <c r="Z3" i="1" s="1"/>
  <c r="AA3" i="1" s="1"/>
  <c r="M2" i="1"/>
  <c r="O2" i="1" s="1"/>
  <c r="L2" i="1"/>
  <c r="N2" i="1" s="1"/>
  <c r="K2" i="1"/>
  <c r="S2" i="1" s="1"/>
  <c r="J2" i="1"/>
  <c r="X2" i="1" s="1"/>
  <c r="Y2" i="1" s="1"/>
  <c r="B2" i="1"/>
  <c r="X1" i="1"/>
  <c r="C48" i="3"/>
  <c r="D48" i="3" s="1"/>
  <c r="C47" i="3"/>
  <c r="D47" i="3" s="1"/>
  <c r="C46" i="3"/>
  <c r="D46" i="3" s="1"/>
  <c r="C45" i="3"/>
  <c r="D45" i="3" s="1"/>
  <c r="C44" i="3"/>
  <c r="D44" i="3" s="1"/>
  <c r="D43" i="3"/>
  <c r="C43" i="3"/>
  <c r="C42" i="3"/>
  <c r="D42" i="3" s="1"/>
  <c r="AA40" i="3"/>
  <c r="W40" i="3"/>
  <c r="AD33" i="3"/>
  <c r="AD32" i="3"/>
  <c r="W32" i="3"/>
  <c r="W33" i="3" s="1"/>
  <c r="AD30" i="3"/>
  <c r="AD29" i="3"/>
  <c r="AD28" i="3"/>
  <c r="AD27" i="3"/>
  <c r="T24" i="3"/>
  <c r="U24" i="3" s="1"/>
  <c r="M24" i="3"/>
  <c r="O24" i="3" s="1"/>
  <c r="K24" i="3"/>
  <c r="S24" i="3" s="1"/>
  <c r="J24" i="3"/>
  <c r="B24" i="3"/>
  <c r="T23" i="3"/>
  <c r="U23" i="3" s="1"/>
  <c r="M23" i="3"/>
  <c r="O23" i="3" s="1"/>
  <c r="L23" i="3"/>
  <c r="K23" i="3"/>
  <c r="S23" i="3" s="1"/>
  <c r="J23" i="3"/>
  <c r="B23" i="3"/>
  <c r="O22" i="3"/>
  <c r="M22" i="3"/>
  <c r="K22" i="3"/>
  <c r="L22" i="3" s="1"/>
  <c r="J22" i="3"/>
  <c r="T22" i="3" s="1"/>
  <c r="U22" i="3" s="1"/>
  <c r="V22" i="3" s="1"/>
  <c r="W22" i="3" s="1"/>
  <c r="Y22" i="3" s="1"/>
  <c r="Z22" i="3" s="1"/>
  <c r="AA22" i="3" s="1"/>
  <c r="B22" i="3"/>
  <c r="M21" i="3"/>
  <c r="O21" i="3" s="1"/>
  <c r="K21" i="3"/>
  <c r="S21" i="3" s="1"/>
  <c r="J21" i="3"/>
  <c r="T21" i="3" s="1"/>
  <c r="U21" i="3" s="1"/>
  <c r="B21" i="3"/>
  <c r="T20" i="3"/>
  <c r="U20" i="3" s="1"/>
  <c r="S20" i="3"/>
  <c r="M20" i="3"/>
  <c r="O20" i="3" s="1"/>
  <c r="L20" i="3"/>
  <c r="K20" i="3"/>
  <c r="J20" i="3"/>
  <c r="B20" i="3"/>
  <c r="M19" i="3"/>
  <c r="O19" i="3" s="1"/>
  <c r="K19" i="3"/>
  <c r="J19" i="3"/>
  <c r="T19" i="3" s="1"/>
  <c r="U19" i="3" s="1"/>
  <c r="V19" i="3" s="1"/>
  <c r="W19" i="3" s="1"/>
  <c r="Y19" i="3" s="1"/>
  <c r="Z19" i="3" s="1"/>
  <c r="AA19" i="3" s="1"/>
  <c r="B19" i="3"/>
  <c r="M18" i="3"/>
  <c r="O18" i="3" s="1"/>
  <c r="K18" i="3"/>
  <c r="S18" i="3" s="1"/>
  <c r="J18" i="3"/>
  <c r="T18" i="3" s="1"/>
  <c r="U18" i="3" s="1"/>
  <c r="V18" i="3" s="1"/>
  <c r="W18" i="3" s="1"/>
  <c r="Y18" i="3" s="1"/>
  <c r="Z18" i="3" s="1"/>
  <c r="AA18" i="3" s="1"/>
  <c r="B18" i="3"/>
  <c r="T17" i="3"/>
  <c r="U17" i="3" s="1"/>
  <c r="M17" i="3"/>
  <c r="O17" i="3" s="1"/>
  <c r="K17" i="3"/>
  <c r="L17" i="3" s="1"/>
  <c r="J17" i="3"/>
  <c r="B17" i="3"/>
  <c r="T16" i="3"/>
  <c r="U16" i="3" s="1"/>
  <c r="V16" i="3" s="1"/>
  <c r="W16" i="3" s="1"/>
  <c r="Y16" i="3" s="1"/>
  <c r="Z16" i="3" s="1"/>
  <c r="AA16" i="3" s="1"/>
  <c r="S16" i="3"/>
  <c r="M16" i="3"/>
  <c r="O16" i="3" s="1"/>
  <c r="K16" i="3"/>
  <c r="L16" i="3" s="1"/>
  <c r="J16" i="3"/>
  <c r="B16" i="3"/>
  <c r="AV14" i="3"/>
  <c r="T14" i="3"/>
  <c r="U14" i="3" s="1"/>
  <c r="P14" i="3"/>
  <c r="K14" i="3"/>
  <c r="S14" i="3" s="1"/>
  <c r="B14" i="3"/>
  <c r="AV13" i="3"/>
  <c r="N13" i="3"/>
  <c r="P13" i="3" s="1"/>
  <c r="R13" i="3" s="1"/>
  <c r="M13" i="3"/>
  <c r="O13" i="3" s="1"/>
  <c r="Q13" i="3" s="1"/>
  <c r="K13" i="3"/>
  <c r="L13" i="3" s="1"/>
  <c r="J13" i="3"/>
  <c r="T13" i="3" s="1"/>
  <c r="U13" i="3" s="1"/>
  <c r="B13" i="3"/>
  <c r="AV12" i="3"/>
  <c r="P12" i="3"/>
  <c r="R12" i="3" s="1"/>
  <c r="N12" i="3"/>
  <c r="M12" i="3"/>
  <c r="O12" i="3" s="1"/>
  <c r="K12" i="3"/>
  <c r="S12" i="3" s="1"/>
  <c r="J12" i="3"/>
  <c r="T12" i="3" s="1"/>
  <c r="U12" i="3" s="1"/>
  <c r="V12" i="3" s="1"/>
  <c r="W12" i="3" s="1"/>
  <c r="Y12" i="3" s="1"/>
  <c r="Z12" i="3" s="1"/>
  <c r="AA12" i="3" s="1"/>
  <c r="B12" i="3"/>
  <c r="AV11" i="3"/>
  <c r="T11" i="3"/>
  <c r="U11" i="3" s="1"/>
  <c r="N11" i="3"/>
  <c r="P11" i="3" s="1"/>
  <c r="M11" i="3"/>
  <c r="O11" i="3" s="1"/>
  <c r="Q11" i="3" s="1"/>
  <c r="L11" i="3"/>
  <c r="K11" i="3"/>
  <c r="S11" i="3" s="1"/>
  <c r="J11" i="3"/>
  <c r="B11" i="3"/>
  <c r="AV10" i="3"/>
  <c r="S10" i="3"/>
  <c r="O10" i="3"/>
  <c r="Q10" i="3" s="1"/>
  <c r="N10" i="3"/>
  <c r="P10" i="3" s="1"/>
  <c r="R10" i="3" s="1"/>
  <c r="M10" i="3"/>
  <c r="K10" i="3"/>
  <c r="L10" i="3" s="1"/>
  <c r="J10" i="3"/>
  <c r="T10" i="3" s="1"/>
  <c r="U10" i="3" s="1"/>
  <c r="B10" i="3"/>
  <c r="AV9" i="3"/>
  <c r="S9" i="3"/>
  <c r="P9" i="3"/>
  <c r="O9" i="3"/>
  <c r="Q9" i="3" s="1"/>
  <c r="N9" i="3"/>
  <c r="M9" i="3"/>
  <c r="L9" i="3"/>
  <c r="K9" i="3"/>
  <c r="J9" i="3"/>
  <c r="T9" i="3" s="1"/>
  <c r="U9" i="3" s="1"/>
  <c r="V9" i="3" s="1"/>
  <c r="W9" i="3" s="1"/>
  <c r="Y9" i="3" s="1"/>
  <c r="Z9" i="3" s="1"/>
  <c r="AA9" i="3" s="1"/>
  <c r="B9" i="3"/>
  <c r="AV8" i="3"/>
  <c r="O8" i="3"/>
  <c r="Q8" i="3" s="1"/>
  <c r="N8" i="3"/>
  <c r="P8" i="3" s="1"/>
  <c r="R8" i="3" s="1"/>
  <c r="M8" i="3"/>
  <c r="K8" i="3"/>
  <c r="L8" i="3" s="1"/>
  <c r="J8" i="3"/>
  <c r="T8" i="3" s="1"/>
  <c r="U8" i="3" s="1"/>
  <c r="V8" i="3" s="1"/>
  <c r="W8" i="3" s="1"/>
  <c r="Y8" i="3" s="1"/>
  <c r="Z8" i="3" s="1"/>
  <c r="AA8" i="3" s="1"/>
  <c r="B8" i="3"/>
  <c r="AV7" i="3"/>
  <c r="P7" i="3"/>
  <c r="N7" i="3"/>
  <c r="M7" i="3"/>
  <c r="O7" i="3" s="1"/>
  <c r="Q7" i="3" s="1"/>
  <c r="L7" i="3"/>
  <c r="K7" i="3"/>
  <c r="S7" i="3" s="1"/>
  <c r="J7" i="3"/>
  <c r="T7" i="3" s="1"/>
  <c r="U7" i="3" s="1"/>
  <c r="B7" i="3"/>
  <c r="AV6" i="3"/>
  <c r="S6" i="3"/>
  <c r="N6" i="3"/>
  <c r="P6" i="3" s="1"/>
  <c r="R6" i="3" s="1"/>
  <c r="M6" i="3"/>
  <c r="O6" i="3" s="1"/>
  <c r="K6" i="3"/>
  <c r="L6" i="3" s="1"/>
  <c r="J6" i="3"/>
  <c r="T6" i="3" s="1"/>
  <c r="U6" i="3" s="1"/>
  <c r="V6" i="3" s="1"/>
  <c r="W6" i="3" s="1"/>
  <c r="B6" i="3"/>
  <c r="AV5" i="3"/>
  <c r="S5" i="3"/>
  <c r="O5" i="3"/>
  <c r="Q5" i="3" s="1"/>
  <c r="N5" i="3"/>
  <c r="P5" i="3" s="1"/>
  <c r="R5" i="3" s="1"/>
  <c r="M5" i="3"/>
  <c r="K5" i="3"/>
  <c r="L5" i="3" s="1"/>
  <c r="J5" i="3"/>
  <c r="T5" i="3" s="1"/>
  <c r="U5" i="3" s="1"/>
  <c r="B5" i="3"/>
  <c r="AV4" i="3"/>
  <c r="AF4" i="3"/>
  <c r="AG4" i="3" s="1"/>
  <c r="T4" i="3"/>
  <c r="U4" i="3" s="1"/>
  <c r="N4" i="3"/>
  <c r="P4" i="3" s="1"/>
  <c r="M4" i="3"/>
  <c r="O4" i="3" s="1"/>
  <c r="L4" i="3"/>
  <c r="K4" i="3"/>
  <c r="S4" i="3" s="1"/>
  <c r="J4" i="3"/>
  <c r="B4" i="3"/>
  <c r="U3" i="3"/>
  <c r="T3" i="3"/>
  <c r="R3" i="3"/>
  <c r="Q3" i="3"/>
  <c r="AG2" i="3"/>
  <c r="AF2" i="3"/>
  <c r="T2" i="3"/>
  <c r="U2" i="3" s="1"/>
  <c r="S2" i="3"/>
  <c r="R2" i="3"/>
  <c r="K2" i="3"/>
  <c r="L2" i="3" s="1"/>
  <c r="B2" i="3"/>
  <c r="T1" i="3"/>
  <c r="M102" i="4"/>
  <c r="O102" i="4" s="1"/>
  <c r="K102" i="4"/>
  <c r="S102" i="4" s="1"/>
  <c r="J102" i="4"/>
  <c r="T102" i="4" s="1"/>
  <c r="V102" i="4" s="1"/>
  <c r="W102" i="4" s="1"/>
  <c r="B102" i="4"/>
  <c r="M101" i="4"/>
  <c r="O101" i="4" s="1"/>
  <c r="K101" i="4"/>
  <c r="L101" i="4" s="1"/>
  <c r="J101" i="4"/>
  <c r="T101" i="4" s="1"/>
  <c r="V101" i="4" s="1"/>
  <c r="B101" i="4"/>
  <c r="P100" i="4"/>
  <c r="M100" i="4"/>
  <c r="O100" i="4" s="1"/>
  <c r="K100" i="4"/>
  <c r="S100" i="4" s="1"/>
  <c r="J100" i="4"/>
  <c r="T100" i="4" s="1"/>
  <c r="V100" i="4" s="1"/>
  <c r="B100" i="4"/>
  <c r="P99" i="4"/>
  <c r="M99" i="4"/>
  <c r="O99" i="4" s="1"/>
  <c r="K99" i="4"/>
  <c r="L99" i="4" s="1"/>
  <c r="J99" i="4"/>
  <c r="T99" i="4" s="1"/>
  <c r="V99" i="4" s="1"/>
  <c r="B99" i="4"/>
  <c r="P98" i="4"/>
  <c r="M98" i="4"/>
  <c r="O98" i="4" s="1"/>
  <c r="K98" i="4"/>
  <c r="L98" i="4" s="1"/>
  <c r="J98" i="4"/>
  <c r="T98" i="4" s="1"/>
  <c r="V98" i="4" s="1"/>
  <c r="B98" i="4"/>
  <c r="P97" i="4"/>
  <c r="M97" i="4"/>
  <c r="O97" i="4" s="1"/>
  <c r="K97" i="4"/>
  <c r="S97" i="4" s="1"/>
  <c r="J97" i="4"/>
  <c r="T97" i="4" s="1"/>
  <c r="V97" i="4" s="1"/>
  <c r="B97" i="4"/>
  <c r="P96" i="4"/>
  <c r="M96" i="4"/>
  <c r="O96" i="4" s="1"/>
  <c r="K96" i="4"/>
  <c r="L96" i="4" s="1"/>
  <c r="J96" i="4"/>
  <c r="T96" i="4" s="1"/>
  <c r="V96" i="4" s="1"/>
  <c r="B96" i="4"/>
  <c r="P95" i="4"/>
  <c r="M95" i="4"/>
  <c r="O95" i="4" s="1"/>
  <c r="K95" i="4"/>
  <c r="S95" i="4" s="1"/>
  <c r="J95" i="4"/>
  <c r="T95" i="4" s="1"/>
  <c r="V95" i="4" s="1"/>
  <c r="B95" i="4"/>
  <c r="P94" i="4"/>
  <c r="M94" i="4"/>
  <c r="O94" i="4" s="1"/>
  <c r="K94" i="4"/>
  <c r="S94" i="4" s="1"/>
  <c r="J94" i="4"/>
  <c r="T94" i="4" s="1"/>
  <c r="V94" i="4" s="1"/>
  <c r="B94" i="4"/>
  <c r="P93" i="4"/>
  <c r="M93" i="4"/>
  <c r="O93" i="4" s="1"/>
  <c r="K93" i="4"/>
  <c r="L93" i="4" s="1"/>
  <c r="J93" i="4"/>
  <c r="T93" i="4" s="1"/>
  <c r="V93" i="4" s="1"/>
  <c r="B93" i="4"/>
  <c r="P92" i="4"/>
  <c r="M92" i="4"/>
  <c r="O92" i="4" s="1"/>
  <c r="K92" i="4"/>
  <c r="S92" i="4" s="1"/>
  <c r="J92" i="4"/>
  <c r="T92" i="4" s="1"/>
  <c r="V92" i="4" s="1"/>
  <c r="B92" i="4"/>
  <c r="P91" i="4"/>
  <c r="M91" i="4"/>
  <c r="O91" i="4" s="1"/>
  <c r="K91" i="4"/>
  <c r="L91" i="4" s="1"/>
  <c r="J91" i="4"/>
  <c r="T91" i="4" s="1"/>
  <c r="V91" i="4" s="1"/>
  <c r="B91" i="4"/>
  <c r="P90" i="4"/>
  <c r="M90" i="4"/>
  <c r="O90" i="4" s="1"/>
  <c r="K90" i="4"/>
  <c r="S90" i="4" s="1"/>
  <c r="J90" i="4"/>
  <c r="T90" i="4" s="1"/>
  <c r="V90" i="4" s="1"/>
  <c r="B90" i="4"/>
  <c r="P89" i="4"/>
  <c r="M89" i="4"/>
  <c r="O89" i="4" s="1"/>
  <c r="K89" i="4"/>
  <c r="S89" i="4" s="1"/>
  <c r="J89" i="4"/>
  <c r="T89" i="4" s="1"/>
  <c r="V89" i="4" s="1"/>
  <c r="B89" i="4"/>
  <c r="P88" i="4"/>
  <c r="M88" i="4"/>
  <c r="O88" i="4" s="1"/>
  <c r="K88" i="4"/>
  <c r="L88" i="4" s="1"/>
  <c r="J88" i="4"/>
  <c r="T88" i="4" s="1"/>
  <c r="V88" i="4" s="1"/>
  <c r="B88" i="4"/>
  <c r="M84" i="4"/>
  <c r="O84" i="4" s="1"/>
  <c r="K84" i="4"/>
  <c r="S84" i="4" s="1"/>
  <c r="J84" i="4"/>
  <c r="T84" i="4" s="1"/>
  <c r="B84" i="4"/>
  <c r="M83" i="4"/>
  <c r="O83" i="4" s="1"/>
  <c r="K83" i="4"/>
  <c r="L83" i="4" s="1"/>
  <c r="J83" i="4"/>
  <c r="T83" i="4" s="1"/>
  <c r="B83" i="4"/>
  <c r="P82" i="4"/>
  <c r="M82" i="4"/>
  <c r="O82" i="4" s="1"/>
  <c r="K82" i="4"/>
  <c r="S82" i="4" s="1"/>
  <c r="J82" i="4"/>
  <c r="T82" i="4" s="1"/>
  <c r="B82" i="4"/>
  <c r="P81" i="4"/>
  <c r="M81" i="4"/>
  <c r="O81" i="4" s="1"/>
  <c r="K81" i="4"/>
  <c r="L81" i="4" s="1"/>
  <c r="J81" i="4"/>
  <c r="T81" i="4" s="1"/>
  <c r="B81" i="4"/>
  <c r="P80" i="4"/>
  <c r="M80" i="4"/>
  <c r="O80" i="4" s="1"/>
  <c r="K80" i="4"/>
  <c r="L80" i="4" s="1"/>
  <c r="J80" i="4"/>
  <c r="T80" i="4" s="1"/>
  <c r="B80" i="4"/>
  <c r="P79" i="4"/>
  <c r="M79" i="4"/>
  <c r="O79" i="4" s="1"/>
  <c r="K79" i="4"/>
  <c r="L79" i="4" s="1"/>
  <c r="J79" i="4"/>
  <c r="T79" i="4" s="1"/>
  <c r="B79" i="4"/>
  <c r="P78" i="4"/>
  <c r="M78" i="4"/>
  <c r="O78" i="4" s="1"/>
  <c r="K78" i="4"/>
  <c r="S78" i="4" s="1"/>
  <c r="J78" i="4"/>
  <c r="T78" i="4" s="1"/>
  <c r="B78" i="4"/>
  <c r="P77" i="4"/>
  <c r="M77" i="4"/>
  <c r="O77" i="4" s="1"/>
  <c r="K77" i="4"/>
  <c r="S77" i="4" s="1"/>
  <c r="J77" i="4"/>
  <c r="T77" i="4" s="1"/>
  <c r="B77" i="4"/>
  <c r="P76" i="4"/>
  <c r="M76" i="4"/>
  <c r="O76" i="4" s="1"/>
  <c r="K76" i="4"/>
  <c r="L76" i="4" s="1"/>
  <c r="J76" i="4"/>
  <c r="T76" i="4" s="1"/>
  <c r="B76" i="4"/>
  <c r="P75" i="4"/>
  <c r="M75" i="4"/>
  <c r="O75" i="4" s="1"/>
  <c r="K75" i="4"/>
  <c r="S75" i="4" s="1"/>
  <c r="J75" i="4"/>
  <c r="T75" i="4" s="1"/>
  <c r="B75" i="4"/>
  <c r="P74" i="4"/>
  <c r="M74" i="4"/>
  <c r="O74" i="4" s="1"/>
  <c r="K74" i="4"/>
  <c r="S74" i="4" s="1"/>
  <c r="J74" i="4"/>
  <c r="T74" i="4" s="1"/>
  <c r="B74" i="4"/>
  <c r="P73" i="4"/>
  <c r="M73" i="4"/>
  <c r="O73" i="4" s="1"/>
  <c r="K73" i="4"/>
  <c r="L73" i="4" s="1"/>
  <c r="J73" i="4"/>
  <c r="T73" i="4" s="1"/>
  <c r="B73" i="4"/>
  <c r="P72" i="4"/>
  <c r="M72" i="4"/>
  <c r="O72" i="4" s="1"/>
  <c r="K72" i="4"/>
  <c r="L72" i="4" s="1"/>
  <c r="J72" i="4"/>
  <c r="T72" i="4" s="1"/>
  <c r="B72" i="4"/>
  <c r="P67" i="4"/>
  <c r="M67" i="4"/>
  <c r="O67" i="4" s="1"/>
  <c r="K67" i="4"/>
  <c r="L67" i="4" s="1"/>
  <c r="J67" i="4"/>
  <c r="T67" i="4" s="1"/>
  <c r="B67" i="4"/>
  <c r="AJ31" i="4"/>
  <c r="AJ32" i="4" s="1"/>
  <c r="X36" i="4" s="1"/>
  <c r="AE41" i="4" s="1"/>
  <c r="C50" i="4"/>
  <c r="D50" i="4" s="1"/>
  <c r="C49" i="4"/>
  <c r="D49" i="4" s="1"/>
  <c r="C48" i="4"/>
  <c r="D48" i="4" s="1"/>
  <c r="C47" i="4"/>
  <c r="D47" i="4" s="1"/>
  <c r="C46" i="4"/>
  <c r="D46" i="4" s="1"/>
  <c r="C45" i="4"/>
  <c r="D45" i="4" s="1"/>
  <c r="C44" i="4"/>
  <c r="D44" i="4" s="1"/>
  <c r="AB40" i="4"/>
  <c r="X40" i="4"/>
  <c r="Q5" i="4" s="1"/>
  <c r="AE28" i="4"/>
  <c r="AE27" i="4"/>
  <c r="X34" i="4"/>
  <c r="X35" i="4" s="1"/>
  <c r="AE25" i="4"/>
  <c r="AE24" i="4"/>
  <c r="AE23" i="4"/>
  <c r="AE22" i="4"/>
  <c r="M26" i="4"/>
  <c r="O26" i="4" s="1"/>
  <c r="K26" i="4"/>
  <c r="S26" i="4" s="1"/>
  <c r="J26" i="4"/>
  <c r="T26" i="4" s="1"/>
  <c r="V26" i="4" s="1"/>
  <c r="B26" i="4"/>
  <c r="M25" i="4"/>
  <c r="O25" i="4" s="1"/>
  <c r="K25" i="4"/>
  <c r="S25" i="4" s="1"/>
  <c r="J25" i="4"/>
  <c r="T25" i="4" s="1"/>
  <c r="V25" i="4" s="1"/>
  <c r="B25" i="4"/>
  <c r="M24" i="4"/>
  <c r="O24" i="4" s="1"/>
  <c r="K24" i="4"/>
  <c r="S24" i="4" s="1"/>
  <c r="J24" i="4"/>
  <c r="T24" i="4" s="1"/>
  <c r="V24" i="4" s="1"/>
  <c r="B24" i="4"/>
  <c r="M23" i="4"/>
  <c r="O23" i="4" s="1"/>
  <c r="K23" i="4"/>
  <c r="S23" i="4" s="1"/>
  <c r="J23" i="4"/>
  <c r="T23" i="4" s="1"/>
  <c r="V23" i="4" s="1"/>
  <c r="B23" i="4"/>
  <c r="M22" i="4"/>
  <c r="O22" i="4" s="1"/>
  <c r="K22" i="4"/>
  <c r="S22" i="4" s="1"/>
  <c r="J22" i="4"/>
  <c r="T22" i="4" s="1"/>
  <c r="V22" i="4" s="1"/>
  <c r="B22" i="4"/>
  <c r="M21" i="4"/>
  <c r="O21" i="4" s="1"/>
  <c r="K21" i="4"/>
  <c r="L21" i="4" s="1"/>
  <c r="J21" i="4"/>
  <c r="T21" i="4" s="1"/>
  <c r="V21" i="4" s="1"/>
  <c r="B21" i="4"/>
  <c r="M20" i="4"/>
  <c r="O20" i="4" s="1"/>
  <c r="K20" i="4"/>
  <c r="L20" i="4" s="1"/>
  <c r="J20" i="4"/>
  <c r="T20" i="4" s="1"/>
  <c r="V20" i="4" s="1"/>
  <c r="B20" i="4"/>
  <c r="M19" i="4"/>
  <c r="O19" i="4" s="1"/>
  <c r="K19" i="4"/>
  <c r="S19" i="4" s="1"/>
  <c r="J19" i="4"/>
  <c r="T19" i="4" s="1"/>
  <c r="V19" i="4" s="1"/>
  <c r="B19" i="4"/>
  <c r="M18" i="4"/>
  <c r="O18" i="4" s="1"/>
  <c r="K18" i="4"/>
  <c r="L18" i="4" s="1"/>
  <c r="J18" i="4"/>
  <c r="T18" i="4" s="1"/>
  <c r="V18" i="4" s="1"/>
  <c r="B18" i="4"/>
  <c r="B16" i="4"/>
  <c r="AW15" i="4"/>
  <c r="N15" i="4"/>
  <c r="P15" i="4" s="1"/>
  <c r="AD15" i="4" s="1"/>
  <c r="M15" i="4"/>
  <c r="O15" i="4" s="1"/>
  <c r="K15" i="4"/>
  <c r="S15" i="4" s="1"/>
  <c r="J15" i="4"/>
  <c r="T15" i="4" s="1"/>
  <c r="B15" i="4"/>
  <c r="AW14" i="4"/>
  <c r="N14" i="4"/>
  <c r="P14" i="4" s="1"/>
  <c r="AD14" i="4" s="1"/>
  <c r="M14" i="4"/>
  <c r="O14" i="4" s="1"/>
  <c r="K14" i="4"/>
  <c r="S14" i="4" s="1"/>
  <c r="J14" i="4"/>
  <c r="T14" i="4" s="1"/>
  <c r="B14" i="4"/>
  <c r="AW13" i="4"/>
  <c r="N13" i="4"/>
  <c r="P13" i="4" s="1"/>
  <c r="AD13" i="4" s="1"/>
  <c r="M13" i="4"/>
  <c r="O13" i="4" s="1"/>
  <c r="K13" i="4"/>
  <c r="S13" i="4" s="1"/>
  <c r="J13" i="4"/>
  <c r="T13" i="4" s="1"/>
  <c r="B13" i="4"/>
  <c r="AW12" i="4"/>
  <c r="N12" i="4"/>
  <c r="P12" i="4" s="1"/>
  <c r="AD12" i="4" s="1"/>
  <c r="M12" i="4"/>
  <c r="O12" i="4" s="1"/>
  <c r="K12" i="4"/>
  <c r="L12" i="4" s="1"/>
  <c r="J12" i="4"/>
  <c r="T12" i="4" s="1"/>
  <c r="B12" i="4"/>
  <c r="AW11" i="4"/>
  <c r="N11" i="4"/>
  <c r="P11" i="4" s="1"/>
  <c r="AD11" i="4" s="1"/>
  <c r="M11" i="4"/>
  <c r="O11" i="4" s="1"/>
  <c r="K11" i="4"/>
  <c r="L11" i="4" s="1"/>
  <c r="J11" i="4"/>
  <c r="T11" i="4" s="1"/>
  <c r="B11" i="4"/>
  <c r="AW10" i="4"/>
  <c r="N10" i="4"/>
  <c r="P10" i="4" s="1"/>
  <c r="AD10" i="4" s="1"/>
  <c r="M10" i="4"/>
  <c r="O10" i="4" s="1"/>
  <c r="K10" i="4"/>
  <c r="L10" i="4" s="1"/>
  <c r="J10" i="4"/>
  <c r="T10" i="4" s="1"/>
  <c r="B10" i="4"/>
  <c r="AW9" i="4"/>
  <c r="N9" i="4"/>
  <c r="P9" i="4" s="1"/>
  <c r="AD9" i="4" s="1"/>
  <c r="M9" i="4"/>
  <c r="O9" i="4" s="1"/>
  <c r="K9" i="4"/>
  <c r="S9" i="4" s="1"/>
  <c r="J9" i="4"/>
  <c r="T9" i="4" s="1"/>
  <c r="B9" i="4"/>
  <c r="AW8" i="4"/>
  <c r="N8" i="4"/>
  <c r="P8" i="4" s="1"/>
  <c r="AD8" i="4" s="1"/>
  <c r="M8" i="4"/>
  <c r="O8" i="4" s="1"/>
  <c r="K8" i="4"/>
  <c r="L8" i="4" s="1"/>
  <c r="J8" i="4"/>
  <c r="T8" i="4" s="1"/>
  <c r="B8" i="4"/>
  <c r="T3" i="4"/>
  <c r="V4" i="4" s="1"/>
  <c r="T2" i="4"/>
  <c r="K2" i="4"/>
  <c r="L2" i="4" s="1"/>
  <c r="B2" i="4"/>
  <c r="T1" i="4"/>
  <c r="L24" i="3" l="1"/>
  <c r="L21" i="3"/>
  <c r="V17" i="3"/>
  <c r="W17" i="3" s="1"/>
  <c r="Y17" i="3" s="1"/>
  <c r="Z17" i="3" s="1"/>
  <c r="AA17" i="3" s="1"/>
  <c r="S17" i="3"/>
  <c r="P9" i="1"/>
  <c r="Z5" i="1"/>
  <c r="AA5" i="1" s="1"/>
  <c r="AC5" i="1" s="1"/>
  <c r="AD5" i="1" s="1"/>
  <c r="AE5" i="1" s="1"/>
  <c r="Z2" i="1"/>
  <c r="AA2" i="1" s="1"/>
  <c r="V23" i="3"/>
  <c r="W23" i="3" s="1"/>
  <c r="Y23" i="3" s="1"/>
  <c r="Z23" i="3" s="1"/>
  <c r="AA23" i="3" s="1"/>
  <c r="V24" i="3"/>
  <c r="W24" i="3" s="1"/>
  <c r="Y24" i="3" s="1"/>
  <c r="Z24" i="3" s="1"/>
  <c r="AA24" i="3" s="1"/>
  <c r="Q23" i="3"/>
  <c r="L12" i="3"/>
  <c r="V5" i="3"/>
  <c r="W5" i="3" s="1"/>
  <c r="AF5" i="3"/>
  <c r="AG5" i="3" s="1"/>
  <c r="U7" i="4"/>
  <c r="U11" i="4"/>
  <c r="V11" i="4"/>
  <c r="V15" i="4"/>
  <c r="U15" i="4"/>
  <c r="V7" i="4"/>
  <c r="U6" i="4"/>
  <c r="U10" i="4"/>
  <c r="V10" i="4"/>
  <c r="W10" i="4" s="1"/>
  <c r="V14" i="4"/>
  <c r="U14" i="4"/>
  <c r="V6" i="4"/>
  <c r="W6" i="4" s="1"/>
  <c r="V71" i="4"/>
  <c r="V3" i="4"/>
  <c r="U3" i="4"/>
  <c r="V9" i="4"/>
  <c r="U9" i="4"/>
  <c r="V13" i="4"/>
  <c r="U13" i="4"/>
  <c r="U4" i="4"/>
  <c r="V5" i="4"/>
  <c r="V8" i="4"/>
  <c r="U8" i="4"/>
  <c r="U12" i="4"/>
  <c r="V12" i="4"/>
  <c r="W12" i="4" s="1"/>
  <c r="U5" i="4"/>
  <c r="Z59" i="3"/>
  <c r="AF39" i="3" s="1"/>
  <c r="Z61" i="3"/>
  <c r="AD39" i="3" s="1"/>
  <c r="Z54" i="3"/>
  <c r="Z53" i="3"/>
  <c r="AE36" i="3" s="1"/>
  <c r="Q4" i="3"/>
  <c r="W55" i="3"/>
  <c r="AD35" i="3" s="1"/>
  <c r="W54" i="3"/>
  <c r="AE35" i="3" s="1"/>
  <c r="V4" i="3"/>
  <c r="W4" i="3" s="1"/>
  <c r="V11" i="3"/>
  <c r="W11" i="3" s="1"/>
  <c r="Y11" i="3" s="1"/>
  <c r="Z11" i="3" s="1"/>
  <c r="AA11" i="3" s="1"/>
  <c r="P6" i="1"/>
  <c r="AD38" i="1"/>
  <c r="W53" i="3"/>
  <c r="AD34" i="3" s="1"/>
  <c r="Z52" i="3"/>
  <c r="AD37" i="3" s="1"/>
  <c r="W52" i="3"/>
  <c r="AE34" i="3" s="1"/>
  <c r="Z51" i="3"/>
  <c r="AE37" i="3" s="1"/>
  <c r="W51" i="3"/>
  <c r="AF34" i="3" s="1"/>
  <c r="Q7" i="1"/>
  <c r="Q8" i="1"/>
  <c r="Q8" i="2"/>
  <c r="AA32" i="2"/>
  <c r="AF6" i="3"/>
  <c r="AG6" i="3" s="1"/>
  <c r="V10" i="3"/>
  <c r="W10" i="3" s="1"/>
  <c r="Y10" i="3" s="1"/>
  <c r="Z10" i="3" s="1"/>
  <c r="AA10" i="3" s="1"/>
  <c r="V21" i="3"/>
  <c r="W21" i="3" s="1"/>
  <c r="Y21" i="3" s="1"/>
  <c r="Z21" i="3" s="1"/>
  <c r="AA21" i="3" s="1"/>
  <c r="W88" i="4"/>
  <c r="X88" i="4" s="1"/>
  <c r="R4" i="3"/>
  <c r="R7" i="3"/>
  <c r="S8" i="3"/>
  <c r="AF10" i="3"/>
  <c r="AG10" i="3" s="1"/>
  <c r="R14" i="3"/>
  <c r="Q17" i="3"/>
  <c r="Q22" i="3"/>
  <c r="Q24" i="3"/>
  <c r="AD37" i="1"/>
  <c r="Q4" i="1"/>
  <c r="W93" i="4"/>
  <c r="W101" i="4"/>
  <c r="Q6" i="3"/>
  <c r="Q12" i="3"/>
  <c r="Q16" i="3"/>
  <c r="Q2" i="1"/>
  <c r="Q5" i="1"/>
  <c r="Z6" i="1"/>
  <c r="AA6" i="1" s="1"/>
  <c r="AC6" i="1" s="1"/>
  <c r="AD6" i="1" s="1"/>
  <c r="AE6" i="1" s="1"/>
  <c r="Q20" i="3"/>
  <c r="Q21" i="3"/>
  <c r="Z4" i="1"/>
  <c r="AA4" i="1" s="1"/>
  <c r="AC4" i="1" s="1"/>
  <c r="V7" i="3"/>
  <c r="W7" i="3" s="1"/>
  <c r="Y7" i="3" s="1"/>
  <c r="Z7" i="3" s="1"/>
  <c r="AA7" i="3" s="1"/>
  <c r="S19" i="3"/>
  <c r="L19" i="3"/>
  <c r="AF13" i="3"/>
  <c r="AG13" i="3" s="1"/>
  <c r="AF12" i="3"/>
  <c r="AG12" i="3" s="1"/>
  <c r="AF11" i="3"/>
  <c r="AG11" i="3" s="1"/>
  <c r="AF7" i="3"/>
  <c r="AG7" i="3" s="1"/>
  <c r="AF14" i="3"/>
  <c r="AG14" i="3" s="1"/>
  <c r="Q18" i="3"/>
  <c r="AD31" i="3"/>
  <c r="AA34" i="2"/>
  <c r="AH25" i="2" s="1"/>
  <c r="AA33" i="2"/>
  <c r="AI25" i="2" s="1"/>
  <c r="Q2" i="2"/>
  <c r="Q5" i="2"/>
  <c r="W92" i="4"/>
  <c r="X92" i="4" s="1"/>
  <c r="Y92" i="4" s="1"/>
  <c r="W100" i="4"/>
  <c r="Q2" i="3"/>
  <c r="AF8" i="3"/>
  <c r="AG8" i="3" s="1"/>
  <c r="R9" i="3"/>
  <c r="R11" i="3"/>
  <c r="V13" i="3"/>
  <c r="W13" i="3" s="1"/>
  <c r="Q19" i="3"/>
  <c r="V20" i="3"/>
  <c r="W20" i="3" s="1"/>
  <c r="Y20" i="3" s="1"/>
  <c r="Z20" i="3" s="1"/>
  <c r="AA20" i="3" s="1"/>
  <c r="P8" i="1"/>
  <c r="Q9" i="1"/>
  <c r="Q3" i="2"/>
  <c r="Q9" i="2"/>
  <c r="S3" i="1"/>
  <c r="AA36" i="1"/>
  <c r="AI28" i="1" s="1"/>
  <c r="Q4" i="2"/>
  <c r="S13" i="3"/>
  <c r="L14" i="3"/>
  <c r="L18" i="3"/>
  <c r="S22" i="3"/>
  <c r="AD36" i="1"/>
  <c r="P2" i="1"/>
  <c r="AA35" i="1"/>
  <c r="AA37" i="1"/>
  <c r="AH28" i="1" s="1"/>
  <c r="P3" i="1"/>
  <c r="Q6" i="1"/>
  <c r="AD35" i="1"/>
  <c r="R8" i="1" s="1"/>
  <c r="T8" i="1" s="1"/>
  <c r="Q7" i="2"/>
  <c r="Q26" i="4"/>
  <c r="W94" i="4"/>
  <c r="X94" i="4" s="1"/>
  <c r="Y94" i="4" s="1"/>
  <c r="W18" i="4"/>
  <c r="W20" i="4"/>
  <c r="W22" i="4"/>
  <c r="W24" i="4"/>
  <c r="W26" i="4"/>
  <c r="W91" i="4"/>
  <c r="X91" i="4" s="1"/>
  <c r="W99" i="4"/>
  <c r="X99" i="4" s="1"/>
  <c r="W71" i="4"/>
  <c r="W96" i="4"/>
  <c r="W97" i="4"/>
  <c r="W90" i="4"/>
  <c r="W98" i="4"/>
  <c r="W89" i="4"/>
  <c r="X89" i="4" s="1"/>
  <c r="Y89" i="4" s="1"/>
  <c r="W19" i="4"/>
  <c r="W21" i="4"/>
  <c r="W23" i="4"/>
  <c r="W25" i="4"/>
  <c r="W95" i="4"/>
  <c r="Q9" i="4"/>
  <c r="Q13" i="4"/>
  <c r="R13" i="4"/>
  <c r="Q8" i="4"/>
  <c r="Q12" i="4"/>
  <c r="R2" i="4"/>
  <c r="Q23" i="4"/>
  <c r="R9" i="4"/>
  <c r="Q2" i="4"/>
  <c r="R14" i="4"/>
  <c r="Q18" i="4"/>
  <c r="Q20" i="4"/>
  <c r="L22" i="4"/>
  <c r="L89" i="4"/>
  <c r="L26" i="4"/>
  <c r="V76" i="4"/>
  <c r="S80" i="4"/>
  <c r="V84" i="4"/>
  <c r="V73" i="4"/>
  <c r="V75" i="4"/>
  <c r="W75" i="4" s="1"/>
  <c r="L24" i="4"/>
  <c r="V78" i="4"/>
  <c r="V81" i="4"/>
  <c r="V72" i="4"/>
  <c r="V80" i="4"/>
  <c r="W80" i="4" s="1"/>
  <c r="V83" i="4"/>
  <c r="V77" i="4"/>
  <c r="V70" i="4"/>
  <c r="S18" i="4"/>
  <c r="V74" i="4"/>
  <c r="V69" i="4"/>
  <c r="Q25" i="4"/>
  <c r="V67" i="4"/>
  <c r="W67" i="4" s="1"/>
  <c r="X67" i="4" s="1"/>
  <c r="Y67" i="4" s="1"/>
  <c r="V79" i="4"/>
  <c r="V82" i="4"/>
  <c r="V68" i="4"/>
  <c r="R12" i="4"/>
  <c r="Q22" i="4"/>
  <c r="Q72" i="4"/>
  <c r="L78" i="4"/>
  <c r="S79" i="4"/>
  <c r="R68" i="4"/>
  <c r="Q15" i="4"/>
  <c r="R3" i="4"/>
  <c r="R11" i="4"/>
  <c r="R15" i="4"/>
  <c r="L19" i="4"/>
  <c r="L74" i="4"/>
  <c r="Q68" i="4"/>
  <c r="Q3" i="4"/>
  <c r="Q11" i="4"/>
  <c r="AE26" i="4"/>
  <c r="AM23" i="4" s="1"/>
  <c r="Q10" i="4"/>
  <c r="Q14" i="4"/>
  <c r="Q19" i="4"/>
  <c r="Q21" i="4"/>
  <c r="Q24" i="4"/>
  <c r="AG9" i="4"/>
  <c r="AH9" i="4" s="1"/>
  <c r="Q67" i="4"/>
  <c r="L94" i="4"/>
  <c r="R71" i="4"/>
  <c r="Q94" i="4"/>
  <c r="R100" i="4"/>
  <c r="Q102" i="4"/>
  <c r="Q71" i="4"/>
  <c r="R69" i="4"/>
  <c r="R70" i="4"/>
  <c r="Q93" i="4"/>
  <c r="Q69" i="4"/>
  <c r="Q70" i="4"/>
  <c r="W11" i="4"/>
  <c r="W15" i="4"/>
  <c r="W14" i="4"/>
  <c r="W4" i="4"/>
  <c r="X4" i="4" s="1"/>
  <c r="W7" i="4"/>
  <c r="W5" i="4"/>
  <c r="W9" i="4"/>
  <c r="W13" i="4"/>
  <c r="W8" i="4"/>
  <c r="Q73" i="4"/>
  <c r="Q96" i="4"/>
  <c r="Q99" i="4"/>
  <c r="L9" i="4"/>
  <c r="S20" i="4"/>
  <c r="S93" i="4"/>
  <c r="AG15" i="4"/>
  <c r="AH15" i="4" s="1"/>
  <c r="S67" i="4"/>
  <c r="S99" i="4"/>
  <c r="Q83" i="4"/>
  <c r="S76" i="4"/>
  <c r="R95" i="4"/>
  <c r="R79" i="4"/>
  <c r="Q6" i="4"/>
  <c r="S2" i="4"/>
  <c r="S8" i="4"/>
  <c r="Q79" i="4"/>
  <c r="S81" i="4"/>
  <c r="Q90" i="4"/>
  <c r="Q95" i="4"/>
  <c r="Q100" i="4"/>
  <c r="R4" i="4"/>
  <c r="AG2" i="4"/>
  <c r="AH2" i="4" s="1"/>
  <c r="L13" i="4"/>
  <c r="L14" i="4"/>
  <c r="S73" i="4"/>
  <c r="L77" i="4"/>
  <c r="Q78" i="4"/>
  <c r="Q89" i="4"/>
  <c r="S96" i="4"/>
  <c r="S10" i="4"/>
  <c r="Q77" i="4"/>
  <c r="Q88" i="4"/>
  <c r="Y91" i="4"/>
  <c r="L92" i="4"/>
  <c r="R6" i="4"/>
  <c r="R5" i="4"/>
  <c r="Q7" i="4"/>
  <c r="AG6" i="4"/>
  <c r="AH6" i="4" s="1"/>
  <c r="AG7" i="4"/>
  <c r="AH7" i="4" s="1"/>
  <c r="AG4" i="4"/>
  <c r="AH4" i="4" s="1"/>
  <c r="AG5" i="4"/>
  <c r="AH5" i="4" s="1"/>
  <c r="Q76" i="4"/>
  <c r="Q82" i="4"/>
  <c r="R88" i="4"/>
  <c r="Q92" i="4"/>
  <c r="Q98" i="4"/>
  <c r="Q4" i="4"/>
  <c r="AG13" i="4"/>
  <c r="AH13" i="4" s="1"/>
  <c r="L15" i="4"/>
  <c r="L75" i="4"/>
  <c r="S88" i="4"/>
  <c r="Q91" i="4"/>
  <c r="R92" i="4"/>
  <c r="R7" i="4"/>
  <c r="Q75" i="4"/>
  <c r="Q81" i="4"/>
  <c r="Q84" i="4"/>
  <c r="R91" i="4"/>
  <c r="Q97" i="4"/>
  <c r="Q101" i="4"/>
  <c r="AG14" i="4"/>
  <c r="AH14" i="4" s="1"/>
  <c r="Q74" i="4"/>
  <c r="R75" i="4"/>
  <c r="Q80" i="4"/>
  <c r="S91" i="4"/>
  <c r="L95" i="4"/>
  <c r="Y99" i="4"/>
  <c r="R10" i="4"/>
  <c r="AF29" i="4"/>
  <c r="AF32" i="4"/>
  <c r="AG29" i="4"/>
  <c r="AE29" i="4"/>
  <c r="AE32" i="4"/>
  <c r="R8" i="4"/>
  <c r="AF31" i="4"/>
  <c r="Y88" i="4"/>
  <c r="S12" i="4"/>
  <c r="S21" i="4"/>
  <c r="L25" i="4"/>
  <c r="R78" i="4"/>
  <c r="R81" i="4"/>
  <c r="R89" i="4"/>
  <c r="R96" i="4"/>
  <c r="R99" i="4"/>
  <c r="R72" i="4"/>
  <c r="L97" i="4"/>
  <c r="R98" i="4"/>
  <c r="L100" i="4"/>
  <c r="AG8" i="4"/>
  <c r="AH8" i="4" s="1"/>
  <c r="L23" i="4"/>
  <c r="L82" i="4"/>
  <c r="L90" i="4"/>
  <c r="S72" i="4"/>
  <c r="R74" i="4"/>
  <c r="R77" i="4"/>
  <c r="R80" i="4"/>
  <c r="S83" i="4"/>
  <c r="L84" i="4"/>
  <c r="R94" i="4"/>
  <c r="S98" i="4"/>
  <c r="S101" i="4"/>
  <c r="L102" i="4"/>
  <c r="S11" i="4"/>
  <c r="R97" i="4"/>
  <c r="AG10" i="4"/>
  <c r="AH10" i="4" s="1"/>
  <c r="AG12" i="4"/>
  <c r="AH12" i="4" s="1"/>
  <c r="R82" i="4"/>
  <c r="R90" i="4"/>
  <c r="R67" i="4"/>
  <c r="R73" i="4"/>
  <c r="R76" i="4"/>
  <c r="R93" i="4"/>
  <c r="X13" i="4" l="1"/>
  <c r="X15" i="4"/>
  <c r="X11" i="4"/>
  <c r="X9" i="4"/>
  <c r="X7" i="4"/>
  <c r="X19" i="4"/>
  <c r="X100" i="4"/>
  <c r="Y100" i="4" s="1"/>
  <c r="X98" i="4"/>
  <c r="Y98" i="4" s="1"/>
  <c r="X26" i="4"/>
  <c r="X6" i="4"/>
  <c r="X90" i="4"/>
  <c r="Y90" i="4" s="1"/>
  <c r="AD33" i="2"/>
  <c r="AH29" i="2" s="1"/>
  <c r="AH32" i="1"/>
  <c r="R9" i="1"/>
  <c r="T9" i="1" s="1"/>
  <c r="AD4" i="1"/>
  <c r="AC10" i="1"/>
  <c r="AI31" i="1"/>
  <c r="AD34" i="2"/>
  <c r="AI28" i="2" s="1"/>
  <c r="X95" i="4"/>
  <c r="Y95" i="4" s="1"/>
  <c r="X97" i="4"/>
  <c r="Y97" i="4" s="1"/>
  <c r="W61" i="3"/>
  <c r="AD38" i="3" s="1"/>
  <c r="O17" i="2"/>
  <c r="P17" i="2" s="1"/>
  <c r="Q17" i="2" s="1"/>
  <c r="O19" i="2"/>
  <c r="P19" i="2" s="1"/>
  <c r="Q19" i="2" s="1"/>
  <c r="O14" i="2"/>
  <c r="P14" i="2" s="1"/>
  <c r="Q14" i="2" s="1"/>
  <c r="AI32" i="1"/>
  <c r="O16" i="2"/>
  <c r="P16" i="2" s="1"/>
  <c r="Q16" i="2" s="1"/>
  <c r="O13" i="2"/>
  <c r="P13" i="2" s="1"/>
  <c r="Q13" i="2" s="1"/>
  <c r="O18" i="2"/>
  <c r="P18" i="2" s="1"/>
  <c r="Q18" i="2" s="1"/>
  <c r="AD32" i="2"/>
  <c r="O15" i="2"/>
  <c r="P15" i="2" s="1"/>
  <c r="Q15" i="2" s="1"/>
  <c r="R3" i="1"/>
  <c r="X12" i="4"/>
  <c r="X25" i="4"/>
  <c r="X22" i="4"/>
  <c r="X101" i="4"/>
  <c r="Y101" i="4" s="1"/>
  <c r="AD36" i="3"/>
  <c r="Z44" i="3"/>
  <c r="Z46" i="3" s="1"/>
  <c r="Z47" i="3" s="1"/>
  <c r="X8" i="4"/>
  <c r="X10" i="4"/>
  <c r="X23" i="4"/>
  <c r="X96" i="4"/>
  <c r="Y96" i="4" s="1"/>
  <c r="X93" i="4"/>
  <c r="Y93" i="4" s="1"/>
  <c r="R6" i="1"/>
  <c r="T6" i="1" s="1"/>
  <c r="R7" i="1"/>
  <c r="T7" i="1" s="1"/>
  <c r="X102" i="4"/>
  <c r="Y102" i="4" s="1"/>
  <c r="X14" i="4"/>
  <c r="R5" i="1"/>
  <c r="T5" i="1" s="1"/>
  <c r="W59" i="3"/>
  <c r="AF38" i="3" s="1"/>
  <c r="V8" i="1"/>
  <c r="W8" i="1" s="1"/>
  <c r="V4" i="1"/>
  <c r="W4" i="1" s="1"/>
  <c r="V5" i="1"/>
  <c r="W5" i="1" s="1"/>
  <c r="V11" i="1"/>
  <c r="V3" i="1"/>
  <c r="W3" i="1" s="1"/>
  <c r="V6" i="1"/>
  <c r="W6" i="1" s="1"/>
  <c r="V9" i="1"/>
  <c r="W9" i="1" s="1"/>
  <c r="V7" i="1"/>
  <c r="W7" i="1" s="1"/>
  <c r="V2" i="1"/>
  <c r="W2" i="1" s="1"/>
  <c r="AJ28" i="1"/>
  <c r="V3" i="2"/>
  <c r="W3" i="2" s="1"/>
  <c r="V4" i="2"/>
  <c r="W4" i="2" s="1"/>
  <c r="V5" i="2"/>
  <c r="W5" i="2" s="1"/>
  <c r="V6" i="2"/>
  <c r="W6" i="2" s="1"/>
  <c r="AJ25" i="2"/>
  <c r="V7" i="2"/>
  <c r="W7" i="2" s="1"/>
  <c r="V8" i="2"/>
  <c r="W8" i="2" s="1"/>
  <c r="V9" i="2"/>
  <c r="W9" i="2" s="1"/>
  <c r="V2" i="2"/>
  <c r="W2" i="2" s="1"/>
  <c r="R2" i="1"/>
  <c r="T2" i="1" s="1"/>
  <c r="R4" i="1"/>
  <c r="T4" i="1" s="1"/>
  <c r="AD28" i="1"/>
  <c r="AD30" i="1" s="1"/>
  <c r="AD35" i="2"/>
  <c r="AH31" i="1"/>
  <c r="AI11" i="3"/>
  <c r="AH11" i="3"/>
  <c r="AI7" i="3"/>
  <c r="AH5" i="3"/>
  <c r="AI14" i="3"/>
  <c r="O14" i="3" s="1"/>
  <c r="Q14" i="3" s="1"/>
  <c r="W57" i="3"/>
  <c r="AH14" i="3"/>
  <c r="AI10" i="3"/>
  <c r="AH10" i="3"/>
  <c r="AH6" i="3"/>
  <c r="AI13" i="3"/>
  <c r="AI12" i="3"/>
  <c r="C3" i="3"/>
  <c r="AI2" i="3"/>
  <c r="AH13" i="3"/>
  <c r="AI5" i="3"/>
  <c r="AH2" i="3"/>
  <c r="AI9" i="3"/>
  <c r="AI4" i="3"/>
  <c r="AH9" i="3"/>
  <c r="AH7" i="3"/>
  <c r="AI6" i="3"/>
  <c r="AH4" i="3"/>
  <c r="AH12" i="3"/>
  <c r="AI8" i="3"/>
  <c r="AH8" i="3"/>
  <c r="W60" i="3"/>
  <c r="AE38" i="3" s="1"/>
  <c r="X5" i="4"/>
  <c r="W74" i="4"/>
  <c r="X74" i="4" s="1"/>
  <c r="Y74" i="4" s="1"/>
  <c r="W78" i="4"/>
  <c r="X78" i="4" s="1"/>
  <c r="Y78" i="4" s="1"/>
  <c r="X21" i="4"/>
  <c r="X24" i="4"/>
  <c r="W68" i="4"/>
  <c r="X68" i="4" s="1"/>
  <c r="Y68" i="4" s="1"/>
  <c r="W70" i="4"/>
  <c r="X70" i="4" s="1"/>
  <c r="Y70" i="4" s="1"/>
  <c r="X75" i="4"/>
  <c r="Y75" i="4" s="1"/>
  <c r="X20" i="4"/>
  <c r="W81" i="4"/>
  <c r="X81" i="4" s="1"/>
  <c r="Y81" i="4" s="1"/>
  <c r="W82" i="4"/>
  <c r="X82" i="4" s="1"/>
  <c r="Y82" i="4" s="1"/>
  <c r="W77" i="4"/>
  <c r="X77" i="4" s="1"/>
  <c r="Y77" i="4" s="1"/>
  <c r="W73" i="4"/>
  <c r="X73" i="4" s="1"/>
  <c r="Y73" i="4" s="1"/>
  <c r="X71" i="4"/>
  <c r="Y71" i="4" s="1"/>
  <c r="X18" i="4"/>
  <c r="W79" i="4"/>
  <c r="X79" i="4" s="1"/>
  <c r="Y79" i="4" s="1"/>
  <c r="W83" i="4"/>
  <c r="X83" i="4" s="1"/>
  <c r="Y83" i="4" s="1"/>
  <c r="W84" i="4"/>
  <c r="X84" i="4" s="1"/>
  <c r="Y84" i="4" s="1"/>
  <c r="W69" i="4"/>
  <c r="X69" i="4" s="1"/>
  <c r="Y69" i="4" s="1"/>
  <c r="X80" i="4"/>
  <c r="Y80" i="4" s="1"/>
  <c r="W72" i="4"/>
  <c r="X72" i="4" s="1"/>
  <c r="Y72" i="4" s="1"/>
  <c r="W76" i="4"/>
  <c r="X76" i="4" s="1"/>
  <c r="Y76" i="4" s="1"/>
  <c r="AM21" i="4"/>
  <c r="AM27" i="4"/>
  <c r="AM29" i="4"/>
  <c r="AM26" i="4"/>
  <c r="AM24" i="4"/>
  <c r="AM28" i="4"/>
  <c r="X57" i="4"/>
  <c r="AE30" i="4" s="1"/>
  <c r="AM22" i="4"/>
  <c r="AM25" i="4"/>
  <c r="X56" i="4"/>
  <c r="AF30" i="4" s="1"/>
  <c r="AA46" i="4"/>
  <c r="AA48" i="4" s="1"/>
  <c r="AA49" i="4" s="1"/>
  <c r="AE31" i="4"/>
  <c r="X61" i="4" l="1"/>
  <c r="AI29" i="2"/>
  <c r="R5" i="2"/>
  <c r="T5" i="2" s="1"/>
  <c r="R6" i="2"/>
  <c r="T6" i="2" s="1"/>
  <c r="R4" i="2"/>
  <c r="T4" i="2" s="1"/>
  <c r="R3" i="2"/>
  <c r="T3" i="2" s="1"/>
  <c r="R7" i="2"/>
  <c r="T7" i="2" s="1"/>
  <c r="R9" i="2"/>
  <c r="T9" i="2" s="1"/>
  <c r="R8" i="2"/>
  <c r="T8" i="2" s="1"/>
  <c r="R2" i="2"/>
  <c r="T2" i="2" s="1"/>
  <c r="AM10" i="3"/>
  <c r="AJ14" i="3"/>
  <c r="AK14" i="3" s="1"/>
  <c r="AM13" i="3"/>
  <c r="AM12" i="3"/>
  <c r="AJ10" i="3"/>
  <c r="AK10" i="3" s="1"/>
  <c r="AM9" i="3"/>
  <c r="AJ13" i="3"/>
  <c r="AK13" i="3" s="1"/>
  <c r="AJ12" i="3"/>
  <c r="AK12" i="3" s="1"/>
  <c r="AM8" i="3"/>
  <c r="AM11" i="3"/>
  <c r="AJ9" i="3"/>
  <c r="AK9" i="3" s="1"/>
  <c r="AM5" i="3"/>
  <c r="AJ5" i="3"/>
  <c r="AK5" i="3" s="1"/>
  <c r="AM4" i="3"/>
  <c r="AM7" i="3"/>
  <c r="AM14" i="3"/>
  <c r="AM6" i="3"/>
  <c r="AJ4" i="3"/>
  <c r="AK4" i="3" s="1"/>
  <c r="AJ7" i="3"/>
  <c r="AK7" i="3" s="1"/>
  <c r="AJ6" i="3"/>
  <c r="AK6" i="3" s="1"/>
  <c r="AJ11" i="3"/>
  <c r="AK11" i="3" s="1"/>
  <c r="AJ8" i="3"/>
  <c r="AK8" i="3" s="1"/>
  <c r="AM2" i="3"/>
  <c r="AJ2" i="3"/>
  <c r="AK2" i="3" s="1"/>
  <c r="AJ6" i="4"/>
  <c r="AK6" i="4" s="1"/>
  <c r="AL6" i="4" s="1"/>
  <c r="AE4" i="1"/>
  <c r="AE10" i="1" s="1"/>
  <c r="AD10" i="1"/>
  <c r="AH28" i="2"/>
  <c r="AD25" i="2"/>
  <c r="AD27" i="2" s="1"/>
  <c r="AI30" i="1"/>
  <c r="AD31" i="1"/>
  <c r="AH30" i="1" s="1"/>
  <c r="AF3" i="3"/>
  <c r="AG3" i="3" s="1"/>
  <c r="B3" i="3"/>
  <c r="K3" i="3"/>
  <c r="T3" i="1"/>
  <c r="AA38" i="1"/>
  <c r="AA39" i="1"/>
  <c r="AH29" i="1" s="1"/>
  <c r="X63" i="4"/>
  <c r="X62" i="4"/>
  <c r="AJ5" i="4"/>
  <c r="AK5" i="4" s="1"/>
  <c r="AL5" i="4" s="1"/>
  <c r="AJ12" i="4"/>
  <c r="AK12" i="4" s="1"/>
  <c r="AL12" i="4" s="1"/>
  <c r="AI13" i="4"/>
  <c r="AN13" i="4" s="1"/>
  <c r="AM13" i="4" s="1"/>
  <c r="AI8" i="4"/>
  <c r="AN8" i="4" s="1"/>
  <c r="AM8" i="4" s="1"/>
  <c r="C3" i="4"/>
  <c r="B3" i="4" s="1"/>
  <c r="AJ11" i="4"/>
  <c r="AK11" i="4" s="1"/>
  <c r="AL11" i="4" s="1"/>
  <c r="AI6" i="4"/>
  <c r="AJ15" i="4"/>
  <c r="AK15" i="4" s="1"/>
  <c r="AL15" i="4" s="1"/>
  <c r="AJ7" i="4"/>
  <c r="AK7" i="4" s="1"/>
  <c r="AL7" i="4" s="1"/>
  <c r="AI9" i="4"/>
  <c r="AJ14" i="4"/>
  <c r="AK14" i="4" s="1"/>
  <c r="AL14" i="4" s="1"/>
  <c r="AJ4" i="4"/>
  <c r="AK4" i="4" s="1"/>
  <c r="AL4" i="4" s="1"/>
  <c r="AI12" i="4"/>
  <c r="AJ8" i="4"/>
  <c r="AK8" i="4" s="1"/>
  <c r="AL8" i="4" s="1"/>
  <c r="AI15" i="4"/>
  <c r="AI2" i="4"/>
  <c r="AN2" i="4" s="1"/>
  <c r="AI11" i="4"/>
  <c r="AN11" i="4" s="1"/>
  <c r="AM11" i="4" s="1"/>
  <c r="AI7" i="4"/>
  <c r="AN7" i="4" s="1"/>
  <c r="AI10" i="4"/>
  <c r="X59" i="4"/>
  <c r="AI4" i="4"/>
  <c r="AJ9" i="4"/>
  <c r="AK9" i="4" s="1"/>
  <c r="AL9" i="4" s="1"/>
  <c r="AJ13" i="4"/>
  <c r="AK13" i="4" s="1"/>
  <c r="AL13" i="4" s="1"/>
  <c r="AI5" i="4"/>
  <c r="AJ2" i="4"/>
  <c r="AK2" i="4" s="1"/>
  <c r="AL2" i="4" s="1"/>
  <c r="AJ10" i="4"/>
  <c r="AK10" i="4" s="1"/>
  <c r="AL10" i="4" s="1"/>
  <c r="AI14" i="4"/>
  <c r="AF6" i="1" l="1"/>
  <c r="AD28" i="2"/>
  <c r="AH27" i="2" s="1"/>
  <c r="AI27" i="2"/>
  <c r="U8" i="1"/>
  <c r="U4" i="1"/>
  <c r="U5" i="1"/>
  <c r="U3" i="1"/>
  <c r="AI29" i="1"/>
  <c r="AF9" i="1" s="1"/>
  <c r="U6" i="1"/>
  <c r="U9" i="1"/>
  <c r="U2" i="1"/>
  <c r="U7" i="1"/>
  <c r="S3" i="3"/>
  <c r="L3" i="3"/>
  <c r="AG3" i="4"/>
  <c r="AH3" i="4" s="1"/>
  <c r="AI3" i="4" s="1"/>
  <c r="AI3" i="3"/>
  <c r="AJ3" i="3" s="1"/>
  <c r="AK3" i="3" s="1"/>
  <c r="AH3" i="3"/>
  <c r="K3" i="4"/>
  <c r="S3" i="4" s="1"/>
  <c r="AN15" i="4"/>
  <c r="AM15" i="4" s="1"/>
  <c r="AN12" i="4"/>
  <c r="AM12" i="4" s="1"/>
  <c r="AN9" i="4"/>
  <c r="AM9" i="4" s="1"/>
  <c r="AN10" i="4"/>
  <c r="AM10" i="4" s="1"/>
  <c r="AN5" i="4"/>
  <c r="AN4" i="4"/>
  <c r="AN6" i="4"/>
  <c r="AN14" i="4"/>
  <c r="AM14" i="4" s="1"/>
  <c r="AF8" i="1" l="1"/>
  <c r="AF4" i="1"/>
  <c r="AJ3" i="4"/>
  <c r="AK3" i="4" s="1"/>
  <c r="AL3" i="4" s="1"/>
  <c r="AF2" i="1"/>
  <c r="AF3" i="1"/>
  <c r="AF7" i="1"/>
  <c r="AF5" i="1"/>
  <c r="AP3" i="3"/>
  <c r="AM3" i="3"/>
  <c r="L3" i="4"/>
  <c r="AN3" i="4"/>
  <c r="AA63" i="4" l="1"/>
  <c r="AE34" i="4" s="1"/>
  <c r="AA62" i="4"/>
  <c r="AF34" i="4" s="1"/>
  <c r="AA61" i="4"/>
  <c r="AG34" i="4" s="1"/>
  <c r="AG33" i="4" l="1"/>
  <c r="AF33" i="4"/>
  <c r="AE33" i="4"/>
  <c r="AQ11" i="4" l="1"/>
  <c r="AQ6" i="4"/>
  <c r="AR6" i="4" s="1"/>
  <c r="AQ12" i="4"/>
  <c r="AQ10" i="4"/>
  <c r="AQ9" i="4"/>
  <c r="AQ5" i="4"/>
  <c r="AQ8" i="4"/>
  <c r="AQ14" i="4"/>
  <c r="AQ13" i="4"/>
  <c r="AQ15" i="4"/>
  <c r="AQ7" i="4"/>
  <c r="AQ4" i="4"/>
  <c r="AO5" i="4"/>
  <c r="AP5" i="4" s="1"/>
  <c r="AO12" i="4"/>
  <c r="AP12" i="4" s="1"/>
  <c r="AO7" i="4"/>
  <c r="AP7" i="4" s="1"/>
  <c r="AO14" i="4"/>
  <c r="AP14" i="4" s="1"/>
  <c r="AO4" i="4"/>
  <c r="AP4" i="4" s="1"/>
  <c r="AO11" i="4"/>
  <c r="AP11" i="4" s="1"/>
  <c r="AO8" i="4"/>
  <c r="AP8" i="4" s="1"/>
  <c r="AO6" i="4"/>
  <c r="AP6" i="4" s="1"/>
  <c r="AO9" i="4"/>
  <c r="AP9" i="4" s="1"/>
  <c r="AO15" i="4"/>
  <c r="AP15" i="4" s="1"/>
  <c r="AO10" i="4"/>
  <c r="AP10" i="4" s="1"/>
  <c r="AO13" i="4"/>
  <c r="AP13" i="4" s="1"/>
  <c r="AR11" i="4" l="1"/>
  <c r="AX11" i="4"/>
  <c r="AR9" i="4"/>
  <c r="AX9" i="4"/>
  <c r="AX12" i="4"/>
  <c r="AR12" i="4"/>
  <c r="AR10" i="4"/>
  <c r="AX10" i="4"/>
  <c r="AX7" i="4"/>
  <c r="AR7" i="4"/>
  <c r="AX6" i="4"/>
  <c r="AX8" i="4"/>
  <c r="AR8" i="4"/>
  <c r="AR15" i="4"/>
  <c r="AX15" i="4"/>
  <c r="AX14" i="4"/>
  <c r="AR14" i="4"/>
  <c r="AR13" i="4"/>
  <c r="AX13" i="4"/>
  <c r="Z60" i="3"/>
  <c r="AE39" i="3" s="1"/>
  <c r="AN4" i="3" l="1"/>
  <c r="AO4" i="3" s="1"/>
  <c r="AP4" i="3" s="1"/>
  <c r="AW4" i="3" s="1"/>
  <c r="AR2" i="3"/>
  <c r="AS2" i="3" s="1"/>
  <c r="AR9" i="3"/>
  <c r="AS9" i="3" s="1"/>
  <c r="AT9" i="3" s="1"/>
  <c r="AU9" i="3" s="1"/>
  <c r="AR10" i="3"/>
  <c r="AS10" i="3" s="1"/>
  <c r="AT10" i="3" s="1"/>
  <c r="AU10" i="3" s="1"/>
  <c r="AN14" i="3"/>
  <c r="AO14" i="3" s="1"/>
  <c r="AP14" i="3" s="1"/>
  <c r="AW14" i="3" s="1"/>
  <c r="AR5" i="3"/>
  <c r="AS5" i="3" s="1"/>
  <c r="AN13" i="3"/>
  <c r="AO13" i="3" s="1"/>
  <c r="AP13" i="3" s="1"/>
  <c r="AR8" i="3"/>
  <c r="AS8" i="3" s="1"/>
  <c r="AT8" i="3" s="1"/>
  <c r="AU8" i="3" s="1"/>
  <c r="AR3" i="3"/>
  <c r="AS3" i="3" s="1"/>
  <c r="AN9" i="3"/>
  <c r="AO9" i="3" s="1"/>
  <c r="AP9" i="3" s="1"/>
  <c r="AN3" i="3"/>
  <c r="AN11" i="3"/>
  <c r="AO11" i="3" s="1"/>
  <c r="AP11" i="3" s="1"/>
  <c r="AN6" i="3"/>
  <c r="AO6" i="3" s="1"/>
  <c r="AP6" i="3" s="1"/>
  <c r="AN12" i="3"/>
  <c r="AO12" i="3" s="1"/>
  <c r="AP12" i="3" s="1"/>
  <c r="AR14" i="3"/>
  <c r="AS14" i="3" s="1"/>
  <c r="AT14" i="3" s="1"/>
  <c r="AR11" i="3"/>
  <c r="AS11" i="3" s="1"/>
  <c r="AT11" i="3" s="1"/>
  <c r="AU11" i="3" s="1"/>
  <c r="AR12" i="3"/>
  <c r="AS12" i="3" s="1"/>
  <c r="AT12" i="3" s="1"/>
  <c r="AU12" i="3" s="1"/>
  <c r="AR6" i="3"/>
  <c r="AS6" i="3" s="1"/>
  <c r="AT6" i="3" s="1"/>
  <c r="AR7" i="3"/>
  <c r="AS7" i="3" s="1"/>
  <c r="AT7" i="3" s="1"/>
  <c r="AN5" i="3"/>
  <c r="AO5" i="3" s="1"/>
  <c r="AP5" i="3" s="1"/>
  <c r="AW5" i="3" s="1"/>
  <c r="AN10" i="3"/>
  <c r="AO10" i="3" s="1"/>
  <c r="AP10" i="3" s="1"/>
  <c r="AN7" i="3"/>
  <c r="AO7" i="3" s="1"/>
  <c r="AP7" i="3" s="1"/>
  <c r="AN2" i="3"/>
  <c r="AR4" i="3"/>
  <c r="AS4" i="3" s="1"/>
  <c r="AN8" i="3"/>
  <c r="AO8" i="3" s="1"/>
  <c r="AP8" i="3" s="1"/>
  <c r="AR13" i="3"/>
  <c r="AS13" i="3" s="1"/>
  <c r="AT13" i="3" s="1"/>
  <c r="AU13" i="3" s="1"/>
  <c r="AE35" i="4"/>
  <c r="Z15" i="4"/>
  <c r="AA15" i="4" s="1"/>
  <c r="AB15" i="4"/>
  <c r="AE15" i="4" s="1"/>
  <c r="AE44" i="4"/>
  <c r="AQ13" i="3" l="1"/>
  <c r="AW13" i="3"/>
  <c r="AQ12" i="3"/>
  <c r="AW12" i="3"/>
  <c r="AQ10" i="3"/>
  <c r="AW10" i="3"/>
  <c r="AQ6" i="3"/>
  <c r="AW6" i="3"/>
  <c r="AW11" i="3"/>
  <c r="AQ11" i="3"/>
  <c r="Y4" i="4"/>
  <c r="Y12" i="4"/>
  <c r="Y9" i="4"/>
  <c r="Y5" i="4"/>
  <c r="Y13" i="4"/>
  <c r="Y6" i="4"/>
  <c r="Y14" i="4"/>
  <c r="Y10" i="4"/>
  <c r="Y7" i="4"/>
  <c r="Y3" i="4"/>
  <c r="AB3" i="4" s="1"/>
  <c r="Y8" i="4"/>
  <c r="Y11" i="4"/>
  <c r="AW9" i="3"/>
  <c r="AQ9" i="3"/>
  <c r="AQ7" i="3"/>
  <c r="AW7" i="3"/>
  <c r="AW8" i="3"/>
  <c r="AQ8" i="3"/>
  <c r="AC15" i="4"/>
  <c r="Z13" i="4" l="1"/>
  <c r="AA13" i="4" s="1"/>
  <c r="AB13" i="4"/>
  <c r="Z8" i="4"/>
  <c r="AA8" i="4" s="1"/>
  <c r="AB8" i="4"/>
  <c r="AB9" i="4"/>
  <c r="Z9" i="4"/>
  <c r="AA9" i="4" s="1"/>
  <c r="Z5" i="4"/>
  <c r="AA5" i="4" s="1"/>
  <c r="AB5" i="4"/>
  <c r="AB12" i="4"/>
  <c r="Z12" i="4"/>
  <c r="AA12" i="4" s="1"/>
  <c r="AB7" i="4"/>
  <c r="Z7" i="4"/>
  <c r="AA7" i="4" s="1"/>
  <c r="Z4" i="4"/>
  <c r="AA4" i="4" s="1"/>
  <c r="AB4" i="4"/>
  <c r="AB11" i="4"/>
  <c r="Z11" i="4"/>
  <c r="AA11" i="4" s="1"/>
  <c r="Z10" i="4"/>
  <c r="AA10" i="4" s="1"/>
  <c r="AB10" i="4"/>
  <c r="AB6" i="4"/>
  <c r="Z6" i="4"/>
  <c r="AA6" i="4" s="1"/>
  <c r="Z3" i="4"/>
  <c r="Z14" i="4"/>
  <c r="AA14" i="4" s="1"/>
  <c r="AB14" i="4"/>
  <c r="AE3" i="4"/>
  <c r="AC3" i="4"/>
  <c r="AC5" i="4" l="1"/>
  <c r="AE5" i="4"/>
  <c r="AC14" i="4"/>
  <c r="AE14" i="4"/>
  <c r="AC11" i="4"/>
  <c r="AE11" i="4"/>
  <c r="AE9" i="4"/>
  <c r="AC9" i="4"/>
  <c r="AE4" i="4"/>
  <c r="AC4" i="4"/>
  <c r="AE8" i="4"/>
  <c r="AC8" i="4"/>
  <c r="AE6" i="4"/>
  <c r="AC6" i="4"/>
  <c r="AC7" i="4"/>
  <c r="AE7" i="4"/>
  <c r="AE10" i="4"/>
  <c r="AC10" i="4"/>
  <c r="AE13" i="4"/>
  <c r="AE39" i="4" s="1"/>
  <c r="AC13" i="4"/>
  <c r="AE12" i="4"/>
  <c r="AC12" i="4"/>
  <c r="AF13" i="4" l="1"/>
  <c r="AE38" i="4" s="1"/>
  <c r="AT14" i="4" s="1"/>
  <c r="AU14" i="4" s="1"/>
  <c r="AT8" i="4" l="1"/>
  <c r="AU8" i="4" s="1"/>
  <c r="AT12" i="4"/>
  <c r="AU12" i="4" s="1"/>
  <c r="AT13" i="4"/>
  <c r="AU13" i="4" s="1"/>
  <c r="AT11" i="4"/>
  <c r="AU11" i="4" s="1"/>
  <c r="AT10" i="4"/>
  <c r="AU10" i="4" s="1"/>
  <c r="AT15" i="4"/>
  <c r="AU15" i="4" s="1"/>
  <c r="AT9" i="4"/>
  <c r="AU9" i="4" s="1"/>
  <c r="AG36" i="7"/>
</calcChain>
</file>

<file path=xl/sharedStrings.xml><?xml version="1.0" encoding="utf-8"?>
<sst xmlns="http://schemas.openxmlformats.org/spreadsheetml/2006/main" count="692" uniqueCount="243">
  <si>
    <t>throttleFlt, deg</t>
  </si>
  <si>
    <t>v4, vdc</t>
  </si>
  <si>
    <t>Vemf, V pk-pk</t>
  </si>
  <si>
    <t>numPoles</t>
  </si>
  <si>
    <t>Kv</t>
  </si>
  <si>
    <t>Vc</t>
  </si>
  <si>
    <t>max RPM</t>
  </si>
  <si>
    <t>Throttle, deg</t>
  </si>
  <si>
    <t>Calc Ng from Throttle, rpm</t>
  </si>
  <si>
    <t>for 100% Ng at</t>
  </si>
  <si>
    <t>Charger V, vdc</t>
  </si>
  <si>
    <t>Charger I, A</t>
  </si>
  <si>
    <t>Charger Pwr, W</t>
  </si>
  <si>
    <t>THTL_MIN</t>
  </si>
  <si>
    <t>POT_MIN</t>
  </si>
  <si>
    <t>POT_MAX</t>
  </si>
  <si>
    <t>F2V_MIN</t>
  </si>
  <si>
    <t>F2V_MAX</t>
  </si>
  <si>
    <t>THTL_MAX</t>
  </si>
  <si>
    <t>potValue, v</t>
  </si>
  <si>
    <t>throttle, deg</t>
  </si>
  <si>
    <t>P_LT_NG</t>
  </si>
  <si>
    <t>vf2v, v</t>
  </si>
  <si>
    <t>Tng, micros</t>
  </si>
  <si>
    <t>FreqNg, Hz</t>
  </si>
  <si>
    <t>Ng, RPM</t>
  </si>
  <si>
    <t>Ng, %</t>
  </si>
  <si>
    <t>RPM_P</t>
  </si>
  <si>
    <t>Key</t>
  </si>
  <si>
    <t>User Inputs</t>
  </si>
  <si>
    <t>Calculated</t>
  </si>
  <si>
    <t>Entry to potESC.ino</t>
  </si>
  <si>
    <t>Motor</t>
  </si>
  <si>
    <t>LM2907N Circuit</t>
  </si>
  <si>
    <t>watts max ESC output</t>
  </si>
  <si>
    <t>ESC</t>
  </si>
  <si>
    <t>Enter 'value' until 100% Ng at max ESC watts</t>
  </si>
  <si>
    <t>Enter AD Scalings</t>
  </si>
  <si>
    <t>Computed Values</t>
  </si>
  <si>
    <t>Test Data</t>
  </si>
  <si>
    <t>what works</t>
  </si>
  <si>
    <t>nf</t>
  </si>
  <si>
    <t>ng</t>
  </si>
  <si>
    <t>freq</t>
  </si>
  <si>
    <t>same as Arduino</t>
  </si>
  <si>
    <t>Charger Pwr, SHP</t>
  </si>
  <si>
    <t>Ng Torque, ft-lbf</t>
  </si>
  <si>
    <t>dQ/dNg, ft-lbf/rpm</t>
  </si>
  <si>
    <t>Tau</t>
  </si>
  <si>
    <t>avg=</t>
  </si>
  <si>
    <t>TTL, ms</t>
  </si>
  <si>
    <t>original throttle, deg</t>
  </si>
  <si>
    <t>ttl, ms</t>
  </si>
  <si>
    <t>cal thtl</t>
  </si>
  <si>
    <t>-----&gt;</t>
  </si>
  <si>
    <t>10/13/2016 determined to scale deg throttle to 1000-2000 microseconds by setting in code for Servo</t>
  </si>
  <si>
    <t>Entries for potESC.ino Arduino</t>
  </si>
  <si>
    <t>Entries for potESC.ino Photon</t>
  </si>
  <si>
    <t>Calc Throttle from Ng, deg</t>
  </si>
  <si>
    <t>P_TH_NG</t>
  </si>
  <si>
    <t>Force NG(TH) to 0,0 so shutoff and min TTL at startup for initializing ESCs</t>
  </si>
  <si>
    <t>ln(Throttle)</t>
  </si>
  <si>
    <t>THNG0</t>
  </si>
  <si>
    <t>model throttle from vpot</t>
  </si>
  <si>
    <t>Model Ng from Model Throttle, %</t>
  </si>
  <si>
    <t>throttle for Ng=0</t>
  </si>
  <si>
    <t>simulate vpot from throttle</t>
  </si>
  <si>
    <t>Model Ng from Model Throttle, rpm</t>
  </si>
  <si>
    <t>P_NG_Q</t>
  </si>
  <si>
    <t xml:space="preserve">Ra </t>
  </si>
  <si>
    <t>La</t>
  </si>
  <si>
    <t xml:space="preserve">Kvrps </t>
  </si>
  <si>
    <t>Kt</t>
  </si>
  <si>
    <t>r/s / V</t>
  </si>
  <si>
    <t>ft-lbf/A</t>
  </si>
  <si>
    <t>H</t>
  </si>
  <si>
    <t>O</t>
  </si>
  <si>
    <t>rpm/V</t>
  </si>
  <si>
    <t>TauG</t>
  </si>
  <si>
    <t>J</t>
  </si>
  <si>
    <t>rpm/s / ft-lbf</t>
  </si>
  <si>
    <t>Model TauG</t>
  </si>
  <si>
    <t>Model TauA</t>
  </si>
  <si>
    <t>Model Inner Gain</t>
  </si>
  <si>
    <t>Model dQgdNg, ft-lbf/rpm</t>
  </si>
  <si>
    <t>Model Qg from Model Ng, ft-lbf</t>
  </si>
  <si>
    <t>P_N_SHP</t>
  </si>
  <si>
    <t>P_N_Q</t>
  </si>
  <si>
    <t>Model SHPg from Model Ng, shp</t>
  </si>
  <si>
    <t>pwr conn, shp</t>
  </si>
  <si>
    <t>pwr unconn, shp</t>
  </si>
  <si>
    <t>Ng Torque Backwards unconn, ft-lbf</t>
  </si>
  <si>
    <t>P_NG_QG</t>
  </si>
  <si>
    <t>mm</t>
  </si>
  <si>
    <t>gm</t>
  </si>
  <si>
    <t>J=</t>
  </si>
  <si>
    <t>lbm-in^2</t>
  </si>
  <si>
    <t>lbm-ft^2</t>
  </si>
  <si>
    <t>ft-lbf/(rpm/sec)</t>
  </si>
  <si>
    <t>Model TauT</t>
  </si>
  <si>
    <t>Nt, %</t>
  </si>
  <si>
    <t>Model Nt from Model Ng, %</t>
  </si>
  <si>
    <t>Model Nt from Model Ng, rpm</t>
  </si>
  <si>
    <t>Model SHPf from Model Nt, shp</t>
  </si>
  <si>
    <t>Model Qt from Model Nt, ft-lbf</t>
  </si>
  <si>
    <t>Model dQtdNt, ft-lbf/rpm</t>
  </si>
  <si>
    <t>Nt for 0% Ng</t>
  </si>
  <si>
    <t>Model pcntRef from Model Ng, %</t>
  </si>
  <si>
    <t>Model Ng from pcntRef at RESET, %</t>
  </si>
  <si>
    <t>pcntRef, %</t>
  </si>
  <si>
    <t>Ttur, micros</t>
  </si>
  <si>
    <t>tur,RPM</t>
  </si>
  <si>
    <t>with tur</t>
  </si>
  <si>
    <t>Calc NG from Nt, rpm</t>
  </si>
  <si>
    <t>Calc Ng from Nt, %</t>
  </si>
  <si>
    <t>FreqTur, Hz</t>
  </si>
  <si>
    <t>Reverse/Tur connected</t>
  </si>
  <si>
    <t>Reverse/Tur not connected</t>
  </si>
  <si>
    <t>JtEst, ft-lbf/(rpm/sec)</t>
  </si>
  <si>
    <t>JtEst, lbm-ft^2</t>
  </si>
  <si>
    <t>JtEst, lbm-in^2</t>
  </si>
  <si>
    <t>P_V4_NT</t>
  </si>
  <si>
    <t>P_NG_NT</t>
  </si>
  <si>
    <t>P_NT_NG</t>
  </si>
  <si>
    <t>P_P_PNT</t>
  </si>
  <si>
    <t>Calc tur, rpm</t>
  </si>
  <si>
    <t>Calc tur, %</t>
  </si>
  <si>
    <t>tur, %</t>
  </si>
  <si>
    <t>Rt=</t>
  </si>
  <si>
    <t>Jt=</t>
  </si>
  <si>
    <t>P_NT_QT</t>
  </si>
  <si>
    <t>Measured TauT, s</t>
  </si>
  <si>
    <t>Nt, rpm</t>
  </si>
  <si>
    <t>P_PNT_TAU</t>
  </si>
  <si>
    <t>Inertia Turbine Only (need motor***)</t>
  </si>
  <si>
    <t>Jm</t>
  </si>
  <si>
    <t>Nt, RPM</t>
  </si>
  <si>
    <t>Ng Pwr, SHP</t>
  </si>
  <si>
    <t>Model PwrG from Model Ng*Q, shp</t>
  </si>
  <si>
    <t>Est Qt</t>
  </si>
  <si>
    <t>Est Pwr, shp</t>
  </si>
  <si>
    <t>Rm=</t>
  </si>
  <si>
    <t>at most</t>
  </si>
  <si>
    <t>Lm=</t>
  </si>
  <si>
    <t>Mt=</t>
  </si>
  <si>
    <t>Mm=</t>
  </si>
  <si>
    <t>1/3*MR^2</t>
  </si>
  <si>
    <t>1/2*MR^2</t>
  </si>
  <si>
    <t>lbm</t>
  </si>
  <si>
    <t>Ng Total Torque, ft-lbf</t>
  </si>
  <si>
    <t>Ng Total  Torque Backwards conn, ft-lbf</t>
  </si>
  <si>
    <t>Ng Aero Torque Backwards conn, ft-lbf</t>
  </si>
  <si>
    <t>Power G, shp</t>
  </si>
  <si>
    <t>Power T, shp</t>
  </si>
  <si>
    <t>max Thrust</t>
  </si>
  <si>
    <t>lbf</t>
  </si>
  <si>
    <t>watts</t>
  </si>
  <si>
    <t>Thrust, N</t>
  </si>
  <si>
    <t>N</t>
  </si>
  <si>
    <t>Power From Thrust, W</t>
  </si>
  <si>
    <t>air density</t>
  </si>
  <si>
    <t>kg/m^3</t>
  </si>
  <si>
    <t>Flow area</t>
  </si>
  <si>
    <t>m^3</t>
  </si>
  <si>
    <t>Measured dQdN, ft-lbf/rpm</t>
  </si>
  <si>
    <t>Vw, m/s</t>
  </si>
  <si>
    <t>Vw, mph</t>
  </si>
  <si>
    <t>Vt, m/s</t>
  </si>
  <si>
    <t>Dia=</t>
  </si>
  <si>
    <t>SLS Std Day</t>
  </si>
  <si>
    <t>Ng Pwr, W</t>
  </si>
  <si>
    <t>Efficiency</t>
  </si>
  <si>
    <t>dCpdLambda</t>
  </si>
  <si>
    <t>Measured dQdN, N-m/rpm</t>
  </si>
  <si>
    <t>Beta=</t>
  </si>
  <si>
    <t>deg</t>
  </si>
  <si>
    <t>angle of attack trailing edge turbine</t>
  </si>
  <si>
    <t>DENS_SI</t>
  </si>
  <si>
    <t>AREA_SI</t>
  </si>
  <si>
    <t>RAT_THR_SI</t>
  </si>
  <si>
    <t>DCPDL</t>
  </si>
  <si>
    <t>P = rho / 2 * A * Vw^3 * Cp</t>
  </si>
  <si>
    <t>LAMBDA</t>
  </si>
  <si>
    <t>NM_2_FTLBF</t>
  </si>
  <si>
    <t>JT</t>
  </si>
  <si>
    <t>Model TauT from wind</t>
  </si>
  <si>
    <t>P^2 = T^3 / (4 rho A)</t>
  </si>
  <si>
    <t>P ~ N^3</t>
  </si>
  <si>
    <t>T = Vw^2 A rho</t>
  </si>
  <si>
    <t>==&gt;</t>
  </si>
  <si>
    <t>Vw ~ Ng</t>
  </si>
  <si>
    <t>Nt ~ Vw</t>
  </si>
  <si>
    <t>Nt ~ Ng</t>
  </si>
  <si>
    <t>Vw = sqrt ( T / A / rho)</t>
  </si>
  <si>
    <t>Cp = 0</t>
  </si>
  <si>
    <t>Beta = constant</t>
  </si>
  <si>
    <t xml:space="preserve">==&gt; </t>
  </si>
  <si>
    <t>freewheeling</t>
  </si>
  <si>
    <t>Q = P / N</t>
  </si>
  <si>
    <t>D_SI</t>
  </si>
  <si>
    <t>dCpdLambda=constant…not sure about this because taut not verified</t>
  </si>
  <si>
    <t>n/a</t>
  </si>
  <si>
    <t>DCPDLAMBDA</t>
  </si>
  <si>
    <t>Model TauT Wind</t>
  </si>
  <si>
    <t>Torque T, ft-lbf</t>
  </si>
  <si>
    <t>dQdN, ft-lbf/rpm</t>
  </si>
  <si>
    <t>slope ft-lbf/rpm</t>
  </si>
  <si>
    <t>Torque G, ft-lbf</t>
  </si>
  <si>
    <t>Fit Nt, %</t>
  </si>
  <si>
    <t>Fit Tau</t>
  </si>
  <si>
    <t>from CalPhotonTurnigy</t>
  </si>
  <si>
    <t>DELTAV</t>
  </si>
  <si>
    <t>Explained by wind turbine equations vs. Vw</t>
  </si>
  <si>
    <t>Lambda tip speed ratio</t>
  </si>
  <si>
    <t>lambda=constant  ****verified see chart below</t>
  </si>
  <si>
    <t>dCpdLam = dQtdNt / (rho D A (Vw-Vbias)^2/4/Lam)/(pi D / 60 / (Vw-Vbias))</t>
  </si>
  <si>
    <t>Vbias is speed that Nt starts to respond</t>
  </si>
  <si>
    <t>dQtdNt = dQtdLam * dLamdNt = dCpdLam*(rho D A (Vw-Vbias)^2 / 4 / Lam)*(pi D / 60 / (Vw-Vbias))</t>
  </si>
  <si>
    <t>FG_SI</t>
  </si>
  <si>
    <t>From fr_OL_P_T_461_var_06_1ms.xlsx/summaryFit</t>
  </si>
  <si>
    <t>Set Nt</t>
  </si>
  <si>
    <t>Description</t>
  </si>
  <si>
    <t>DC Power Overhead</t>
  </si>
  <si>
    <t>Lowest Ng</t>
  </si>
  <si>
    <t>Just Below Nt</t>
  </si>
  <si>
    <t>First Nt</t>
  </si>
  <si>
    <t>Dynamic Nt #1</t>
  </si>
  <si>
    <t>Dynamic Nt #2</t>
  </si>
  <si>
    <t>Dynamic Nt #3</t>
  </si>
  <si>
    <t>Dynamic Nt #4</t>
  </si>
  <si>
    <t>Dynamic Nt #5</t>
  </si>
  <si>
    <t>Dynamic Nt #6</t>
  </si>
  <si>
    <t>Dynamic Nt #7</t>
  </si>
  <si>
    <t>Dynamic Nt #8</t>
  </si>
  <si>
    <t>Max</t>
  </si>
  <si>
    <t>tbd</t>
  </si>
  <si>
    <t>Zero Throttle</t>
  </si>
  <si>
    <t>Calibration sheet</t>
  </si>
  <si>
    <t>Calibrate the ESC first</t>
  </si>
  <si>
    <t>Update the Arduino software</t>
  </si>
  <si>
    <t>Run the points</t>
  </si>
  <si>
    <t>Enter blue highlighted items into myCLaw.h</t>
  </si>
  <si>
    <t>Entry to myCLAW.h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</si>
</sst>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0.0"/>
    <numFmt numFmtId="165" formatCode="0.0000"/>
    <numFmt numFmtId="166" formatCode="0.000"/>
    <numFmt numFmtId="167" formatCode="0E+00"/>
    <numFmt numFmtId="168" formatCode="0.000E+00"/>
    <numFmt numFmtId="169" formatCode="0.00000"/>
    <numFmt numFmtId="170" formatCode="0.000000"/>
  </numFmts>
  <fonts count="2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79998168889431442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92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0" borderId="0" xfId="0" applyAlignment="1">
      <alignment wrapText="1"/>
    </xf>
    <xf numFmtId="1" fontId="0" fillId="0" borderId="0" xfId="0" applyNumberFormat="1" applyFill="1"/>
    <xf numFmtId="164" fontId="0" fillId="0" borderId="0" xfId="0" applyNumberFormat="1" applyFill="1" applyAlignment="1">
      <alignment horizontal="center"/>
    </xf>
    <xf numFmtId="1" fontId="0" fillId="0" borderId="0" xfId="0" applyNumberFormat="1" applyFill="1" applyAlignment="1">
      <alignment horizontal="center"/>
    </xf>
    <xf numFmtId="1" fontId="0" fillId="3" borderId="0" xfId="0" applyNumberFormat="1" applyFill="1" applyAlignment="1">
      <alignment horizontal="left"/>
    </xf>
    <xf numFmtId="1" fontId="0" fillId="3" borderId="0" xfId="0" applyNumberFormat="1" applyFill="1" applyAlignment="1">
      <alignment horizontal="center"/>
    </xf>
    <xf numFmtId="1" fontId="0" fillId="2" borderId="0" xfId="0" applyNumberFormat="1" applyFill="1" applyAlignment="1">
      <alignment horizontal="left"/>
    </xf>
    <xf numFmtId="1" fontId="0" fillId="2" borderId="0" xfId="0" applyNumberFormat="1" applyFill="1" applyAlignment="1">
      <alignment horizontal="center"/>
    </xf>
    <xf numFmtId="1" fontId="0" fillId="5" borderId="0" xfId="0" applyNumberFormat="1" applyFill="1" applyAlignment="1">
      <alignment horizontal="left"/>
    </xf>
    <xf numFmtId="1" fontId="0" fillId="5" borderId="0" xfId="0" applyNumberFormat="1" applyFill="1" applyAlignment="1">
      <alignment horizontal="center"/>
    </xf>
    <xf numFmtId="0" fontId="0" fillId="0" borderId="1" xfId="0" applyBorder="1"/>
    <xf numFmtId="0" fontId="0" fillId="3" borderId="2" xfId="0" applyFill="1" applyBorder="1"/>
    <xf numFmtId="0" fontId="0" fillId="0" borderId="3" xfId="0" applyBorder="1"/>
    <xf numFmtId="0" fontId="0" fillId="3" borderId="4" xfId="0" applyFill="1" applyBorder="1"/>
    <xf numFmtId="0" fontId="0" fillId="0" borderId="5" xfId="0" applyBorder="1"/>
    <xf numFmtId="0" fontId="0" fillId="3" borderId="6" xfId="0" applyFill="1" applyBorder="1"/>
    <xf numFmtId="0" fontId="0" fillId="0" borderId="2" xfId="0" applyBorder="1" applyAlignment="1">
      <alignment wrapText="1"/>
    </xf>
    <xf numFmtId="0" fontId="0" fillId="3" borderId="3" xfId="0" applyFill="1" applyBorder="1"/>
    <xf numFmtId="0" fontId="0" fillId="3" borderId="4" xfId="0" applyFill="1" applyBorder="1" applyAlignment="1">
      <alignment horizontal="center"/>
    </xf>
    <xf numFmtId="0" fontId="0" fillId="3" borderId="5" xfId="0" applyFill="1" applyBorder="1"/>
    <xf numFmtId="0" fontId="0" fillId="3" borderId="6" xfId="0" applyFill="1" applyBorder="1" applyAlignment="1">
      <alignment horizontal="center"/>
    </xf>
    <xf numFmtId="0" fontId="0" fillId="0" borderId="7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8" xfId="0" applyBorder="1"/>
    <xf numFmtId="0" fontId="0" fillId="0" borderId="6" xfId="0" applyBorder="1"/>
    <xf numFmtId="0" fontId="0" fillId="3" borderId="9" xfId="0" applyFill="1" applyBorder="1"/>
    <xf numFmtId="0" fontId="0" fillId="0" borderId="10" xfId="0" applyBorder="1"/>
    <xf numFmtId="0" fontId="0" fillId="0" borderId="10" xfId="0" applyFill="1" applyBorder="1" applyAlignment="1">
      <alignment horizontal="center"/>
    </xf>
    <xf numFmtId="0" fontId="0" fillId="0" borderId="11" xfId="0" applyBorder="1"/>
    <xf numFmtId="0" fontId="0" fillId="0" borderId="9" xfId="0" applyBorder="1"/>
    <xf numFmtId="164" fontId="0" fillId="2" borderId="10" xfId="0" applyNumberFormat="1" applyFill="1" applyBorder="1"/>
    <xf numFmtId="0" fontId="0" fillId="3" borderId="10" xfId="0" applyFill="1" applyBorder="1"/>
    <xf numFmtId="0" fontId="0" fillId="0" borderId="11" xfId="0" applyFill="1" applyBorder="1" applyAlignment="1">
      <alignment horizontal="center"/>
    </xf>
    <xf numFmtId="0" fontId="0" fillId="0" borderId="7" xfId="0" applyBorder="1" applyAlignment="1">
      <alignment wrapText="1"/>
    </xf>
    <xf numFmtId="0" fontId="0" fillId="2" borderId="3" xfId="0" applyFill="1" applyBorder="1"/>
    <xf numFmtId="0" fontId="0" fillId="2" borderId="0" xfId="0" applyFill="1" applyBorder="1"/>
    <xf numFmtId="0" fontId="0" fillId="0" borderId="0" xfId="0" applyFill="1" applyBorder="1"/>
    <xf numFmtId="0" fontId="0" fillId="2" borderId="4" xfId="0" applyFill="1" applyBorder="1"/>
    <xf numFmtId="0" fontId="0" fillId="0" borderId="8" xfId="0" applyFill="1" applyBorder="1"/>
    <xf numFmtId="0" fontId="0" fillId="2" borderId="6" xfId="0" applyFill="1" applyBorder="1"/>
    <xf numFmtId="0" fontId="0" fillId="2" borderId="1" xfId="0" applyFill="1" applyBorder="1"/>
    <xf numFmtId="164" fontId="0" fillId="2" borderId="7" xfId="0" applyNumberFormat="1" applyFill="1" applyBorder="1"/>
    <xf numFmtId="0" fontId="0" fillId="2" borderId="7" xfId="0" applyFill="1" applyBorder="1"/>
    <xf numFmtId="0" fontId="0" fillId="2" borderId="2" xfId="0" applyFill="1" applyBorder="1"/>
    <xf numFmtId="1" fontId="0" fillId="2" borderId="0" xfId="0" applyNumberFormat="1" applyFill="1" applyBorder="1"/>
    <xf numFmtId="164" fontId="0" fillId="2" borderId="0" xfId="0" applyNumberFormat="1" applyFill="1" applyBorder="1"/>
    <xf numFmtId="0" fontId="0" fillId="2" borderId="5" xfId="0" applyFill="1" applyBorder="1"/>
    <xf numFmtId="1" fontId="0" fillId="2" borderId="8" xfId="0" applyNumberFormat="1" applyFill="1" applyBorder="1"/>
    <xf numFmtId="0" fontId="0" fillId="0" borderId="3" xfId="0" applyFill="1" applyBorder="1"/>
    <xf numFmtId="0" fontId="0" fillId="3" borderId="0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" fontId="0" fillId="5" borderId="1" xfId="0" applyNumberFormat="1" applyFill="1" applyBorder="1" applyAlignment="1">
      <alignment horizontal="left"/>
    </xf>
    <xf numFmtId="1" fontId="0" fillId="5" borderId="7" xfId="0" applyNumberFormat="1" applyFill="1" applyBorder="1" applyAlignment="1">
      <alignment horizontal="left"/>
    </xf>
    <xf numFmtId="0" fontId="0" fillId="0" borderId="7" xfId="0" applyFill="1" applyBorder="1"/>
    <xf numFmtId="1" fontId="0" fillId="5" borderId="3" xfId="0" applyNumberFormat="1" applyFill="1" applyBorder="1" applyAlignment="1">
      <alignment horizontal="left"/>
    </xf>
    <xf numFmtId="1" fontId="0" fillId="5" borderId="0" xfId="0" applyNumberFormat="1" applyFill="1" applyBorder="1" applyAlignment="1">
      <alignment horizontal="left"/>
    </xf>
    <xf numFmtId="1" fontId="0" fillId="5" borderId="0" xfId="0" applyNumberFormat="1" applyFill="1" applyBorder="1"/>
    <xf numFmtId="1" fontId="0" fillId="5" borderId="4" xfId="0" applyNumberFormat="1" applyFill="1" applyBorder="1"/>
    <xf numFmtId="165" fontId="0" fillId="5" borderId="0" xfId="0" applyNumberFormat="1" applyFill="1" applyBorder="1"/>
    <xf numFmtId="1" fontId="0" fillId="5" borderId="5" xfId="0" applyNumberFormat="1" applyFill="1" applyBorder="1" applyAlignment="1">
      <alignment horizontal="left"/>
    </xf>
    <xf numFmtId="1" fontId="0" fillId="5" borderId="8" xfId="0" applyNumberFormat="1" applyFill="1" applyBorder="1" applyAlignment="1">
      <alignment horizontal="left"/>
    </xf>
    <xf numFmtId="165" fontId="0" fillId="5" borderId="8" xfId="0" applyNumberFormat="1" applyFill="1" applyBorder="1"/>
    <xf numFmtId="0" fontId="0" fillId="3" borderId="12" xfId="0" applyFill="1" applyBorder="1" applyAlignment="1">
      <alignment horizontal="center"/>
    </xf>
    <xf numFmtId="0" fontId="0" fillId="3" borderId="13" xfId="0" applyFill="1" applyBorder="1"/>
    <xf numFmtId="0" fontId="0" fillId="3" borderId="14" xfId="0" applyFill="1" applyBorder="1" applyAlignment="1">
      <alignment horizontal="center" wrapText="1"/>
    </xf>
    <xf numFmtId="0" fontId="0" fillId="3" borderId="15" xfId="0" applyFill="1" applyBorder="1" applyAlignment="1">
      <alignment horizontal="center" wrapText="1"/>
    </xf>
    <xf numFmtId="0" fontId="0" fillId="3" borderId="16" xfId="0" applyFill="1" applyBorder="1"/>
    <xf numFmtId="0" fontId="0" fillId="3" borderId="17" xfId="0" applyFill="1" applyBorder="1" applyAlignment="1">
      <alignment horizontal="center"/>
    </xf>
    <xf numFmtId="0" fontId="0" fillId="3" borderId="18" xfId="0" applyFill="1" applyBorder="1"/>
    <xf numFmtId="0" fontId="0" fillId="3" borderId="19" xfId="0" applyFill="1" applyBorder="1" applyAlignment="1">
      <alignment horizontal="center"/>
    </xf>
    <xf numFmtId="0" fontId="0" fillId="3" borderId="20" xfId="0" applyFill="1" applyBorder="1" applyAlignment="1">
      <alignment horizontal="center"/>
    </xf>
    <xf numFmtId="0" fontId="0" fillId="3" borderId="21" xfId="0" applyFill="1" applyBorder="1"/>
    <xf numFmtId="0" fontId="0" fillId="3" borderId="22" xfId="0" applyFill="1" applyBorder="1" applyAlignment="1">
      <alignment horizontal="center" wrapText="1"/>
    </xf>
    <xf numFmtId="0" fontId="0" fillId="3" borderId="23" xfId="0" applyFill="1" applyBorder="1" applyAlignment="1">
      <alignment horizontal="center" wrapText="1"/>
    </xf>
    <xf numFmtId="0" fontId="0" fillId="3" borderId="14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164" fontId="0" fillId="5" borderId="7" xfId="0" applyNumberFormat="1" applyFill="1" applyBorder="1" applyAlignment="1">
      <alignment horizontal="left"/>
    </xf>
    <xf numFmtId="0" fontId="0" fillId="6" borderId="0" xfId="0" applyFill="1" applyAlignment="1">
      <alignment horizontal="center"/>
    </xf>
    <xf numFmtId="2" fontId="0" fillId="2" borderId="4" xfId="0" applyNumberFormat="1" applyFill="1" applyBorder="1" applyAlignment="1">
      <alignment horizontal="center"/>
    </xf>
    <xf numFmtId="164" fontId="0" fillId="5" borderId="0" xfId="0" applyNumberFormat="1" applyFill="1" applyBorder="1" applyAlignment="1">
      <alignment horizontal="left"/>
    </xf>
    <xf numFmtId="2" fontId="0" fillId="5" borderId="0" xfId="0" applyNumberFormat="1" applyFill="1" applyBorder="1" applyAlignment="1">
      <alignment horizontal="left"/>
    </xf>
    <xf numFmtId="2" fontId="0" fillId="5" borderId="0" xfId="0" applyNumberFormat="1" applyFill="1" applyBorder="1"/>
    <xf numFmtId="1" fontId="0" fillId="0" borderId="0" xfId="0" applyNumberFormat="1" applyFill="1" applyBorder="1"/>
    <xf numFmtId="0" fontId="1" fillId="0" borderId="0" xfId="0" quotePrefix="1" applyFont="1"/>
    <xf numFmtId="166" fontId="0" fillId="0" borderId="0" xfId="0" applyNumberFormat="1"/>
    <xf numFmtId="2" fontId="0" fillId="0" borderId="0" xfId="0" applyNumberFormat="1"/>
    <xf numFmtId="164" fontId="0" fillId="0" borderId="0" xfId="0" applyNumberFormat="1"/>
    <xf numFmtId="0" fontId="0" fillId="3" borderId="24" xfId="0" applyFill="1" applyBorder="1"/>
    <xf numFmtId="0" fontId="0" fillId="3" borderId="25" xfId="0" applyFill="1" applyBorder="1" applyAlignment="1">
      <alignment horizontal="center" wrapText="1"/>
    </xf>
    <xf numFmtId="0" fontId="0" fillId="3" borderId="26" xfId="0" applyFill="1" applyBorder="1" applyAlignment="1">
      <alignment horizontal="center" wrapText="1"/>
    </xf>
    <xf numFmtId="167" fontId="0" fillId="3" borderId="25" xfId="0" applyNumberFormat="1" applyFill="1" applyBorder="1" applyAlignment="1">
      <alignment horizontal="center" wrapText="1"/>
    </xf>
    <xf numFmtId="164" fontId="0" fillId="2" borderId="8" xfId="0" applyNumberFormat="1" applyFill="1" applyBorder="1"/>
    <xf numFmtId="167" fontId="0" fillId="3" borderId="14" xfId="0" applyNumberFormat="1" applyFill="1" applyBorder="1" applyAlignment="1">
      <alignment horizontal="center"/>
    </xf>
    <xf numFmtId="1" fontId="0" fillId="0" borderId="0" xfId="0" applyNumberFormat="1" applyFill="1" applyBorder="1" applyAlignment="1">
      <alignment horizontal="left"/>
    </xf>
    <xf numFmtId="167" fontId="0" fillId="3" borderId="12" xfId="0" applyNumberFormat="1" applyFill="1" applyBorder="1" applyAlignment="1">
      <alignment horizontal="center"/>
    </xf>
    <xf numFmtId="2" fontId="0" fillId="3" borderId="12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left"/>
    </xf>
    <xf numFmtId="0" fontId="0" fillId="2" borderId="8" xfId="0" applyFill="1" applyBorder="1"/>
    <xf numFmtId="0" fontId="0" fillId="3" borderId="12" xfId="0" applyFill="1" applyBorder="1" applyAlignment="1">
      <alignment horizontal="center" wrapText="1"/>
    </xf>
    <xf numFmtId="0" fontId="0" fillId="0" borderId="12" xfId="0" applyFill="1" applyBorder="1" applyAlignment="1">
      <alignment horizontal="center" wrapText="1"/>
    </xf>
    <xf numFmtId="0" fontId="0" fillId="2" borderId="12" xfId="0" applyFill="1" applyBorder="1"/>
    <xf numFmtId="2" fontId="0" fillId="3" borderId="12" xfId="0" applyNumberFormat="1" applyFill="1" applyBorder="1" applyAlignment="1">
      <alignment horizontal="center" wrapText="1"/>
    </xf>
    <xf numFmtId="0" fontId="0" fillId="0" borderId="16" xfId="0" applyFill="1" applyBorder="1"/>
    <xf numFmtId="0" fontId="0" fillId="0" borderId="17" xfId="0" applyFill="1" applyBorder="1" applyAlignment="1">
      <alignment horizontal="center" wrapText="1"/>
    </xf>
    <xf numFmtId="0" fontId="0" fillId="3" borderId="17" xfId="0" applyFill="1" applyBorder="1" applyAlignment="1">
      <alignment horizontal="center" wrapText="1"/>
    </xf>
    <xf numFmtId="0" fontId="0" fillId="0" borderId="18" xfId="0" applyFill="1" applyBorder="1"/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2" xfId="0" applyFill="1" applyBorder="1"/>
    <xf numFmtId="168" fontId="0" fillId="2" borderId="2" xfId="0" applyNumberFormat="1" applyFill="1" applyBorder="1"/>
    <xf numFmtId="168" fontId="0" fillId="2" borderId="4" xfId="0" applyNumberFormat="1" applyFill="1" applyBorder="1"/>
    <xf numFmtId="168" fontId="0" fillId="2" borderId="6" xfId="0" applyNumberFormat="1" applyFill="1" applyBorder="1"/>
    <xf numFmtId="168" fontId="0" fillId="5" borderId="0" xfId="0" applyNumberFormat="1" applyFill="1" applyBorder="1"/>
    <xf numFmtId="168" fontId="0" fillId="5" borderId="8" xfId="0" applyNumberFormat="1" applyFill="1" applyBorder="1"/>
    <xf numFmtId="168" fontId="0" fillId="5" borderId="6" xfId="0" applyNumberFormat="1" applyFill="1" applyBorder="1"/>
    <xf numFmtId="169" fontId="0" fillId="0" borderId="0" xfId="0" applyNumberFormat="1"/>
    <xf numFmtId="170" fontId="0" fillId="0" borderId="0" xfId="0" applyNumberFormat="1"/>
    <xf numFmtId="11" fontId="0" fillId="3" borderId="4" xfId="0" applyNumberFormat="1" applyFill="1" applyBorder="1"/>
    <xf numFmtId="164" fontId="0" fillId="3" borderId="4" xfId="0" applyNumberFormat="1" applyFill="1" applyBorder="1"/>
    <xf numFmtId="0" fontId="0" fillId="0" borderId="5" xfId="0" applyFill="1" applyBorder="1"/>
    <xf numFmtId="165" fontId="0" fillId="3" borderId="4" xfId="0" applyNumberFormat="1" applyFill="1" applyBorder="1"/>
    <xf numFmtId="11" fontId="0" fillId="3" borderId="6" xfId="0" applyNumberFormat="1" applyFill="1" applyBorder="1"/>
    <xf numFmtId="166" fontId="0" fillId="7" borderId="0" xfId="0" applyNumberFormat="1" applyFill="1"/>
    <xf numFmtId="2" fontId="0" fillId="7" borderId="0" xfId="0" applyNumberFormat="1" applyFill="1"/>
    <xf numFmtId="0" fontId="0" fillId="7" borderId="0" xfId="0" applyFill="1"/>
    <xf numFmtId="169" fontId="0" fillId="7" borderId="0" xfId="0" applyNumberFormat="1" applyFill="1"/>
    <xf numFmtId="170" fontId="0" fillId="7" borderId="0" xfId="0" applyNumberFormat="1" applyFill="1"/>
    <xf numFmtId="168" fontId="0" fillId="5" borderId="4" xfId="0" applyNumberFormat="1" applyFill="1" applyBorder="1"/>
    <xf numFmtId="0" fontId="0" fillId="4" borderId="12" xfId="0" applyFill="1" applyBorder="1" applyAlignment="1">
      <alignment horizontal="center"/>
    </xf>
    <xf numFmtId="0" fontId="0" fillId="4" borderId="12" xfId="0" applyFill="1" applyBorder="1" applyAlignment="1">
      <alignment horizontal="center" wrapText="1"/>
    </xf>
    <xf numFmtId="0" fontId="0" fillId="3" borderId="0" xfId="0" applyFill="1" applyAlignment="1">
      <alignment horizontal="center"/>
    </xf>
    <xf numFmtId="11" fontId="0" fillId="3" borderId="0" xfId="0" applyNumberFormat="1" applyFill="1" applyAlignment="1">
      <alignment horizontal="center"/>
    </xf>
    <xf numFmtId="0" fontId="0" fillId="0" borderId="27" xfId="0" applyFill="1" applyBorder="1"/>
    <xf numFmtId="168" fontId="0" fillId="3" borderId="6" xfId="0" applyNumberFormat="1" applyFill="1" applyBorder="1"/>
    <xf numFmtId="168" fontId="0" fillId="0" borderId="0" xfId="0" applyNumberFormat="1"/>
    <xf numFmtId="165" fontId="0" fillId="0" borderId="0" xfId="0" applyNumberFormat="1"/>
    <xf numFmtId="11" fontId="0" fillId="3" borderId="12" xfId="0" applyNumberFormat="1" applyFill="1" applyBorder="1" applyAlignment="1">
      <alignment horizontal="center" wrapText="1"/>
    </xf>
    <xf numFmtId="168" fontId="0" fillId="0" borderId="0" xfId="0" applyNumberFormat="1" applyFill="1" applyBorder="1"/>
    <xf numFmtId="169" fontId="0" fillId="0" borderId="0" xfId="0" applyNumberFormat="1" applyFill="1"/>
    <xf numFmtId="166" fontId="0" fillId="0" borderId="0" xfId="0" applyNumberFormat="1" applyFill="1"/>
    <xf numFmtId="2" fontId="0" fillId="0" borderId="0" xfId="0" applyNumberFormat="1" applyFill="1"/>
    <xf numFmtId="168" fontId="0" fillId="0" borderId="0" xfId="0" applyNumberFormat="1" applyFill="1"/>
    <xf numFmtId="0" fontId="0" fillId="3" borderId="7" xfId="0" applyFill="1" applyBorder="1"/>
    <xf numFmtId="0" fontId="0" fillId="0" borderId="2" xfId="0" applyFill="1" applyBorder="1" applyAlignment="1">
      <alignment horizontal="center"/>
    </xf>
    <xf numFmtId="2" fontId="0" fillId="3" borderId="8" xfId="0" applyNumberFormat="1" applyFill="1" applyBorder="1"/>
    <xf numFmtId="0" fontId="0" fillId="3" borderId="0" xfId="0" applyFill="1"/>
    <xf numFmtId="2" fontId="0" fillId="0" borderId="0" xfId="0" applyNumberFormat="1" applyAlignment="1">
      <alignment horizontal="center" wrapText="1"/>
    </xf>
    <xf numFmtId="166" fontId="0" fillId="2" borderId="0" xfId="0" applyNumberFormat="1" applyFill="1"/>
    <xf numFmtId="0" fontId="0" fillId="5" borderId="0" xfId="0" applyFill="1" applyBorder="1"/>
    <xf numFmtId="0" fontId="0" fillId="5" borderId="3" xfId="0" applyFill="1" applyBorder="1"/>
    <xf numFmtId="166" fontId="0" fillId="5" borderId="0" xfId="0" applyNumberFormat="1" applyFill="1" applyBorder="1"/>
    <xf numFmtId="166" fontId="0" fillId="2" borderId="0" xfId="0" applyNumberFormat="1" applyFill="1" applyAlignment="1">
      <alignment horizontal="center"/>
    </xf>
    <xf numFmtId="0" fontId="0" fillId="0" borderId="0" xfId="0" quotePrefix="1"/>
    <xf numFmtId="166" fontId="0" fillId="0" borderId="0" xfId="0" applyNumberFormat="1" applyFill="1" applyAlignment="1">
      <alignment horizontal="center"/>
    </xf>
    <xf numFmtId="2" fontId="0" fillId="4" borderId="8" xfId="0" applyNumberFormat="1" applyFill="1" applyBorder="1"/>
    <xf numFmtId="0" fontId="0" fillId="9" borderId="0" xfId="0" applyFill="1"/>
    <xf numFmtId="0" fontId="0" fillId="9" borderId="0" xfId="0" applyFill="1" applyBorder="1"/>
    <xf numFmtId="168" fontId="0" fillId="9" borderId="4" xfId="0" applyNumberFormat="1" applyFill="1" applyBorder="1"/>
    <xf numFmtId="168" fontId="0" fillId="9" borderId="0" xfId="0" applyNumberFormat="1" applyFill="1" applyBorder="1"/>
    <xf numFmtId="1" fontId="0" fillId="9" borderId="3" xfId="0" applyNumberFormat="1" applyFill="1" applyBorder="1" applyAlignment="1">
      <alignment horizontal="left"/>
    </xf>
    <xf numFmtId="166" fontId="0" fillId="3" borderId="0" xfId="0" applyNumberFormat="1" applyFill="1"/>
    <xf numFmtId="164" fontId="0" fillId="0" borderId="0" xfId="0" applyNumberFormat="1" applyFill="1"/>
    <xf numFmtId="1" fontId="0" fillId="0" borderId="0" xfId="0" applyNumberFormat="1"/>
    <xf numFmtId="164" fontId="0" fillId="0" borderId="0" xfId="0" applyNumberFormat="1" applyAlignment="1">
      <alignment horizontal="center" wrapText="1"/>
    </xf>
    <xf numFmtId="0" fontId="0" fillId="0" borderId="0" xfId="0" applyAlignment="1">
      <alignment horizontal="left"/>
    </xf>
    <xf numFmtId="1" fontId="0" fillId="0" borderId="4" xfId="0" quotePrefix="1" applyNumberFormat="1" applyFill="1" applyBorder="1" applyAlignment="1">
      <alignment horizontal="left"/>
    </xf>
    <xf numFmtId="164" fontId="0" fillId="0" borderId="0" xfId="0" applyNumberFormat="1" applyBorder="1"/>
    <xf numFmtId="168" fontId="0" fillId="8" borderId="0" xfId="0" applyNumberFormat="1" applyFill="1" applyBorder="1"/>
    <xf numFmtId="168" fontId="0" fillId="2" borderId="0" xfId="0" applyNumberFormat="1" applyFill="1" applyBorder="1"/>
    <xf numFmtId="1" fontId="0" fillId="2" borderId="3" xfId="0" applyNumberFormat="1" applyFill="1" applyBorder="1" applyAlignment="1">
      <alignment horizontal="left"/>
    </xf>
    <xf numFmtId="168" fontId="0" fillId="2" borderId="8" xfId="0" applyNumberFormat="1" applyFill="1" applyBorder="1"/>
    <xf numFmtId="166" fontId="0" fillId="8" borderId="8" xfId="0" applyNumberFormat="1" applyFill="1" applyBorder="1"/>
    <xf numFmtId="0" fontId="0" fillId="10" borderId="0" xfId="0" applyFill="1"/>
    <xf numFmtId="168" fontId="0" fillId="3" borderId="0" xfId="0" applyNumberFormat="1" applyFill="1"/>
    <xf numFmtId="169" fontId="0" fillId="0" borderId="0" xfId="0" applyNumberFormat="1" applyFill="1" applyBorder="1"/>
    <xf numFmtId="164" fontId="0" fillId="0" borderId="0" xfId="0" applyNumberFormat="1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 wrapText="1"/>
    </xf>
    <xf numFmtId="11" fontId="0" fillId="0" borderId="0" xfId="0" applyNumberFormat="1" applyFill="1" applyBorder="1" applyAlignment="1">
      <alignment horizontal="center"/>
    </xf>
    <xf numFmtId="166" fontId="0" fillId="0" borderId="0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Correlation</a:t>
            </a:r>
            <a:r>
              <a:rPr lang="en-US" baseline="0"/>
              <a:t> Between Speeds is Linear</a:t>
            </a:r>
            <a:endParaRPr lang="en-US"/>
          </a:p>
        </c:rich>
      </c:tx>
      <c:layout>
        <c:manualLayout>
          <c:xMode val="edge"/>
          <c:yMode val="edge"/>
          <c:x val="0.12625655935303037"/>
          <c:y val="6.816393364111007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Ard1_Turn1_ESC1_G1b_T1a!$Q$7</c:f>
              <c:strCache>
                <c:ptCount val="1"/>
                <c:pt idx="0">
                  <c:v>Nt, RPM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6262002647899101"/>
                  <c:y val="4.171407666327708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Ard1_Turn1_ESC1_G1b_T1a!$P$12:$P$22</c:f>
              <c:numCache>
                <c:formatCode>0</c:formatCode>
                <c:ptCount val="11"/>
                <c:pt idx="0">
                  <c:v>18404.907975460123</c:v>
                </c:pt>
                <c:pt idx="1">
                  <c:v>22388.059701492537</c:v>
                </c:pt>
                <c:pt idx="2">
                  <c:v>27906.976744186049</c:v>
                </c:pt>
                <c:pt idx="3">
                  <c:v>29702.970297029704</c:v>
                </c:pt>
                <c:pt idx="4">
                  <c:v>33898.305084745763</c:v>
                </c:pt>
                <c:pt idx="5">
                  <c:v>39473.68421052632</c:v>
                </c:pt>
                <c:pt idx="6">
                  <c:v>5.9999999999999995E-25</c:v>
                </c:pt>
                <c:pt idx="7">
                  <c:v>5.9999999999999995E-25</c:v>
                </c:pt>
                <c:pt idx="8">
                  <c:v>5.9999999999999995E-25</c:v>
                </c:pt>
                <c:pt idx="9">
                  <c:v>5.9999999999999995E-25</c:v>
                </c:pt>
                <c:pt idx="10">
                  <c:v>45592.705167173255</c:v>
                </c:pt>
              </c:numCache>
            </c:numRef>
          </c:xVal>
          <c:yVal>
            <c:numRef>
              <c:f>Ard1_Turn1_ESC1_G1b_T1a!$Q$12:$Q$22</c:f>
              <c:numCache>
                <c:formatCode>0</c:formatCode>
                <c:ptCount val="11"/>
                <c:pt idx="0">
                  <c:v>8902.077151335312</c:v>
                </c:pt>
                <c:pt idx="1">
                  <c:v>13239.187996469551</c:v>
                </c:pt>
                <c:pt idx="2">
                  <c:v>18867.92452830189</c:v>
                </c:pt>
                <c:pt idx="3">
                  <c:v>20905.923344947736</c:v>
                </c:pt>
                <c:pt idx="4">
                  <c:v>25000</c:v>
                </c:pt>
                <c:pt idx="5">
                  <c:v>30000.000000000004</c:v>
                </c:pt>
                <c:pt idx="6">
                  <c:v>5.9999999999999995E-25</c:v>
                </c:pt>
                <c:pt idx="7">
                  <c:v>5.9999999999999995E-25</c:v>
                </c:pt>
                <c:pt idx="8">
                  <c:v>5.9999999999999995E-25</c:v>
                </c:pt>
                <c:pt idx="9">
                  <c:v>5.9999999999999995E-25</c:v>
                </c:pt>
                <c:pt idx="10">
                  <c:v>35714.285714285717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671680"/>
        <c:axId val="255242240"/>
      </c:scatterChart>
      <c:valAx>
        <c:axId val="231671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Ng,</a:t>
                </a:r>
                <a:r>
                  <a:rPr lang="en-US" baseline="0"/>
                  <a:t> rpm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242240"/>
        <c:crosses val="autoZero"/>
        <c:crossBetween val="midCat"/>
      </c:valAx>
      <c:valAx>
        <c:axId val="25524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Nt, rpm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671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Ng</a:t>
            </a:r>
            <a:r>
              <a:rPr lang="en-US" baseline="0"/>
              <a:t> from Throttle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610305656237417"/>
          <c:y val="0.15815811245118475"/>
          <c:w val="0.90339588801399828"/>
          <c:h val="0.6399037528149325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CalPhotonTurnigy!$O$1</c:f>
              <c:strCache>
                <c:ptCount val="1"/>
                <c:pt idx="0">
                  <c:v>Ng,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CalPhotonTurnigy!$K$4:$K$15</c:f>
              <c:numCache>
                <c:formatCode>General</c:formatCode>
                <c:ptCount val="12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25</c:v>
                </c:pt>
                <c:pt idx="5">
                  <c:v>35</c:v>
                </c:pt>
                <c:pt idx="6">
                  <c:v>54</c:v>
                </c:pt>
                <c:pt idx="7">
                  <c:v>64</c:v>
                </c:pt>
                <c:pt idx="8">
                  <c:v>89</c:v>
                </c:pt>
                <c:pt idx="9">
                  <c:v>125</c:v>
                </c:pt>
                <c:pt idx="10">
                  <c:v>155</c:v>
                </c:pt>
                <c:pt idx="11">
                  <c:v>165</c:v>
                </c:pt>
              </c:numCache>
            </c:numRef>
          </c:xVal>
          <c:yVal>
            <c:numRef>
              <c:f>CalPhotonTurnigy!$O$4:$O$15</c:f>
              <c:numCache>
                <c:formatCode>0</c:formatCode>
                <c:ptCount val="12"/>
                <c:pt idx="0">
                  <c:v>7614.2131979695441</c:v>
                </c:pt>
                <c:pt idx="1">
                  <c:v>8241.7582417582416</c:v>
                </c:pt>
                <c:pt idx="2">
                  <c:v>9090.9090909090919</c:v>
                </c:pt>
                <c:pt idx="3">
                  <c:v>9677.4193548387102</c:v>
                </c:pt>
                <c:pt idx="4">
                  <c:v>18404.907975460123</c:v>
                </c:pt>
                <c:pt idx="5">
                  <c:v>22388.059701492537</c:v>
                </c:pt>
                <c:pt idx="6">
                  <c:v>27906.976744186049</c:v>
                </c:pt>
                <c:pt idx="7">
                  <c:v>29702.970297029704</c:v>
                </c:pt>
                <c:pt idx="8">
                  <c:v>33898.305084745763</c:v>
                </c:pt>
                <c:pt idx="9">
                  <c:v>39473.68421052632</c:v>
                </c:pt>
                <c:pt idx="10">
                  <c:v>43988.269794721404</c:v>
                </c:pt>
                <c:pt idx="11">
                  <c:v>45592.705167173255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CalPhotonTurnigy!$AI$1</c:f>
              <c:strCache>
                <c:ptCount val="1"/>
                <c:pt idx="0">
                  <c:v>Model Ng from Model Throttle,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og"/>
            <c:dispRSqr val="0"/>
            <c:dispEq val="0"/>
          </c:trendline>
          <c:xVal>
            <c:numRef>
              <c:f>CalPhotonTurnigy!$C$4:$C$15</c:f>
              <c:numCache>
                <c:formatCode>General</c:formatCode>
                <c:ptCount val="12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25</c:v>
                </c:pt>
                <c:pt idx="5">
                  <c:v>35</c:v>
                </c:pt>
                <c:pt idx="6">
                  <c:v>54</c:v>
                </c:pt>
                <c:pt idx="7">
                  <c:v>64</c:v>
                </c:pt>
                <c:pt idx="8">
                  <c:v>89</c:v>
                </c:pt>
                <c:pt idx="9">
                  <c:v>125</c:v>
                </c:pt>
                <c:pt idx="10">
                  <c:v>155</c:v>
                </c:pt>
                <c:pt idx="11">
                  <c:v>165</c:v>
                </c:pt>
              </c:numCache>
            </c:numRef>
          </c:xVal>
          <c:yVal>
            <c:numRef>
              <c:f>CalPhotonTurnigy!$AI$4:$AI$15</c:f>
              <c:numCache>
                <c:formatCode>0.00</c:formatCode>
                <c:ptCount val="12"/>
                <c:pt idx="0">
                  <c:v>2851.6343524568838</c:v>
                </c:pt>
                <c:pt idx="1">
                  <c:v>4346.701172416062</c:v>
                </c:pt>
                <c:pt idx="2">
                  <c:v>5699.1536214204207</c:v>
                </c:pt>
                <c:pt idx="3">
                  <c:v>6933.8459716233592</c:v>
                </c:pt>
                <c:pt idx="4">
                  <c:v>17348.876248230645</c:v>
                </c:pt>
                <c:pt idx="5">
                  <c:v>22123.420807632323</c:v>
                </c:pt>
                <c:pt idx="6">
                  <c:v>28276.719974572956</c:v>
                </c:pt>
                <c:pt idx="7">
                  <c:v>31999.995048805355</c:v>
                </c:pt>
                <c:pt idx="8">
                  <c:v>35366.791670025093</c:v>
                </c:pt>
                <c:pt idx="9">
                  <c:v>40186.817071139434</c:v>
                </c:pt>
                <c:pt idx="10">
                  <c:v>43239.249799405501</c:v>
                </c:pt>
                <c:pt idx="11">
                  <c:v>44126.414319351083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510464"/>
        <c:axId val="198512640"/>
      </c:scatterChart>
      <c:valAx>
        <c:axId val="198510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Throttle, deg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512640"/>
        <c:crosses val="autoZero"/>
        <c:crossBetween val="midCat"/>
      </c:valAx>
      <c:valAx>
        <c:axId val="19851264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510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7579530978823091E-2"/>
          <c:y val="0.88026127714900526"/>
          <c:w val="0.83226743440457562"/>
          <c:h val="0.119738722850994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292065257292206"/>
          <c:y val="7.8071976866840601E-2"/>
          <c:w val="0.69109236800822949"/>
          <c:h val="0.81293147947985955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CalPhotonTurnigy!$X$1</c:f>
              <c:strCache>
                <c:ptCount val="1"/>
                <c:pt idx="0">
                  <c:v>Ng Torque, ft-lbf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chemeClr val="tx2"/>
                </a:solidFill>
              </a:ln>
            </c:spPr>
            <c:trendlineType val="poly"/>
            <c:order val="2"/>
            <c:dispRSqr val="0"/>
            <c:dispEq val="1"/>
            <c:trendlineLbl>
              <c:layout/>
              <c:numFmt formatCode="0.000E+00" sourceLinked="0"/>
              <c:txPr>
                <a:bodyPr/>
                <a:lstStyle/>
                <a:p>
                  <a:pPr>
                    <a:defRPr>
                      <a:solidFill>
                        <a:schemeClr val="tx2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CalPhotonTurnigy!$O$4:$O$15</c:f>
              <c:numCache>
                <c:formatCode>0</c:formatCode>
                <c:ptCount val="12"/>
                <c:pt idx="0">
                  <c:v>7614.2131979695441</c:v>
                </c:pt>
                <c:pt idx="1">
                  <c:v>8241.7582417582416</c:v>
                </c:pt>
                <c:pt idx="2">
                  <c:v>9090.9090909090919</c:v>
                </c:pt>
                <c:pt idx="3">
                  <c:v>9677.4193548387102</c:v>
                </c:pt>
                <c:pt idx="4">
                  <c:v>18404.907975460123</c:v>
                </c:pt>
                <c:pt idx="5">
                  <c:v>22388.059701492537</c:v>
                </c:pt>
                <c:pt idx="6">
                  <c:v>27906.976744186049</c:v>
                </c:pt>
                <c:pt idx="7">
                  <c:v>29702.970297029704</c:v>
                </c:pt>
                <c:pt idx="8">
                  <c:v>33898.305084745763</c:v>
                </c:pt>
                <c:pt idx="9">
                  <c:v>39473.68421052632</c:v>
                </c:pt>
                <c:pt idx="10">
                  <c:v>43988.269794721404</c:v>
                </c:pt>
                <c:pt idx="11">
                  <c:v>45592.705167173255</c:v>
                </c:pt>
              </c:numCache>
            </c:numRef>
          </c:xVal>
          <c:yVal>
            <c:numRef>
              <c:f>CalPhotonTurnigy!$X$4:$X$15</c:f>
              <c:numCache>
                <c:formatCode>0.00000</c:formatCode>
                <c:ptCount val="12"/>
                <c:pt idx="0">
                  <c:v>0</c:v>
                </c:pt>
                <c:pt idx="1">
                  <c:v>3.2982065767668631E-4</c:v>
                </c:pt>
                <c:pt idx="2">
                  <c:v>5.9919656662855807E-4</c:v>
                </c:pt>
                <c:pt idx="3">
                  <c:v>6.1610363702618159E-4</c:v>
                </c:pt>
                <c:pt idx="4">
                  <c:v>3.1207096646162949E-3</c:v>
                </c:pt>
                <c:pt idx="5">
                  <c:v>5.0567114007972706E-3</c:v>
                </c:pt>
                <c:pt idx="6">
                  <c:v>9.4106486422868042E-3</c:v>
                </c:pt>
                <c:pt idx="7">
                  <c:v>1.0770368038348075E-2</c:v>
                </c:pt>
                <c:pt idx="8">
                  <c:v>1.457200402359189E-2</c:v>
                </c:pt>
                <c:pt idx="9">
                  <c:v>2.0489425252982894E-2</c:v>
                </c:pt>
                <c:pt idx="10">
                  <c:v>2.7173982409470245E-2</c:v>
                </c:pt>
                <c:pt idx="11">
                  <c:v>2.863872523257344E-2</c:v>
                </c:pt>
              </c:numCache>
            </c:numRef>
          </c:yVal>
          <c:smooth val="0"/>
        </c:ser>
        <c:ser>
          <c:idx val="1"/>
          <c:order val="1"/>
          <c:tx>
            <c:v>Ng Torque Reverse/Connected, ft-lbf</c:v>
          </c:tx>
          <c:spPr>
            <a:ln w="28575">
              <a:noFill/>
            </a:ln>
          </c:spPr>
          <c:trendline>
            <c:spPr>
              <a:ln>
                <a:solidFill>
                  <a:srgbClr val="C00000"/>
                </a:solidFill>
              </a:ln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31254728112664504"/>
                  <c:y val="0.36491527667138457"/>
                </c:manualLayout>
              </c:layout>
              <c:numFmt formatCode="0.000E+00" sourceLinked="0"/>
              <c:txPr>
                <a:bodyPr/>
                <a:lstStyle/>
                <a:p>
                  <a:pPr>
                    <a:defRPr>
                      <a:solidFill>
                        <a:srgbClr val="C00000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CalPhotonTurnigy!$O$67:$O$84</c:f>
              <c:numCache>
                <c:formatCode>0</c:formatCode>
                <c:ptCount val="18"/>
                <c:pt idx="0">
                  <c:v>8746.3556851311951</c:v>
                </c:pt>
                <c:pt idx="1">
                  <c:v>9708.7378640776697</c:v>
                </c:pt>
                <c:pt idx="2">
                  <c:v>10273.972602739726</c:v>
                </c:pt>
                <c:pt idx="3">
                  <c:v>11363.636363636364</c:v>
                </c:pt>
                <c:pt idx="4">
                  <c:v>12244.897959183674</c:v>
                </c:pt>
                <c:pt idx="5">
                  <c:v>17142.857142857145</c:v>
                </c:pt>
                <c:pt idx="6">
                  <c:v>19933.554817275748</c:v>
                </c:pt>
                <c:pt idx="7">
                  <c:v>22641.509433962266</c:v>
                </c:pt>
                <c:pt idx="8">
                  <c:v>24000.000000000004</c:v>
                </c:pt>
                <c:pt idx="9">
                  <c:v>26431.718061674012</c:v>
                </c:pt>
                <c:pt idx="10">
                  <c:v>29702.970297029704</c:v>
                </c:pt>
                <c:pt idx="11">
                  <c:v>32085.561497326202</c:v>
                </c:pt>
                <c:pt idx="12">
                  <c:v>36363.636363636368</c:v>
                </c:pt>
                <c:pt idx="13">
                  <c:v>39735.099337748346</c:v>
                </c:pt>
                <c:pt idx="14">
                  <c:v>40816.326530612241</c:v>
                </c:pt>
                <c:pt idx="15">
                  <c:v>43478.260869565223</c:v>
                </c:pt>
                <c:pt idx="16" formatCode="General">
                  <c:v>45801.526717557252</c:v>
                </c:pt>
                <c:pt idx="17" formatCode="General">
                  <c:v>47923.322683706072</c:v>
                </c:pt>
              </c:numCache>
            </c:numRef>
          </c:xVal>
          <c:yVal>
            <c:numRef>
              <c:f>CalPhotonTurnigy!$X$67:$X$84</c:f>
              <c:numCache>
                <c:formatCode>0.00000</c:formatCode>
                <c:ptCount val="18"/>
                <c:pt idx="0">
                  <c:v>0</c:v>
                </c:pt>
                <c:pt idx="1">
                  <c:v>1.967106745261603E-4</c:v>
                </c:pt>
                <c:pt idx="2">
                  <c:v>2.7698155513368591E-4</c:v>
                </c:pt>
                <c:pt idx="3">
                  <c:v>4.5334960762390868E-4</c:v>
                </c:pt>
                <c:pt idx="4">
                  <c:v>5.5700990915808109E-4</c:v>
                </c:pt>
                <c:pt idx="5">
                  <c:v>4.0126699881760756E-4</c:v>
                </c:pt>
                <c:pt idx="6">
                  <c:v>1.5184925541307211E-3</c:v>
                </c:pt>
                <c:pt idx="7">
                  <c:v>2.9900742327435273E-3</c:v>
                </c:pt>
                <c:pt idx="8">
                  <c:v>4.1568911066088496E-3</c:v>
                </c:pt>
                <c:pt idx="9">
                  <c:v>4.4146100910474736E-3</c:v>
                </c:pt>
                <c:pt idx="10">
                  <c:v>5.9155159206925748E-3</c:v>
                </c:pt>
                <c:pt idx="11">
                  <c:v>7.5712971919889805E-3</c:v>
                </c:pt>
                <c:pt idx="12">
                  <c:v>8.6905840360267973E-3</c:v>
                </c:pt>
                <c:pt idx="13">
                  <c:v>1.0623404944122301E-2</c:v>
                </c:pt>
                <c:pt idx="14">
                  <c:v>1.2426336678185976E-2</c:v>
                </c:pt>
                <c:pt idx="15">
                  <c:v>1.5237741730468879E-2</c:v>
                </c:pt>
                <c:pt idx="16">
                  <c:v>1.7796307033837045E-2</c:v>
                </c:pt>
                <c:pt idx="17">
                  <c:v>2.2365742645414827E-2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543616"/>
        <c:axId val="198557696"/>
      </c:scatterChart>
      <c:valAx>
        <c:axId val="198543616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198557696"/>
        <c:crosses val="autoZero"/>
        <c:crossBetween val="midCat"/>
      </c:valAx>
      <c:valAx>
        <c:axId val="198557696"/>
        <c:scaling>
          <c:orientation val="minMax"/>
        </c:scaling>
        <c:delete val="0"/>
        <c:axPos val="l"/>
        <c:majorGridlines/>
        <c:numFmt formatCode="0.000" sourceLinked="0"/>
        <c:majorTickMark val="out"/>
        <c:minorTickMark val="none"/>
        <c:tickLblPos val="nextTo"/>
        <c:crossAx val="19854361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2286230741401213"/>
          <c:y val="0.32773112655595427"/>
          <c:w val="0.4327040528006007"/>
          <c:h val="0.272667662217544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calibration20161019</a:t>
            </a:r>
          </a:p>
        </c:rich>
      </c:tx>
      <c:layout>
        <c:manualLayout>
          <c:xMode val="edge"/>
          <c:yMode val="edge"/>
          <c:x val="0.28008145615470625"/>
          <c:y val="4.8501586940259002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3500213379813911"/>
          <c:y val="6.9786266186933704E-2"/>
          <c:w val="0.80399689475435288"/>
          <c:h val="0.72290172216909465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CalPhotonTurnigy!$AU$1</c:f>
              <c:strCache>
                <c:ptCount val="1"/>
                <c:pt idx="0">
                  <c:v>Model TauT from wind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CalPhotonTurnigy!$AN$8:$AN$15</c:f>
              <c:numCache>
                <c:formatCode>0</c:formatCode>
                <c:ptCount val="8"/>
                <c:pt idx="0">
                  <c:v>8334.7660985153307</c:v>
                </c:pt>
                <c:pt idx="1">
                  <c:v>13026.303246203512</c:v>
                </c:pt>
                <c:pt idx="2">
                  <c:v>19072.624788159832</c:v>
                </c:pt>
                <c:pt idx="3">
                  <c:v>22731.169201035049</c:v>
                </c:pt>
                <c:pt idx="4">
                  <c:v>26039.432684734289</c:v>
                </c:pt>
                <c:pt idx="5">
                  <c:v>30775.659971083536</c:v>
                </c:pt>
                <c:pt idx="6">
                  <c:v>33775.02490679879</c:v>
                </c:pt>
                <c:pt idx="7">
                  <c:v>34646.76570838788</c:v>
                </c:pt>
              </c:numCache>
            </c:numRef>
          </c:xVal>
          <c:yVal>
            <c:numRef>
              <c:f>CalPhotonTurnigy!$AU$8:$AU$15</c:f>
              <c:numCache>
                <c:formatCode>0.000</c:formatCode>
                <c:ptCount val="8"/>
                <c:pt idx="0">
                  <c:v>0.26347437729902756</c:v>
                </c:pt>
                <c:pt idx="1">
                  <c:v>0.12905525592830341</c:v>
                </c:pt>
                <c:pt idx="2">
                  <c:v>7.2306864265641271E-2</c:v>
                </c:pt>
                <c:pt idx="3">
                  <c:v>6.2699967885530311E-2</c:v>
                </c:pt>
                <c:pt idx="4">
                  <c:v>4.7283148803977743E-2</c:v>
                </c:pt>
                <c:pt idx="5">
                  <c:v>3.500000000000001E-2</c:v>
                </c:pt>
                <c:pt idx="6">
                  <c:v>2.858597582971964E-2</c:v>
                </c:pt>
                <c:pt idx="7">
                  <c:v>2.62687194788601E-2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CalPhotonTurnigy!$AR$1</c:f>
              <c:strCache>
                <c:ptCount val="1"/>
                <c:pt idx="0">
                  <c:v>Model TauG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  <a:prstDash val="solid"/>
            </a:ln>
          </c:spPr>
          <c:marker>
            <c:symbol val="none"/>
          </c:marker>
          <c:xVal>
            <c:numRef>
              <c:f>CalPhotonTurnigy!$AI$8:$AI$16</c:f>
              <c:numCache>
                <c:formatCode>0.00</c:formatCode>
                <c:ptCount val="9"/>
                <c:pt idx="0">
                  <c:v>17348.876248230645</c:v>
                </c:pt>
                <c:pt idx="1">
                  <c:v>22123.420807632323</c:v>
                </c:pt>
                <c:pt idx="2">
                  <c:v>28276.719974572956</c:v>
                </c:pt>
                <c:pt idx="3">
                  <c:v>31999.995048805355</c:v>
                </c:pt>
                <c:pt idx="4">
                  <c:v>35366.791670025093</c:v>
                </c:pt>
                <c:pt idx="5">
                  <c:v>40186.817071139434</c:v>
                </c:pt>
                <c:pt idx="6">
                  <c:v>43239.249799405501</c:v>
                </c:pt>
                <c:pt idx="7">
                  <c:v>44126.414319351083</c:v>
                </c:pt>
              </c:numCache>
            </c:numRef>
          </c:xVal>
          <c:yVal>
            <c:numRef>
              <c:f>CalPhotonTurnigy!$AR$8:$AR$16</c:f>
              <c:numCache>
                <c:formatCode>0.000</c:formatCode>
                <c:ptCount val="9"/>
                <c:pt idx="0">
                  <c:v>8.8118975354312457E-2</c:v>
                </c:pt>
                <c:pt idx="1">
                  <c:v>6.2906429754981188E-2</c:v>
                </c:pt>
                <c:pt idx="2">
                  <c:v>4.5959283219000058E-2</c:v>
                </c:pt>
                <c:pt idx="3">
                  <c:v>3.9517474546856564E-2</c:v>
                </c:pt>
                <c:pt idx="4">
                  <c:v>3.5072283984146989E-2</c:v>
                </c:pt>
                <c:pt idx="5">
                  <c:v>3.0207645977385553E-2</c:v>
                </c:pt>
                <c:pt idx="6">
                  <c:v>2.7768510934620141E-2</c:v>
                </c:pt>
                <c:pt idx="7">
                  <c:v>2.7131780912102679E-2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CalPhotonTurnigy!$AQ$19</c:f>
              <c:strCache>
                <c:ptCount val="1"/>
                <c:pt idx="0">
                  <c:v>Measured TauT, s</c:v>
                </c:pt>
              </c:strCache>
            </c:strRef>
          </c:tx>
          <c:spPr>
            <a:ln>
              <a:noFill/>
            </a:ln>
          </c:spPr>
          <c:marker>
            <c:spPr>
              <a:solidFill>
                <a:schemeClr val="tx2">
                  <a:lumMod val="60000"/>
                  <a:lumOff val="40000"/>
                </a:schemeClr>
              </a:solidFill>
              <a:ln>
                <a:solidFill>
                  <a:schemeClr val="tx2"/>
                </a:solidFill>
              </a:ln>
            </c:spPr>
          </c:marker>
          <c:trendline>
            <c:spPr>
              <a:ln>
                <a:solidFill>
                  <a:schemeClr val="tx2">
                    <a:lumMod val="60000"/>
                    <a:lumOff val="40000"/>
                  </a:schemeClr>
                </a:solidFill>
                <a:prstDash val="dash"/>
              </a:ln>
            </c:spPr>
            <c:trendlineType val="power"/>
            <c:dispRSqr val="0"/>
            <c:dispEq val="0"/>
          </c:trendline>
          <c:xVal>
            <c:numRef>
              <c:f>CalPhotonTurnigy!$AM$21:$AM$29</c:f>
              <c:numCache>
                <c:formatCode>General</c:formatCode>
                <c:ptCount val="9"/>
                <c:pt idx="0">
                  <c:v>7372.8</c:v>
                </c:pt>
                <c:pt idx="1">
                  <c:v>9216</c:v>
                </c:pt>
                <c:pt idx="2">
                  <c:v>11520</c:v>
                </c:pt>
                <c:pt idx="3">
                  <c:v>16588.8</c:v>
                </c:pt>
                <c:pt idx="4">
                  <c:v>20736</c:v>
                </c:pt>
                <c:pt idx="5">
                  <c:v>23040</c:v>
                </c:pt>
                <c:pt idx="6">
                  <c:v>23961.600000000002</c:v>
                </c:pt>
                <c:pt idx="7">
                  <c:v>25344</c:v>
                </c:pt>
                <c:pt idx="8">
                  <c:v>28569.600000000002</c:v>
                </c:pt>
              </c:numCache>
            </c:numRef>
          </c:xVal>
          <c:yVal>
            <c:numRef>
              <c:f>CalPhotonTurnigy!$AQ$21:$AQ$29</c:f>
              <c:numCache>
                <c:formatCode>0.000</c:formatCode>
                <c:ptCount val="9"/>
                <c:pt idx="0">
                  <c:v>0.34399999999999997</c:v>
                </c:pt>
                <c:pt idx="1">
                  <c:v>0.27100000000000002</c:v>
                </c:pt>
                <c:pt idx="2">
                  <c:v>0.185</c:v>
                </c:pt>
                <c:pt idx="3">
                  <c:v>0.121</c:v>
                </c:pt>
                <c:pt idx="4">
                  <c:v>9.6000000000000002E-2</c:v>
                </c:pt>
                <c:pt idx="5">
                  <c:v>7.0999999999999994E-2</c:v>
                </c:pt>
                <c:pt idx="6">
                  <c:v>6.4000000000000001E-2</c:v>
                </c:pt>
                <c:pt idx="7">
                  <c:v>5.6000000000000001E-2</c:v>
                </c:pt>
                <c:pt idx="8">
                  <c:v>3.5000000000000003E-2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666496"/>
        <c:axId val="198672768"/>
      </c:scatterChart>
      <c:valAx>
        <c:axId val="198666496"/>
        <c:scaling>
          <c:orientation val="minMax"/>
          <c:max val="35000"/>
          <c:min val="50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Nt, rpm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198672768"/>
        <c:crosses val="autoZero"/>
        <c:crossBetween val="midCat"/>
      </c:valAx>
      <c:valAx>
        <c:axId val="198672768"/>
        <c:scaling>
          <c:orientation val="minMax"/>
          <c:max val="0.30000000000000004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19866649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0056097661026189"/>
          <c:y val="0.19383879942556673"/>
          <c:w val="0.49502511605216815"/>
          <c:h val="0.1911014422210538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calibration20161019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3533573928258968"/>
          <c:y val="0.19480351414406533"/>
          <c:w val="0.78229505686789147"/>
          <c:h val="0.68921660834062404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CalPhotonTurnigy!$AO$1</c:f>
              <c:strCache>
                <c:ptCount val="1"/>
                <c:pt idx="0">
                  <c:v>Model Qg from Model Ng, ft-lbf</c:v>
                </c:pt>
              </c:strCache>
            </c:strRef>
          </c:tx>
          <c:marker>
            <c:symbol val="none"/>
          </c:marker>
          <c:xVal>
            <c:numRef>
              <c:f>CalPhotonTurnigy!$AI$2:$AI$16</c:f>
              <c:numCache>
                <c:formatCode>0.00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2851.6343524568838</c:v>
                </c:pt>
                <c:pt idx="3">
                  <c:v>4346.701172416062</c:v>
                </c:pt>
                <c:pt idx="4">
                  <c:v>5699.1536214204207</c:v>
                </c:pt>
                <c:pt idx="5">
                  <c:v>6933.8459716233592</c:v>
                </c:pt>
                <c:pt idx="6">
                  <c:v>17348.876248230645</c:v>
                </c:pt>
                <c:pt idx="7">
                  <c:v>22123.420807632323</c:v>
                </c:pt>
                <c:pt idx="8">
                  <c:v>28276.719974572956</c:v>
                </c:pt>
                <c:pt idx="9">
                  <c:v>31999.995048805355</c:v>
                </c:pt>
                <c:pt idx="10">
                  <c:v>35366.791670025093</c:v>
                </c:pt>
                <c:pt idx="11">
                  <c:v>40186.817071139434</c:v>
                </c:pt>
                <c:pt idx="12">
                  <c:v>43239.249799405501</c:v>
                </c:pt>
                <c:pt idx="13">
                  <c:v>44126.414319351083</c:v>
                </c:pt>
              </c:numCache>
            </c:numRef>
          </c:xVal>
          <c:yVal>
            <c:numRef>
              <c:f>CalPhotonTurnigy!$AO$2:$AO$16</c:f>
              <c:numCache>
                <c:formatCode>0.00000</c:formatCode>
                <c:ptCount val="15"/>
                <c:pt idx="2">
                  <c:v>2.8885232311502262E-4</c:v>
                </c:pt>
                <c:pt idx="3">
                  <c:v>1.9093165395329351E-4</c:v>
                </c:pt>
                <c:pt idx="4">
                  <c:v>1.7100500229004468E-4</c:v>
                </c:pt>
                <c:pt idx="5">
                  <c:v>2.0975801042066519E-4</c:v>
                </c:pt>
                <c:pt idx="6">
                  <c:v>2.6996162202028583E-3</c:v>
                </c:pt>
                <c:pt idx="7">
                  <c:v>5.1338954187745353E-3</c:v>
                </c:pt>
                <c:pt idx="8">
                  <c:v>9.4698404838995734E-3</c:v>
                </c:pt>
                <c:pt idx="9">
                  <c:v>1.2749008265139302E-2</c:v>
                </c:pt>
                <c:pt idx="10">
                  <c:v>1.6139758156510163E-2</c:v>
                </c:pt>
                <c:pt idx="11">
                  <c:v>2.1697533384729531E-2</c:v>
                </c:pt>
                <c:pt idx="12">
                  <c:v>2.5645549843300849E-2</c:v>
                </c:pt>
                <c:pt idx="13">
                  <c:v>2.6855314322647372E-2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CalPhotonTurnigy!$AS$1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CalPhotonTurnigy!$AN$8:$AN$16</c:f>
              <c:numCache>
                <c:formatCode>0</c:formatCode>
                <c:ptCount val="9"/>
                <c:pt idx="0">
                  <c:v>8334.7660985153307</c:v>
                </c:pt>
                <c:pt idx="1">
                  <c:v>13026.303246203512</c:v>
                </c:pt>
                <c:pt idx="2">
                  <c:v>19072.624788159832</c:v>
                </c:pt>
                <c:pt idx="3">
                  <c:v>22731.169201035049</c:v>
                </c:pt>
                <c:pt idx="4">
                  <c:v>26039.432684734289</c:v>
                </c:pt>
                <c:pt idx="5">
                  <c:v>30775.659971083536</c:v>
                </c:pt>
                <c:pt idx="6">
                  <c:v>33775.02490679879</c:v>
                </c:pt>
                <c:pt idx="7">
                  <c:v>34646.76570838788</c:v>
                </c:pt>
              </c:numCache>
            </c:numRef>
          </c:xVal>
          <c:yVal>
            <c:numRef>
              <c:f>CalPhotonTurnigy!$AS$8:$AS$16</c:f>
              <c:numCache>
                <c:formatCode>0.00000</c:formatCode>
                <c:ptCount val="9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702592"/>
        <c:axId val="198704128"/>
      </c:scatterChart>
      <c:valAx>
        <c:axId val="198702592"/>
        <c:scaling>
          <c:orientation val="minMax"/>
        </c:scaling>
        <c:delete val="0"/>
        <c:axPos val="b"/>
        <c:numFmt formatCode="0" sourceLinked="0"/>
        <c:majorTickMark val="out"/>
        <c:minorTickMark val="none"/>
        <c:tickLblPos val="nextTo"/>
        <c:crossAx val="198704128"/>
        <c:crosses val="autoZero"/>
        <c:crossBetween val="midCat"/>
      </c:valAx>
      <c:valAx>
        <c:axId val="198704128"/>
        <c:scaling>
          <c:orientation val="minMax"/>
        </c:scaling>
        <c:delete val="0"/>
        <c:axPos val="l"/>
        <c:majorGridlines/>
        <c:numFmt formatCode="0.000" sourceLinked="0"/>
        <c:majorTickMark val="out"/>
        <c:minorTickMark val="none"/>
        <c:tickLblPos val="nextTo"/>
        <c:crossAx val="19870259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2856846781577544"/>
          <c:y val="0.2770371879860597"/>
          <c:w val="0.72068043455019248"/>
          <c:h val="0.150490171748930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97108486439195"/>
          <c:y val="0.17171296296296296"/>
          <c:w val="0.79806692913385824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CalPhotonTurnigy!$V$66</c:f>
              <c:strCache>
                <c:ptCount val="1"/>
                <c:pt idx="0">
                  <c:v>pwr conn, shp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CalPhotonTurnigy!$O$67:$O$84</c:f>
              <c:numCache>
                <c:formatCode>0</c:formatCode>
                <c:ptCount val="18"/>
                <c:pt idx="0">
                  <c:v>8746.3556851311951</c:v>
                </c:pt>
                <c:pt idx="1">
                  <c:v>9708.7378640776697</c:v>
                </c:pt>
                <c:pt idx="2">
                  <c:v>10273.972602739726</c:v>
                </c:pt>
                <c:pt idx="3">
                  <c:v>11363.636363636364</c:v>
                </c:pt>
                <c:pt idx="4">
                  <c:v>12244.897959183674</c:v>
                </c:pt>
                <c:pt idx="5">
                  <c:v>17142.857142857145</c:v>
                </c:pt>
                <c:pt idx="6">
                  <c:v>19933.554817275748</c:v>
                </c:pt>
                <c:pt idx="7">
                  <c:v>22641.509433962266</c:v>
                </c:pt>
                <c:pt idx="8">
                  <c:v>24000.000000000004</c:v>
                </c:pt>
                <c:pt idx="9">
                  <c:v>26431.718061674012</c:v>
                </c:pt>
                <c:pt idx="10">
                  <c:v>29702.970297029704</c:v>
                </c:pt>
                <c:pt idx="11">
                  <c:v>32085.561497326202</c:v>
                </c:pt>
                <c:pt idx="12">
                  <c:v>36363.636363636368</c:v>
                </c:pt>
                <c:pt idx="13">
                  <c:v>39735.099337748346</c:v>
                </c:pt>
                <c:pt idx="14">
                  <c:v>40816.326530612241</c:v>
                </c:pt>
                <c:pt idx="15">
                  <c:v>43478.260869565223</c:v>
                </c:pt>
                <c:pt idx="16" formatCode="General">
                  <c:v>45801.526717557252</c:v>
                </c:pt>
                <c:pt idx="17" formatCode="General">
                  <c:v>47923.322683706072</c:v>
                </c:pt>
              </c:numCache>
            </c:numRef>
          </c:xVal>
          <c:yVal>
            <c:numRef>
              <c:f>CalPhotonTurnigy!$V$67:$V$84</c:f>
              <c:numCache>
                <c:formatCode>General</c:formatCode>
                <c:ptCount val="18"/>
                <c:pt idx="0">
                  <c:v>5.0395070351200002E-3</c:v>
                </c:pt>
                <c:pt idx="1">
                  <c:v>5.9576511576400013E-3</c:v>
                </c:pt>
                <c:pt idx="2">
                  <c:v>6.4615267639200015E-3</c:v>
                </c:pt>
                <c:pt idx="3">
                  <c:v>7.52844386712E-3</c:v>
                </c:pt>
                <c:pt idx="4">
                  <c:v>8.3539636001000016E-3</c:v>
                </c:pt>
                <c:pt idx="5">
                  <c:v>1.1187194420379999E-2</c:v>
                </c:pt>
                <c:pt idx="6">
                  <c:v>1.7248707731919999E-2</c:v>
                </c:pt>
                <c:pt idx="7">
                  <c:v>2.5935955529680001E-2</c:v>
                </c:pt>
                <c:pt idx="8">
                  <c:v>3.2824101622459995E-2</c:v>
                </c:pt>
                <c:pt idx="9">
                  <c:v>3.7446912891520003E-2</c:v>
                </c:pt>
                <c:pt idx="10">
                  <c:v>5.0569885979119995E-2</c:v>
                </c:pt>
                <c:pt idx="11">
                  <c:v>6.4741806475119998E-2</c:v>
                </c:pt>
                <c:pt idx="12">
                  <c:v>8.1123731227120008E-2</c:v>
                </c:pt>
                <c:pt idx="13">
                  <c:v>0.10326829571752001</c:v>
                </c:pt>
                <c:pt idx="14">
                  <c:v>0.12008994158332</c:v>
                </c:pt>
                <c:pt idx="15">
                  <c:v>0.15119588558872002</c:v>
                </c:pt>
                <c:pt idx="16">
                  <c:v>0.18158773537912004</c:v>
                </c:pt>
                <c:pt idx="17">
                  <c:v>0.23169502240912002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CalPhotonTurnigy!$V$87</c:f>
              <c:strCache>
                <c:ptCount val="1"/>
                <c:pt idx="0">
                  <c:v>pwr unconn, shp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CalPhotonTurnigy!$O$88:$O$102</c:f>
              <c:numCache>
                <c:formatCode>0</c:formatCode>
                <c:ptCount val="15"/>
                <c:pt idx="0">
                  <c:v>12295.081967213115</c:v>
                </c:pt>
                <c:pt idx="1">
                  <c:v>15384.615384615385</c:v>
                </c:pt>
                <c:pt idx="2">
                  <c:v>18404.907975460123</c:v>
                </c:pt>
                <c:pt idx="3">
                  <c:v>20905.923344947736</c:v>
                </c:pt>
                <c:pt idx="4">
                  <c:v>22727.272727272728</c:v>
                </c:pt>
                <c:pt idx="5">
                  <c:v>25000</c:v>
                </c:pt>
                <c:pt idx="6">
                  <c:v>26666.666666666672</c:v>
                </c:pt>
                <c:pt idx="7">
                  <c:v>29850.746268656716</c:v>
                </c:pt>
                <c:pt idx="8">
                  <c:v>31914.89361702128</c:v>
                </c:pt>
                <c:pt idx="9">
                  <c:v>36809.815950920245</c:v>
                </c:pt>
                <c:pt idx="10">
                  <c:v>39473.68421052632</c:v>
                </c:pt>
                <c:pt idx="11">
                  <c:v>43165.467625899284</c:v>
                </c:pt>
                <c:pt idx="12">
                  <c:v>44444.444444444445</c:v>
                </c:pt>
                <c:pt idx="13" formatCode="General">
                  <c:v>46875.000000000007</c:v>
                </c:pt>
                <c:pt idx="14" formatCode="General">
                  <c:v>48543.689320388352</c:v>
                </c:pt>
              </c:numCache>
            </c:numRef>
          </c:xVal>
          <c:yVal>
            <c:numRef>
              <c:f>CalPhotonTurnigy!$V$88:$V$102</c:f>
              <c:numCache>
                <c:formatCode>General</c:formatCode>
                <c:ptCount val="15"/>
                <c:pt idx="0">
                  <c:v>1.0667239960320001E-2</c:v>
                </c:pt>
                <c:pt idx="1">
                  <c:v>1.4397748600800004E-2</c:v>
                </c:pt>
                <c:pt idx="2">
                  <c:v>1.92184544864E-2</c:v>
                </c:pt>
                <c:pt idx="3">
                  <c:v>2.5150706687360001E-2</c:v>
                </c:pt>
                <c:pt idx="4">
                  <c:v>3.0770822607600001E-2</c:v>
                </c:pt>
                <c:pt idx="5">
                  <c:v>3.7809578881200012E-2</c:v>
                </c:pt>
                <c:pt idx="6">
                  <c:v>4.2255603219999993E-2</c:v>
                </c:pt>
                <c:pt idx="7">
                  <c:v>5.5280949906E-2</c:v>
                </c:pt>
                <c:pt idx="8">
                  <c:v>6.9486395952000013E-2</c:v>
                </c:pt>
                <c:pt idx="9">
                  <c:v>8.9153019990799998E-2</c:v>
                </c:pt>
                <c:pt idx="10">
                  <c:v>0.10838139804000002</c:v>
                </c:pt>
                <c:pt idx="11">
                  <c:v>0.13277727026400002</c:v>
                </c:pt>
                <c:pt idx="12">
                  <c:v>0.15861742318200001</c:v>
                </c:pt>
                <c:pt idx="13">
                  <c:v>0.20448439864800003</c:v>
                </c:pt>
                <c:pt idx="14">
                  <c:v>0.24552610875360001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750592"/>
        <c:axId val="198752512"/>
      </c:scatterChart>
      <c:valAx>
        <c:axId val="198750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752512"/>
        <c:crosses val="autoZero"/>
        <c:crossBetween val="midCat"/>
      </c:valAx>
      <c:valAx>
        <c:axId val="19875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750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33888888888888891"/>
          <c:y val="0.2805898221055701"/>
          <c:w val="0.31780664916885387"/>
          <c:h val="0.234376640419947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480446194225724"/>
          <c:y val="5.0925925925925923E-2"/>
          <c:w val="0.80551664446655091"/>
          <c:h val="0.8416746864975212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CalPhotonTurnigy!$X$66</c:f>
              <c:strCache>
                <c:ptCount val="1"/>
                <c:pt idx="0">
                  <c:v>Ng Aero Torque Backwards conn, ft-lbf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14677383526051688"/>
                  <c:y val="0.40546319465681141"/>
                </c:manualLayout>
              </c:layout>
              <c:numFmt formatCode="0.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CalPhotonTurnigy!$O$67:$O$84</c:f>
              <c:numCache>
                <c:formatCode>0</c:formatCode>
                <c:ptCount val="18"/>
                <c:pt idx="0">
                  <c:v>8746.3556851311951</c:v>
                </c:pt>
                <c:pt idx="1">
                  <c:v>9708.7378640776697</c:v>
                </c:pt>
                <c:pt idx="2">
                  <c:v>10273.972602739726</c:v>
                </c:pt>
                <c:pt idx="3">
                  <c:v>11363.636363636364</c:v>
                </c:pt>
                <c:pt idx="4">
                  <c:v>12244.897959183674</c:v>
                </c:pt>
                <c:pt idx="5">
                  <c:v>17142.857142857145</c:v>
                </c:pt>
                <c:pt idx="6">
                  <c:v>19933.554817275748</c:v>
                </c:pt>
                <c:pt idx="7">
                  <c:v>22641.509433962266</c:v>
                </c:pt>
                <c:pt idx="8">
                  <c:v>24000.000000000004</c:v>
                </c:pt>
                <c:pt idx="9">
                  <c:v>26431.718061674012</c:v>
                </c:pt>
                <c:pt idx="10">
                  <c:v>29702.970297029704</c:v>
                </c:pt>
                <c:pt idx="11">
                  <c:v>32085.561497326202</c:v>
                </c:pt>
                <c:pt idx="12">
                  <c:v>36363.636363636368</c:v>
                </c:pt>
                <c:pt idx="13">
                  <c:v>39735.099337748346</c:v>
                </c:pt>
                <c:pt idx="14">
                  <c:v>40816.326530612241</c:v>
                </c:pt>
                <c:pt idx="15">
                  <c:v>43478.260869565223</c:v>
                </c:pt>
                <c:pt idx="16" formatCode="General">
                  <c:v>45801.526717557252</c:v>
                </c:pt>
                <c:pt idx="17" formatCode="General">
                  <c:v>47923.322683706072</c:v>
                </c:pt>
              </c:numCache>
            </c:numRef>
          </c:xVal>
          <c:yVal>
            <c:numRef>
              <c:f>CalPhotonTurnigy!$X$67:$X$84</c:f>
              <c:numCache>
                <c:formatCode>0.00000</c:formatCode>
                <c:ptCount val="18"/>
                <c:pt idx="0">
                  <c:v>0</c:v>
                </c:pt>
                <c:pt idx="1">
                  <c:v>1.967106745261603E-4</c:v>
                </c:pt>
                <c:pt idx="2">
                  <c:v>2.7698155513368591E-4</c:v>
                </c:pt>
                <c:pt idx="3">
                  <c:v>4.5334960762390868E-4</c:v>
                </c:pt>
                <c:pt idx="4">
                  <c:v>5.5700990915808109E-4</c:v>
                </c:pt>
                <c:pt idx="5">
                  <c:v>4.0126699881760756E-4</c:v>
                </c:pt>
                <c:pt idx="6">
                  <c:v>1.5184925541307211E-3</c:v>
                </c:pt>
                <c:pt idx="7">
                  <c:v>2.9900742327435273E-3</c:v>
                </c:pt>
                <c:pt idx="8">
                  <c:v>4.1568911066088496E-3</c:v>
                </c:pt>
                <c:pt idx="9">
                  <c:v>4.4146100910474736E-3</c:v>
                </c:pt>
                <c:pt idx="10">
                  <c:v>5.9155159206925748E-3</c:v>
                </c:pt>
                <c:pt idx="11">
                  <c:v>7.5712971919889805E-3</c:v>
                </c:pt>
                <c:pt idx="12">
                  <c:v>8.6905840360267973E-3</c:v>
                </c:pt>
                <c:pt idx="13">
                  <c:v>1.0623404944122301E-2</c:v>
                </c:pt>
                <c:pt idx="14">
                  <c:v>1.2426336678185976E-2</c:v>
                </c:pt>
                <c:pt idx="15">
                  <c:v>1.5237741730468879E-2</c:v>
                </c:pt>
                <c:pt idx="16">
                  <c:v>1.7796307033837045E-2</c:v>
                </c:pt>
                <c:pt idx="17">
                  <c:v>2.2365742645414827E-2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CalPhotonTurnigy!$X$87</c:f>
              <c:strCache>
                <c:ptCount val="1"/>
                <c:pt idx="0">
                  <c:v>Ng Torque Backwards unconn, ft-lbf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CalPhotonTurnigy!$O$88:$O$102</c:f>
              <c:numCache>
                <c:formatCode>0</c:formatCode>
                <c:ptCount val="15"/>
                <c:pt idx="0">
                  <c:v>12295.081967213115</c:v>
                </c:pt>
                <c:pt idx="1">
                  <c:v>15384.615384615385</c:v>
                </c:pt>
                <c:pt idx="2">
                  <c:v>18404.907975460123</c:v>
                </c:pt>
                <c:pt idx="3">
                  <c:v>20905.923344947736</c:v>
                </c:pt>
                <c:pt idx="4">
                  <c:v>22727.272727272728</c:v>
                </c:pt>
                <c:pt idx="5">
                  <c:v>25000</c:v>
                </c:pt>
                <c:pt idx="6">
                  <c:v>26666.666666666672</c:v>
                </c:pt>
                <c:pt idx="7">
                  <c:v>29850.746268656716</c:v>
                </c:pt>
                <c:pt idx="8">
                  <c:v>31914.89361702128</c:v>
                </c:pt>
                <c:pt idx="9">
                  <c:v>36809.815950920245</c:v>
                </c:pt>
                <c:pt idx="10">
                  <c:v>39473.68421052632</c:v>
                </c:pt>
                <c:pt idx="11">
                  <c:v>43165.467625899284</c:v>
                </c:pt>
                <c:pt idx="12">
                  <c:v>44444.444444444445</c:v>
                </c:pt>
                <c:pt idx="13" formatCode="General">
                  <c:v>46875.000000000007</c:v>
                </c:pt>
                <c:pt idx="14" formatCode="General">
                  <c:v>48543.689320388352</c:v>
                </c:pt>
              </c:numCache>
            </c:numRef>
          </c:xVal>
          <c:yVal>
            <c:numRef>
              <c:f>CalPhotonTurnigy!$X$88:$X$102</c:f>
              <c:numCache>
                <c:formatCode>0.00000</c:formatCode>
                <c:ptCount val="15"/>
                <c:pt idx="0">
                  <c:v>0</c:v>
                </c:pt>
                <c:pt idx="1">
                  <c:v>3.5845674991758555E-4</c:v>
                </c:pt>
                <c:pt idx="2">
                  <c:v>9.2750588020960346E-4</c:v>
                </c:pt>
                <c:pt idx="3">
                  <c:v>1.7617306337128517E-3</c:v>
                </c:pt>
                <c:pt idx="4">
                  <c:v>2.5541211873215492E-3</c:v>
                </c:pt>
                <c:pt idx="5">
                  <c:v>3.3863896639389794E-3</c:v>
                </c:pt>
                <c:pt idx="6">
                  <c:v>3.765594386755478E-3</c:v>
                </c:pt>
                <c:pt idx="7">
                  <c:v>5.1695942209379333E-3</c:v>
                </c:pt>
                <c:pt idx="8">
                  <c:v>6.8782199474934731E-3</c:v>
                </c:pt>
                <c:pt idx="9">
                  <c:v>8.1636467895171635E-3</c:v>
                </c:pt>
                <c:pt idx="10">
                  <c:v>9.8635705960638427E-3</c:v>
                </c:pt>
                <c:pt idx="11">
                  <c:v>1.1598540841957713E-2</c:v>
                </c:pt>
                <c:pt idx="12">
                  <c:v>1.418717422999342E-2</c:v>
                </c:pt>
                <c:pt idx="13">
                  <c:v>1.8354330648828129E-2</c:v>
                </c:pt>
                <c:pt idx="14">
                  <c:v>2.2007117669958966E-2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CalPhotonTurnigy!$X$1</c:f>
              <c:strCache>
                <c:ptCount val="1"/>
                <c:pt idx="0">
                  <c:v>Ng Torque, ft-lbf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CalPhotonTurnigy!$O$4:$O$15</c:f>
              <c:numCache>
                <c:formatCode>0</c:formatCode>
                <c:ptCount val="12"/>
                <c:pt idx="0">
                  <c:v>7614.2131979695441</c:v>
                </c:pt>
                <c:pt idx="1">
                  <c:v>8241.7582417582416</c:v>
                </c:pt>
                <c:pt idx="2">
                  <c:v>9090.9090909090919</c:v>
                </c:pt>
                <c:pt idx="3">
                  <c:v>9677.4193548387102</c:v>
                </c:pt>
                <c:pt idx="4">
                  <c:v>18404.907975460123</c:v>
                </c:pt>
                <c:pt idx="5">
                  <c:v>22388.059701492537</c:v>
                </c:pt>
                <c:pt idx="6">
                  <c:v>27906.976744186049</c:v>
                </c:pt>
                <c:pt idx="7">
                  <c:v>29702.970297029704</c:v>
                </c:pt>
                <c:pt idx="8">
                  <c:v>33898.305084745763</c:v>
                </c:pt>
                <c:pt idx="9">
                  <c:v>39473.68421052632</c:v>
                </c:pt>
                <c:pt idx="10">
                  <c:v>43988.269794721404</c:v>
                </c:pt>
                <c:pt idx="11">
                  <c:v>45592.705167173255</c:v>
                </c:pt>
              </c:numCache>
            </c:numRef>
          </c:xVal>
          <c:yVal>
            <c:numRef>
              <c:f>CalPhotonTurnigy!$X$4:$X$15</c:f>
              <c:numCache>
                <c:formatCode>0.00000</c:formatCode>
                <c:ptCount val="12"/>
                <c:pt idx="0">
                  <c:v>0</c:v>
                </c:pt>
                <c:pt idx="1">
                  <c:v>3.2982065767668631E-4</c:v>
                </c:pt>
                <c:pt idx="2">
                  <c:v>5.9919656662855807E-4</c:v>
                </c:pt>
                <c:pt idx="3">
                  <c:v>6.1610363702618159E-4</c:v>
                </c:pt>
                <c:pt idx="4">
                  <c:v>3.1207096646162949E-3</c:v>
                </c:pt>
                <c:pt idx="5">
                  <c:v>5.0567114007972706E-3</c:v>
                </c:pt>
                <c:pt idx="6">
                  <c:v>9.4106486422868042E-3</c:v>
                </c:pt>
                <c:pt idx="7">
                  <c:v>1.0770368038348075E-2</c:v>
                </c:pt>
                <c:pt idx="8">
                  <c:v>1.457200402359189E-2</c:v>
                </c:pt>
                <c:pt idx="9">
                  <c:v>2.0489425252982894E-2</c:v>
                </c:pt>
                <c:pt idx="10">
                  <c:v>2.7173982409470245E-2</c:v>
                </c:pt>
                <c:pt idx="11">
                  <c:v>2.863872523257344E-2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777856"/>
        <c:axId val="198804608"/>
      </c:scatterChart>
      <c:valAx>
        <c:axId val="198777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804608"/>
        <c:crosses val="autoZero"/>
        <c:crossBetween val="midCat"/>
      </c:valAx>
      <c:valAx>
        <c:axId val="19880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777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3541508596222046"/>
          <c:y val="5.7642494087036714E-2"/>
          <c:w val="0.56731963108465833"/>
          <c:h val="0.267916410248318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Lambda Verified Constant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CalPhotonTurnigy!$P$8:$P$15</c:f>
              <c:numCache>
                <c:formatCode>0</c:formatCode>
                <c:ptCount val="8"/>
                <c:pt idx="0">
                  <c:v>8902.077151335312</c:v>
                </c:pt>
                <c:pt idx="1">
                  <c:v>13239.187996469551</c:v>
                </c:pt>
                <c:pt idx="2">
                  <c:v>18867.92452830189</c:v>
                </c:pt>
                <c:pt idx="3">
                  <c:v>20905.923344947736</c:v>
                </c:pt>
                <c:pt idx="4">
                  <c:v>25000</c:v>
                </c:pt>
                <c:pt idx="5">
                  <c:v>30000.000000000004</c:v>
                </c:pt>
                <c:pt idx="6">
                  <c:v>34482.758620689652</c:v>
                </c:pt>
                <c:pt idx="7">
                  <c:v>35714.285714285717</c:v>
                </c:pt>
              </c:numCache>
            </c:numRef>
          </c:xVal>
          <c:yVal>
            <c:numRef>
              <c:f>CalPhotonTurnigy!$AE$8:$AE$15</c:f>
              <c:numCache>
                <c:formatCode>0.00</c:formatCode>
                <c:ptCount val="8"/>
                <c:pt idx="0">
                  <c:v>2.4611713541169045</c:v>
                </c:pt>
                <c:pt idx="1">
                  <c:v>2.728271824149449</c:v>
                </c:pt>
                <c:pt idx="2">
                  <c:v>2.7938682220438258</c:v>
                </c:pt>
                <c:pt idx="3">
                  <c:v>2.819165068272667</c:v>
                </c:pt>
                <c:pt idx="4">
                  <c:v>2.7651838128932069</c:v>
                </c:pt>
                <c:pt idx="5" formatCode="0.000">
                  <c:v>2.6406493436282674</c:v>
                </c:pt>
                <c:pt idx="6">
                  <c:v>2.5801660429310118</c:v>
                </c:pt>
                <c:pt idx="7" formatCode="0.000">
                  <c:v>2.4924372674683695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902144"/>
        <c:axId val="198904064"/>
      </c:scatterChart>
      <c:valAx>
        <c:axId val="198902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904064"/>
        <c:crosses val="autoZero"/>
        <c:crossBetween val="midCat"/>
      </c:valAx>
      <c:valAx>
        <c:axId val="19890406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902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Measured TauT</a:t>
            </a:r>
            <a:r>
              <a:rPr lang="en-US" baseline="0"/>
              <a:t> vs Nt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CalPhotonTurnigy!$AQ$19</c:f>
              <c:strCache>
                <c:ptCount val="1"/>
                <c:pt idx="0">
                  <c:v>Measured TauT, s</c:v>
                </c:pt>
              </c:strCache>
            </c:strRef>
          </c:tx>
          <c:marker>
            <c:symbol val="none"/>
          </c:marker>
          <c:xVal>
            <c:numRef>
              <c:f>CalPhotonTurnigy!$AN$20:$AN$29</c:f>
              <c:numCache>
                <c:formatCode>General</c:formatCode>
                <c:ptCount val="10"/>
                <c:pt idx="1">
                  <c:v>16</c:v>
                </c:pt>
                <c:pt idx="2">
                  <c:v>20</c:v>
                </c:pt>
                <c:pt idx="3">
                  <c:v>25</c:v>
                </c:pt>
                <c:pt idx="4">
                  <c:v>36</c:v>
                </c:pt>
                <c:pt idx="5">
                  <c:v>45</c:v>
                </c:pt>
                <c:pt idx="6">
                  <c:v>50</c:v>
                </c:pt>
                <c:pt idx="7">
                  <c:v>52</c:v>
                </c:pt>
                <c:pt idx="8">
                  <c:v>55</c:v>
                </c:pt>
                <c:pt idx="9">
                  <c:v>62</c:v>
                </c:pt>
              </c:numCache>
            </c:numRef>
          </c:xVal>
          <c:yVal>
            <c:numRef>
              <c:f>CalPhotonTurnigy!$AQ$20:$AQ$29</c:f>
              <c:numCache>
                <c:formatCode>0.000</c:formatCode>
                <c:ptCount val="10"/>
                <c:pt idx="1">
                  <c:v>0.34399999999999997</c:v>
                </c:pt>
                <c:pt idx="2">
                  <c:v>0.27100000000000002</c:v>
                </c:pt>
                <c:pt idx="3">
                  <c:v>0.185</c:v>
                </c:pt>
                <c:pt idx="4">
                  <c:v>0.121</c:v>
                </c:pt>
                <c:pt idx="5">
                  <c:v>9.6000000000000002E-2</c:v>
                </c:pt>
                <c:pt idx="6">
                  <c:v>7.0999999999999994E-2</c:v>
                </c:pt>
                <c:pt idx="7">
                  <c:v>6.4000000000000001E-2</c:v>
                </c:pt>
                <c:pt idx="8">
                  <c:v>5.6000000000000001E-2</c:v>
                </c:pt>
                <c:pt idx="9">
                  <c:v>3.5000000000000003E-2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932352"/>
        <c:axId val="198933888"/>
      </c:scatterChart>
      <c:valAx>
        <c:axId val="198932352"/>
        <c:scaling>
          <c:orientation val="minMax"/>
          <c:max val="80"/>
          <c:min val="10"/>
        </c:scaling>
        <c:delete val="0"/>
        <c:axPos val="b"/>
        <c:minorGridlines/>
        <c:numFmt formatCode="General" sourceLinked="1"/>
        <c:majorTickMark val="out"/>
        <c:minorTickMark val="none"/>
        <c:tickLblPos val="nextTo"/>
        <c:crossAx val="198933888"/>
        <c:crosses val="autoZero"/>
        <c:crossBetween val="midCat"/>
        <c:minorUnit val="2"/>
      </c:valAx>
      <c:valAx>
        <c:axId val="198933888"/>
        <c:scaling>
          <c:orientation val="minMax"/>
        </c:scaling>
        <c:delete val="0"/>
        <c:axPos val="l"/>
        <c:minorGridlines/>
        <c:numFmt formatCode="General" sourceLinked="1"/>
        <c:majorTickMark val="out"/>
        <c:minorTickMark val="none"/>
        <c:tickLblPos val="nextTo"/>
        <c:crossAx val="1989323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5553149606299214E-2"/>
          <c:y val="5.0925925925925923E-2"/>
          <c:w val="0.86487685914260715"/>
          <c:h val="0.74350320793234181"/>
        </c:manualLayout>
      </c:layout>
      <c:scatterChart>
        <c:scatterStyle val="lineMarker"/>
        <c:varyColors val="0"/>
        <c:ser>
          <c:idx val="0"/>
          <c:order val="0"/>
          <c:tx>
            <c:strRef>
              <c:f>TauPhotonTurnigy!$D$1</c:f>
              <c:strCache>
                <c:ptCount val="1"/>
                <c:pt idx="0">
                  <c:v>Measured TauT, 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TauPhotonTurnigy!$C$2:$C$10</c:f>
              <c:numCache>
                <c:formatCode>General</c:formatCode>
                <c:ptCount val="9"/>
                <c:pt idx="0">
                  <c:v>16</c:v>
                </c:pt>
                <c:pt idx="1">
                  <c:v>20</c:v>
                </c:pt>
                <c:pt idx="2">
                  <c:v>25</c:v>
                </c:pt>
                <c:pt idx="3">
                  <c:v>36</c:v>
                </c:pt>
                <c:pt idx="4">
                  <c:v>45</c:v>
                </c:pt>
                <c:pt idx="5">
                  <c:v>50</c:v>
                </c:pt>
                <c:pt idx="6">
                  <c:v>52</c:v>
                </c:pt>
                <c:pt idx="7">
                  <c:v>55</c:v>
                </c:pt>
                <c:pt idx="8">
                  <c:v>62</c:v>
                </c:pt>
              </c:numCache>
            </c:numRef>
          </c:xVal>
          <c:yVal>
            <c:numRef>
              <c:f>TauPhotonTurnigy!$D$2:$D$10</c:f>
              <c:numCache>
                <c:formatCode>General</c:formatCode>
                <c:ptCount val="9"/>
                <c:pt idx="0">
                  <c:v>0.33</c:v>
                </c:pt>
                <c:pt idx="1">
                  <c:v>0.28000000000000003</c:v>
                </c:pt>
                <c:pt idx="2">
                  <c:v>0.19</c:v>
                </c:pt>
                <c:pt idx="3">
                  <c:v>0.14000000000000001</c:v>
                </c:pt>
                <c:pt idx="4">
                  <c:v>0.11</c:v>
                </c:pt>
                <c:pt idx="5">
                  <c:v>0.09</c:v>
                </c:pt>
                <c:pt idx="6">
                  <c:v>0.08</c:v>
                </c:pt>
                <c:pt idx="7">
                  <c:v>7.0000000000000007E-2</c:v>
                </c:pt>
                <c:pt idx="8">
                  <c:v>0.05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TauPhotonTurnigy!$P$2</c:f>
              <c:strCache>
                <c:ptCount val="1"/>
                <c:pt idx="0">
                  <c:v>Model TauG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  <a:prstDash val="solid"/>
            </a:ln>
          </c:spPr>
          <c:marker>
            <c:symbol val="none"/>
          </c:marker>
          <c:xVal>
            <c:numRef>
              <c:f>TauPhotonTurnigy!$O$7:$O$14</c:f>
              <c:numCache>
                <c:formatCode>General</c:formatCode>
                <c:ptCount val="8"/>
                <c:pt idx="0">
                  <c:v>37.649471024806083</c:v>
                </c:pt>
                <c:pt idx="1">
                  <c:v>48.010895849896535</c:v>
                </c:pt>
                <c:pt idx="2">
                  <c:v>61.364409667042004</c:v>
                </c:pt>
                <c:pt idx="3">
                  <c:v>69.444433699664401</c:v>
                </c:pt>
                <c:pt idx="4">
                  <c:v>76.75084997835306</c:v>
                </c:pt>
                <c:pt idx="5">
                  <c:v>87.210974546743557</c:v>
                </c:pt>
                <c:pt idx="6">
                  <c:v>93.835177516070971</c:v>
                </c:pt>
                <c:pt idx="7">
                  <c:v>95.760447741647312</c:v>
                </c:pt>
              </c:numCache>
            </c:numRef>
          </c:xVal>
          <c:yVal>
            <c:numRef>
              <c:f>TauPhotonTurnigy!$P$7:$P$14</c:f>
              <c:numCache>
                <c:formatCode>General</c:formatCode>
                <c:ptCount val="8"/>
                <c:pt idx="0">
                  <c:v>8.8118975354312457E-2</c:v>
                </c:pt>
                <c:pt idx="1">
                  <c:v>6.2906429754981188E-2</c:v>
                </c:pt>
                <c:pt idx="2">
                  <c:v>4.5959283219000051E-2</c:v>
                </c:pt>
                <c:pt idx="3">
                  <c:v>3.9517474546856557E-2</c:v>
                </c:pt>
                <c:pt idx="4">
                  <c:v>3.5072283984146982E-2</c:v>
                </c:pt>
                <c:pt idx="5">
                  <c:v>3.0207645977385542E-2</c:v>
                </c:pt>
                <c:pt idx="6">
                  <c:v>2.7768510934620131E-2</c:v>
                </c:pt>
                <c:pt idx="7">
                  <c:v>2.7131780912102672E-2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TauPhotonTurnigy!$R$2</c:f>
              <c:strCache>
                <c:ptCount val="1"/>
                <c:pt idx="0">
                  <c:v>Model TauT Wind</c:v>
                </c:pt>
              </c:strCache>
            </c:strRef>
          </c:tx>
          <c:spPr>
            <a:ln w="19050"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TauPhotonTurnigy!$Q$7:$Q$14</c:f>
              <c:numCache>
                <c:formatCode>General</c:formatCode>
                <c:ptCount val="8"/>
                <c:pt idx="0">
                  <c:v>18.349332141930159</c:v>
                </c:pt>
                <c:pt idx="1">
                  <c:v>28.457488763966595</c:v>
                </c:pt>
                <c:pt idx="2">
                  <c:v>41.484597621753984</c:v>
                </c:pt>
                <c:pt idx="3">
                  <c:v>49.367118588734272</c:v>
                </c:pt>
                <c:pt idx="4">
                  <c:v>56.494941386998597</c:v>
                </c:pt>
                <c:pt idx="5">
                  <c:v>66.699385197396992</c:v>
                </c:pt>
                <c:pt idx="6">
                  <c:v>73.161670282743401</c:v>
                </c:pt>
                <c:pt idx="7">
                  <c:v>75.03988040426492</c:v>
                </c:pt>
              </c:numCache>
            </c:numRef>
          </c:xVal>
          <c:yVal>
            <c:numRef>
              <c:f>TauPhotonTurnigy!$R$7:$R$14</c:f>
              <c:numCache>
                <c:formatCode>General</c:formatCode>
                <c:ptCount val="8"/>
                <c:pt idx="0">
                  <c:v>0.2622861097452871</c:v>
                </c:pt>
                <c:pt idx="1">
                  <c:v>0.15327768207325029</c:v>
                </c:pt>
                <c:pt idx="2">
                  <c:v>9.3499270545763416E-2</c:v>
                </c:pt>
                <c:pt idx="3">
                  <c:v>8.2313306461443872E-2</c:v>
                </c:pt>
                <c:pt idx="4">
                  <c:v>6.3631390354086409E-2</c:v>
                </c:pt>
                <c:pt idx="5">
                  <c:v>4.8062113370621579E-2</c:v>
                </c:pt>
                <c:pt idx="6">
                  <c:v>3.9676981378982325E-2</c:v>
                </c:pt>
                <c:pt idx="7">
                  <c:v>3.7281900353922377E-2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014656"/>
        <c:axId val="195363200"/>
      </c:scatterChart>
      <c:valAx>
        <c:axId val="199014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N, 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363200"/>
        <c:crosses val="autoZero"/>
        <c:crossBetween val="midCat"/>
      </c:valAx>
      <c:valAx>
        <c:axId val="195363200"/>
        <c:scaling>
          <c:orientation val="minMax"/>
          <c:max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014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7452643176491105"/>
          <c:y val="7.7256124234470688E-2"/>
          <c:w val="0.45895931758530184"/>
          <c:h val="0.328708078156897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Correlation</a:t>
            </a:r>
            <a:r>
              <a:rPr lang="en-US" baseline="0"/>
              <a:t> Between Speeds is Linear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CalArduinoTurnigy!$P$1</c:f>
              <c:strCache>
                <c:ptCount val="1"/>
                <c:pt idx="0">
                  <c:v>tur,RPM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CalArduinoTurnigy!$O$5:$O$13</c:f>
              <c:numCache>
                <c:formatCode>0</c:formatCode>
                <c:ptCount val="9"/>
                <c:pt idx="0">
                  <c:v>12987.012987012988</c:v>
                </c:pt>
                <c:pt idx="1">
                  <c:v>18404.907975460123</c:v>
                </c:pt>
                <c:pt idx="2">
                  <c:v>22388.059701492537</c:v>
                </c:pt>
                <c:pt idx="3">
                  <c:v>27906.976744186049</c:v>
                </c:pt>
                <c:pt idx="4">
                  <c:v>29702.970297029704</c:v>
                </c:pt>
                <c:pt idx="5">
                  <c:v>33898.305084745763</c:v>
                </c:pt>
                <c:pt idx="6">
                  <c:v>39473.68421052632</c:v>
                </c:pt>
                <c:pt idx="7">
                  <c:v>43988.269794721404</c:v>
                </c:pt>
                <c:pt idx="8">
                  <c:v>45592.705167173255</c:v>
                </c:pt>
              </c:numCache>
            </c:numRef>
          </c:xVal>
          <c:yVal>
            <c:numRef>
              <c:f>CalArduinoTurnigy!$P$5:$P$13</c:f>
              <c:numCache>
                <c:formatCode>0</c:formatCode>
                <c:ptCount val="9"/>
                <c:pt idx="0">
                  <c:v>0.6</c:v>
                </c:pt>
                <c:pt idx="1">
                  <c:v>9360.3744149765989</c:v>
                </c:pt>
                <c:pt idx="2">
                  <c:v>13239.187996469551</c:v>
                </c:pt>
                <c:pt idx="3">
                  <c:v>18867.92452830189</c:v>
                </c:pt>
                <c:pt idx="4">
                  <c:v>21052.631578947367</c:v>
                </c:pt>
                <c:pt idx="5">
                  <c:v>25000</c:v>
                </c:pt>
                <c:pt idx="6">
                  <c:v>30000.000000000004</c:v>
                </c:pt>
                <c:pt idx="7">
                  <c:v>34482.758620689652</c:v>
                </c:pt>
                <c:pt idx="8">
                  <c:v>35714.285714285717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421312"/>
        <c:axId val="195422848"/>
      </c:scatterChart>
      <c:valAx>
        <c:axId val="195421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422848"/>
        <c:crosses val="autoZero"/>
        <c:crossBetween val="midCat"/>
      </c:valAx>
      <c:valAx>
        <c:axId val="19542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421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 Throttle to Ng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4569259560043785"/>
          <c:y val="0.12151534481085631"/>
          <c:w val="0.72130941062707721"/>
          <c:h val="0.59682244516945593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Ard1_Turn1_ESC1_G1b_T1a!$R$7</c:f>
              <c:strCache>
                <c:ptCount val="1"/>
                <c:pt idx="0">
                  <c:v>Ng, 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5.5"/>
            <c:backward val="20"/>
            <c:dispRSqr val="0"/>
            <c:dispEq val="1"/>
            <c:trendlineLbl>
              <c:layout>
                <c:manualLayout>
                  <c:x val="-0.29817991360945351"/>
                  <c:y val="0.149240673253278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Ard1_Turn1_ESC1_G1b_T1a!$L$12:$L$22</c:f>
              <c:numCache>
                <c:formatCode>General</c:formatCode>
                <c:ptCount val="11"/>
                <c:pt idx="0">
                  <c:v>25</c:v>
                </c:pt>
                <c:pt idx="1">
                  <c:v>35</c:v>
                </c:pt>
                <c:pt idx="2">
                  <c:v>54</c:v>
                </c:pt>
                <c:pt idx="3">
                  <c:v>64</c:v>
                </c:pt>
                <c:pt idx="4">
                  <c:v>89</c:v>
                </c:pt>
                <c:pt idx="5">
                  <c:v>125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165</c:v>
                </c:pt>
              </c:numCache>
            </c:numRef>
          </c:xVal>
          <c:yVal>
            <c:numRef>
              <c:f>Ard1_Turn1_ESC1_G1b_T1a!$R$12:$R$22</c:f>
              <c:numCache>
                <c:formatCode>0</c:formatCode>
                <c:ptCount val="11"/>
                <c:pt idx="0">
                  <c:v>39.941206543967276</c:v>
                </c:pt>
                <c:pt idx="1">
                  <c:v>48.585199004975124</c:v>
                </c:pt>
                <c:pt idx="2">
                  <c:v>60.562015503875976</c:v>
                </c:pt>
                <c:pt idx="3">
                  <c:v>64.459570957095707</c:v>
                </c:pt>
                <c:pt idx="4">
                  <c:v>73.56403013182674</c:v>
                </c:pt>
                <c:pt idx="5">
                  <c:v>85.663377192982466</c:v>
                </c:pt>
                <c:pt idx="6">
                  <c:v>1.3020833333333332E-27</c:v>
                </c:pt>
                <c:pt idx="7">
                  <c:v>1.3020833333333332E-27</c:v>
                </c:pt>
                <c:pt idx="8">
                  <c:v>1.3020833333333332E-27</c:v>
                </c:pt>
                <c:pt idx="9">
                  <c:v>1.3020833333333332E-27</c:v>
                </c:pt>
                <c:pt idx="10">
                  <c:v>98.942502532928074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3146112"/>
        <c:axId val="243148288"/>
      </c:scatterChart>
      <c:scatterChart>
        <c:scatterStyle val="lineMarker"/>
        <c:varyColors val="0"/>
        <c:ser>
          <c:idx val="1"/>
          <c:order val="1"/>
          <c:tx>
            <c:strRef>
              <c:f>Ard1_Turn1_ESC1_G1b_T1a!$U$7</c:f>
              <c:strCache>
                <c:ptCount val="1"/>
                <c:pt idx="0">
                  <c:v>Charger Pwr, 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forward val="20"/>
            <c:dispRSqr val="0"/>
            <c:dispEq val="1"/>
            <c:trendlineLbl>
              <c:layout>
                <c:manualLayout>
                  <c:x val="5.6373767232584297E-2"/>
                  <c:y val="0.3571603652849179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Ard1_Turn1_ESC1_G1b_T1a!$L$10:$L$22</c:f>
              <c:numCache>
                <c:formatCode>General</c:formatCode>
                <c:ptCount val="13"/>
                <c:pt idx="0">
                  <c:v>9</c:v>
                </c:pt>
                <c:pt idx="1">
                  <c:v>12</c:v>
                </c:pt>
                <c:pt idx="2">
                  <c:v>25</c:v>
                </c:pt>
                <c:pt idx="3">
                  <c:v>35</c:v>
                </c:pt>
                <c:pt idx="4">
                  <c:v>54</c:v>
                </c:pt>
                <c:pt idx="5">
                  <c:v>64</c:v>
                </c:pt>
                <c:pt idx="6">
                  <c:v>89</c:v>
                </c:pt>
                <c:pt idx="7">
                  <c:v>125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165</c:v>
                </c:pt>
              </c:numCache>
            </c:numRef>
          </c:xVal>
          <c:yVal>
            <c:numRef>
              <c:f>Ard1_Turn1_ESC1_G1b_T1a!$U$10:$U$22</c:f>
              <c:numCache>
                <c:formatCode>0.00</c:formatCode>
                <c:ptCount val="13"/>
                <c:pt idx="0" formatCode="General">
                  <c:v>7.6664000000000003</c:v>
                </c:pt>
                <c:pt idx="1">
                  <c:v>9.3844799999999999</c:v>
                </c:pt>
                <c:pt idx="2">
                  <c:v>20.3796</c:v>
                </c:pt>
                <c:pt idx="3">
                  <c:v>29.981099999999998</c:v>
                </c:pt>
                <c:pt idx="4">
                  <c:v>53.526600000000002</c:v>
                </c:pt>
                <c:pt idx="5">
                  <c:v>62.419400000000003</c:v>
                </c:pt>
                <c:pt idx="6">
                  <c:v>88.904499999999999</c:v>
                </c:pt>
                <c:pt idx="7">
                  <c:v>135.96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209.1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081472"/>
        <c:axId val="243150208"/>
      </c:scatterChart>
      <c:valAx>
        <c:axId val="243146112"/>
        <c:scaling>
          <c:orientation val="minMax"/>
          <c:max val="1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Throttle,</a:t>
                </a:r>
                <a:r>
                  <a:rPr lang="en-US" baseline="0"/>
                  <a:t> deg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148288"/>
        <c:crossesAt val="-40"/>
        <c:crossBetween val="midCat"/>
        <c:majorUnit val="20"/>
      </c:valAx>
      <c:valAx>
        <c:axId val="243148288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Ng, 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146112"/>
        <c:crosses val="autoZero"/>
        <c:crossBetween val="midCat"/>
      </c:valAx>
      <c:valAx>
        <c:axId val="243150208"/>
        <c:scaling>
          <c:orientation val="minMax"/>
          <c:max val="240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Power, Watts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081472"/>
        <c:crosses val="max"/>
        <c:crossBetween val="midCat"/>
        <c:majorUnit val="40"/>
      </c:valAx>
      <c:valAx>
        <c:axId val="2310814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43150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7447973802036356"/>
          <c:y val="0.7848592019217937"/>
          <c:w val="0.42031398551961197"/>
          <c:h val="0.139273950364590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 Throttle to Ng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4569259560043785"/>
          <c:y val="0.12151534481085631"/>
          <c:w val="0.72130941062707721"/>
          <c:h val="0.59682244516945593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CalArduinoTurnigy!$Q$1</c:f>
              <c:strCache>
                <c:ptCount val="1"/>
                <c:pt idx="0">
                  <c:v>Ng, 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5.5"/>
            <c:backward val="20"/>
            <c:dispRSqr val="0"/>
            <c:dispEq val="1"/>
            <c:trendlineLbl>
              <c:layout>
                <c:manualLayout>
                  <c:x val="-0.29817991360945351"/>
                  <c:y val="0.149240673253278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CalArduinoTurnigy!$K$6:$K$13</c:f>
              <c:numCache>
                <c:formatCode>General</c:formatCode>
                <c:ptCount val="8"/>
                <c:pt idx="0">
                  <c:v>25</c:v>
                </c:pt>
                <c:pt idx="1">
                  <c:v>35</c:v>
                </c:pt>
                <c:pt idx="2">
                  <c:v>54</c:v>
                </c:pt>
                <c:pt idx="3">
                  <c:v>64</c:v>
                </c:pt>
                <c:pt idx="4">
                  <c:v>89</c:v>
                </c:pt>
                <c:pt idx="5">
                  <c:v>125</c:v>
                </c:pt>
                <c:pt idx="6">
                  <c:v>155</c:v>
                </c:pt>
                <c:pt idx="7">
                  <c:v>165</c:v>
                </c:pt>
              </c:numCache>
            </c:numRef>
          </c:xVal>
          <c:yVal>
            <c:numRef>
              <c:f>CalArduinoTurnigy!$Q$6:$Q$13</c:f>
              <c:numCache>
                <c:formatCode>0</c:formatCode>
                <c:ptCount val="8"/>
                <c:pt idx="0">
                  <c:v>39.941206543967276</c:v>
                </c:pt>
                <c:pt idx="1">
                  <c:v>48.585199004975124</c:v>
                </c:pt>
                <c:pt idx="2">
                  <c:v>60.562015503875976</c:v>
                </c:pt>
                <c:pt idx="3">
                  <c:v>64.459570957095707</c:v>
                </c:pt>
                <c:pt idx="4">
                  <c:v>73.56403013182674</c:v>
                </c:pt>
                <c:pt idx="5">
                  <c:v>85.663377192982466</c:v>
                </c:pt>
                <c:pt idx="6">
                  <c:v>95.460654936461381</c:v>
                </c:pt>
                <c:pt idx="7">
                  <c:v>98.942502532928074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475328"/>
        <c:axId val="195563520"/>
      </c:scatterChart>
      <c:scatterChart>
        <c:scatterStyle val="lineMarker"/>
        <c:varyColors val="0"/>
        <c:ser>
          <c:idx val="1"/>
          <c:order val="1"/>
          <c:tx>
            <c:strRef>
              <c:f>CalArduinoTurnigy!$T$1</c:f>
              <c:strCache>
                <c:ptCount val="1"/>
                <c:pt idx="0">
                  <c:v>Charger Pwr, 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forward val="20"/>
            <c:dispRSqr val="0"/>
            <c:dispEq val="1"/>
            <c:trendlineLbl>
              <c:layout>
                <c:manualLayout>
                  <c:x val="5.6373767232584297E-2"/>
                  <c:y val="0.35716036528491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CalArduinoTurnigy!$K$4:$K$13</c:f>
              <c:numCache>
                <c:formatCode>General</c:formatCode>
                <c:ptCount val="10"/>
                <c:pt idx="0">
                  <c:v>8</c:v>
                </c:pt>
                <c:pt idx="1">
                  <c:v>13</c:v>
                </c:pt>
                <c:pt idx="2">
                  <c:v>25</c:v>
                </c:pt>
                <c:pt idx="3">
                  <c:v>35</c:v>
                </c:pt>
                <c:pt idx="4">
                  <c:v>54</c:v>
                </c:pt>
                <c:pt idx="5">
                  <c:v>64</c:v>
                </c:pt>
                <c:pt idx="6">
                  <c:v>89</c:v>
                </c:pt>
                <c:pt idx="7">
                  <c:v>125</c:v>
                </c:pt>
                <c:pt idx="8">
                  <c:v>155</c:v>
                </c:pt>
                <c:pt idx="9">
                  <c:v>165</c:v>
                </c:pt>
              </c:numCache>
            </c:numRef>
          </c:xVal>
          <c:yVal>
            <c:numRef>
              <c:f>CalArduinoTurnigy!$T$4:$T$13</c:f>
              <c:numCache>
                <c:formatCode>General</c:formatCode>
                <c:ptCount val="10"/>
                <c:pt idx="0">
                  <c:v>5.9340000000000002</c:v>
                </c:pt>
                <c:pt idx="1">
                  <c:v>7.3968000000000007</c:v>
                </c:pt>
                <c:pt idx="2">
                  <c:v>20.3796</c:v>
                </c:pt>
                <c:pt idx="3">
                  <c:v>29.981099999999998</c:v>
                </c:pt>
                <c:pt idx="4">
                  <c:v>53.526600000000002</c:v>
                </c:pt>
                <c:pt idx="5">
                  <c:v>62.419400000000003</c:v>
                </c:pt>
                <c:pt idx="6">
                  <c:v>88.904499999999999</c:v>
                </c:pt>
                <c:pt idx="7">
                  <c:v>135.96</c:v>
                </c:pt>
                <c:pt idx="8">
                  <c:v>192.75</c:v>
                </c:pt>
                <c:pt idx="9">
                  <c:v>209.1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567616"/>
        <c:axId val="195565440"/>
      </c:scatterChart>
      <c:valAx>
        <c:axId val="195475328"/>
        <c:scaling>
          <c:orientation val="minMax"/>
          <c:max val="1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Throttle,</a:t>
                </a:r>
                <a:r>
                  <a:rPr lang="en-US" baseline="0"/>
                  <a:t> deg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63520"/>
        <c:crossesAt val="-40"/>
        <c:crossBetween val="midCat"/>
        <c:majorUnit val="20"/>
      </c:valAx>
      <c:valAx>
        <c:axId val="195563520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Ng,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475328"/>
        <c:crosses val="autoZero"/>
        <c:crossBetween val="midCat"/>
      </c:valAx>
      <c:valAx>
        <c:axId val="195565440"/>
        <c:scaling>
          <c:orientation val="minMax"/>
          <c:max val="240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Power, Watts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67616"/>
        <c:crosses val="max"/>
        <c:crossBetween val="midCat"/>
        <c:majorUnit val="40"/>
      </c:valAx>
      <c:valAx>
        <c:axId val="1955676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5565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7447973802036356"/>
          <c:y val="0.7848592019217937"/>
          <c:w val="0.42031398551961197"/>
          <c:h val="0.139273950364590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Power </a:t>
            </a:r>
            <a:r>
              <a:rPr lang="en-US" baseline="0"/>
              <a:t>Follows Square Law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9088290380521447"/>
          <c:y val="0.20268573725972114"/>
          <c:w val="0.73720588399941778"/>
          <c:h val="0.57449782288774598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CalArduinoTurnigy!$T$1</c:f>
              <c:strCache>
                <c:ptCount val="1"/>
                <c:pt idx="0">
                  <c:v>Charger Pwr, W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forward val="4"/>
            <c:intercept val="20"/>
            <c:dispRSqr val="0"/>
            <c:dispEq val="1"/>
            <c:trendlineLbl>
              <c:layout>
                <c:manualLayout>
                  <c:x val="-5.1786916297490646E-2"/>
                  <c:y val="8.5395829819055205E-2"/>
                </c:manualLayout>
              </c:layout>
              <c:numFmt formatCode="General" sourceLinked="0"/>
            </c:trendlineLbl>
          </c:trendline>
          <c:xVal>
            <c:numRef>
              <c:f>CalArduinoTurnigy!$Q$4:$Q$13</c:f>
              <c:numCache>
                <c:formatCode>0</c:formatCode>
                <c:ptCount val="10"/>
                <c:pt idx="0">
                  <c:v>19.434079601990049</c:v>
                </c:pt>
                <c:pt idx="1">
                  <c:v>28.183621933621932</c:v>
                </c:pt>
                <c:pt idx="2">
                  <c:v>39.941206543967276</c:v>
                </c:pt>
                <c:pt idx="3">
                  <c:v>48.585199004975124</c:v>
                </c:pt>
                <c:pt idx="4">
                  <c:v>60.562015503875976</c:v>
                </c:pt>
                <c:pt idx="5">
                  <c:v>64.459570957095707</c:v>
                </c:pt>
                <c:pt idx="6">
                  <c:v>73.56403013182674</c:v>
                </c:pt>
                <c:pt idx="7">
                  <c:v>85.663377192982466</c:v>
                </c:pt>
                <c:pt idx="8">
                  <c:v>95.460654936461381</c:v>
                </c:pt>
                <c:pt idx="9">
                  <c:v>98.942502532928074</c:v>
                </c:pt>
              </c:numCache>
            </c:numRef>
          </c:xVal>
          <c:yVal>
            <c:numRef>
              <c:f>CalArduinoTurnigy!$T$4:$T$13</c:f>
              <c:numCache>
                <c:formatCode>General</c:formatCode>
                <c:ptCount val="10"/>
                <c:pt idx="0">
                  <c:v>5.9340000000000002</c:v>
                </c:pt>
                <c:pt idx="1">
                  <c:v>7.3968000000000007</c:v>
                </c:pt>
                <c:pt idx="2">
                  <c:v>20.3796</c:v>
                </c:pt>
                <c:pt idx="3">
                  <c:v>29.981099999999998</c:v>
                </c:pt>
                <c:pt idx="4">
                  <c:v>53.526600000000002</c:v>
                </c:pt>
                <c:pt idx="5">
                  <c:v>62.419400000000003</c:v>
                </c:pt>
                <c:pt idx="6">
                  <c:v>88.904499999999999</c:v>
                </c:pt>
                <c:pt idx="7">
                  <c:v>135.96</c:v>
                </c:pt>
                <c:pt idx="8">
                  <c:v>192.75</c:v>
                </c:pt>
                <c:pt idx="9">
                  <c:v>209.1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584768"/>
        <c:axId val="195586688"/>
      </c:scatterChart>
      <c:valAx>
        <c:axId val="195584768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95586688"/>
        <c:crosses val="autoZero"/>
        <c:crossBetween val="midCat"/>
      </c:valAx>
      <c:valAx>
        <c:axId val="1955866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Power, W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55847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Ng</a:t>
            </a:r>
            <a:r>
              <a:rPr lang="en-US" baseline="0"/>
              <a:t> from Throttle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610305656237417"/>
          <c:y val="0.15815811245118475"/>
          <c:w val="0.90339588801399828"/>
          <c:h val="0.6399037528149325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CalArduinoTurnigy!$O$1</c:f>
              <c:strCache>
                <c:ptCount val="1"/>
                <c:pt idx="0">
                  <c:v>Ng,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CalArduinoTurnigy!$K$4:$K$13</c:f>
              <c:numCache>
                <c:formatCode>General</c:formatCode>
                <c:ptCount val="10"/>
                <c:pt idx="0">
                  <c:v>8</c:v>
                </c:pt>
                <c:pt idx="1">
                  <c:v>13</c:v>
                </c:pt>
                <c:pt idx="2">
                  <c:v>25</c:v>
                </c:pt>
                <c:pt idx="3">
                  <c:v>35</c:v>
                </c:pt>
                <c:pt idx="4">
                  <c:v>54</c:v>
                </c:pt>
                <c:pt idx="5">
                  <c:v>64</c:v>
                </c:pt>
                <c:pt idx="6">
                  <c:v>89</c:v>
                </c:pt>
                <c:pt idx="7">
                  <c:v>125</c:v>
                </c:pt>
                <c:pt idx="8">
                  <c:v>155</c:v>
                </c:pt>
                <c:pt idx="9">
                  <c:v>165</c:v>
                </c:pt>
              </c:numCache>
            </c:numRef>
          </c:xVal>
          <c:yVal>
            <c:numRef>
              <c:f>CalArduinoTurnigy!$O$4:$O$13</c:f>
              <c:numCache>
                <c:formatCode>0</c:formatCode>
                <c:ptCount val="10"/>
                <c:pt idx="0">
                  <c:v>8955.2238805970155</c:v>
                </c:pt>
                <c:pt idx="1">
                  <c:v>12987.012987012988</c:v>
                </c:pt>
                <c:pt idx="2">
                  <c:v>18404.907975460123</c:v>
                </c:pt>
                <c:pt idx="3">
                  <c:v>22388.059701492537</c:v>
                </c:pt>
                <c:pt idx="4">
                  <c:v>27906.976744186049</c:v>
                </c:pt>
                <c:pt idx="5">
                  <c:v>29702.970297029704</c:v>
                </c:pt>
                <c:pt idx="6">
                  <c:v>33898.305084745763</c:v>
                </c:pt>
                <c:pt idx="7">
                  <c:v>39473.68421052632</c:v>
                </c:pt>
                <c:pt idx="8">
                  <c:v>43988.269794721404</c:v>
                </c:pt>
                <c:pt idx="9">
                  <c:v>45592.705167173255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CalArduinoTurnigy!$AH$1</c:f>
              <c:strCache>
                <c:ptCount val="1"/>
                <c:pt idx="0">
                  <c:v>Model Ng from Model Throttle,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og"/>
            <c:dispRSqr val="0"/>
            <c:dispEq val="0"/>
          </c:trendline>
          <c:xVal>
            <c:numRef>
              <c:f>CalArduinoTurnigy!$C$4:$C$13</c:f>
              <c:numCache>
                <c:formatCode>General</c:formatCode>
                <c:ptCount val="10"/>
                <c:pt idx="0">
                  <c:v>8</c:v>
                </c:pt>
                <c:pt idx="1">
                  <c:v>13</c:v>
                </c:pt>
                <c:pt idx="2">
                  <c:v>25</c:v>
                </c:pt>
                <c:pt idx="3">
                  <c:v>35</c:v>
                </c:pt>
                <c:pt idx="4">
                  <c:v>54</c:v>
                </c:pt>
                <c:pt idx="5">
                  <c:v>64</c:v>
                </c:pt>
                <c:pt idx="6">
                  <c:v>89</c:v>
                </c:pt>
                <c:pt idx="7">
                  <c:v>125</c:v>
                </c:pt>
                <c:pt idx="8">
                  <c:v>155</c:v>
                </c:pt>
                <c:pt idx="9">
                  <c:v>165</c:v>
                </c:pt>
              </c:numCache>
            </c:numRef>
          </c:xVal>
          <c:yVal>
            <c:numRef>
              <c:f>CalArduinoTurnigy!$AH$4:$AH$13</c:f>
              <c:numCache>
                <c:formatCode>0.00</c:formatCode>
                <c:ptCount val="10"/>
                <c:pt idx="0">
                  <c:v>1180.2918436956534</c:v>
                </c:pt>
                <c:pt idx="1">
                  <c:v>8069.6528312921109</c:v>
                </c:pt>
                <c:pt idx="2">
                  <c:v>17348.876248230645</c:v>
                </c:pt>
                <c:pt idx="3">
                  <c:v>22123.420807632323</c:v>
                </c:pt>
                <c:pt idx="4">
                  <c:v>28276.719974572956</c:v>
                </c:pt>
                <c:pt idx="5">
                  <c:v>31999.995048805355</c:v>
                </c:pt>
                <c:pt idx="6">
                  <c:v>35366.791670025093</c:v>
                </c:pt>
                <c:pt idx="7">
                  <c:v>40186.817071139434</c:v>
                </c:pt>
                <c:pt idx="8">
                  <c:v>43239.249799405501</c:v>
                </c:pt>
                <c:pt idx="9">
                  <c:v>44126.414319351083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061888"/>
        <c:axId val="199063808"/>
      </c:scatterChart>
      <c:valAx>
        <c:axId val="199061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Throttle, deg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063808"/>
        <c:crosses val="autoZero"/>
        <c:crossBetween val="midCat"/>
      </c:valAx>
      <c:valAx>
        <c:axId val="19906380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061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7579530978823091E-2"/>
          <c:y val="0.88026127714900526"/>
          <c:w val="0.83226743440457562"/>
          <c:h val="0.119738722850994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CalArduinoTurnigy!$V$1</c:f>
              <c:strCache>
                <c:ptCount val="1"/>
                <c:pt idx="0">
                  <c:v>Ng Torque, ft-lbf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backward val="12000"/>
            <c:intercept val="0"/>
            <c:dispRSqr val="0"/>
            <c:dispEq val="1"/>
            <c:trendlineLbl>
              <c:numFmt formatCode="General" sourceLinked="0"/>
            </c:trendlineLbl>
          </c:trendline>
          <c:xVal>
            <c:numRef>
              <c:f>CalArduinoTurnigy!$O$5:$O$13</c:f>
              <c:numCache>
                <c:formatCode>0</c:formatCode>
                <c:ptCount val="9"/>
                <c:pt idx="0">
                  <c:v>12987.012987012988</c:v>
                </c:pt>
                <c:pt idx="1">
                  <c:v>18404.907975460123</c:v>
                </c:pt>
                <c:pt idx="2">
                  <c:v>22388.059701492537</c:v>
                </c:pt>
                <c:pt idx="3">
                  <c:v>27906.976744186049</c:v>
                </c:pt>
                <c:pt idx="4">
                  <c:v>29702.970297029704</c:v>
                </c:pt>
                <c:pt idx="5">
                  <c:v>33898.305084745763</c:v>
                </c:pt>
                <c:pt idx="6">
                  <c:v>39473.68421052632</c:v>
                </c:pt>
                <c:pt idx="7">
                  <c:v>43988.269794721404</c:v>
                </c:pt>
                <c:pt idx="8">
                  <c:v>45592.705167173255</c:v>
                </c:pt>
              </c:numCache>
            </c:numRef>
          </c:xVal>
          <c:yVal>
            <c:numRef>
              <c:f>CalArduinoTurnigy!$V$5:$V$13</c:f>
              <c:numCache>
                <c:formatCode>0.00000</c:formatCode>
                <c:ptCount val="9"/>
                <c:pt idx="0">
                  <c:v>4.011393083656359E-3</c:v>
                </c:pt>
                <c:pt idx="1">
                  <c:v>7.7987073838718312E-3</c:v>
                </c:pt>
                <c:pt idx="2">
                  <c:v>9.4317379682233565E-3</c:v>
                </c:pt>
                <c:pt idx="3">
                  <c:v>1.3508822260627353E-2</c:v>
                </c:pt>
                <c:pt idx="4">
                  <c:v>1.4800634329554439E-2</c:v>
                </c:pt>
                <c:pt idx="5">
                  <c:v>1.8471679301078667E-2</c:v>
                </c:pt>
                <c:pt idx="6">
                  <c:v>2.4258509516750081E-2</c:v>
                </c:pt>
                <c:pt idx="7">
                  <c:v>3.0861577880676404E-2</c:v>
                </c:pt>
                <c:pt idx="8">
                  <c:v>3.2301247229145437E-2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076864"/>
        <c:axId val="199086848"/>
      </c:scatterChart>
      <c:valAx>
        <c:axId val="199076864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199086848"/>
        <c:crosses val="autoZero"/>
        <c:crossBetween val="midCat"/>
      </c:valAx>
      <c:valAx>
        <c:axId val="199086848"/>
        <c:scaling>
          <c:orientation val="minMax"/>
        </c:scaling>
        <c:delete val="0"/>
        <c:axPos val="l"/>
        <c:majorGridlines/>
        <c:numFmt formatCode="0.00000" sourceLinked="1"/>
        <c:majorTickMark val="out"/>
        <c:minorTickMark val="none"/>
        <c:tickLblPos val="nextTo"/>
        <c:crossAx val="1990768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CalArduinoTurnigy!$AQ$1</c:f>
              <c:strCache>
                <c:ptCount val="1"/>
                <c:pt idx="0">
                  <c:v>Model TauG</c:v>
                </c:pt>
              </c:strCache>
            </c:strRef>
          </c:tx>
          <c:marker>
            <c:symbol val="none"/>
          </c:marker>
          <c:xVal>
            <c:numRef>
              <c:f>CalArduinoTurnigy!$AH$4:$AH$14</c:f>
              <c:numCache>
                <c:formatCode>0.00</c:formatCode>
                <c:ptCount val="11"/>
                <c:pt idx="0">
                  <c:v>1180.2918436956534</c:v>
                </c:pt>
                <c:pt idx="1">
                  <c:v>8069.6528312921109</c:v>
                </c:pt>
                <c:pt idx="2">
                  <c:v>17348.876248230645</c:v>
                </c:pt>
                <c:pt idx="3">
                  <c:v>22123.420807632323</c:v>
                </c:pt>
                <c:pt idx="4">
                  <c:v>28276.719974572956</c:v>
                </c:pt>
                <c:pt idx="5">
                  <c:v>31999.995048805355</c:v>
                </c:pt>
                <c:pt idx="6">
                  <c:v>35366.791670025093</c:v>
                </c:pt>
                <c:pt idx="7">
                  <c:v>40186.817071139434</c:v>
                </c:pt>
                <c:pt idx="8">
                  <c:v>43239.249799405501</c:v>
                </c:pt>
                <c:pt idx="9">
                  <c:v>44126.414319351083</c:v>
                </c:pt>
                <c:pt idx="10">
                  <c:v>45361.106669554021</c:v>
                </c:pt>
              </c:numCache>
            </c:numRef>
          </c:xVal>
          <c:yVal>
            <c:numRef>
              <c:f>CalArduinoTurnigy!$AQ$4:$AQ$14</c:f>
              <c:numCache>
                <c:formatCode>0.000</c:formatCode>
                <c:ptCount val="11"/>
                <c:pt idx="2">
                  <c:v>8.6869543123372139E-2</c:v>
                </c:pt>
                <c:pt idx="3">
                  <c:v>5.5097378875630716E-2</c:v>
                </c:pt>
                <c:pt idx="4">
                  <c:v>4.2737664274397333E-2</c:v>
                </c:pt>
                <c:pt idx="5">
                  <c:v>3.9071151704477884E-2</c:v>
                </c:pt>
                <c:pt idx="6">
                  <c:v>3.6789291938147554E-2</c:v>
                </c:pt>
                <c:pt idx="7">
                  <c:v>3.4492824747713272E-2</c:v>
                </c:pt>
                <c:pt idx="8">
                  <c:v>3.3412481322885462E-2</c:v>
                </c:pt>
                <c:pt idx="9">
                  <c:v>3.3137755680272003E-2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439104"/>
        <c:axId val="199441024"/>
      </c:scatterChart>
      <c:valAx>
        <c:axId val="199439104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199441024"/>
        <c:crosses val="autoZero"/>
        <c:crossBetween val="midCat"/>
        <c:dispUnits>
          <c:builtInUnit val="thousands"/>
          <c:dispUnitsLbl/>
        </c:dispUnits>
      </c:valAx>
      <c:valAx>
        <c:axId val="199441024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19943910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calibration20161019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2586240804406493"/>
          <c:y val="5.3635483210810325E-2"/>
          <c:w val="0.80399689475435288"/>
          <c:h val="0.72290172216909465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CalArduinoTurnigy!$AU$1</c:f>
              <c:strCache>
                <c:ptCount val="1"/>
                <c:pt idx="0">
                  <c:v>Model TauT</c:v>
                </c:pt>
              </c:strCache>
            </c:strRef>
          </c:tx>
          <c:marker>
            <c:symbol val="none"/>
          </c:marker>
          <c:xVal>
            <c:numRef>
              <c:f>CalArduinoTurnigy!$AM$2:$AM$14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7530.1403922218742</c:v>
                </c:pt>
                <c:pt idx="5">
                  <c:v>12418.064446267355</c:v>
                </c:pt>
                <c:pt idx="6">
                  <c:v>18717.4839271479</c:v>
                </c:pt>
                <c:pt idx="7">
                  <c:v>22529.174355155788</c:v>
                </c:pt>
                <c:pt idx="8">
                  <c:v>25975.921156907556</c:v>
                </c:pt>
                <c:pt idx="9">
                  <c:v>30910.406070829777</c:v>
                </c:pt>
                <c:pt idx="10">
                  <c:v>34035.323886596707</c:v>
                </c:pt>
                <c:pt idx="11">
                  <c:v>34943.555602310582</c:v>
                </c:pt>
                <c:pt idx="12">
                  <c:v>36207.567774114286</c:v>
                </c:pt>
              </c:numCache>
            </c:numRef>
          </c:xVal>
          <c:yVal>
            <c:numRef>
              <c:f>CalArduinoTurnigy!$AU$2:$AU$14</c:f>
              <c:numCache>
                <c:formatCode>General</c:formatCode>
                <c:ptCount val="13"/>
                <c:pt idx="6" formatCode="0.000">
                  <c:v>7.2671409023472425E-2</c:v>
                </c:pt>
                <c:pt idx="7" formatCode="0.000">
                  <c:v>5.3809443100703722E-2</c:v>
                </c:pt>
                <c:pt idx="8" formatCode="0.000">
                  <c:v>4.6025645503427672E-2</c:v>
                </c:pt>
                <c:pt idx="9" formatCode="0.000">
                  <c:v>3.9989592730882637E-2</c:v>
                </c:pt>
                <c:pt idx="10" formatCode="0.000">
                  <c:v>3.7605917038728308E-2</c:v>
                </c:pt>
                <c:pt idx="11" formatCode="0.000">
                  <c:v>3.7038310956584011E-2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CalArduinoTurnigy!$AQ$1</c:f>
              <c:strCache>
                <c:ptCount val="1"/>
                <c:pt idx="0">
                  <c:v>Model TauG</c:v>
                </c:pt>
              </c:strCache>
            </c:strRef>
          </c:tx>
          <c:spPr>
            <a:ln>
              <a:prstDash val="sysDot"/>
            </a:ln>
          </c:spPr>
          <c:marker>
            <c:symbol val="none"/>
          </c:marker>
          <c:xVal>
            <c:numRef>
              <c:f>CalArduinoTurnigy!$AH$2:$AH$14</c:f>
              <c:numCache>
                <c:formatCode>0.00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1180.2918436956534</c:v>
                </c:pt>
                <c:pt idx="3">
                  <c:v>8069.6528312921109</c:v>
                </c:pt>
                <c:pt idx="4">
                  <c:v>17348.876248230645</c:v>
                </c:pt>
                <c:pt idx="5">
                  <c:v>22123.420807632323</c:v>
                </c:pt>
                <c:pt idx="6">
                  <c:v>28276.719974572956</c:v>
                </c:pt>
                <c:pt idx="7">
                  <c:v>31999.995048805355</c:v>
                </c:pt>
                <c:pt idx="8">
                  <c:v>35366.791670025093</c:v>
                </c:pt>
                <c:pt idx="9">
                  <c:v>40186.817071139434</c:v>
                </c:pt>
                <c:pt idx="10">
                  <c:v>43239.249799405501</c:v>
                </c:pt>
                <c:pt idx="11">
                  <c:v>44126.414319351083</c:v>
                </c:pt>
                <c:pt idx="12">
                  <c:v>45361.106669554021</c:v>
                </c:pt>
              </c:numCache>
            </c:numRef>
          </c:xVal>
          <c:yVal>
            <c:numRef>
              <c:f>CalArduinoTurnigy!$AQ$2:$AQ$14</c:f>
              <c:numCache>
                <c:formatCode>General</c:formatCode>
                <c:ptCount val="13"/>
                <c:pt idx="4" formatCode="0.000">
                  <c:v>8.6869543123372139E-2</c:v>
                </c:pt>
                <c:pt idx="5" formatCode="0.000">
                  <c:v>5.5097378875630716E-2</c:v>
                </c:pt>
                <c:pt idx="6" formatCode="0.000">
                  <c:v>4.2737664274397333E-2</c:v>
                </c:pt>
                <c:pt idx="7" formatCode="0.000">
                  <c:v>3.9071151704477884E-2</c:v>
                </c:pt>
                <c:pt idx="8" formatCode="0.000">
                  <c:v>3.6789291938147554E-2</c:v>
                </c:pt>
                <c:pt idx="9" formatCode="0.000">
                  <c:v>3.4492824747713272E-2</c:v>
                </c:pt>
                <c:pt idx="10" formatCode="0.000">
                  <c:v>3.3412481322885462E-2</c:v>
                </c:pt>
                <c:pt idx="11" formatCode="0.000">
                  <c:v>3.3137755680272003E-2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470464"/>
        <c:axId val="199484928"/>
      </c:scatterChart>
      <c:valAx>
        <c:axId val="199470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 or Nf, rpm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9484928"/>
        <c:crosses val="autoZero"/>
        <c:crossBetween val="midCat"/>
      </c:valAx>
      <c:valAx>
        <c:axId val="199484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947046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4050615504047905"/>
          <c:y val="0.18075814391907774"/>
          <c:w val="0.2779323348304612"/>
          <c:h val="0.1747145377485741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calibration20161019</a:t>
            </a:r>
            <a:endParaRPr lang="en-US">
              <a:effectLst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3533573928258968"/>
          <c:y val="0.19480351414406533"/>
          <c:w val="0.78229505686789147"/>
          <c:h val="0.68921660834062404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CalArduinoTurnigy!$AO$1</c:f>
              <c:strCache>
                <c:ptCount val="1"/>
                <c:pt idx="0">
                  <c:v>Model Qg from Model Ng, ft-lbf</c:v>
                </c:pt>
              </c:strCache>
            </c:strRef>
          </c:tx>
          <c:marker>
            <c:symbol val="none"/>
          </c:marker>
          <c:xVal>
            <c:numRef>
              <c:f>CalArduinoTurnigy!$AH$2:$AH$14</c:f>
              <c:numCache>
                <c:formatCode>0.00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1180.2918436956534</c:v>
                </c:pt>
                <c:pt idx="3">
                  <c:v>8069.6528312921109</c:v>
                </c:pt>
                <c:pt idx="4">
                  <c:v>17348.876248230645</c:v>
                </c:pt>
                <c:pt idx="5">
                  <c:v>22123.420807632323</c:v>
                </c:pt>
                <c:pt idx="6">
                  <c:v>28276.719974572956</c:v>
                </c:pt>
                <c:pt idx="7">
                  <c:v>31999.995048805355</c:v>
                </c:pt>
                <c:pt idx="8">
                  <c:v>35366.791670025093</c:v>
                </c:pt>
                <c:pt idx="9">
                  <c:v>40186.817071139434</c:v>
                </c:pt>
                <c:pt idx="10">
                  <c:v>43239.249799405501</c:v>
                </c:pt>
                <c:pt idx="11">
                  <c:v>44126.414319351083</c:v>
                </c:pt>
                <c:pt idx="12">
                  <c:v>45361.106669554021</c:v>
                </c:pt>
              </c:numCache>
            </c:numRef>
          </c:xVal>
          <c:yVal>
            <c:numRef>
              <c:f>CalArduinoTurnigy!$AO$2:$AO$14</c:f>
              <c:numCache>
                <c:formatCode>0.00000</c:formatCode>
                <c:ptCount val="13"/>
                <c:pt idx="2">
                  <c:v>0</c:v>
                </c:pt>
                <c:pt idx="3">
                  <c:v>0</c:v>
                </c:pt>
                <c:pt idx="4">
                  <c:v>4.4935163873351426E-3</c:v>
                </c:pt>
                <c:pt idx="5">
                  <c:v>9.0344945318604156E-3</c:v>
                </c:pt>
                <c:pt idx="6">
                  <c:v>1.488677985167834E-2</c:v>
                </c:pt>
                <c:pt idx="7">
                  <c:v>1.8427915666371371E-2</c:v>
                </c:pt>
                <c:pt idx="8">
                  <c:v>2.1630011632554215E-2</c:v>
                </c:pt>
                <c:pt idx="9">
                  <c:v>2.621424573702338E-2</c:v>
                </c:pt>
                <c:pt idx="10">
                  <c:v>2.911735620844955E-2</c:v>
                </c:pt>
                <c:pt idx="11">
                  <c:v>2.996112143999155E-2</c:v>
                </c:pt>
                <c:pt idx="12">
                  <c:v>3.1135413753683283E-2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579136"/>
        <c:axId val="199580672"/>
      </c:scatterChart>
      <c:valAx>
        <c:axId val="199579136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199580672"/>
        <c:crosses val="autoZero"/>
        <c:crossBetween val="midCat"/>
      </c:valAx>
      <c:valAx>
        <c:axId val="199580672"/>
        <c:scaling>
          <c:orientation val="minMax"/>
        </c:scaling>
        <c:delete val="0"/>
        <c:axPos val="l"/>
        <c:majorGridlines/>
        <c:numFmt formatCode="0.00000" sourceLinked="1"/>
        <c:majorTickMark val="out"/>
        <c:minorTickMark val="none"/>
        <c:tickLblPos val="nextTo"/>
        <c:crossAx val="19957913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4373914799111651"/>
          <c:y val="0.27703703886686909"/>
          <c:w val="0.44643175853018374"/>
          <c:h val="0.13965660542432196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Use to Determine 100% Ng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CalArduinoHiTec!$P$1</c:f>
              <c:strCache>
                <c:ptCount val="1"/>
                <c:pt idx="0">
                  <c:v>Ng, %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60"/>
            <c:backward val="8"/>
            <c:dispRSqr val="0"/>
            <c:dispEq val="0"/>
          </c:trendline>
          <c:xVal>
            <c:numRef>
              <c:f>CalArduinoHiTec!$J$2:$J$34</c:f>
              <c:numCache>
                <c:formatCode>0.0</c:formatCode>
                <c:ptCount val="33"/>
                <c:pt idx="0">
                  <c:v>5.16</c:v>
                </c:pt>
                <c:pt idx="1">
                  <c:v>11.64</c:v>
                </c:pt>
                <c:pt idx="2">
                  <c:v>18.12</c:v>
                </c:pt>
                <c:pt idx="3">
                  <c:v>36</c:v>
                </c:pt>
                <c:pt idx="4">
                  <c:v>55.199999999999996</c:v>
                </c:pt>
                <c:pt idx="5">
                  <c:v>64.800000000000011</c:v>
                </c:pt>
                <c:pt idx="6">
                  <c:v>104.39999999999999</c:v>
                </c:pt>
                <c:pt idx="7">
                  <c:v>156</c:v>
                </c:pt>
              </c:numCache>
            </c:numRef>
          </c:xVal>
          <c:yVal>
            <c:numRef>
              <c:f>CalArduinoHiTec!$P$2:$P$34</c:f>
              <c:numCache>
                <c:formatCode>0</c:formatCode>
                <c:ptCount val="33"/>
                <c:pt idx="0">
                  <c:v>27.192101740294518</c:v>
                </c:pt>
                <c:pt idx="1">
                  <c:v>35.26475694444445</c:v>
                </c:pt>
                <c:pt idx="2">
                  <c:v>42.58385744234802</c:v>
                </c:pt>
                <c:pt idx="3">
                  <c:v>55.272108843537424</c:v>
                </c:pt>
                <c:pt idx="4">
                  <c:v>67.708333333333343</c:v>
                </c:pt>
                <c:pt idx="5">
                  <c:v>70.164075993091544</c:v>
                </c:pt>
                <c:pt idx="6">
                  <c:v>84.10973084886129</c:v>
                </c:pt>
                <c:pt idx="7">
                  <c:v>96.176609848484858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648000"/>
        <c:axId val="199649920"/>
      </c:scatterChart>
      <c:valAx>
        <c:axId val="19964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Power, watts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649920"/>
        <c:crosses val="autoZero"/>
        <c:crossBetween val="midCat"/>
      </c:valAx>
      <c:valAx>
        <c:axId val="19964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Ng,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648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Correlation</a:t>
            </a:r>
            <a:r>
              <a:rPr lang="en-US" baseline="0"/>
              <a:t> Between Speeds is Linear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CalArduinoHiTec!$O$1</c:f>
              <c:strCache>
                <c:ptCount val="1"/>
                <c:pt idx="0">
                  <c:v>tur,RPM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CalArduinoHiTec!$N$3:$N$9</c:f>
              <c:numCache>
                <c:formatCode>0</c:formatCode>
                <c:ptCount val="7"/>
                <c:pt idx="0">
                  <c:v>7812.5000000000009</c:v>
                </c:pt>
                <c:pt idx="1">
                  <c:v>9433.962264150945</c:v>
                </c:pt>
                <c:pt idx="2">
                  <c:v>12244.897959183674</c:v>
                </c:pt>
                <c:pt idx="3">
                  <c:v>15000.000000000002</c:v>
                </c:pt>
                <c:pt idx="4">
                  <c:v>15544.041450777202</c:v>
                </c:pt>
                <c:pt idx="5">
                  <c:v>18633.540372670806</c:v>
                </c:pt>
                <c:pt idx="6">
                  <c:v>21306.818181818184</c:v>
                </c:pt>
              </c:numCache>
            </c:numRef>
          </c:xVal>
          <c:yVal>
            <c:numRef>
              <c:f>CalArduinoHiTec!$O$3:$O$9</c:f>
              <c:numCache>
                <c:formatCode>0</c:formatCode>
                <c:ptCount val="7"/>
                <c:pt idx="0">
                  <c:v>3278.688524590164</c:v>
                </c:pt>
                <c:pt idx="1">
                  <c:v>4950.4950495049507</c:v>
                </c:pt>
                <c:pt idx="2">
                  <c:v>7812.5000000000009</c:v>
                </c:pt>
                <c:pt idx="3">
                  <c:v>10067.114093959732</c:v>
                </c:pt>
                <c:pt idx="4">
                  <c:v>10869.565217391306</c:v>
                </c:pt>
                <c:pt idx="5">
                  <c:v>13761.467889908257</c:v>
                </c:pt>
                <c:pt idx="6">
                  <c:v>15957.44680851064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671168"/>
        <c:axId val="199693440"/>
      </c:scatterChart>
      <c:valAx>
        <c:axId val="19967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693440"/>
        <c:crosses val="autoZero"/>
        <c:crossBetween val="midCat"/>
      </c:valAx>
      <c:valAx>
        <c:axId val="19969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671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 Throttle to Ng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4569259560043785"/>
          <c:y val="0.12151534481085631"/>
          <c:w val="0.76602897731953912"/>
          <c:h val="0.59682244516945593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CalArduinoHiTec!$P$1</c:f>
              <c:strCache>
                <c:ptCount val="1"/>
                <c:pt idx="0">
                  <c:v>Ng, 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5.5"/>
            <c:backward val="20"/>
            <c:dispRSqr val="0"/>
            <c:dispEq val="1"/>
            <c:trendlineLbl>
              <c:layout>
                <c:manualLayout>
                  <c:x val="-0.29817991360945351"/>
                  <c:y val="0.149240673253278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CalArduinoHiTec!$K$2:$K$9</c:f>
              <c:numCache>
                <c:formatCode>General</c:formatCode>
                <c:ptCount val="8"/>
                <c:pt idx="0">
                  <c:v>47</c:v>
                </c:pt>
                <c:pt idx="1">
                  <c:v>78.089999999999989</c:v>
                </c:pt>
                <c:pt idx="2">
                  <c:v>83.699999999999974</c:v>
                </c:pt>
                <c:pt idx="3">
                  <c:v>102.40000000000002</c:v>
                </c:pt>
                <c:pt idx="4">
                  <c:v>121.10000000000002</c:v>
                </c:pt>
                <c:pt idx="5">
                  <c:v>128.57999999999998</c:v>
                </c:pt>
                <c:pt idx="6">
                  <c:v>153.82499999999999</c:v>
                </c:pt>
                <c:pt idx="7">
                  <c:v>170.46799999999999</c:v>
                </c:pt>
              </c:numCache>
            </c:numRef>
          </c:xVal>
          <c:yVal>
            <c:numRef>
              <c:f>CalArduinoHiTec!$P$2:$P$9</c:f>
              <c:numCache>
                <c:formatCode>0</c:formatCode>
                <c:ptCount val="8"/>
                <c:pt idx="0">
                  <c:v>27.192101740294518</c:v>
                </c:pt>
                <c:pt idx="1">
                  <c:v>35.26475694444445</c:v>
                </c:pt>
                <c:pt idx="2">
                  <c:v>42.58385744234802</c:v>
                </c:pt>
                <c:pt idx="3">
                  <c:v>55.272108843537424</c:v>
                </c:pt>
                <c:pt idx="4">
                  <c:v>67.708333333333343</c:v>
                </c:pt>
                <c:pt idx="5">
                  <c:v>70.164075993091544</c:v>
                </c:pt>
                <c:pt idx="6">
                  <c:v>84.10973084886129</c:v>
                </c:pt>
                <c:pt idx="7">
                  <c:v>96.176609848484858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741824"/>
        <c:axId val="199743744"/>
      </c:scatterChart>
      <c:scatterChart>
        <c:scatterStyle val="lineMarker"/>
        <c:varyColors val="0"/>
        <c:ser>
          <c:idx val="1"/>
          <c:order val="1"/>
          <c:tx>
            <c:strRef>
              <c:f>CalArduinoHiTec!$X$1</c:f>
              <c:strCache>
                <c:ptCount val="1"/>
                <c:pt idx="0">
                  <c:v>Charger Pwr, 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5.6373767232584297E-2"/>
                  <c:y val="0.35716036528491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CalArduinoHiTec!$K$2:$K$9</c:f>
              <c:numCache>
                <c:formatCode>General</c:formatCode>
                <c:ptCount val="8"/>
                <c:pt idx="0">
                  <c:v>47</c:v>
                </c:pt>
                <c:pt idx="1">
                  <c:v>78.089999999999989</c:v>
                </c:pt>
                <c:pt idx="2">
                  <c:v>83.699999999999974</c:v>
                </c:pt>
                <c:pt idx="3">
                  <c:v>102.40000000000002</c:v>
                </c:pt>
                <c:pt idx="4">
                  <c:v>121.10000000000002</c:v>
                </c:pt>
                <c:pt idx="5">
                  <c:v>128.57999999999998</c:v>
                </c:pt>
                <c:pt idx="6">
                  <c:v>153.82499999999999</c:v>
                </c:pt>
                <c:pt idx="7">
                  <c:v>170.46799999999999</c:v>
                </c:pt>
              </c:numCache>
            </c:numRef>
          </c:xVal>
          <c:yVal>
            <c:numRef>
              <c:f>CalArduinoHiTec!$X$2:$X$9</c:f>
              <c:numCache>
                <c:formatCode>General</c:formatCode>
                <c:ptCount val="8"/>
                <c:pt idx="0">
                  <c:v>5.16</c:v>
                </c:pt>
                <c:pt idx="1">
                  <c:v>11.64</c:v>
                </c:pt>
                <c:pt idx="2">
                  <c:v>18.12</c:v>
                </c:pt>
                <c:pt idx="3">
                  <c:v>36</c:v>
                </c:pt>
                <c:pt idx="4">
                  <c:v>55.199999999999996</c:v>
                </c:pt>
                <c:pt idx="5">
                  <c:v>64.800000000000011</c:v>
                </c:pt>
                <c:pt idx="6">
                  <c:v>104.39999999999999</c:v>
                </c:pt>
                <c:pt idx="7">
                  <c:v>156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763840"/>
        <c:axId val="199762304"/>
      </c:scatterChart>
      <c:valAx>
        <c:axId val="199741824"/>
        <c:scaling>
          <c:orientation val="minMax"/>
          <c:max val="1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Throttle,</a:t>
                </a:r>
                <a:r>
                  <a:rPr lang="en-US" baseline="0"/>
                  <a:t> deg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743744"/>
        <c:crosses val="autoZero"/>
        <c:crossBetween val="midCat"/>
      </c:valAx>
      <c:valAx>
        <c:axId val="19974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Ng,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741824"/>
        <c:crosses val="autoZero"/>
        <c:crossBetween val="midCat"/>
      </c:valAx>
      <c:valAx>
        <c:axId val="19976230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763840"/>
        <c:crosses val="max"/>
        <c:crossBetween val="midCat"/>
      </c:valAx>
      <c:valAx>
        <c:axId val="1997638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9762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3915115991666955E-2"/>
          <c:y val="0.82389355699646971"/>
          <c:w val="0.75743135247107563"/>
          <c:h val="0.139273950364590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Power </a:t>
            </a:r>
            <a:r>
              <a:rPr lang="en-US" baseline="0"/>
              <a:t>Follows Cube Law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9088290380521447"/>
          <c:y val="0.20268573725972114"/>
          <c:w val="0.73720588399941778"/>
          <c:h val="0.57449782288774598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Ard1_Turn1_ESC1_G1b_T1a!$W$7</c:f>
              <c:strCache>
                <c:ptCount val="1"/>
                <c:pt idx="0">
                  <c:v>Ng Pwr, SHP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3"/>
            <c:forward val="4"/>
            <c:backward val="18"/>
            <c:intercept val="0"/>
            <c:dispRSqr val="1"/>
            <c:dispEq val="1"/>
            <c:trendlineLbl>
              <c:layout>
                <c:manualLayout>
                  <c:x val="-5.1786916297490646E-2"/>
                  <c:y val="8.5395829819055205E-2"/>
                </c:manualLayout>
              </c:layout>
              <c:numFmt formatCode="General" sourceLinked="0"/>
            </c:trendlineLbl>
          </c:trendline>
          <c:xVal>
            <c:numRef>
              <c:f>Ard1_Turn1_ESC1_G1b_T1a!$R$10:$R$22</c:f>
              <c:numCache>
                <c:formatCode>0</c:formatCode>
                <c:ptCount val="13"/>
                <c:pt idx="0">
                  <c:v>16.52390016920474</c:v>
                </c:pt>
                <c:pt idx="1">
                  <c:v>21.001344086021508</c:v>
                </c:pt>
                <c:pt idx="2">
                  <c:v>39.941206543967276</c:v>
                </c:pt>
                <c:pt idx="3">
                  <c:v>48.585199004975124</c:v>
                </c:pt>
                <c:pt idx="4">
                  <c:v>60.562015503875976</c:v>
                </c:pt>
                <c:pt idx="5">
                  <c:v>64.459570957095707</c:v>
                </c:pt>
                <c:pt idx="6">
                  <c:v>73.56403013182674</c:v>
                </c:pt>
                <c:pt idx="7">
                  <c:v>85.663377192982466</c:v>
                </c:pt>
                <c:pt idx="8">
                  <c:v>1.3020833333333332E-27</c:v>
                </c:pt>
                <c:pt idx="9">
                  <c:v>1.3020833333333332E-27</c:v>
                </c:pt>
                <c:pt idx="10">
                  <c:v>1.3020833333333332E-27</c:v>
                </c:pt>
                <c:pt idx="11">
                  <c:v>1.3020833333333332E-27</c:v>
                </c:pt>
                <c:pt idx="12">
                  <c:v>98.942502532928074</c:v>
                </c:pt>
              </c:numCache>
            </c:numRef>
          </c:xVal>
          <c:yVal>
            <c:numRef>
              <c:f>Ard1_Turn1_ESC1_G1b_T1a!$W$10:$W$22</c:f>
              <c:numCache>
                <c:formatCode>General</c:formatCode>
                <c:ptCount val="13"/>
                <c:pt idx="0">
                  <c:v>4.3132095199200004E-3</c:v>
                </c:pt>
                <c:pt idx="1">
                  <c:v>6.6171925976800001E-3</c:v>
                </c:pt>
                <c:pt idx="2">
                  <c:v>2.1361890410319998E-2</c:v>
                </c:pt>
                <c:pt idx="3">
                  <c:v>3.4237713143319998E-2</c:v>
                </c:pt>
                <c:pt idx="4">
                  <c:v>6.5812746644320005E-2</c:v>
                </c:pt>
                <c:pt idx="5">
                  <c:v>7.7738187085920007E-2</c:v>
                </c:pt>
                <c:pt idx="6">
                  <c:v>0.11325528885812</c:v>
                </c:pt>
                <c:pt idx="7">
                  <c:v>0.17635774957912001</c:v>
                </c:pt>
                <c:pt idx="8">
                  <c:v>-5.9676015408800008E-3</c:v>
                </c:pt>
                <c:pt idx="9">
                  <c:v>-5.9676015408800008E-3</c:v>
                </c:pt>
                <c:pt idx="10">
                  <c:v>-5.9676015408800008E-3</c:v>
                </c:pt>
                <c:pt idx="11">
                  <c:v>-5.9676015408800008E-3</c:v>
                </c:pt>
                <c:pt idx="12">
                  <c:v>0.27444009865912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131392"/>
        <c:axId val="231133568"/>
      </c:scatterChart>
      <c:valAx>
        <c:axId val="231131392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231133568"/>
        <c:crosses val="autoZero"/>
        <c:crossBetween val="midCat"/>
      </c:valAx>
      <c:valAx>
        <c:axId val="2311335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Power, W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311313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Power </a:t>
            </a:r>
            <a:r>
              <a:rPr lang="en-US" baseline="0"/>
              <a:t>Follows Square Law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9088290380521447"/>
          <c:y val="0.20268573725972114"/>
          <c:w val="0.73720588399941778"/>
          <c:h val="0.57449782288774598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CalArduinoHiTec!$X$1</c:f>
              <c:strCache>
                <c:ptCount val="1"/>
                <c:pt idx="0">
                  <c:v>Charger Pwr, W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forward val="4"/>
            <c:dispRSqr val="0"/>
            <c:dispEq val="1"/>
            <c:trendlineLbl>
              <c:layout>
                <c:manualLayout>
                  <c:x val="-5.1786916297490646E-2"/>
                  <c:y val="8.5395829819055205E-2"/>
                </c:manualLayout>
              </c:layout>
              <c:numFmt formatCode="General" sourceLinked="0"/>
            </c:trendlineLbl>
          </c:trendline>
          <c:xVal>
            <c:numRef>
              <c:f>CalArduinoHiTec!$P$2:$P$9</c:f>
              <c:numCache>
                <c:formatCode>0</c:formatCode>
                <c:ptCount val="8"/>
                <c:pt idx="0">
                  <c:v>27.192101740294518</c:v>
                </c:pt>
                <c:pt idx="1">
                  <c:v>35.26475694444445</c:v>
                </c:pt>
                <c:pt idx="2">
                  <c:v>42.58385744234802</c:v>
                </c:pt>
                <c:pt idx="3">
                  <c:v>55.272108843537424</c:v>
                </c:pt>
                <c:pt idx="4">
                  <c:v>67.708333333333343</c:v>
                </c:pt>
                <c:pt idx="5">
                  <c:v>70.164075993091544</c:v>
                </c:pt>
                <c:pt idx="6">
                  <c:v>84.10973084886129</c:v>
                </c:pt>
                <c:pt idx="7">
                  <c:v>96.176609848484858</c:v>
                </c:pt>
              </c:numCache>
            </c:numRef>
          </c:xVal>
          <c:yVal>
            <c:numRef>
              <c:f>CalArduinoHiTec!$X$2:$X$9</c:f>
              <c:numCache>
                <c:formatCode>General</c:formatCode>
                <c:ptCount val="8"/>
                <c:pt idx="0">
                  <c:v>5.16</c:v>
                </c:pt>
                <c:pt idx="1">
                  <c:v>11.64</c:v>
                </c:pt>
                <c:pt idx="2">
                  <c:v>18.12</c:v>
                </c:pt>
                <c:pt idx="3">
                  <c:v>36</c:v>
                </c:pt>
                <c:pt idx="4">
                  <c:v>55.199999999999996</c:v>
                </c:pt>
                <c:pt idx="5">
                  <c:v>64.800000000000011</c:v>
                </c:pt>
                <c:pt idx="6">
                  <c:v>104.39999999999999</c:v>
                </c:pt>
                <c:pt idx="7">
                  <c:v>156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785088"/>
        <c:axId val="199791360"/>
      </c:scatterChart>
      <c:valAx>
        <c:axId val="199785088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99791360"/>
        <c:crosses val="autoZero"/>
        <c:crossBetween val="midCat"/>
      </c:valAx>
      <c:valAx>
        <c:axId val="1997913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Power, W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97850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0.10252674358798312"/>
          <c:y val="0.24957033840520826"/>
          <c:w val="0.85584877842541363"/>
          <c:h val="0.60184334164635112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CalArduinoHiTec!$AB$1</c:f>
              <c:strCache>
                <c:ptCount val="1"/>
                <c:pt idx="0">
                  <c:v>Tau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CalArduinoHiTec!$P$3:$P$9</c:f>
              <c:numCache>
                <c:formatCode>0</c:formatCode>
                <c:ptCount val="7"/>
                <c:pt idx="0">
                  <c:v>35.26475694444445</c:v>
                </c:pt>
                <c:pt idx="1">
                  <c:v>42.58385744234802</c:v>
                </c:pt>
                <c:pt idx="2">
                  <c:v>55.272108843537424</c:v>
                </c:pt>
                <c:pt idx="3">
                  <c:v>67.708333333333343</c:v>
                </c:pt>
                <c:pt idx="4">
                  <c:v>70.164075993091544</c:v>
                </c:pt>
                <c:pt idx="5">
                  <c:v>84.10973084886129</c:v>
                </c:pt>
                <c:pt idx="6">
                  <c:v>96.176609848484858</c:v>
                </c:pt>
              </c:numCache>
            </c:numRef>
          </c:xVal>
          <c:yVal>
            <c:numRef>
              <c:f>CalArduinoHiTec!$AB$3:$AB$9</c:f>
              <c:numCache>
                <c:formatCode>General</c:formatCode>
                <c:ptCount val="7"/>
                <c:pt idx="1">
                  <c:v>0.18</c:v>
                </c:pt>
                <c:pt idx="2">
                  <c:v>0.18</c:v>
                </c:pt>
                <c:pt idx="3">
                  <c:v>0.14000000000000001</c:v>
                </c:pt>
                <c:pt idx="4">
                  <c:v>0.12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890432"/>
        <c:axId val="199892352"/>
      </c:scatterChart>
      <c:valAx>
        <c:axId val="199890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99892352"/>
        <c:crosses val="autoZero"/>
        <c:crossBetween val="midCat"/>
      </c:valAx>
      <c:valAx>
        <c:axId val="199892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98904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CalArduinoHiTec!$T$1</c:f>
              <c:strCache>
                <c:ptCount val="1"/>
                <c:pt idx="0">
                  <c:v>Calc Ng from Nt, %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5"/>
            <c:backward val="32"/>
            <c:dispRSqr val="0"/>
            <c:dispEq val="0"/>
          </c:trendline>
          <c:xVal>
            <c:numRef>
              <c:f>CalArduinoHiTec!$Q$2:$Q$9</c:f>
              <c:numCache>
                <c:formatCode>0</c:formatCode>
                <c:ptCount val="8"/>
                <c:pt idx="0">
                  <c:v>1.3541666666666668E-11</c:v>
                </c:pt>
                <c:pt idx="1">
                  <c:v>14.799635701275045</c:v>
                </c:pt>
                <c:pt idx="2">
                  <c:v>22.345984598459847</c:v>
                </c:pt>
                <c:pt idx="3">
                  <c:v>35.26475694444445</c:v>
                </c:pt>
                <c:pt idx="4">
                  <c:v>45.44183445190157</c:v>
                </c:pt>
                <c:pt idx="5">
                  <c:v>49.064009661835762</c:v>
                </c:pt>
                <c:pt idx="6">
                  <c:v>62.117737003058117</c:v>
                </c:pt>
                <c:pt idx="7">
                  <c:v>72.030141843971634</c:v>
                </c:pt>
              </c:numCache>
            </c:numRef>
          </c:xVal>
          <c:yVal>
            <c:numRef>
              <c:f>CalArduinoHiTec!$T$2:$T$9</c:f>
              <c:numCache>
                <c:formatCode>0</c:formatCode>
                <c:ptCount val="8"/>
                <c:pt idx="0">
                  <c:v>18.869943356217771</c:v>
                </c:pt>
                <c:pt idx="1">
                  <c:v>34.560601222019052</c:v>
                </c:pt>
                <c:pt idx="2">
                  <c:v>42.561283203103258</c:v>
                </c:pt>
                <c:pt idx="3">
                  <c:v>56.257839052092237</c:v>
                </c:pt>
                <c:pt idx="4">
                  <c:v>67.047634454261498</c:v>
                </c:pt>
                <c:pt idx="5">
                  <c:v>70.887885193961779</c:v>
                </c:pt>
                <c:pt idx="6">
                  <c:v>84.727521095750703</c:v>
                </c:pt>
                <c:pt idx="7">
                  <c:v>95.236709032912501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934720"/>
        <c:axId val="199936256"/>
      </c:scatterChart>
      <c:valAx>
        <c:axId val="199934720"/>
        <c:scaling>
          <c:orientation val="minMax"/>
          <c:max val="80"/>
          <c:min val="-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936256"/>
        <c:crosses val="autoZero"/>
        <c:crossBetween val="midCat"/>
      </c:valAx>
      <c:valAx>
        <c:axId val="19993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934720"/>
        <c:crossesAt val="-2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CalArduinoHiTec!$S$1</c:f>
              <c:strCache>
                <c:ptCount val="1"/>
                <c:pt idx="0">
                  <c:v>Throttle, deg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backward val="7500"/>
            <c:intercept val="0"/>
            <c:dispRSqr val="0"/>
            <c:dispEq val="1"/>
            <c:trendlineLbl>
              <c:layout>
                <c:manualLayout>
                  <c:x val="-0.11207458442694664"/>
                  <c:y val="3.424030329542140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CalArduinoHiTec!$N$2:$N$9</c:f>
              <c:numCache>
                <c:formatCode>0</c:formatCode>
                <c:ptCount val="8"/>
                <c:pt idx="0">
                  <c:v>6024.0963855421696</c:v>
                </c:pt>
                <c:pt idx="1">
                  <c:v>7812.5000000000009</c:v>
                </c:pt>
                <c:pt idx="2">
                  <c:v>9433.962264150945</c:v>
                </c:pt>
                <c:pt idx="3">
                  <c:v>12244.897959183674</c:v>
                </c:pt>
                <c:pt idx="4">
                  <c:v>15000.000000000002</c:v>
                </c:pt>
                <c:pt idx="5">
                  <c:v>15544.041450777202</c:v>
                </c:pt>
                <c:pt idx="6">
                  <c:v>18633.540372670806</c:v>
                </c:pt>
                <c:pt idx="7">
                  <c:v>21306.818181818184</c:v>
                </c:pt>
              </c:numCache>
            </c:numRef>
          </c:xVal>
          <c:yVal>
            <c:numRef>
              <c:f>CalArduinoHiTec!$S$2:$S$9</c:f>
              <c:numCache>
                <c:formatCode>0</c:formatCode>
                <c:ptCount val="8"/>
                <c:pt idx="0">
                  <c:v>47</c:v>
                </c:pt>
                <c:pt idx="1">
                  <c:v>78.089999999999989</c:v>
                </c:pt>
                <c:pt idx="2">
                  <c:v>83.699999999999974</c:v>
                </c:pt>
                <c:pt idx="3">
                  <c:v>102.40000000000002</c:v>
                </c:pt>
                <c:pt idx="4">
                  <c:v>121.10000000000002</c:v>
                </c:pt>
                <c:pt idx="5">
                  <c:v>128.57999999999998</c:v>
                </c:pt>
                <c:pt idx="6">
                  <c:v>153.82499999999999</c:v>
                </c:pt>
                <c:pt idx="7">
                  <c:v>170.46799999999999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969408"/>
        <c:axId val="199971200"/>
      </c:scatterChart>
      <c:valAx>
        <c:axId val="199969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971200"/>
        <c:crosses val="autoZero"/>
        <c:crossBetween val="midCat"/>
      </c:valAx>
      <c:valAx>
        <c:axId val="19997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969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7048556430446198E-2"/>
          <c:y val="0.16708333333333336"/>
          <c:w val="0.90339588801399828"/>
          <c:h val="0.77736111111111106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CalArduinoHiTec!$N$1</c:f>
              <c:strCache>
                <c:ptCount val="1"/>
                <c:pt idx="0">
                  <c:v>Ng, RPM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backward val="55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CalArduinoHiTec!$K$2:$K$9</c:f>
              <c:numCache>
                <c:formatCode>General</c:formatCode>
                <c:ptCount val="8"/>
                <c:pt idx="0">
                  <c:v>47</c:v>
                </c:pt>
                <c:pt idx="1">
                  <c:v>78.089999999999989</c:v>
                </c:pt>
                <c:pt idx="2">
                  <c:v>83.699999999999974</c:v>
                </c:pt>
                <c:pt idx="3">
                  <c:v>102.40000000000002</c:v>
                </c:pt>
                <c:pt idx="4">
                  <c:v>121.10000000000002</c:v>
                </c:pt>
                <c:pt idx="5">
                  <c:v>128.57999999999998</c:v>
                </c:pt>
                <c:pt idx="6">
                  <c:v>153.82499999999999</c:v>
                </c:pt>
                <c:pt idx="7">
                  <c:v>170.46799999999999</c:v>
                </c:pt>
              </c:numCache>
            </c:numRef>
          </c:xVal>
          <c:yVal>
            <c:numRef>
              <c:f>CalArduinoHiTec!$N$2:$N$9</c:f>
              <c:numCache>
                <c:formatCode>0</c:formatCode>
                <c:ptCount val="8"/>
                <c:pt idx="0">
                  <c:v>6024.0963855421696</c:v>
                </c:pt>
                <c:pt idx="1">
                  <c:v>7812.5000000000009</c:v>
                </c:pt>
                <c:pt idx="2">
                  <c:v>9433.962264150945</c:v>
                </c:pt>
                <c:pt idx="3">
                  <c:v>12244.897959183674</c:v>
                </c:pt>
                <c:pt idx="4">
                  <c:v>15000.000000000002</c:v>
                </c:pt>
                <c:pt idx="5">
                  <c:v>15544.041450777202</c:v>
                </c:pt>
                <c:pt idx="6">
                  <c:v>18633.540372670806</c:v>
                </c:pt>
                <c:pt idx="7">
                  <c:v>21306.818181818184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012544"/>
        <c:axId val="200014080"/>
      </c:scatterChart>
      <c:valAx>
        <c:axId val="200012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014080"/>
        <c:crosses val="autoZero"/>
        <c:crossBetween val="midCat"/>
      </c:valAx>
      <c:valAx>
        <c:axId val="20001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012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Use to Determine 100% Ng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CalPhotonHiTec!$P$1</c:f>
              <c:strCache>
                <c:ptCount val="1"/>
                <c:pt idx="0">
                  <c:v>Ng, %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60"/>
            <c:backward val="8"/>
            <c:dispRSqr val="0"/>
            <c:dispEq val="0"/>
          </c:trendline>
          <c:xVal>
            <c:numRef>
              <c:f>CalPhotonHiTec!$J$2:$J$31</c:f>
              <c:numCache>
                <c:formatCode>0.0</c:formatCode>
                <c:ptCount val="30"/>
                <c:pt idx="0">
                  <c:v>0</c:v>
                </c:pt>
                <c:pt idx="1">
                  <c:v>18.954000000000001</c:v>
                </c:pt>
                <c:pt idx="2">
                  <c:v>23.065999999999999</c:v>
                </c:pt>
                <c:pt idx="3">
                  <c:v>44.176200000000001</c:v>
                </c:pt>
                <c:pt idx="4">
                  <c:v>77.8596</c:v>
                </c:pt>
                <c:pt idx="5">
                  <c:v>100.6914</c:v>
                </c:pt>
                <c:pt idx="6">
                  <c:v>155.69400000000002</c:v>
                </c:pt>
              </c:numCache>
            </c:numRef>
          </c:xVal>
          <c:yVal>
            <c:numRef>
              <c:f>CalPhotonHiTec!$P$2:$P$31</c:f>
              <c:numCache>
                <c:formatCode>0</c:formatCode>
                <c:ptCount val="30"/>
                <c:pt idx="0">
                  <c:v>0</c:v>
                </c:pt>
                <c:pt idx="1">
                  <c:v>35.535006556692458</c:v>
                </c:pt>
                <c:pt idx="2">
                  <c:v>41.694986197572746</c:v>
                </c:pt>
                <c:pt idx="3">
                  <c:v>58.497191347429769</c:v>
                </c:pt>
                <c:pt idx="4">
                  <c:v>71.633456576421381</c:v>
                </c:pt>
                <c:pt idx="5">
                  <c:v>78.025081169228997</c:v>
                </c:pt>
                <c:pt idx="6">
                  <c:v>87.695216353429245</c:v>
                </c:pt>
                <c:pt idx="7">
                  <c:v>99.436452599869568</c:v>
                </c:pt>
                <c:pt idx="10">
                  <c:v>0</c:v>
                </c:pt>
                <c:pt idx="11">
                  <c:v>262.41235611095965</c:v>
                </c:pt>
                <c:pt idx="12">
                  <c:v>307.90143653592179</c:v>
                </c:pt>
                <c:pt idx="13">
                  <c:v>431.97925918101981</c:v>
                </c:pt>
                <c:pt idx="14">
                  <c:v>528.98552548741941</c:v>
                </c:pt>
                <c:pt idx="15">
                  <c:v>576.18521478815251</c:v>
                </c:pt>
                <c:pt idx="16">
                  <c:v>647.59544384070819</c:v>
                </c:pt>
                <c:pt idx="17">
                  <c:v>734.29995766057539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080768"/>
        <c:axId val="200095232"/>
      </c:scatterChart>
      <c:valAx>
        <c:axId val="200080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Power, watts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095232"/>
        <c:crosses val="autoZero"/>
        <c:crossBetween val="midCat"/>
      </c:valAx>
      <c:valAx>
        <c:axId val="20009523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Ng,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080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Ng</a:t>
            </a:r>
            <a:r>
              <a:rPr lang="en-US" baseline="0"/>
              <a:t> from Throttle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610305656237417"/>
          <c:y val="0.15815811245118475"/>
          <c:w val="0.90339588801399828"/>
          <c:h val="0.6399037528149325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Ard1_Turn1_ESC1_G1b_T1a!$P$7</c:f>
              <c:strCache>
                <c:ptCount val="1"/>
                <c:pt idx="0">
                  <c:v>Ng,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Ard1_Turn1_ESC1_G1b_T1a!$L$10:$L$22</c:f>
              <c:numCache>
                <c:formatCode>General</c:formatCode>
                <c:ptCount val="13"/>
                <c:pt idx="0">
                  <c:v>9</c:v>
                </c:pt>
                <c:pt idx="1">
                  <c:v>12</c:v>
                </c:pt>
                <c:pt idx="2">
                  <c:v>25</c:v>
                </c:pt>
                <c:pt idx="3">
                  <c:v>35</c:v>
                </c:pt>
                <c:pt idx="4">
                  <c:v>54</c:v>
                </c:pt>
                <c:pt idx="5">
                  <c:v>64</c:v>
                </c:pt>
                <c:pt idx="6">
                  <c:v>89</c:v>
                </c:pt>
                <c:pt idx="7">
                  <c:v>125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165</c:v>
                </c:pt>
              </c:numCache>
            </c:numRef>
          </c:xVal>
          <c:yVal>
            <c:numRef>
              <c:f>Ard1_Turn1_ESC1_G1b_T1a!$P$10:$P$22</c:f>
              <c:numCache>
                <c:formatCode>0</c:formatCode>
                <c:ptCount val="13"/>
                <c:pt idx="0">
                  <c:v>7614.2131979695441</c:v>
                </c:pt>
                <c:pt idx="1">
                  <c:v>9677.4193548387102</c:v>
                </c:pt>
                <c:pt idx="2">
                  <c:v>18404.907975460123</c:v>
                </c:pt>
                <c:pt idx="3">
                  <c:v>22388.059701492537</c:v>
                </c:pt>
                <c:pt idx="4">
                  <c:v>27906.976744186049</c:v>
                </c:pt>
                <c:pt idx="5">
                  <c:v>29702.970297029704</c:v>
                </c:pt>
                <c:pt idx="6">
                  <c:v>33898.305084745763</c:v>
                </c:pt>
                <c:pt idx="7">
                  <c:v>39473.68421052632</c:v>
                </c:pt>
                <c:pt idx="8">
                  <c:v>5.9999999999999995E-25</c:v>
                </c:pt>
                <c:pt idx="9">
                  <c:v>5.9999999999999995E-25</c:v>
                </c:pt>
                <c:pt idx="10">
                  <c:v>5.9999999999999995E-25</c:v>
                </c:pt>
                <c:pt idx="11">
                  <c:v>5.9999999999999995E-25</c:v>
                </c:pt>
                <c:pt idx="12">
                  <c:v>45592.705167173255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Ard1_Turn1_ESC1_G1b_T1a!$AJ$7</c:f>
              <c:strCache>
                <c:ptCount val="1"/>
                <c:pt idx="0">
                  <c:v>Model Ng from Model Throttle,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og"/>
            <c:dispRSqr val="0"/>
            <c:dispEq val="0"/>
          </c:trendline>
          <c:xVal>
            <c:numRef>
              <c:f>Ard1_Turn1_ESC1_G1b_T1a!$D$10:$D$22</c:f>
              <c:numCache>
                <c:formatCode>General</c:formatCode>
                <c:ptCount val="13"/>
                <c:pt idx="0">
                  <c:v>9</c:v>
                </c:pt>
                <c:pt idx="1">
                  <c:v>12</c:v>
                </c:pt>
                <c:pt idx="2">
                  <c:v>25</c:v>
                </c:pt>
                <c:pt idx="3">
                  <c:v>35</c:v>
                </c:pt>
                <c:pt idx="4">
                  <c:v>54</c:v>
                </c:pt>
                <c:pt idx="5">
                  <c:v>64</c:v>
                </c:pt>
                <c:pt idx="6">
                  <c:v>89</c:v>
                </c:pt>
                <c:pt idx="7">
                  <c:v>125</c:v>
                </c:pt>
                <c:pt idx="12">
                  <c:v>165</c:v>
                </c:pt>
              </c:numCache>
            </c:numRef>
          </c:xVal>
          <c:yVal>
            <c:numRef>
              <c:f>Ard1_Turn1_ESC1_G1b_T1a!$AJ$10:$AJ$22</c:f>
              <c:numCache>
                <c:formatCode>0.00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511936"/>
        <c:axId val="231944192"/>
      </c:scatterChart>
      <c:valAx>
        <c:axId val="231511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Throttle, deg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944192"/>
        <c:crosses val="autoZero"/>
        <c:crossBetween val="midCat"/>
      </c:valAx>
      <c:valAx>
        <c:axId val="23194419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511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7579530978823091E-2"/>
          <c:y val="0.88026127714900526"/>
          <c:w val="0.83226743440457562"/>
          <c:h val="0.119738722850994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292065257292206"/>
          <c:y val="7.8071976866840601E-2"/>
          <c:w val="0.69109236800822949"/>
          <c:h val="0.81293147947985955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Ard1_Turn1_ESC1_G1b_T1a!$Y$7</c:f>
              <c:strCache>
                <c:ptCount val="1"/>
                <c:pt idx="0">
                  <c:v>Ng Torque, ft-lbf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chemeClr val="tx2"/>
                </a:solidFill>
              </a:ln>
            </c:spPr>
            <c:trendlineType val="poly"/>
            <c:order val="2"/>
            <c:dispRSqr val="0"/>
            <c:dispEq val="1"/>
            <c:trendlineLbl>
              <c:layout/>
              <c:numFmt formatCode="0.000E+00" sourceLinked="0"/>
              <c:txPr>
                <a:bodyPr/>
                <a:lstStyle/>
                <a:p>
                  <a:pPr>
                    <a:defRPr>
                      <a:solidFill>
                        <a:schemeClr val="tx2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Ard1_Turn1_ESC1_G1b_T1a!$P$10:$P$22</c:f>
              <c:numCache>
                <c:formatCode>0</c:formatCode>
                <c:ptCount val="13"/>
                <c:pt idx="0">
                  <c:v>7614.2131979695441</c:v>
                </c:pt>
                <c:pt idx="1">
                  <c:v>9677.4193548387102</c:v>
                </c:pt>
                <c:pt idx="2">
                  <c:v>18404.907975460123</c:v>
                </c:pt>
                <c:pt idx="3">
                  <c:v>22388.059701492537</c:v>
                </c:pt>
                <c:pt idx="4">
                  <c:v>27906.976744186049</c:v>
                </c:pt>
                <c:pt idx="5">
                  <c:v>29702.970297029704</c:v>
                </c:pt>
                <c:pt idx="6">
                  <c:v>33898.305084745763</c:v>
                </c:pt>
                <c:pt idx="7">
                  <c:v>39473.68421052632</c:v>
                </c:pt>
                <c:pt idx="8">
                  <c:v>5.9999999999999995E-25</c:v>
                </c:pt>
                <c:pt idx="9">
                  <c:v>5.9999999999999995E-25</c:v>
                </c:pt>
                <c:pt idx="10">
                  <c:v>5.9999999999999995E-25</c:v>
                </c:pt>
                <c:pt idx="11">
                  <c:v>5.9999999999999995E-25</c:v>
                </c:pt>
                <c:pt idx="12">
                  <c:v>45592.705167173255</c:v>
                </c:pt>
              </c:numCache>
            </c:numRef>
          </c:xVal>
          <c:yVal>
            <c:numRef>
              <c:f>Ard1_Turn1_ESC1_G1b_T1a!$Y$10:$Y$22</c:f>
              <c:numCache>
                <c:formatCode>0.00000</c:formatCode>
                <c:ptCount val="13"/>
                <c:pt idx="0">
                  <c:v>0</c:v>
                </c:pt>
                <c:pt idx="1">
                  <c:v>6.1610363702618159E-4</c:v>
                </c:pt>
                <c:pt idx="2">
                  <c:v>3.1207096646162949E-3</c:v>
                </c:pt>
                <c:pt idx="3">
                  <c:v>5.0567114007972706E-3</c:v>
                </c:pt>
                <c:pt idx="4">
                  <c:v>9.4106486422868042E-3</c:v>
                </c:pt>
                <c:pt idx="5">
                  <c:v>1.0770368038348075E-2</c:v>
                </c:pt>
                <c:pt idx="6">
                  <c:v>1.457200402359189E-2</c:v>
                </c:pt>
                <c:pt idx="7">
                  <c:v>2.0489425252982894E-2</c:v>
                </c:pt>
                <c:pt idx="8">
                  <c:v>-5.2236405487836276E+25</c:v>
                </c:pt>
                <c:pt idx="9">
                  <c:v>-5.2236405487836276E+25</c:v>
                </c:pt>
                <c:pt idx="10">
                  <c:v>-5.2236405487836276E+25</c:v>
                </c:pt>
                <c:pt idx="11">
                  <c:v>-5.2236405487836276E+25</c:v>
                </c:pt>
                <c:pt idx="12">
                  <c:v>2.863872523257344E-2</c:v>
                </c:pt>
              </c:numCache>
            </c:numRef>
          </c:yVal>
          <c:smooth val="0"/>
        </c:ser>
        <c:ser>
          <c:idx val="1"/>
          <c:order val="1"/>
          <c:tx>
            <c:v>Ng Torque Reverse/Connected, ft-lbf</c:v>
          </c:tx>
          <c:spPr>
            <a:ln w="28575">
              <a:noFill/>
            </a:ln>
          </c:spPr>
          <c:trendline>
            <c:spPr>
              <a:ln>
                <a:solidFill>
                  <a:srgbClr val="C00000"/>
                </a:solidFill>
              </a:ln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31254728112664504"/>
                  <c:y val="0.36491527667138457"/>
                </c:manualLayout>
              </c:layout>
              <c:numFmt formatCode="0.000E+00" sourceLinked="0"/>
              <c:txPr>
                <a:bodyPr/>
                <a:lstStyle/>
                <a:p>
                  <a:pPr>
                    <a:defRPr>
                      <a:solidFill>
                        <a:srgbClr val="C00000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Ard1_Turn1_ESC1_G1b_T1a!$P$73:$P$90</c:f>
              <c:numCache>
                <c:formatCode>0</c:formatCode>
                <c:ptCount val="18"/>
              </c:numCache>
            </c:numRef>
          </c:xVal>
          <c:yVal>
            <c:numRef>
              <c:f>Ard1_Turn1_ESC1_G1b_T1a!$Y$73:$Y$90</c:f>
              <c:numCache>
                <c:formatCode>0.00000</c:formatCode>
                <c:ptCount val="18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3157248"/>
        <c:axId val="243163136"/>
      </c:scatterChart>
      <c:valAx>
        <c:axId val="243157248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243163136"/>
        <c:crosses val="autoZero"/>
        <c:crossBetween val="midCat"/>
      </c:valAx>
      <c:valAx>
        <c:axId val="243163136"/>
        <c:scaling>
          <c:orientation val="minMax"/>
        </c:scaling>
        <c:delete val="0"/>
        <c:axPos val="l"/>
        <c:majorGridlines/>
        <c:numFmt formatCode="0.000" sourceLinked="0"/>
        <c:majorTickMark val="out"/>
        <c:minorTickMark val="none"/>
        <c:tickLblPos val="nextTo"/>
        <c:crossAx val="24315724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2286230741401213"/>
          <c:y val="0.32773112655595427"/>
          <c:w val="0.4327040528006007"/>
          <c:h val="0.272667662217544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calibration20161019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3533573928258968"/>
          <c:y val="0.19480351414406533"/>
          <c:w val="0.78229505686789147"/>
          <c:h val="0.68921660834062404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Ard1_Turn1_ESC1_G1b_T1a!$AP$7</c:f>
              <c:strCache>
                <c:ptCount val="1"/>
                <c:pt idx="0">
                  <c:v>Model Qg from Model Ng, ft-lbf</c:v>
                </c:pt>
              </c:strCache>
            </c:strRef>
          </c:tx>
          <c:marker>
            <c:symbol val="none"/>
          </c:marker>
          <c:xVal>
            <c:numRef>
              <c:f>Ard1_Turn1_ESC1_G1b_T1a!$AJ$8:$AJ$22</c:f>
              <c:numCache>
                <c:formatCode>0.00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xVal>
          <c:yVal>
            <c:numRef>
              <c:f>Ard1_Turn1_ESC1_G1b_T1a!$AP$8:$AP$22</c:f>
              <c:numCache>
                <c:formatCode>0.00000</c:formatCode>
                <c:ptCount val="15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Ard1_Turn1_ESC1_G1b_T1a!$AT$7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Ard1_Turn1_ESC1_G1b_T1a!$AO$12:$AO$22</c:f>
              <c:numCache>
                <c:formatCode>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Ard1_Turn1_ESC1_G1b_T1a!$AT$12:$AT$22</c:f>
              <c:numCache>
                <c:formatCode>0.00000</c:formatCode>
                <c:ptCount val="11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2019072"/>
        <c:axId val="232020608"/>
      </c:scatterChart>
      <c:valAx>
        <c:axId val="232019072"/>
        <c:scaling>
          <c:orientation val="minMax"/>
        </c:scaling>
        <c:delete val="0"/>
        <c:axPos val="b"/>
        <c:numFmt formatCode="0" sourceLinked="0"/>
        <c:majorTickMark val="out"/>
        <c:minorTickMark val="none"/>
        <c:tickLblPos val="nextTo"/>
        <c:crossAx val="232020608"/>
        <c:crosses val="autoZero"/>
        <c:crossBetween val="midCat"/>
      </c:valAx>
      <c:valAx>
        <c:axId val="232020608"/>
        <c:scaling>
          <c:orientation val="minMax"/>
        </c:scaling>
        <c:delete val="0"/>
        <c:axPos val="l"/>
        <c:majorGridlines/>
        <c:numFmt formatCode="0.000" sourceLinked="0"/>
        <c:majorTickMark val="out"/>
        <c:minorTickMark val="none"/>
        <c:tickLblPos val="nextTo"/>
        <c:crossAx val="23201907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2856846781577544"/>
          <c:y val="0.2770371879860597"/>
          <c:w val="0.72068043455019248"/>
          <c:h val="0.150490171748930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Correlation</a:t>
            </a:r>
            <a:r>
              <a:rPr lang="en-US" baseline="0"/>
              <a:t> Between Speeds is Linear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CalPhotonTurnigy!$P$1</c:f>
              <c:strCache>
                <c:ptCount val="1"/>
                <c:pt idx="0">
                  <c:v>Nt, RPM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6262002647899101"/>
                  <c:y val="4.171407666327708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CalPhotonTurnigy!$O$8:$O$15</c:f>
              <c:numCache>
                <c:formatCode>0</c:formatCode>
                <c:ptCount val="8"/>
                <c:pt idx="0">
                  <c:v>18404.907975460123</c:v>
                </c:pt>
                <c:pt idx="1">
                  <c:v>22388.059701492537</c:v>
                </c:pt>
                <c:pt idx="2">
                  <c:v>27906.976744186049</c:v>
                </c:pt>
                <c:pt idx="3">
                  <c:v>29702.970297029704</c:v>
                </c:pt>
                <c:pt idx="4">
                  <c:v>33898.305084745763</c:v>
                </c:pt>
                <c:pt idx="5">
                  <c:v>39473.68421052632</c:v>
                </c:pt>
                <c:pt idx="6">
                  <c:v>43988.269794721404</c:v>
                </c:pt>
                <c:pt idx="7">
                  <c:v>45592.705167173255</c:v>
                </c:pt>
              </c:numCache>
            </c:numRef>
          </c:xVal>
          <c:yVal>
            <c:numRef>
              <c:f>CalPhotonTurnigy!$P$8:$P$15</c:f>
              <c:numCache>
                <c:formatCode>0</c:formatCode>
                <c:ptCount val="8"/>
                <c:pt idx="0">
                  <c:v>8902.077151335312</c:v>
                </c:pt>
                <c:pt idx="1">
                  <c:v>13239.187996469551</c:v>
                </c:pt>
                <c:pt idx="2">
                  <c:v>18867.92452830189</c:v>
                </c:pt>
                <c:pt idx="3">
                  <c:v>20905.923344947736</c:v>
                </c:pt>
                <c:pt idx="4">
                  <c:v>25000</c:v>
                </c:pt>
                <c:pt idx="5">
                  <c:v>30000.000000000004</c:v>
                </c:pt>
                <c:pt idx="6">
                  <c:v>34482.758620689652</c:v>
                </c:pt>
                <c:pt idx="7">
                  <c:v>35714.285714285717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044672"/>
        <c:axId val="196059136"/>
      </c:scatterChart>
      <c:valAx>
        <c:axId val="196044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Ng,</a:t>
                </a:r>
                <a:r>
                  <a:rPr lang="en-US" baseline="0"/>
                  <a:t> rpm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59136"/>
        <c:crosses val="autoZero"/>
        <c:crossBetween val="midCat"/>
      </c:valAx>
      <c:valAx>
        <c:axId val="19605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Nt, 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44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 Throttle to Ng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4569259560043785"/>
          <c:y val="0.12151534481085631"/>
          <c:w val="0.72130941062707721"/>
          <c:h val="0.59682244516945593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CalPhotonTurnigy!$Q$1</c:f>
              <c:strCache>
                <c:ptCount val="1"/>
                <c:pt idx="0">
                  <c:v>Ng, 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5.5"/>
            <c:backward val="20"/>
            <c:dispRSqr val="0"/>
            <c:dispEq val="1"/>
            <c:trendlineLbl>
              <c:layout>
                <c:manualLayout>
                  <c:x val="-0.29817991360945351"/>
                  <c:y val="0.149240673253278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CalPhotonTurnigy!$K$8:$K$15</c:f>
              <c:numCache>
                <c:formatCode>General</c:formatCode>
                <c:ptCount val="8"/>
                <c:pt idx="0">
                  <c:v>25</c:v>
                </c:pt>
                <c:pt idx="1">
                  <c:v>35</c:v>
                </c:pt>
                <c:pt idx="2">
                  <c:v>54</c:v>
                </c:pt>
                <c:pt idx="3">
                  <c:v>64</c:v>
                </c:pt>
                <c:pt idx="4">
                  <c:v>89</c:v>
                </c:pt>
                <c:pt idx="5">
                  <c:v>125</c:v>
                </c:pt>
                <c:pt idx="6">
                  <c:v>155</c:v>
                </c:pt>
                <c:pt idx="7">
                  <c:v>165</c:v>
                </c:pt>
              </c:numCache>
            </c:numRef>
          </c:xVal>
          <c:yVal>
            <c:numRef>
              <c:f>CalPhotonTurnigy!$Q$8:$Q$15</c:f>
              <c:numCache>
                <c:formatCode>0</c:formatCode>
                <c:ptCount val="8"/>
                <c:pt idx="0">
                  <c:v>39.941206543967276</c:v>
                </c:pt>
                <c:pt idx="1">
                  <c:v>48.585199004975124</c:v>
                </c:pt>
                <c:pt idx="2">
                  <c:v>60.562015503875976</c:v>
                </c:pt>
                <c:pt idx="3">
                  <c:v>64.459570957095707</c:v>
                </c:pt>
                <c:pt idx="4">
                  <c:v>73.56403013182674</c:v>
                </c:pt>
                <c:pt idx="5">
                  <c:v>85.663377192982466</c:v>
                </c:pt>
                <c:pt idx="6">
                  <c:v>95.460654936461381</c:v>
                </c:pt>
                <c:pt idx="7">
                  <c:v>98.942502532928074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574592"/>
        <c:axId val="196580864"/>
      </c:scatterChart>
      <c:scatterChart>
        <c:scatterStyle val="lineMarker"/>
        <c:varyColors val="0"/>
        <c:ser>
          <c:idx val="1"/>
          <c:order val="1"/>
          <c:tx>
            <c:strRef>
              <c:f>CalPhotonTurnigy!$T$1</c:f>
              <c:strCache>
                <c:ptCount val="1"/>
                <c:pt idx="0">
                  <c:v>Charger Pwr, 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forward val="20"/>
            <c:dispRSqr val="0"/>
            <c:dispEq val="1"/>
            <c:trendlineLbl>
              <c:layout>
                <c:manualLayout>
                  <c:x val="5.6373767232584297E-2"/>
                  <c:y val="0.3571603652849179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CalPhotonTurnigy!$K$4:$K$15</c:f>
              <c:numCache>
                <c:formatCode>General</c:formatCode>
                <c:ptCount val="12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25</c:v>
                </c:pt>
                <c:pt idx="5">
                  <c:v>35</c:v>
                </c:pt>
                <c:pt idx="6">
                  <c:v>54</c:v>
                </c:pt>
                <c:pt idx="7">
                  <c:v>64</c:v>
                </c:pt>
                <c:pt idx="8">
                  <c:v>89</c:v>
                </c:pt>
                <c:pt idx="9">
                  <c:v>125</c:v>
                </c:pt>
                <c:pt idx="10">
                  <c:v>155</c:v>
                </c:pt>
                <c:pt idx="11">
                  <c:v>165</c:v>
                </c:pt>
              </c:numCache>
            </c:numRef>
          </c:xVal>
          <c:yVal>
            <c:numRef>
              <c:f>CalPhotonTurnigy!$T$4:$T$15</c:f>
              <c:numCache>
                <c:formatCode>0.00</c:formatCode>
                <c:ptCount val="12"/>
                <c:pt idx="0" formatCode="General">
                  <c:v>7.6664000000000003</c:v>
                </c:pt>
                <c:pt idx="1">
                  <c:v>8.3174399999999995</c:v>
                </c:pt>
                <c:pt idx="2">
                  <c:v>9.063600000000001</c:v>
                </c:pt>
                <c:pt idx="3">
                  <c:v>9.3844799999999999</c:v>
                </c:pt>
                <c:pt idx="4">
                  <c:v>20.3796</c:v>
                </c:pt>
                <c:pt idx="5">
                  <c:v>29.981099999999998</c:v>
                </c:pt>
                <c:pt idx="6">
                  <c:v>53.526600000000002</c:v>
                </c:pt>
                <c:pt idx="7">
                  <c:v>62.419400000000003</c:v>
                </c:pt>
                <c:pt idx="8">
                  <c:v>88.904499999999999</c:v>
                </c:pt>
                <c:pt idx="9">
                  <c:v>135.96</c:v>
                </c:pt>
                <c:pt idx="10">
                  <c:v>192.75</c:v>
                </c:pt>
                <c:pt idx="11">
                  <c:v>209.1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597248"/>
        <c:axId val="196582784"/>
      </c:scatterChart>
      <c:valAx>
        <c:axId val="196574592"/>
        <c:scaling>
          <c:orientation val="minMax"/>
          <c:max val="1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Throttle,</a:t>
                </a:r>
                <a:r>
                  <a:rPr lang="en-US" baseline="0"/>
                  <a:t> deg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580864"/>
        <c:crossesAt val="-40"/>
        <c:crossBetween val="midCat"/>
        <c:majorUnit val="20"/>
      </c:valAx>
      <c:valAx>
        <c:axId val="19658086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Ng, 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574592"/>
        <c:crosses val="autoZero"/>
        <c:crossBetween val="midCat"/>
      </c:valAx>
      <c:valAx>
        <c:axId val="196582784"/>
        <c:scaling>
          <c:orientation val="minMax"/>
          <c:max val="240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Power, Watts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597248"/>
        <c:crosses val="max"/>
        <c:crossBetween val="midCat"/>
        <c:majorUnit val="40"/>
      </c:valAx>
      <c:valAx>
        <c:axId val="1965972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6582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7447973802036356"/>
          <c:y val="0.7848592019217937"/>
          <c:w val="0.42031398551961197"/>
          <c:h val="0.139273950364590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Power </a:t>
            </a:r>
            <a:r>
              <a:rPr lang="en-US" baseline="0"/>
              <a:t>Follows Cube Law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9088290380521447"/>
          <c:y val="0.20268573725972114"/>
          <c:w val="0.73720588399941778"/>
          <c:h val="0.57449782288774598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CalPhotonTurnigy!$V$1</c:f>
              <c:strCache>
                <c:ptCount val="1"/>
                <c:pt idx="0">
                  <c:v>Ng Pwr, SHP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3"/>
            <c:forward val="4"/>
            <c:backward val="18"/>
            <c:intercept val="0"/>
            <c:dispRSqr val="1"/>
            <c:dispEq val="1"/>
            <c:trendlineLbl>
              <c:layout>
                <c:manualLayout>
                  <c:x val="-5.1786916297490646E-2"/>
                  <c:y val="8.5395829819055205E-2"/>
                </c:manualLayout>
              </c:layout>
              <c:numFmt formatCode="General" sourceLinked="0"/>
            </c:trendlineLbl>
          </c:trendline>
          <c:xVal>
            <c:numRef>
              <c:f>CalPhotonTurnigy!$Q$4:$Q$15</c:f>
              <c:numCache>
                <c:formatCode>0</c:formatCode>
                <c:ptCount val="12"/>
                <c:pt idx="0">
                  <c:v>16.52390016920474</c:v>
                </c:pt>
                <c:pt idx="1">
                  <c:v>17.885760073260073</c:v>
                </c:pt>
                <c:pt idx="2">
                  <c:v>19.728535353535356</c:v>
                </c:pt>
                <c:pt idx="3">
                  <c:v>21.001344086021508</c:v>
                </c:pt>
                <c:pt idx="4">
                  <c:v>39.941206543967276</c:v>
                </c:pt>
                <c:pt idx="5">
                  <c:v>48.585199004975124</c:v>
                </c:pt>
                <c:pt idx="6">
                  <c:v>60.562015503875976</c:v>
                </c:pt>
                <c:pt idx="7">
                  <c:v>64.459570957095707</c:v>
                </c:pt>
                <c:pt idx="8">
                  <c:v>73.56403013182674</c:v>
                </c:pt>
                <c:pt idx="9">
                  <c:v>85.663377192982466</c:v>
                </c:pt>
                <c:pt idx="10">
                  <c:v>95.460654936461381</c:v>
                </c:pt>
                <c:pt idx="11">
                  <c:v>98.942502532928074</c:v>
                </c:pt>
              </c:numCache>
            </c:numRef>
          </c:xVal>
          <c:yVal>
            <c:numRef>
              <c:f>CalPhotonTurnigy!$V$4:$V$15</c:f>
              <c:numCache>
                <c:formatCode>General</c:formatCode>
                <c:ptCount val="12"/>
                <c:pt idx="0">
                  <c:v>4.3132095199200004E-3</c:v>
                </c:pt>
                <c:pt idx="1">
                  <c:v>5.1862684827999987E-3</c:v>
                </c:pt>
                <c:pt idx="2">
                  <c:v>6.1868854583200013E-3</c:v>
                </c:pt>
                <c:pt idx="3">
                  <c:v>6.6171925976800001E-3</c:v>
                </c:pt>
                <c:pt idx="4">
                  <c:v>2.1361890410319998E-2</c:v>
                </c:pt>
                <c:pt idx="5">
                  <c:v>3.4237713143319998E-2</c:v>
                </c:pt>
                <c:pt idx="6">
                  <c:v>6.5812746644320005E-2</c:v>
                </c:pt>
                <c:pt idx="7">
                  <c:v>7.7738187085920007E-2</c:v>
                </c:pt>
                <c:pt idx="8">
                  <c:v>0.11325528885812</c:v>
                </c:pt>
                <c:pt idx="9">
                  <c:v>0.17635774957912001</c:v>
                </c:pt>
                <c:pt idx="10">
                  <c:v>0.25251438895912004</c:v>
                </c:pt>
                <c:pt idx="11">
                  <c:v>0.27444009865912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461696"/>
        <c:axId val="198463872"/>
      </c:scatterChart>
      <c:valAx>
        <c:axId val="198461696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198463872"/>
        <c:crosses val="autoZero"/>
        <c:crossBetween val="midCat"/>
      </c:valAx>
      <c:valAx>
        <c:axId val="1984638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Power, W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84616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4.xml"/><Relationship Id="rId3" Type="http://schemas.openxmlformats.org/officeDocument/2006/relationships/chart" Target="../charts/chart9.xml"/><Relationship Id="rId7" Type="http://schemas.openxmlformats.org/officeDocument/2006/relationships/chart" Target="../charts/chart13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11" Type="http://schemas.openxmlformats.org/officeDocument/2006/relationships/chart" Target="../charts/chart17.xml"/><Relationship Id="rId5" Type="http://schemas.openxmlformats.org/officeDocument/2006/relationships/chart" Target="../charts/chart11.xml"/><Relationship Id="rId10" Type="http://schemas.openxmlformats.org/officeDocument/2006/relationships/chart" Target="../charts/chart16.xml"/><Relationship Id="rId4" Type="http://schemas.openxmlformats.org/officeDocument/2006/relationships/chart" Target="../charts/chart10.xml"/><Relationship Id="rId9" Type="http://schemas.openxmlformats.org/officeDocument/2006/relationships/chart" Target="../charts/chart1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4.xml"/><Relationship Id="rId3" Type="http://schemas.openxmlformats.org/officeDocument/2006/relationships/chart" Target="../charts/chart29.xml"/><Relationship Id="rId7" Type="http://schemas.openxmlformats.org/officeDocument/2006/relationships/chart" Target="../charts/chart33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Relationship Id="rId6" Type="http://schemas.openxmlformats.org/officeDocument/2006/relationships/chart" Target="../charts/chart32.xml"/><Relationship Id="rId5" Type="http://schemas.openxmlformats.org/officeDocument/2006/relationships/chart" Target="../charts/chart31.xml"/><Relationship Id="rId4" Type="http://schemas.openxmlformats.org/officeDocument/2006/relationships/chart" Target="../charts/chart3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158114</xdr:rowOff>
    </xdr:from>
    <xdr:to>
      <xdr:col>7</xdr:col>
      <xdr:colOff>10583</xdr:colOff>
      <xdr:row>49</xdr:row>
      <xdr:rowOff>71966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293371</xdr:colOff>
      <xdr:row>33</xdr:row>
      <xdr:rowOff>68580</xdr:rowOff>
    </xdr:from>
    <xdr:to>
      <xdr:col>22</xdr:col>
      <xdr:colOff>381000</xdr:colOff>
      <xdr:row>46</xdr:row>
      <xdr:rowOff>98214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236433</xdr:colOff>
      <xdr:row>40</xdr:row>
      <xdr:rowOff>92716</xdr:rowOff>
    </xdr:from>
    <xdr:to>
      <xdr:col>12</xdr:col>
      <xdr:colOff>6350</xdr:colOff>
      <xdr:row>52</xdr:row>
      <xdr:rowOff>31749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148378</xdr:colOff>
      <xdr:row>45</xdr:row>
      <xdr:rowOff>249561</xdr:rowOff>
    </xdr:from>
    <xdr:to>
      <xdr:col>19</xdr:col>
      <xdr:colOff>4868</xdr:colOff>
      <xdr:row>61</xdr:row>
      <xdr:rowOff>97790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259927</xdr:colOff>
      <xdr:row>24</xdr:row>
      <xdr:rowOff>93133</xdr:rowOff>
    </xdr:from>
    <xdr:to>
      <xdr:col>14</xdr:col>
      <xdr:colOff>466724</xdr:colOff>
      <xdr:row>39</xdr:row>
      <xdr:rowOff>24558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40</xdr:col>
      <xdr:colOff>130175</xdr:colOff>
      <xdr:row>22</xdr:row>
      <xdr:rowOff>89958</xdr:rowOff>
    </xdr:from>
    <xdr:to>
      <xdr:col>45</xdr:col>
      <xdr:colOff>62442</xdr:colOff>
      <xdr:row>38</xdr:row>
      <xdr:rowOff>144992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52</xdr:row>
      <xdr:rowOff>15239</xdr:rowOff>
    </xdr:from>
    <xdr:to>
      <xdr:col>5</xdr:col>
      <xdr:colOff>423333</xdr:colOff>
      <xdr:row>64</xdr:row>
      <xdr:rowOff>135466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293371</xdr:colOff>
      <xdr:row>27</xdr:row>
      <xdr:rowOff>68580</xdr:rowOff>
    </xdr:from>
    <xdr:to>
      <xdr:col>21</xdr:col>
      <xdr:colOff>381000</xdr:colOff>
      <xdr:row>40</xdr:row>
      <xdr:rowOff>98214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331683</xdr:colOff>
      <xdr:row>42</xdr:row>
      <xdr:rowOff>172091</xdr:rowOff>
    </xdr:from>
    <xdr:to>
      <xdr:col>11</xdr:col>
      <xdr:colOff>101600</xdr:colOff>
      <xdr:row>55</xdr:row>
      <xdr:rowOff>126999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100753</xdr:colOff>
      <xdr:row>42</xdr:row>
      <xdr:rowOff>170186</xdr:rowOff>
    </xdr:from>
    <xdr:to>
      <xdr:col>18</xdr:col>
      <xdr:colOff>306493</xdr:colOff>
      <xdr:row>58</xdr:row>
      <xdr:rowOff>193040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21802</xdr:colOff>
      <xdr:row>27</xdr:row>
      <xdr:rowOff>93133</xdr:rowOff>
    </xdr:from>
    <xdr:to>
      <xdr:col>13</xdr:col>
      <xdr:colOff>228599</xdr:colOff>
      <xdr:row>40</xdr:row>
      <xdr:rowOff>24558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33</xdr:col>
      <xdr:colOff>139701</xdr:colOff>
      <xdr:row>32</xdr:row>
      <xdr:rowOff>120656</xdr:rowOff>
    </xdr:from>
    <xdr:to>
      <xdr:col>39</xdr:col>
      <xdr:colOff>53824</xdr:colOff>
      <xdr:row>46</xdr:row>
      <xdr:rowOff>127002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39</xdr:col>
      <xdr:colOff>177800</xdr:colOff>
      <xdr:row>31</xdr:row>
      <xdr:rowOff>169333</xdr:rowOff>
    </xdr:from>
    <xdr:to>
      <xdr:col>44</xdr:col>
      <xdr:colOff>110067</xdr:colOff>
      <xdr:row>45</xdr:row>
      <xdr:rowOff>160867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395816</xdr:colOff>
      <xdr:row>65</xdr:row>
      <xdr:rowOff>28786</xdr:rowOff>
    </xdr:from>
    <xdr:to>
      <xdr:col>32</xdr:col>
      <xdr:colOff>39369</xdr:colOff>
      <xdr:row>80</xdr:row>
      <xdr:rowOff>29633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180802</xdr:colOff>
      <xdr:row>79</xdr:row>
      <xdr:rowOff>86590</xdr:rowOff>
    </xdr:from>
    <xdr:to>
      <xdr:col>33</xdr:col>
      <xdr:colOff>142702</xdr:colOff>
      <xdr:row>94</xdr:row>
      <xdr:rowOff>132310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46</xdr:col>
      <xdr:colOff>110064</xdr:colOff>
      <xdr:row>47</xdr:row>
      <xdr:rowOff>67732</xdr:rowOff>
    </xdr:from>
    <xdr:to>
      <xdr:col>50</xdr:col>
      <xdr:colOff>8466</xdr:colOff>
      <xdr:row>57</xdr:row>
      <xdr:rowOff>93133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45</xdr:col>
      <xdr:colOff>493185</xdr:colOff>
      <xdr:row>18</xdr:row>
      <xdr:rowOff>61382</xdr:rowOff>
    </xdr:from>
    <xdr:to>
      <xdr:col>52</xdr:col>
      <xdr:colOff>357717</xdr:colOff>
      <xdr:row>33</xdr:row>
      <xdr:rowOff>124881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13335</xdr:colOff>
      <xdr:row>14</xdr:row>
      <xdr:rowOff>175260</xdr:rowOff>
    </xdr:from>
    <xdr:to>
      <xdr:col>7</xdr:col>
      <xdr:colOff>33867</xdr:colOff>
      <xdr:row>29</xdr:row>
      <xdr:rowOff>175260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50</xdr:row>
      <xdr:rowOff>15240</xdr:rowOff>
    </xdr:from>
    <xdr:to>
      <xdr:col>5</xdr:col>
      <xdr:colOff>190500</xdr:colOff>
      <xdr:row>61</xdr:row>
      <xdr:rowOff>15240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217170</xdr:colOff>
      <xdr:row>24</xdr:row>
      <xdr:rowOff>144780</xdr:rowOff>
    </xdr:from>
    <xdr:to>
      <xdr:col>18</xdr:col>
      <xdr:colOff>228600</xdr:colOff>
      <xdr:row>37</xdr:row>
      <xdr:rowOff>342900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272415</xdr:colOff>
      <xdr:row>42</xdr:row>
      <xdr:rowOff>146691</xdr:rowOff>
    </xdr:from>
    <xdr:to>
      <xdr:col>13</xdr:col>
      <xdr:colOff>251460</xdr:colOff>
      <xdr:row>56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7620</xdr:colOff>
      <xdr:row>40</xdr:row>
      <xdr:rowOff>144786</xdr:rowOff>
    </xdr:from>
    <xdr:to>
      <xdr:col>20</xdr:col>
      <xdr:colOff>137160</xdr:colOff>
      <xdr:row>56</xdr:row>
      <xdr:rowOff>167640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219075</xdr:colOff>
      <xdr:row>18</xdr:row>
      <xdr:rowOff>6</xdr:rowOff>
    </xdr:from>
    <xdr:to>
      <xdr:col>16</xdr:col>
      <xdr:colOff>0</xdr:colOff>
      <xdr:row>33</xdr:row>
      <xdr:rowOff>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33</xdr:col>
      <xdr:colOff>704850</xdr:colOff>
      <xdr:row>18</xdr:row>
      <xdr:rowOff>85731</xdr:rowOff>
    </xdr:from>
    <xdr:to>
      <xdr:col>40</xdr:col>
      <xdr:colOff>219075</xdr:colOff>
      <xdr:row>33</xdr:row>
      <xdr:rowOff>76206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40</xdr:col>
      <xdr:colOff>495300</xdr:colOff>
      <xdr:row>18</xdr:row>
      <xdr:rowOff>114307</xdr:rowOff>
    </xdr:from>
    <xdr:to>
      <xdr:col>46</xdr:col>
      <xdr:colOff>447675</xdr:colOff>
      <xdr:row>32</xdr:row>
      <xdr:rowOff>180976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34</xdr:col>
      <xdr:colOff>342900</xdr:colOff>
      <xdr:row>34</xdr:row>
      <xdr:rowOff>95251</xdr:rowOff>
    </xdr:from>
    <xdr:to>
      <xdr:col>41</xdr:col>
      <xdr:colOff>381000</xdr:colOff>
      <xdr:row>46</xdr:row>
      <xdr:rowOff>76207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220980</xdr:colOff>
      <xdr:row>11</xdr:row>
      <xdr:rowOff>83820</xdr:rowOff>
    </xdr:from>
    <xdr:to>
      <xdr:col>12</xdr:col>
      <xdr:colOff>83820</xdr:colOff>
      <xdr:row>28</xdr:row>
      <xdr:rowOff>121920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228600</xdr:colOff>
      <xdr:row>28</xdr:row>
      <xdr:rowOff>175260</xdr:rowOff>
    </xdr:from>
    <xdr:to>
      <xdr:col>11</xdr:col>
      <xdr:colOff>0</xdr:colOff>
      <xdr:row>39</xdr:row>
      <xdr:rowOff>144780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209550</xdr:colOff>
      <xdr:row>13</xdr:row>
      <xdr:rowOff>45726</xdr:rowOff>
    </xdr:from>
    <xdr:to>
      <xdr:col>24</xdr:col>
      <xdr:colOff>403860</xdr:colOff>
      <xdr:row>32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127635</xdr:colOff>
      <xdr:row>29</xdr:row>
      <xdr:rowOff>55251</xdr:rowOff>
    </xdr:from>
    <xdr:to>
      <xdr:col>21</xdr:col>
      <xdr:colOff>38100</xdr:colOff>
      <xdr:row>42</xdr:row>
      <xdr:rowOff>91440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33</xdr:col>
      <xdr:colOff>154305</xdr:colOff>
      <xdr:row>0</xdr:row>
      <xdr:rowOff>1</xdr:rowOff>
    </xdr:from>
    <xdr:to>
      <xdr:col>37</xdr:col>
      <xdr:colOff>152400</xdr:colOff>
      <xdr:row>13</xdr:row>
      <xdr:rowOff>1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7620</xdr:colOff>
      <xdr:row>41</xdr:row>
      <xdr:rowOff>15246</xdr:rowOff>
    </xdr:from>
    <xdr:to>
      <xdr:col>13</xdr:col>
      <xdr:colOff>304800</xdr:colOff>
      <xdr:row>58</xdr:row>
      <xdr:rowOff>160020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236220</xdr:colOff>
      <xdr:row>14</xdr:row>
      <xdr:rowOff>83826</xdr:rowOff>
    </xdr:from>
    <xdr:to>
      <xdr:col>15</xdr:col>
      <xdr:colOff>243840</xdr:colOff>
      <xdr:row>27</xdr:row>
      <xdr:rowOff>137160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381000</xdr:colOff>
      <xdr:row>42</xdr:row>
      <xdr:rowOff>152406</xdr:rowOff>
    </xdr:from>
    <xdr:to>
      <xdr:col>24</xdr:col>
      <xdr:colOff>464820</xdr:colOff>
      <xdr:row>57</xdr:row>
      <xdr:rowOff>152406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</xdr:colOff>
      <xdr:row>10</xdr:row>
      <xdr:rowOff>60960</xdr:rowOff>
    </xdr:from>
    <xdr:to>
      <xdr:col>15</xdr:col>
      <xdr:colOff>53340</xdr:colOff>
      <xdr:row>24</xdr:row>
      <xdr:rowOff>106680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12"/>
  <sheetViews>
    <sheetView tabSelected="1" zoomScale="90" zoomScaleNormal="90" workbookViewId="0">
      <pane ySplit="7" topLeftCell="A8" activePane="bottomLeft" state="frozen"/>
      <selection pane="bottomLeft" activeCell="I13" sqref="I13"/>
    </sheetView>
  </sheetViews>
  <sheetFormatPr defaultRowHeight="15" x14ac:dyDescent="0.25"/>
  <cols>
    <col min="1" max="1" width="19" bestFit="1" customWidth="1"/>
    <col min="3" max="3" width="7.140625" bestFit="1" customWidth="1"/>
    <col min="4" max="4" width="8.85546875" style="1" customWidth="1"/>
    <col min="5" max="5" width="6.42578125" style="1" customWidth="1"/>
    <col min="6" max="7" width="6.28515625" style="1" customWidth="1"/>
    <col min="8" max="8" width="9.140625" style="1" bestFit="1" customWidth="1"/>
    <col min="9" max="9" width="8.5703125" style="1" bestFit="1" customWidth="1"/>
    <col min="10" max="10" width="5.85546875" style="1" bestFit="1" customWidth="1"/>
    <col min="11" max="11" width="10" style="1" bestFit="1" customWidth="1"/>
    <col min="12" max="12" width="8.42578125" style="1" bestFit="1" customWidth="1"/>
    <col min="13" max="13" width="14" style="1" bestFit="1" customWidth="1"/>
    <col min="14" max="14" width="6.7109375" style="1" customWidth="1"/>
    <col min="15" max="15" width="7.85546875" style="1" customWidth="1"/>
    <col min="16" max="16" width="7.28515625" style="1" bestFit="1" customWidth="1"/>
    <col min="17" max="17" width="7.42578125" style="1" customWidth="1"/>
    <col min="18" max="18" width="6.28515625" style="1" customWidth="1"/>
    <col min="19" max="19" width="5.7109375" style="1" customWidth="1"/>
    <col min="20" max="20" width="8" style="1" customWidth="1"/>
    <col min="21" max="22" width="7.7109375" customWidth="1"/>
    <col min="24" max="24" width="9.85546875" bestFit="1" customWidth="1"/>
    <col min="25" max="25" width="10.7109375" customWidth="1"/>
    <col min="26" max="26" width="8.7109375" customWidth="1"/>
    <col min="27" max="27" width="9.7109375" customWidth="1"/>
    <col min="28" max="28" width="10.7109375" customWidth="1"/>
    <col min="29" max="29" width="7.85546875" customWidth="1"/>
    <col min="30" max="30" width="10" customWidth="1"/>
    <col min="31" max="31" width="10.85546875" customWidth="1"/>
    <col min="32" max="32" width="10" customWidth="1"/>
    <col min="33" max="33" width="12.42578125" customWidth="1"/>
    <col min="34" max="34" width="11.85546875" customWidth="1"/>
    <col min="35" max="36" width="11.5703125" customWidth="1"/>
    <col min="37" max="37" width="8.7109375" customWidth="1"/>
    <col min="38" max="38" width="11.5703125" bestFit="1" customWidth="1"/>
    <col min="39" max="39" width="9.7109375" customWidth="1"/>
    <col min="44" max="45" width="9.85546875" bestFit="1" customWidth="1"/>
    <col min="46" max="46" width="13.140625" bestFit="1" customWidth="1"/>
    <col min="47" max="47" width="12" bestFit="1" customWidth="1"/>
    <col min="48" max="48" width="10.42578125" bestFit="1" customWidth="1"/>
    <col min="49" max="49" width="10.28515625" customWidth="1"/>
    <col min="50" max="50" width="9.28515625" bestFit="1" customWidth="1"/>
    <col min="51" max="51" width="10.28515625" bestFit="1" customWidth="1"/>
  </cols>
  <sheetData>
    <row r="1" spans="1:51" x14ac:dyDescent="0.25">
      <c r="A1" t="s">
        <v>237</v>
      </c>
      <c r="I1" s="3" t="s">
        <v>28</v>
      </c>
      <c r="J1" s="11" t="s">
        <v>29</v>
      </c>
      <c r="K1" s="12"/>
      <c r="L1" s="12"/>
    </row>
    <row r="2" spans="1:51" x14ac:dyDescent="0.25">
      <c r="A2">
        <v>1</v>
      </c>
      <c r="C2" t="s">
        <v>238</v>
      </c>
      <c r="I2" s="3"/>
      <c r="J2" s="13" t="s">
        <v>30</v>
      </c>
      <c r="K2" s="14"/>
      <c r="L2" s="14"/>
    </row>
    <row r="3" spans="1:51" x14ac:dyDescent="0.25">
      <c r="A3">
        <v>2</v>
      </c>
      <c r="C3" t="s">
        <v>239</v>
      </c>
      <c r="I3" s="3"/>
      <c r="J3" s="15" t="s">
        <v>242</v>
      </c>
      <c r="K3" s="16"/>
      <c r="L3" s="16"/>
    </row>
    <row r="4" spans="1:51" x14ac:dyDescent="0.25">
      <c r="A4">
        <v>3</v>
      </c>
      <c r="C4" t="s">
        <v>240</v>
      </c>
    </row>
    <row r="5" spans="1:51" x14ac:dyDescent="0.25">
      <c r="A5">
        <v>4</v>
      </c>
      <c r="C5" t="s">
        <v>241</v>
      </c>
    </row>
    <row r="6" spans="1:51" ht="15.75" thickBot="1" x14ac:dyDescent="0.3"/>
    <row r="7" spans="1:51" ht="90" x14ac:dyDescent="0.25">
      <c r="A7" t="s">
        <v>221</v>
      </c>
      <c r="B7" t="s">
        <v>220</v>
      </c>
      <c r="C7" s="74" t="s">
        <v>50</v>
      </c>
      <c r="D7" s="75" t="s">
        <v>0</v>
      </c>
      <c r="E7" s="75" t="s">
        <v>1</v>
      </c>
      <c r="F7" s="75" t="s">
        <v>10</v>
      </c>
      <c r="G7" s="75" t="s">
        <v>11</v>
      </c>
      <c r="H7" s="75" t="s">
        <v>23</v>
      </c>
      <c r="I7" s="75" t="s">
        <v>110</v>
      </c>
      <c r="J7" s="76" t="s">
        <v>2</v>
      </c>
      <c r="K7" s="4" t="s">
        <v>12</v>
      </c>
      <c r="L7" s="4" t="s">
        <v>7</v>
      </c>
      <c r="M7" s="4" t="s">
        <v>61</v>
      </c>
      <c r="N7" s="4" t="s">
        <v>24</v>
      </c>
      <c r="O7" s="4" t="s">
        <v>115</v>
      </c>
      <c r="P7" s="4" t="s">
        <v>25</v>
      </c>
      <c r="Q7" s="4" t="s">
        <v>136</v>
      </c>
      <c r="R7" s="4" t="s">
        <v>26</v>
      </c>
      <c r="S7" s="4" t="s">
        <v>100</v>
      </c>
      <c r="T7" s="4" t="s">
        <v>7</v>
      </c>
      <c r="U7" s="4" t="str">
        <f t="shared" ref="U7:U22" si="0">K7</f>
        <v>Charger Pwr, W</v>
      </c>
      <c r="V7" s="4" t="s">
        <v>170</v>
      </c>
      <c r="W7" s="4" t="s">
        <v>137</v>
      </c>
      <c r="X7" s="4" t="s">
        <v>149</v>
      </c>
      <c r="Y7" s="4" t="s">
        <v>46</v>
      </c>
      <c r="Z7" s="4" t="s">
        <v>157</v>
      </c>
      <c r="AA7" s="4" t="s">
        <v>159</v>
      </c>
      <c r="AB7" s="4" t="s">
        <v>171</v>
      </c>
      <c r="AC7" s="4" t="s">
        <v>165</v>
      </c>
      <c r="AD7" s="4" t="s">
        <v>166</v>
      </c>
      <c r="AE7" s="4" t="s">
        <v>167</v>
      </c>
      <c r="AF7" s="4" t="s">
        <v>213</v>
      </c>
      <c r="AG7" s="4" t="s">
        <v>172</v>
      </c>
      <c r="AH7" s="4" t="s">
        <v>66</v>
      </c>
      <c r="AI7" s="4" t="s">
        <v>63</v>
      </c>
      <c r="AJ7" s="4" t="s">
        <v>67</v>
      </c>
      <c r="AK7" s="4" t="s">
        <v>64</v>
      </c>
      <c r="AL7" s="4" t="s">
        <v>107</v>
      </c>
      <c r="AM7" s="4" t="s">
        <v>108</v>
      </c>
      <c r="AN7" s="4" t="s">
        <v>101</v>
      </c>
      <c r="AO7" s="4" t="s">
        <v>102</v>
      </c>
      <c r="AP7" s="4" t="s">
        <v>85</v>
      </c>
      <c r="AQ7" s="4" t="s">
        <v>138</v>
      </c>
      <c r="AR7" s="4" t="s">
        <v>84</v>
      </c>
      <c r="AS7" s="4" t="s">
        <v>81</v>
      </c>
      <c r="AT7" s="4"/>
      <c r="AU7" s="4"/>
      <c r="AV7" s="4"/>
      <c r="AX7" s="4"/>
      <c r="AY7" s="4"/>
    </row>
    <row r="8" spans="1:51" x14ac:dyDescent="0.25">
      <c r="A8" t="s">
        <v>236</v>
      </c>
      <c r="B8" t="s">
        <v>201</v>
      </c>
      <c r="C8" s="113">
        <f t="shared" ref="C8:C22" si="1">D8/180+1</f>
        <v>1.0000055555555556</v>
      </c>
      <c r="D8" s="110">
        <v>1E-3</v>
      </c>
      <c r="E8" s="110"/>
      <c r="F8" s="110"/>
      <c r="G8" s="110"/>
      <c r="H8" s="110"/>
      <c r="I8" s="110"/>
      <c r="J8" s="114"/>
      <c r="K8" s="4"/>
      <c r="L8" s="1">
        <f t="shared" ref="L8:L22" si="2">D8</f>
        <v>1E-3</v>
      </c>
      <c r="M8" s="1">
        <f t="shared" ref="M8:M22" si="3">LN(L8)</f>
        <v>-6.9077552789821368</v>
      </c>
      <c r="N8" s="3"/>
      <c r="O8" s="4"/>
      <c r="P8" s="4">
        <v>0</v>
      </c>
      <c r="Q8" s="4">
        <v>0</v>
      </c>
      <c r="R8" s="3">
        <f>P8/$Y$35*100</f>
        <v>0</v>
      </c>
      <c r="S8" s="3">
        <f>Q8/$Y$35*100</f>
        <v>0</v>
      </c>
      <c r="T8" s="3">
        <f t="shared" ref="T8:T22" si="4">L8</f>
        <v>1E-3</v>
      </c>
      <c r="U8" s="4">
        <f t="shared" si="0"/>
        <v>0</v>
      </c>
      <c r="V8" s="4"/>
      <c r="AD8" s="4"/>
      <c r="AE8" s="4"/>
      <c r="AF8" s="4"/>
      <c r="AH8" s="95">
        <f>D8/$AF$29*$AF$24</f>
        <v>2.7777777777777779E-5</v>
      </c>
      <c r="AI8" s="95">
        <f>AH8/$AF$24*$AF$29</f>
        <v>1E-3</v>
      </c>
      <c r="AJ8" s="96" t="e">
        <f>MAX(($AF$32+$AG$32*LN($AI8)),0)</f>
        <v>#VALUE!</v>
      </c>
      <c r="AK8" s="96" t="e">
        <f>MAX(($AF$32+$AG$32*LN($AI8))/$AF$28,0)</f>
        <v>#VALUE!</v>
      </c>
      <c r="AL8" s="96" t="e">
        <f>($AF$33+$AG$33*AK8*$AF$28)/$AF$28</f>
        <v>#VALUE!</v>
      </c>
      <c r="AM8" s="96" t="e">
        <f>($AF$34+$AG$34*AL8*$AF$28)/$AF$28</f>
        <v>#VALUE!</v>
      </c>
      <c r="AO8" t="e">
        <f>MAX($AF$33+$AG$33*AJ8, 0)</f>
        <v>#VALUE!</v>
      </c>
      <c r="AP8" s="127"/>
      <c r="AQ8" s="127"/>
      <c r="AT8" s="127"/>
      <c r="AU8" s="127"/>
    </row>
    <row r="9" spans="1:51" x14ac:dyDescent="0.25">
      <c r="A9" t="s">
        <v>222</v>
      </c>
      <c r="B9" t="s">
        <v>201</v>
      </c>
      <c r="C9" s="113" t="e">
        <f t="shared" si="1"/>
        <v>#VALUE!</v>
      </c>
      <c r="D9" s="111" t="e">
        <f>EXP((0-$AF$32)/$AG$32)</f>
        <v>#VALUE!</v>
      </c>
      <c r="E9" s="109"/>
      <c r="F9" s="109">
        <v>13.82</v>
      </c>
      <c r="G9" s="109">
        <v>0.32200000000000001</v>
      </c>
      <c r="H9" s="148">
        <v>1.0000000000000001E+32</v>
      </c>
      <c r="I9" s="105">
        <v>1.0000000000000001E+32</v>
      </c>
      <c r="J9" s="115">
        <v>0</v>
      </c>
      <c r="K9" s="2">
        <f>F9*G9</f>
        <v>4.4500400000000004</v>
      </c>
      <c r="L9" s="1" t="e">
        <f>D9</f>
        <v>#VALUE!</v>
      </c>
      <c r="M9" s="1" t="e">
        <f t="shared" si="3"/>
        <v>#VALUE!</v>
      </c>
      <c r="N9" s="3">
        <f t="shared" ref="N9:O22" si="5">1/H9/0.000001</f>
        <v>9.999999999999999E-27</v>
      </c>
      <c r="O9" s="3">
        <f t="shared" si="5"/>
        <v>9.999999999999999E-27</v>
      </c>
      <c r="P9" s="3">
        <f>N9*60/$Y$24</f>
        <v>5.9999999999999995E-25</v>
      </c>
      <c r="Q9" s="4">
        <v>0</v>
      </c>
      <c r="R9" s="3">
        <f>P9/$Y$35*100</f>
        <v>1.3020833333333332E-27</v>
      </c>
      <c r="S9" s="3">
        <f>Q9/$Y$35*100</f>
        <v>0</v>
      </c>
      <c r="T9" s="3" t="e">
        <f t="shared" si="4"/>
        <v>#VALUE!</v>
      </c>
      <c r="U9" s="4">
        <f t="shared" si="0"/>
        <v>4.4500400000000004</v>
      </c>
      <c r="V9">
        <f>($U9-$U$9)</f>
        <v>0</v>
      </c>
      <c r="W9">
        <f>($U9-$U$9)*0.001341022</f>
        <v>0</v>
      </c>
      <c r="X9" s="127">
        <v>0</v>
      </c>
      <c r="Y9" s="127">
        <v>0</v>
      </c>
      <c r="Z9" s="95">
        <f>$AF$46*(P9/$AF$28/100)^3</f>
        <v>9.76843480821773E-87</v>
      </c>
      <c r="AA9" s="127">
        <f>SQRT(Z9^3/4/$Y$37/$Y$38)</f>
        <v>9.469612348787209E-129</v>
      </c>
      <c r="AC9">
        <f>SQRT(Z9/$AF$38/$AF$39)</f>
        <v>1.9388187636407961E-42</v>
      </c>
      <c r="AD9" s="4">
        <f t="shared" ref="AD9:AD17" si="6">AC9*1/1.6/1000*3600</f>
        <v>4.3623422181917907E-42</v>
      </c>
      <c r="AE9" s="4">
        <f>Q9/60*PI()*$AB$38/1000</f>
        <v>0</v>
      </c>
      <c r="AF9" s="158">
        <f>AE9/AC9</f>
        <v>0</v>
      </c>
      <c r="AH9" s="95" t="e">
        <f>D9/$AF$29*$AF$24</f>
        <v>#VALUE!</v>
      </c>
      <c r="AI9" s="95" t="e">
        <f>AH9/$AF$24*$AF$29</f>
        <v>#VALUE!</v>
      </c>
      <c r="AJ9" s="96" t="e">
        <f>MAX(($AF$32+$AG$32*LN($AI9)),0)</f>
        <v>#VALUE!</v>
      </c>
      <c r="AK9" s="96" t="e">
        <f>MAX(($AF$32+$AG$32*LN(AI9))/$AF$28,0)</f>
        <v>#VALUE!</v>
      </c>
      <c r="AL9" s="96" t="e">
        <f>($AF$33+$AG$33*AK9*$AF$28)/$AF$28</f>
        <v>#VALUE!</v>
      </c>
      <c r="AM9" s="96" t="e">
        <f>($AF$34+$AG$34*AL9*$AF$28)/$AF$28</f>
        <v>#VALUE!</v>
      </c>
      <c r="AO9" t="e">
        <f>MAX($AF$33+$AG$33*AJ9, 0)</f>
        <v>#VALUE!</v>
      </c>
      <c r="AP9" s="127"/>
      <c r="AQ9" s="127"/>
      <c r="AR9" s="127"/>
      <c r="AT9" s="127"/>
      <c r="AU9" s="127"/>
    </row>
    <row r="10" spans="1:51" ht="15" customHeight="1" x14ac:dyDescent="0.25">
      <c r="A10" t="s">
        <v>223</v>
      </c>
      <c r="B10" t="s">
        <v>201</v>
      </c>
      <c r="C10" s="113">
        <f t="shared" si="1"/>
        <v>1.05</v>
      </c>
      <c r="D10" s="73">
        <v>9</v>
      </c>
      <c r="E10" s="109"/>
      <c r="F10" s="73">
        <v>13.69</v>
      </c>
      <c r="G10" s="106">
        <v>0.56000000000000005</v>
      </c>
      <c r="H10" s="73">
        <v>7880</v>
      </c>
      <c r="I10" s="105">
        <v>1.0000000000000001E+32</v>
      </c>
      <c r="J10" s="78">
        <v>0</v>
      </c>
      <c r="K10" s="2">
        <f>F10*G10</f>
        <v>7.6664000000000003</v>
      </c>
      <c r="L10" s="1">
        <f>D10</f>
        <v>9</v>
      </c>
      <c r="M10" s="1">
        <f t="shared" si="3"/>
        <v>2.1972245773362196</v>
      </c>
      <c r="N10" s="3">
        <f t="shared" si="5"/>
        <v>126.9035532994924</v>
      </c>
      <c r="O10" s="3">
        <f t="shared" si="5"/>
        <v>9.999999999999999E-27</v>
      </c>
      <c r="P10" s="3">
        <f>N10*60/$Y$24</f>
        <v>7614.2131979695441</v>
      </c>
      <c r="Q10" s="3">
        <f>O10*60/$Y$24</f>
        <v>5.9999999999999995E-25</v>
      </c>
      <c r="R10" s="3">
        <f>P10/$Y$35*100</f>
        <v>16.52390016920474</v>
      </c>
      <c r="S10" s="3">
        <f>Q10/$Y$35*100</f>
        <v>1.3020833333333332E-27</v>
      </c>
      <c r="T10" s="3">
        <f>L10</f>
        <v>9</v>
      </c>
      <c r="U10" s="4">
        <f>K10</f>
        <v>7.6664000000000003</v>
      </c>
      <c r="V10">
        <f t="shared" ref="V10:V22" si="7">($U10-$U$9)</f>
        <v>3.2163599999999999</v>
      </c>
      <c r="W10">
        <f t="shared" ref="W10:W22" si="8">($U10-$U$9)*0.001341022</f>
        <v>4.3132095199200004E-3</v>
      </c>
      <c r="X10" s="150">
        <f>$W10/$P10*5252</f>
        <v>2.9750909003520725E-3</v>
      </c>
      <c r="Y10" s="150">
        <f>X10-$X$10</f>
        <v>0</v>
      </c>
      <c r="Z10" s="95">
        <f>$AF$46*(P10/$AF$28/100)^3</f>
        <v>1.9963943404514357E-2</v>
      </c>
      <c r="AA10" s="127">
        <f>SQRT(Z10^3/4/$Y$37/$Y$38)</f>
        <v>2.766713710450296E-2</v>
      </c>
      <c r="AB10" s="97">
        <f>AA10/V10*100</f>
        <v>0.86020026068297573</v>
      </c>
      <c r="AC10">
        <f>SQRT(Z10/$AF$38/$AF$39)</f>
        <v>2.7717106329049916</v>
      </c>
      <c r="AD10" s="4">
        <f t="shared" si="6"/>
        <v>6.2363489240362311</v>
      </c>
      <c r="AE10" s="4">
        <f>Q10/60*PI()*$AB$38/1000</f>
        <v>1.7278759594743859E-27</v>
      </c>
      <c r="AF10" s="158">
        <f t="shared" ref="AF10:AF22" si="9">AE10/AC10</f>
        <v>6.2339695167363955E-28</v>
      </c>
      <c r="AH10" s="95">
        <f>D10/$AF$29*$AF$24</f>
        <v>0.25</v>
      </c>
      <c r="AI10" s="95">
        <f>AH10/$AF$24*$AF$29</f>
        <v>9</v>
      </c>
      <c r="AJ10" s="96" t="e">
        <f>MAX(($AF$32+$AG$32*LN($AI10)),0)</f>
        <v>#VALUE!</v>
      </c>
      <c r="AK10" s="96" t="e">
        <f>MAX(($AF$32+$AG$32*LN(AI10))/$AF$28,0)</f>
        <v>#VALUE!</v>
      </c>
      <c r="AL10" s="96" t="e">
        <f>($AF$33+$AG$33*AK10*$AF$28)/$AF$28</f>
        <v>#VALUE!</v>
      </c>
      <c r="AM10" s="96" t="e">
        <f>($AF$34+$AG$34*AL10*$AF$28)/$AF$28</f>
        <v>#VALUE!</v>
      </c>
      <c r="AO10" t="e">
        <f>MAX($AF$33+$AG$33*AJ10, 0)</f>
        <v>#VALUE!</v>
      </c>
      <c r="AP10" s="127" t="e">
        <f>MAX($AF$35+$AJ10*($AG$35+$AJ10*$AH$35), 0)</f>
        <v>#VALUE!</v>
      </c>
      <c r="AQ10" s="127" t="e">
        <f>AJ10*AP10/5252</f>
        <v>#VALUE!</v>
      </c>
      <c r="AR10" s="146" t="e">
        <f>MAX($AG$35+$AH$35*2*AJ10,1E-32)</f>
        <v>#VALUE!</v>
      </c>
      <c r="AS10" s="95"/>
      <c r="AT10" s="127"/>
      <c r="AV10" s="95"/>
      <c r="AX10" s="128"/>
      <c r="AY10" s="96"/>
    </row>
    <row r="11" spans="1:51" ht="15" customHeight="1" x14ac:dyDescent="0.25">
      <c r="A11" t="s">
        <v>224</v>
      </c>
      <c r="B11" t="s">
        <v>201</v>
      </c>
      <c r="C11" s="113">
        <f t="shared" si="1"/>
        <v>1.0666666666666667</v>
      </c>
      <c r="D11" s="73">
        <v>12</v>
      </c>
      <c r="E11" s="109"/>
      <c r="F11" s="73">
        <v>13.68</v>
      </c>
      <c r="G11" s="106">
        <v>0.68600000000000005</v>
      </c>
      <c r="H11" s="73">
        <v>6200</v>
      </c>
      <c r="I11" s="105">
        <v>1.0000000000000001E+32</v>
      </c>
      <c r="J11" s="78">
        <v>0</v>
      </c>
      <c r="K11" s="2">
        <f>F11*G11</f>
        <v>9.3844799999999999</v>
      </c>
      <c r="L11" s="1">
        <f>D11</f>
        <v>12</v>
      </c>
      <c r="M11" s="1">
        <f t="shared" si="3"/>
        <v>2.4849066497880004</v>
      </c>
      <c r="N11" s="3">
        <f t="shared" si="5"/>
        <v>161.29032258064518</v>
      </c>
      <c r="O11" s="3">
        <f t="shared" si="5"/>
        <v>9.999999999999999E-27</v>
      </c>
      <c r="P11" s="3">
        <f>N11*60/$Y$24</f>
        <v>9677.4193548387102</v>
      </c>
      <c r="Q11" s="3">
        <f>O11*60/$Y$24</f>
        <v>5.9999999999999995E-25</v>
      </c>
      <c r="R11" s="3">
        <f>P11/$Y$35*100</f>
        <v>21.001344086021508</v>
      </c>
      <c r="S11" s="3">
        <f>Q11/$Y$35*100</f>
        <v>1.3020833333333332E-27</v>
      </c>
      <c r="T11" s="3">
        <f>L11</f>
        <v>12</v>
      </c>
      <c r="U11" s="158">
        <f>K11</f>
        <v>9.3844799999999999</v>
      </c>
      <c r="V11" s="96">
        <f t="shared" si="7"/>
        <v>4.9344399999999995</v>
      </c>
      <c r="W11">
        <f t="shared" si="8"/>
        <v>6.6171925976800001E-3</v>
      </c>
      <c r="X11" s="150">
        <f t="shared" ref="X11:X22" si="10">$W11/$P11*5252</f>
        <v>3.5911945373782541E-3</v>
      </c>
      <c r="Y11" s="150">
        <f t="shared" ref="Y11:Y22" si="11">X11-$X$10</f>
        <v>6.1610363702618159E-4</v>
      </c>
      <c r="Z11" s="95">
        <f>$AF$46*(P11/$AF$28/100)^3</f>
        <v>4.0987356954355909E-2</v>
      </c>
      <c r="AA11" s="147">
        <f>SQRT(Z11^3/4/$Y$37/$Y$38)</f>
        <v>8.1389728207219222E-2</v>
      </c>
      <c r="AB11" s="97">
        <f t="shared" ref="AB11:AB22" si="12">AA11/V11*100</f>
        <v>1.6494217825572755</v>
      </c>
      <c r="AC11">
        <f>SQRT(Z11/$AF$38/$AF$39)</f>
        <v>3.9714553098827987</v>
      </c>
      <c r="AD11" s="175">
        <f t="shared" si="6"/>
        <v>8.9357744472362963</v>
      </c>
      <c r="AE11" s="175">
        <f>Q11/60*PI()*$AB$38/1000</f>
        <v>1.7278759594743859E-27</v>
      </c>
      <c r="AF11" s="158">
        <f t="shared" si="9"/>
        <v>4.3507375122027426E-28</v>
      </c>
      <c r="AH11" s="95">
        <f>D11/$AF$29*$AF$24</f>
        <v>0.33333333333333331</v>
      </c>
      <c r="AI11" s="95">
        <f>AH11/$AF$24*$AF$29</f>
        <v>12</v>
      </c>
      <c r="AJ11" s="96" t="e">
        <f>MAX(($AF$32+$AG$32*LN($AI11)),0)</f>
        <v>#VALUE!</v>
      </c>
      <c r="AK11" s="96" t="e">
        <f>MAX(($AF$32+$AG$32*LN(AI11))/$AF$28,0)</f>
        <v>#VALUE!</v>
      </c>
      <c r="AL11" s="96" t="e">
        <f>($AF$33+$AG$33*AK11*$AF$28)/$AF$28</f>
        <v>#VALUE!</v>
      </c>
      <c r="AM11" s="96" t="e">
        <f>($AF$34+$AG$34*AL11*$AF$28)/$AF$28</f>
        <v>#VALUE!</v>
      </c>
      <c r="AO11" t="e">
        <f>MAX($AF$33+$AG$33*AJ11, 0)</f>
        <v>#VALUE!</v>
      </c>
      <c r="AP11" s="127" t="e">
        <f>MAX($AF$35+$AJ11*($AG$35+$AJ11*$AH$35), 0)</f>
        <v>#VALUE!</v>
      </c>
      <c r="AQ11" s="127" t="e">
        <f t="shared" ref="AQ11:AQ22" si="13">AJ11*AP11/5252</f>
        <v>#VALUE!</v>
      </c>
      <c r="AR11" s="146" t="e">
        <f>MAX($AG$35+$AH$35*2*AJ11,1E-32)</f>
        <v>#VALUE!</v>
      </c>
      <c r="AS11" s="95" t="e">
        <f>$Y$31/AR11</f>
        <v>#VALUE!</v>
      </c>
      <c r="AT11" s="127"/>
      <c r="AV11" s="95"/>
      <c r="AX11" s="127"/>
      <c r="AY11" s="96"/>
    </row>
    <row r="12" spans="1:51" ht="15" customHeight="1" x14ac:dyDescent="0.25">
      <c r="A12" t="s">
        <v>225</v>
      </c>
      <c r="B12" t="s">
        <v>235</v>
      </c>
      <c r="C12" s="113">
        <f t="shared" si="1"/>
        <v>1.1388888888888888</v>
      </c>
      <c r="D12" s="140">
        <v>25</v>
      </c>
      <c r="E12" s="141">
        <v>0.61099999999999999</v>
      </c>
      <c r="F12" s="73">
        <v>13.77</v>
      </c>
      <c r="G12" s="106">
        <v>1.48</v>
      </c>
      <c r="H12" s="73">
        <v>3260</v>
      </c>
      <c r="I12" s="140">
        <v>6740</v>
      </c>
      <c r="J12" s="78">
        <v>4.08</v>
      </c>
      <c r="K12" s="2">
        <f>F12*G12</f>
        <v>20.3796</v>
      </c>
      <c r="L12" s="1">
        <f t="shared" si="2"/>
        <v>25</v>
      </c>
      <c r="M12" s="1">
        <f t="shared" si="3"/>
        <v>3.2188758248682006</v>
      </c>
      <c r="N12" s="3">
        <f t="shared" si="5"/>
        <v>306.74846625766872</v>
      </c>
      <c r="O12" s="3">
        <f t="shared" si="5"/>
        <v>148.36795252225519</v>
      </c>
      <c r="P12" s="3">
        <f>N12*60/$Y$24</f>
        <v>18404.907975460123</v>
      </c>
      <c r="Q12" s="3">
        <f>O12*60/$Y$24</f>
        <v>8902.077151335312</v>
      </c>
      <c r="R12" s="3">
        <f>P12/$Y$35*100</f>
        <v>39.941206543967276</v>
      </c>
      <c r="S12" s="3">
        <f>Q12/$Y$35*100</f>
        <v>19.31874381800198</v>
      </c>
      <c r="T12" s="3">
        <f t="shared" si="4"/>
        <v>25</v>
      </c>
      <c r="U12" s="158">
        <f t="shared" si="0"/>
        <v>20.3796</v>
      </c>
      <c r="V12" s="96">
        <f t="shared" si="7"/>
        <v>15.929559999999999</v>
      </c>
      <c r="W12">
        <f t="shared" si="8"/>
        <v>2.1361890410319998E-2</v>
      </c>
      <c r="X12" s="150">
        <f t="shared" si="10"/>
        <v>6.0958005649683674E-3</v>
      </c>
      <c r="Y12" s="150">
        <f t="shared" si="11"/>
        <v>3.1207096646162949E-3</v>
      </c>
      <c r="Z12" s="95">
        <f>$AF$46*(P12/$AF$28/100)^3</f>
        <v>0.28195005411935081</v>
      </c>
      <c r="AA12" s="147">
        <f>SQRT(Z12^3/4/$Y$37/$Y$38)</f>
        <v>1.4684291617572443</v>
      </c>
      <c r="AB12" s="97">
        <f t="shared" si="12"/>
        <v>9.2182656756196923</v>
      </c>
      <c r="AC12">
        <f>SQRT(Z12/$AF$38/$AF$39)</f>
        <v>10.416236069496557</v>
      </c>
      <c r="AD12" s="175">
        <f t="shared" si="6"/>
        <v>23.436531156367252</v>
      </c>
      <c r="AE12" s="175">
        <f>Q12/60*PI()*$AB$38/1000</f>
        <v>25.636141831964185</v>
      </c>
      <c r="AF12" s="158">
        <f t="shared" si="9"/>
        <v>2.4611713541169045</v>
      </c>
      <c r="AG12" s="151"/>
      <c r="AH12" s="95">
        <f>D12/$AF$29*$AF$24</f>
        <v>0.69444444444444442</v>
      </c>
      <c r="AI12" s="95">
        <f>AH12/$AF$24*$AF$29</f>
        <v>25</v>
      </c>
      <c r="AJ12" s="96" t="e">
        <f>MAX(($AF$32+$AG$32*LN($AI12)),0)</f>
        <v>#VALUE!</v>
      </c>
      <c r="AK12" s="96" t="e">
        <f>MAX(($AF$32+$AG$32*LN(AI12))/$AF$28,0)</f>
        <v>#VALUE!</v>
      </c>
      <c r="AL12" s="96" t="e">
        <f>($AF$33+$AG$33*AK12*$AF$28)/$AF$28</f>
        <v>#VALUE!</v>
      </c>
      <c r="AM12" s="96" t="e">
        <f>($AF$34+$AG$34*AL12*$AF$28)/$AF$28</f>
        <v>#VALUE!</v>
      </c>
      <c r="AN12" s="97" t="e">
        <f>AO12/$AF$28</f>
        <v>#VALUE!</v>
      </c>
      <c r="AO12" s="174" t="e">
        <f>MAX($AF$33+$AG$33*AJ12, 0)</f>
        <v>#VALUE!</v>
      </c>
      <c r="AP12" s="127" t="e">
        <f>MAX($AF$35+$AJ12*($AG$35+$AJ12*$AH$35), 0)</f>
        <v>#VALUE!</v>
      </c>
      <c r="AQ12" s="127" t="e">
        <f t="shared" si="13"/>
        <v>#VALUE!</v>
      </c>
      <c r="AR12" s="146" t="e">
        <f>MAX($AG$35+$AH$35*2*AJ12,1E-32)</f>
        <v>#VALUE!</v>
      </c>
      <c r="AS12" s="95" t="e">
        <f>$Y$31/AR12</f>
        <v>#VALUE!</v>
      </c>
      <c r="AT12" s="127"/>
      <c r="AU12" s="153"/>
      <c r="AV12" s="151"/>
      <c r="AX12" s="127"/>
      <c r="AY12" s="96"/>
    </row>
    <row r="13" spans="1:51" ht="13.9" customHeight="1" x14ac:dyDescent="0.25">
      <c r="A13" t="s">
        <v>226</v>
      </c>
      <c r="B13" s="176">
        <v>16</v>
      </c>
      <c r="C13" s="113">
        <f t="shared" si="1"/>
        <v>1.1944444444444444</v>
      </c>
      <c r="D13" s="73">
        <v>35</v>
      </c>
      <c r="E13" s="73">
        <v>0.98599999999999999</v>
      </c>
      <c r="F13" s="73">
        <v>13.69</v>
      </c>
      <c r="G13" s="73">
        <v>2.19</v>
      </c>
      <c r="H13" s="73">
        <v>2680</v>
      </c>
      <c r="I13" s="73">
        <v>4532</v>
      </c>
      <c r="J13" s="78">
        <v>6.04</v>
      </c>
      <c r="K13" s="2">
        <f>F13*G13</f>
        <v>29.981099999999998</v>
      </c>
      <c r="L13" s="1">
        <f t="shared" si="2"/>
        <v>35</v>
      </c>
      <c r="M13" s="1">
        <f t="shared" si="3"/>
        <v>3.5553480614894135</v>
      </c>
      <c r="N13" s="3">
        <f t="shared" si="5"/>
        <v>373.13432835820896</v>
      </c>
      <c r="O13" s="3">
        <f t="shared" si="5"/>
        <v>220.65313327449252</v>
      </c>
      <c r="P13" s="3">
        <f>N13*60/$Y$24</f>
        <v>22388.059701492537</v>
      </c>
      <c r="Q13" s="3">
        <f>O13*60/$Y$24</f>
        <v>13239.187996469551</v>
      </c>
      <c r="R13" s="3">
        <f>P13/$Y$35*100</f>
        <v>48.585199004975124</v>
      </c>
      <c r="S13" s="3">
        <f>Q13/$Y$35*100</f>
        <v>28.730876728449545</v>
      </c>
      <c r="T13" s="3">
        <f t="shared" si="4"/>
        <v>35</v>
      </c>
      <c r="U13" s="158">
        <f t="shared" si="0"/>
        <v>29.981099999999998</v>
      </c>
      <c r="V13" s="96">
        <f t="shared" si="7"/>
        <v>25.531059999999997</v>
      </c>
      <c r="W13">
        <f t="shared" si="8"/>
        <v>3.4237713143319998E-2</v>
      </c>
      <c r="X13" s="150">
        <f t="shared" si="10"/>
        <v>8.0318023011493427E-3</v>
      </c>
      <c r="Y13" s="150">
        <f t="shared" si="11"/>
        <v>5.0567114007972706E-3</v>
      </c>
      <c r="Z13" s="95">
        <f>$AF$46*(P13/$AF$28/100)^3</f>
        <v>0.50748195050056688</v>
      </c>
      <c r="AA13" s="147">
        <f>SQRT(Z13^3/4/$Y$37/$Y$38)</f>
        <v>3.5458930123707444</v>
      </c>
      <c r="AB13" s="97">
        <f t="shared" si="12"/>
        <v>13.888545999933982</v>
      </c>
      <c r="AC13">
        <f>SQRT(Z13/$AF$38/$AF$39)</f>
        <v>13.974459619196972</v>
      </c>
      <c r="AD13" s="175">
        <f t="shared" si="6"/>
        <v>31.442534143193186</v>
      </c>
      <c r="AE13" s="175">
        <f>Q13/60*PI()*$AB$38/1000</f>
        <v>38.126124436769338</v>
      </c>
      <c r="AF13" s="158">
        <f t="shared" si="9"/>
        <v>2.728271824149449</v>
      </c>
      <c r="AG13" s="151"/>
      <c r="AH13" s="95">
        <f>D13/$AF$29*$AF$24</f>
        <v>0.97222222222222221</v>
      </c>
      <c r="AI13" s="95">
        <f>AH13/$AF$24*$AF$29</f>
        <v>35</v>
      </c>
      <c r="AJ13" s="96" t="e">
        <f>MAX(($AF$32+$AG$32*LN($AI13)),0)</f>
        <v>#VALUE!</v>
      </c>
      <c r="AK13" s="96" t="e">
        <f>MAX(($AF$32+$AG$32*LN(AI13))/$AF$28,0)</f>
        <v>#VALUE!</v>
      </c>
      <c r="AL13" s="96" t="e">
        <f>($AF$33+$AG$33*AK13*$AF$28)/$AF$28</f>
        <v>#VALUE!</v>
      </c>
      <c r="AM13" s="96" t="e">
        <f>($AF$34+$AG$34*AL13*$AF$28)/$AF$28</f>
        <v>#VALUE!</v>
      </c>
      <c r="AN13" s="97" t="e">
        <f>AO13/$AF$28</f>
        <v>#VALUE!</v>
      </c>
      <c r="AO13" s="174" t="e">
        <f>MAX($AF$33+$AG$33*AJ13, 0)</f>
        <v>#VALUE!</v>
      </c>
      <c r="AP13" s="127" t="e">
        <f>MAX($AF$35+$AJ13*($AG$35+$AJ13*$AH$35), 0)</f>
        <v>#VALUE!</v>
      </c>
      <c r="AQ13" s="127" t="e">
        <f t="shared" si="13"/>
        <v>#VALUE!</v>
      </c>
      <c r="AR13" s="146" t="e">
        <f>MAX($AG$35+$AH$35*2*AJ13,1E-32)</f>
        <v>#VALUE!</v>
      </c>
      <c r="AS13" s="95" t="e">
        <f>$Y$31/AR13</f>
        <v>#VALUE!</v>
      </c>
      <c r="AT13" s="127"/>
      <c r="AU13" s="153"/>
      <c r="AV13" s="151"/>
      <c r="AX13" s="127"/>
      <c r="AY13" s="96"/>
    </row>
    <row r="14" spans="1:51" ht="13.9" customHeight="1" x14ac:dyDescent="0.25">
      <c r="A14" t="s">
        <v>227</v>
      </c>
      <c r="B14" s="176">
        <v>20</v>
      </c>
      <c r="C14" s="113">
        <f t="shared" si="1"/>
        <v>1.3</v>
      </c>
      <c r="D14" s="73">
        <v>54</v>
      </c>
      <c r="E14" s="73">
        <v>1.375</v>
      </c>
      <c r="F14" s="73">
        <v>13.62</v>
      </c>
      <c r="G14" s="73">
        <v>3.93</v>
      </c>
      <c r="H14" s="73">
        <v>2150</v>
      </c>
      <c r="I14" s="73">
        <v>3180</v>
      </c>
      <c r="J14" s="78">
        <v>8.24</v>
      </c>
      <c r="K14" s="2">
        <f>F14*G14</f>
        <v>53.526600000000002</v>
      </c>
      <c r="L14" s="1">
        <f t="shared" si="2"/>
        <v>54</v>
      </c>
      <c r="M14" s="1">
        <f t="shared" si="3"/>
        <v>3.9889840465642745</v>
      </c>
      <c r="N14" s="3">
        <f t="shared" si="5"/>
        <v>465.11627906976747</v>
      </c>
      <c r="O14" s="3">
        <f t="shared" si="5"/>
        <v>314.46540880503147</v>
      </c>
      <c r="P14" s="3">
        <f>N14*60/$Y$24</f>
        <v>27906.976744186049</v>
      </c>
      <c r="Q14" s="3">
        <f>O14*60/$Y$24</f>
        <v>18867.92452830189</v>
      </c>
      <c r="R14" s="3">
        <f>P14/$Y$35*100</f>
        <v>60.562015503875976</v>
      </c>
      <c r="S14" s="3">
        <f>Q14/$Y$35*100</f>
        <v>40.946016771488473</v>
      </c>
      <c r="T14" s="3">
        <f t="shared" si="4"/>
        <v>54</v>
      </c>
      <c r="U14" s="158">
        <f t="shared" si="0"/>
        <v>53.526600000000002</v>
      </c>
      <c r="V14" s="96">
        <f t="shared" si="7"/>
        <v>49.076560000000001</v>
      </c>
      <c r="W14">
        <f t="shared" si="8"/>
        <v>6.5812746644320005E-2</v>
      </c>
      <c r="X14" s="150">
        <f t="shared" si="10"/>
        <v>1.2385739542638876E-2</v>
      </c>
      <c r="Y14" s="150">
        <f t="shared" si="11"/>
        <v>9.4106486422868042E-3</v>
      </c>
      <c r="Z14" s="95">
        <f>$AF$46*(P14/$AF$28/100)^3</f>
        <v>0.98290060580504701</v>
      </c>
      <c r="AA14" s="147">
        <f>SQRT(Z14^3/4/$Y$37/$Y$38)</f>
        <v>9.5578262506065865</v>
      </c>
      <c r="AB14" s="97">
        <f t="shared" si="12"/>
        <v>19.475338635402696</v>
      </c>
      <c r="AC14">
        <f>SQRT(Z14/$AF$38/$AF$39)</f>
        <v>19.448205025325478</v>
      </c>
      <c r="AD14" s="175">
        <f t="shared" si="6"/>
        <v>43.758461306982326</v>
      </c>
      <c r="AE14" s="175">
        <f>Q14/60*PI()*$AB$38/1000</f>
        <v>54.335721996049891</v>
      </c>
      <c r="AF14" s="158">
        <f t="shared" si="9"/>
        <v>2.7938682220438258</v>
      </c>
      <c r="AG14" s="151"/>
      <c r="AH14" s="95">
        <f>D14/$AF$29*$AF$24</f>
        <v>1.5</v>
      </c>
      <c r="AI14" s="95">
        <f>AH14/$AF$24*$AF$29</f>
        <v>54</v>
      </c>
      <c r="AJ14" s="96" t="e">
        <f>MAX(($AF$32+$AG$32*LN($AI14)),0)</f>
        <v>#VALUE!</v>
      </c>
      <c r="AK14" s="96" t="e">
        <f>MAX(($AF$32+$AG$32*LN(AI14))/$AF$28,0)</f>
        <v>#VALUE!</v>
      </c>
      <c r="AL14" s="96" t="e">
        <f>($AF$33+$AG$33*AK14*$AF$28)/$AF$28</f>
        <v>#VALUE!</v>
      </c>
      <c r="AM14" s="96" t="e">
        <f>($AF$34+$AG$34*AL14*$AF$28)/$AF$28</f>
        <v>#VALUE!</v>
      </c>
      <c r="AN14" s="97" t="e">
        <f>AO14/$AF$28</f>
        <v>#VALUE!</v>
      </c>
      <c r="AO14" s="174" t="e">
        <f>MAX($AF$33+$AG$33*AJ14, 0)</f>
        <v>#VALUE!</v>
      </c>
      <c r="AP14" s="127" t="e">
        <f>MAX($AF$35+$AJ14*($AG$35+$AJ14*$AH$35), 0)</f>
        <v>#VALUE!</v>
      </c>
      <c r="AQ14" s="127" t="e">
        <f t="shared" si="13"/>
        <v>#VALUE!</v>
      </c>
      <c r="AR14" s="146" t="e">
        <f>MAX($AG$35+$AH$35*2*AJ14,1E-32)</f>
        <v>#VALUE!</v>
      </c>
      <c r="AS14" s="95" t="e">
        <f>$Y$31/AR14</f>
        <v>#VALUE!</v>
      </c>
      <c r="AT14" s="127"/>
      <c r="AU14" s="153"/>
      <c r="AV14" s="151"/>
      <c r="AX14" s="127"/>
      <c r="AY14" s="96"/>
    </row>
    <row r="15" spans="1:51" ht="13.9" customHeight="1" x14ac:dyDescent="0.25">
      <c r="A15" t="s">
        <v>228</v>
      </c>
      <c r="B15" s="176">
        <v>25</v>
      </c>
      <c r="C15" s="113">
        <f t="shared" si="1"/>
        <v>1.3555555555555556</v>
      </c>
      <c r="D15" s="140">
        <v>64</v>
      </c>
      <c r="E15" s="140">
        <v>1.41</v>
      </c>
      <c r="F15" s="73">
        <v>13.54</v>
      </c>
      <c r="G15" s="140">
        <v>4.6100000000000003</v>
      </c>
      <c r="H15" s="73">
        <v>2020</v>
      </c>
      <c r="I15" s="140">
        <v>2870</v>
      </c>
      <c r="J15" s="78">
        <v>9</v>
      </c>
      <c r="K15" s="2">
        <f>F15*G15</f>
        <v>62.419400000000003</v>
      </c>
      <c r="L15" s="1">
        <f t="shared" si="2"/>
        <v>64</v>
      </c>
      <c r="M15" s="1">
        <f t="shared" si="3"/>
        <v>4.1588830833596715</v>
      </c>
      <c r="N15" s="3">
        <f t="shared" si="5"/>
        <v>495.04950495049508</v>
      </c>
      <c r="O15" s="3">
        <f t="shared" si="5"/>
        <v>348.43205574912895</v>
      </c>
      <c r="P15" s="3">
        <f>N15*60/$Y$24</f>
        <v>29702.970297029704</v>
      </c>
      <c r="Q15" s="3">
        <f>O15*60/$Y$24</f>
        <v>20905.923344947736</v>
      </c>
      <c r="R15" s="3">
        <f>P15/$Y$35*100</f>
        <v>64.459570957095707</v>
      </c>
      <c r="S15" s="3">
        <f>Q15/$Y$35*100</f>
        <v>45.368757259001164</v>
      </c>
      <c r="T15" s="3">
        <f t="shared" si="4"/>
        <v>64</v>
      </c>
      <c r="U15" s="158">
        <f t="shared" si="0"/>
        <v>62.419400000000003</v>
      </c>
      <c r="V15" s="96">
        <f t="shared" si="7"/>
        <v>57.969360000000002</v>
      </c>
      <c r="W15">
        <f t="shared" si="8"/>
        <v>7.7738187085920007E-2</v>
      </c>
      <c r="X15" s="150">
        <f t="shared" si="10"/>
        <v>1.3745458938700147E-2</v>
      </c>
      <c r="Y15" s="150">
        <f t="shared" si="11"/>
        <v>1.0770368038348075E-2</v>
      </c>
      <c r="Z15" s="95">
        <f>$AF$46*(P15/$AF$28/100)^3</f>
        <v>1.1851433231911994</v>
      </c>
      <c r="AA15" s="147">
        <f>SQRT(Z15^3/4/$Y$37/$Y$38)</f>
        <v>12.654676236558226</v>
      </c>
      <c r="AB15" s="97">
        <f t="shared" si="12"/>
        <v>21.829939534537253</v>
      </c>
      <c r="AC15">
        <f>SQRT(Z15/$AF$38/$AF$39)</f>
        <v>21.355520448756128</v>
      </c>
      <c r="AD15" s="175">
        <f t="shared" si="6"/>
        <v>48.049921009701286</v>
      </c>
      <c r="AE15" s="175">
        <f>Q15/60*PI()*$AB$38/1000</f>
        <v>60.204737263915909</v>
      </c>
      <c r="AF15" s="158">
        <f t="shared" si="9"/>
        <v>2.819165068272667</v>
      </c>
      <c r="AG15" s="151"/>
      <c r="AH15" s="95"/>
      <c r="AI15" s="151">
        <v>70.201599999999999</v>
      </c>
      <c r="AJ15" s="152" t="e">
        <f>MAX(($AF$32+$AG$32*LN($AI15)),0)</f>
        <v>#VALUE!</v>
      </c>
      <c r="AK15" s="152" t="e">
        <f>MAX(($AF$32+$AG$32*LN(AI15))/$AF$28,0)</f>
        <v>#VALUE!</v>
      </c>
      <c r="AL15" s="152" t="e">
        <f>($AF$33+$AG$33*AK15*$AF$28)/$AF$28</f>
        <v>#VALUE!</v>
      </c>
      <c r="AM15" s="152" t="e">
        <f>($AF$34+$AG$34*AL15*$AF$28)/$AF$28</f>
        <v>#VALUE!</v>
      </c>
      <c r="AN15" s="173" t="e">
        <f>AO15/$AF$28</f>
        <v>#VALUE!</v>
      </c>
      <c r="AO15" s="8" t="e">
        <f>MAX($AF$33+$AG$33*AJ15, 0)</f>
        <v>#VALUE!</v>
      </c>
      <c r="AP15" s="150" t="e">
        <f>MAX($AF$35+$AJ15*($AG$35+$AJ15*$AH$35), 0)</f>
        <v>#VALUE!</v>
      </c>
      <c r="AQ15" s="150" t="e">
        <f t="shared" si="13"/>
        <v>#VALUE!</v>
      </c>
      <c r="AR15" s="153" t="e">
        <f>MAX($AG$35+$AH$35*2*AJ15,1E-32)</f>
        <v>#VALUE!</v>
      </c>
      <c r="AS15" s="151" t="e">
        <f>$Y$31/AR15</f>
        <v>#VALUE!</v>
      </c>
      <c r="AT15" s="150"/>
      <c r="AU15" s="153"/>
      <c r="AV15" s="151"/>
      <c r="AX15" s="150"/>
      <c r="AY15" s="152"/>
    </row>
    <row r="16" spans="1:51" ht="13.9" customHeight="1" x14ac:dyDescent="0.25">
      <c r="A16" t="s">
        <v>229</v>
      </c>
      <c r="B16" s="176">
        <v>36</v>
      </c>
      <c r="C16" s="113">
        <f t="shared" si="1"/>
        <v>1.4944444444444445</v>
      </c>
      <c r="D16" s="73">
        <v>89</v>
      </c>
      <c r="E16" s="73">
        <v>1.81</v>
      </c>
      <c r="F16" s="73">
        <v>13.45</v>
      </c>
      <c r="G16" s="73">
        <v>6.61</v>
      </c>
      <c r="H16" s="73">
        <v>1770</v>
      </c>
      <c r="I16" s="73">
        <v>2400</v>
      </c>
      <c r="J16" s="78">
        <v>10.8</v>
      </c>
      <c r="K16" s="2">
        <f>F16*G16</f>
        <v>88.904499999999999</v>
      </c>
      <c r="L16" s="1">
        <f t="shared" si="2"/>
        <v>89</v>
      </c>
      <c r="M16" s="1">
        <f t="shared" si="3"/>
        <v>4.4886363697321396</v>
      </c>
      <c r="N16" s="3">
        <f t="shared" si="5"/>
        <v>564.9717514124294</v>
      </c>
      <c r="O16" s="3">
        <f t="shared" si="5"/>
        <v>416.66666666666669</v>
      </c>
      <c r="P16" s="3">
        <f>N16*60/$Y$24</f>
        <v>33898.305084745763</v>
      </c>
      <c r="Q16" s="3">
        <f>O16*60/$Y$24</f>
        <v>25000</v>
      </c>
      <c r="R16" s="3">
        <f>P16/$Y$35*100</f>
        <v>73.56403013182674</v>
      </c>
      <c r="S16" s="3">
        <f>Q16/$Y$35*100</f>
        <v>54.253472222222221</v>
      </c>
      <c r="T16" s="3">
        <f t="shared" si="4"/>
        <v>89</v>
      </c>
      <c r="U16" s="158">
        <f t="shared" si="0"/>
        <v>88.904499999999999</v>
      </c>
      <c r="V16" s="96">
        <f t="shared" si="7"/>
        <v>84.454459999999997</v>
      </c>
      <c r="W16">
        <f t="shared" si="8"/>
        <v>0.11325528885812</v>
      </c>
      <c r="X16" s="150">
        <f t="shared" si="10"/>
        <v>1.7547094923943962E-2</v>
      </c>
      <c r="Y16" s="150">
        <f t="shared" si="11"/>
        <v>1.457200402359189E-2</v>
      </c>
      <c r="Z16" s="95">
        <f>$AF$46*(P16/$AF$28/100)^3</f>
        <v>1.7615914080107602</v>
      </c>
      <c r="AA16" s="147">
        <f>SQRT(Z16^3/4/$Y$37/$Y$38)</f>
        <v>22.932558091663331</v>
      </c>
      <c r="AB16" s="97">
        <f t="shared" si="12"/>
        <v>27.153756109107007</v>
      </c>
      <c r="AC16">
        <f>SQRT(Z16/$AF$38/$AF$39)</f>
        <v>26.036182950687113</v>
      </c>
      <c r="AD16" s="175">
        <f t="shared" si="6"/>
        <v>58.58141163904601</v>
      </c>
      <c r="AE16" s="175">
        <f>Q16/60*PI()*$AB$38/1000</f>
        <v>71.994831644766094</v>
      </c>
      <c r="AF16" s="158">
        <f t="shared" si="9"/>
        <v>2.7651838128932069</v>
      </c>
      <c r="AG16" s="151"/>
      <c r="AH16" s="95">
        <f>D16/$AF$29*$AF$24</f>
        <v>2.4722222222222223</v>
      </c>
      <c r="AI16" s="95">
        <f>AH16/$AF$24*$AF$29</f>
        <v>89</v>
      </c>
      <c r="AJ16" s="96" t="e">
        <f>MAX(($AF$32+$AG$32*LN($AI16)),0)</f>
        <v>#VALUE!</v>
      </c>
      <c r="AK16" s="96" t="e">
        <f>MAX(($AF$32+$AG$32*LN(AI16))/$AF$28,0)</f>
        <v>#VALUE!</v>
      </c>
      <c r="AL16" s="96" t="e">
        <f>($AF$33+$AG$33*AK16*$AF$28)/$AF$28</f>
        <v>#VALUE!</v>
      </c>
      <c r="AM16" s="96" t="e">
        <f>($AF$34+$AG$34*AL16*$AF$28)/$AF$28</f>
        <v>#VALUE!</v>
      </c>
      <c r="AN16" s="97" t="e">
        <f>AO16/$AF$28</f>
        <v>#VALUE!</v>
      </c>
      <c r="AO16" s="174" t="e">
        <f>MAX($AF$33+$AG$33*AJ16, 0)</f>
        <v>#VALUE!</v>
      </c>
      <c r="AP16" s="127" t="e">
        <f>MAX($AF$35+$AJ16*($AG$35+$AJ16*$AH$35), 0)</f>
        <v>#VALUE!</v>
      </c>
      <c r="AQ16" s="127" t="e">
        <f t="shared" si="13"/>
        <v>#VALUE!</v>
      </c>
      <c r="AR16" s="146" t="e">
        <f>MAX($AG$35+$AH$35*2*AJ16,1E-32)</f>
        <v>#VALUE!</v>
      </c>
      <c r="AS16" s="95" t="e">
        <f>$Y$31/AR16</f>
        <v>#VALUE!</v>
      </c>
      <c r="AT16" s="127"/>
      <c r="AU16" s="153"/>
      <c r="AV16" s="151"/>
      <c r="AX16" s="127"/>
      <c r="AY16" s="96"/>
    </row>
    <row r="17" spans="1:51" ht="13.9" customHeight="1" x14ac:dyDescent="0.25">
      <c r="A17" t="s">
        <v>230</v>
      </c>
      <c r="B17" s="176">
        <v>45</v>
      </c>
      <c r="C17" s="113">
        <f t="shared" si="1"/>
        <v>1.6944444444444444</v>
      </c>
      <c r="D17" s="73">
        <v>125</v>
      </c>
      <c r="E17" s="73">
        <v>2.16</v>
      </c>
      <c r="F17" s="73">
        <v>13.2</v>
      </c>
      <c r="G17" s="73">
        <v>10.3</v>
      </c>
      <c r="H17" s="73">
        <v>1520</v>
      </c>
      <c r="I17" s="73">
        <v>2000</v>
      </c>
      <c r="J17" s="78">
        <v>14</v>
      </c>
      <c r="K17" s="2">
        <f>F17*G17</f>
        <v>135.96</v>
      </c>
      <c r="L17" s="1">
        <f t="shared" si="2"/>
        <v>125</v>
      </c>
      <c r="M17" s="1">
        <f t="shared" si="3"/>
        <v>4.8283137373023015</v>
      </c>
      <c r="N17" s="3">
        <f t="shared" si="5"/>
        <v>657.89473684210532</v>
      </c>
      <c r="O17" s="3">
        <f t="shared" si="5"/>
        <v>500.00000000000006</v>
      </c>
      <c r="P17" s="3">
        <f>N17*60/$Y$24</f>
        <v>39473.68421052632</v>
      </c>
      <c r="Q17" s="3">
        <f>O17*60/$Y$24</f>
        <v>30000.000000000004</v>
      </c>
      <c r="R17" s="3">
        <f>P17/$Y$35*100</f>
        <v>85.663377192982466</v>
      </c>
      <c r="S17" s="3">
        <f>Q17/$Y$35*100</f>
        <v>65.104166666666671</v>
      </c>
      <c r="T17" s="3">
        <f t="shared" si="4"/>
        <v>125</v>
      </c>
      <c r="U17" s="158">
        <f t="shared" si="0"/>
        <v>135.96</v>
      </c>
      <c r="V17" s="96">
        <f t="shared" si="7"/>
        <v>131.50996000000001</v>
      </c>
      <c r="W17">
        <f t="shared" si="8"/>
        <v>0.17635774957912001</v>
      </c>
      <c r="X17" s="150">
        <f t="shared" si="10"/>
        <v>2.3464516153334967E-2</v>
      </c>
      <c r="Y17" s="150">
        <f t="shared" si="11"/>
        <v>2.0489425252982894E-2</v>
      </c>
      <c r="Z17" s="95">
        <f>$AF$46*(P17/$AF$28/100)^3</f>
        <v>2.7815970600379454</v>
      </c>
      <c r="AA17" s="147">
        <f>SQRT(Z17^3/4/$Y$37/$Y$38)</f>
        <v>45.502583489373642</v>
      </c>
      <c r="AB17" s="97">
        <f t="shared" si="12"/>
        <v>34.600104425074448</v>
      </c>
      <c r="AC17">
        <f>SQRT(Z17/$AF$38/$AF$39)</f>
        <v>32.716876317630934</v>
      </c>
      <c r="AD17" s="175">
        <f t="shared" si="6"/>
        <v>73.612971714669598</v>
      </c>
      <c r="AE17" s="175">
        <f>Q17/60*PI()*$AB$38/1000</f>
        <v>86.39379797371933</v>
      </c>
      <c r="AF17" s="163">
        <f t="shared" si="9"/>
        <v>2.6406493436282674</v>
      </c>
      <c r="AG17" s="159">
        <f>$AT$35/($AF$39*$AF$44*$AF$38*($AC17-$AF$45)^2/4/$AF17)/(PI()*$AF$44/60/($AC17-$AF$45))</f>
        <v>0</v>
      </c>
      <c r="AH17" s="95">
        <f>D17/$AF$29*$AF$24</f>
        <v>3.4722222222222223</v>
      </c>
      <c r="AI17" s="95">
        <f>AH17/$AF$24*$AF$29</f>
        <v>125</v>
      </c>
      <c r="AJ17" s="96" t="e">
        <f>MAX(($AF$32+$AG$32*LN($AI17)),0)</f>
        <v>#VALUE!</v>
      </c>
      <c r="AK17" s="96" t="e">
        <f>MAX(($AF$32+$AG$32*LN(AI17))/$AF$28,0)</f>
        <v>#VALUE!</v>
      </c>
      <c r="AL17" s="96" t="e">
        <f>($AF$33+$AG$33*AK17*$AF$28)/$AF$28</f>
        <v>#VALUE!</v>
      </c>
      <c r="AM17" s="96" t="e">
        <f>($AF$34+$AG$34*AL17*$AF$28)/$AF$28</f>
        <v>#VALUE!</v>
      </c>
      <c r="AN17" s="97" t="e">
        <f>AO17/$AF$28</f>
        <v>#VALUE!</v>
      </c>
      <c r="AO17" s="174" t="e">
        <f>MAX($AF$33+$AG$33*AJ17, 0)</f>
        <v>#VALUE!</v>
      </c>
      <c r="AP17" s="127" t="e">
        <f>MAX($AF$35+$AJ17*($AG$35+$AJ17*$AH$35), 0)</f>
        <v>#VALUE!</v>
      </c>
      <c r="AQ17" s="127" t="e">
        <f t="shared" si="13"/>
        <v>#VALUE!</v>
      </c>
      <c r="AR17" s="146" t="e">
        <f>MAX($AG$35+$AH$35*2*AJ17,1E-32)</f>
        <v>#VALUE!</v>
      </c>
      <c r="AS17" s="95" t="e">
        <f>$Y$31/AR17</f>
        <v>#VALUE!</v>
      </c>
      <c r="AT17" s="127"/>
      <c r="AU17" s="153"/>
      <c r="AV17" s="134"/>
      <c r="AX17" s="127"/>
      <c r="AY17" s="96"/>
    </row>
    <row r="18" spans="1:51" ht="13.9" customHeight="1" x14ac:dyDescent="0.25">
      <c r="A18" t="s">
        <v>231</v>
      </c>
      <c r="B18" s="176">
        <v>50</v>
      </c>
      <c r="C18" s="113">
        <f t="shared" si="1"/>
        <v>1</v>
      </c>
      <c r="D18" s="73"/>
      <c r="E18" s="73"/>
      <c r="F18" s="73"/>
      <c r="G18" s="73"/>
      <c r="H18" s="148">
        <v>1.0000000000000001E+32</v>
      </c>
      <c r="I18" s="105">
        <v>1.0000000000000001E+32</v>
      </c>
      <c r="J18" s="78"/>
      <c r="K18" s="2">
        <f t="shared" ref="K18:K21" si="14">F18*G18</f>
        <v>0</v>
      </c>
      <c r="L18" s="1">
        <f t="shared" ref="L18:L21" si="15">D18</f>
        <v>0</v>
      </c>
      <c r="M18" s="1" t="e">
        <f t="shared" ref="M18:M21" si="16">LN(L18)</f>
        <v>#NUM!</v>
      </c>
      <c r="N18" s="3">
        <f t="shared" ref="N18:N21" si="17">1/H18/0.000001</f>
        <v>9.999999999999999E-27</v>
      </c>
      <c r="O18" s="3">
        <f t="shared" ref="O18:O21" si="18">1/I18/0.000001</f>
        <v>9.999999999999999E-27</v>
      </c>
      <c r="P18" s="3">
        <f>N18*60/$Y$24</f>
        <v>5.9999999999999995E-25</v>
      </c>
      <c r="Q18" s="3">
        <f>O18*60/$Y$24</f>
        <v>5.9999999999999995E-25</v>
      </c>
      <c r="R18" s="3">
        <f>P18/$Y$35*100</f>
        <v>1.3020833333333332E-27</v>
      </c>
      <c r="S18" s="3">
        <f>Q18/$Y$35*100</f>
        <v>1.3020833333333332E-27</v>
      </c>
      <c r="T18" s="3">
        <f t="shared" ref="T18:T21" si="19">L18</f>
        <v>0</v>
      </c>
      <c r="U18" s="158">
        <f t="shared" ref="U18:U21" si="20">K18</f>
        <v>0</v>
      </c>
      <c r="V18" s="96">
        <f t="shared" si="7"/>
        <v>-4.4500400000000004</v>
      </c>
      <c r="W18">
        <f t="shared" si="8"/>
        <v>-5.9676015408800008E-3</v>
      </c>
      <c r="X18" s="150">
        <f t="shared" si="10"/>
        <v>-5.2236405487836276E+25</v>
      </c>
      <c r="Y18" s="150">
        <f t="shared" ref="Y18:Y21" si="21">X18-$X$10</f>
        <v>-5.2236405487836276E+25</v>
      </c>
      <c r="Z18" s="95">
        <f>$AF$46*(P18/$AF$28/100)^3</f>
        <v>9.76843480821773E-87</v>
      </c>
      <c r="AA18" s="147">
        <f>SQRT(Z18^3/4/$Y$37/$Y$38)</f>
        <v>9.469612348787209E-129</v>
      </c>
      <c r="AB18" s="97">
        <f t="shared" ref="AB18:AB21" si="22">AA18/V18*100</f>
        <v>-2.1279836470654666E-127</v>
      </c>
      <c r="AC18">
        <f>SQRT(Z18/$AF$38/$AF$39)</f>
        <v>1.9388187636407961E-42</v>
      </c>
      <c r="AD18" s="175">
        <f t="shared" ref="AD18:AD21" si="23">AC18*1/1.6/1000*3600</f>
        <v>4.3623422181917907E-42</v>
      </c>
      <c r="AE18" s="175">
        <f>Q18/60*PI()*$AB$38/1000</f>
        <v>1.7278759594743859E-27</v>
      </c>
      <c r="AF18" s="163">
        <f t="shared" ref="AF18:AF21" si="24">AE18/AC18</f>
        <v>891200349345550.5</v>
      </c>
      <c r="AG18" s="159">
        <f>$AT$35/($AF$39*$AF$44*$AF$38*($AC18-$AF$45)^2/4/$AF18)/(PI()*$AF$44/60/($AC18-$AF$45))</f>
        <v>0</v>
      </c>
      <c r="AH18" s="95">
        <f>D18/$AF$29*$AF$24</f>
        <v>0</v>
      </c>
      <c r="AI18" s="95">
        <f>AH18/$AF$24*$AF$29</f>
        <v>0</v>
      </c>
      <c r="AJ18" s="96" t="e">
        <f>MAX(($AF$32+$AG$32*LN($AI18)),0)</f>
        <v>#VALUE!</v>
      </c>
      <c r="AK18" s="96" t="e">
        <f>MAX(($AF$32+$AG$32*LN(AI18))/$AF$28,0)</f>
        <v>#VALUE!</v>
      </c>
      <c r="AL18" s="96" t="e">
        <f>($AF$33+$AG$33*AK18*$AF$28)/$AF$28</f>
        <v>#VALUE!</v>
      </c>
      <c r="AM18" s="96" t="e">
        <f>($AF$34+$AG$34*AL18*$AF$28)/$AF$28</f>
        <v>#VALUE!</v>
      </c>
      <c r="AN18" s="97" t="e">
        <f>AO18/$AF$28</f>
        <v>#VALUE!</v>
      </c>
      <c r="AO18" s="174" t="e">
        <f>MAX($AF$33+$AG$33*AJ18, 0)</f>
        <v>#VALUE!</v>
      </c>
      <c r="AP18" s="127" t="e">
        <f>MAX($AF$35+$AJ18*($AG$35+$AJ18*$AH$35), 0)</f>
        <v>#VALUE!</v>
      </c>
      <c r="AQ18" s="127" t="e">
        <f t="shared" ref="AQ18:AQ21" si="25">AJ18*AP18/5252</f>
        <v>#VALUE!</v>
      </c>
      <c r="AR18" s="146" t="e">
        <f>MAX($AG$35+$AH$35*2*AJ18,1E-32)</f>
        <v>#VALUE!</v>
      </c>
      <c r="AS18" s="95" t="e">
        <f>$Y$31/AR18</f>
        <v>#VALUE!</v>
      </c>
      <c r="AT18" s="127"/>
      <c r="AU18" s="153"/>
      <c r="AV18" s="134"/>
      <c r="AX18" s="127"/>
      <c r="AY18" s="96"/>
    </row>
    <row r="19" spans="1:51" ht="13.9" customHeight="1" x14ac:dyDescent="0.25">
      <c r="A19" t="s">
        <v>232</v>
      </c>
      <c r="B19" s="176">
        <v>52</v>
      </c>
      <c r="C19" s="113">
        <f t="shared" si="1"/>
        <v>1</v>
      </c>
      <c r="D19" s="73"/>
      <c r="E19" s="73"/>
      <c r="F19" s="73"/>
      <c r="G19" s="73"/>
      <c r="H19" s="148">
        <v>1.0000000000000001E+32</v>
      </c>
      <c r="I19" s="105">
        <v>1.0000000000000001E+32</v>
      </c>
      <c r="J19" s="78"/>
      <c r="K19" s="2">
        <f t="shared" si="14"/>
        <v>0</v>
      </c>
      <c r="L19" s="1">
        <f t="shared" si="15"/>
        <v>0</v>
      </c>
      <c r="M19" s="1" t="e">
        <f t="shared" si="16"/>
        <v>#NUM!</v>
      </c>
      <c r="N19" s="3">
        <f t="shared" si="17"/>
        <v>9.999999999999999E-27</v>
      </c>
      <c r="O19" s="3">
        <f t="shared" si="18"/>
        <v>9.999999999999999E-27</v>
      </c>
      <c r="P19" s="3">
        <f>N19*60/$Y$24</f>
        <v>5.9999999999999995E-25</v>
      </c>
      <c r="Q19" s="3">
        <f>O19*60/$Y$24</f>
        <v>5.9999999999999995E-25</v>
      </c>
      <c r="R19" s="3">
        <f>P19/$Y$35*100</f>
        <v>1.3020833333333332E-27</v>
      </c>
      <c r="S19" s="3">
        <f>Q19/$Y$35*100</f>
        <v>1.3020833333333332E-27</v>
      </c>
      <c r="T19" s="3">
        <f t="shared" si="19"/>
        <v>0</v>
      </c>
      <c r="U19" s="158">
        <f t="shared" si="20"/>
        <v>0</v>
      </c>
      <c r="V19" s="96">
        <f t="shared" si="7"/>
        <v>-4.4500400000000004</v>
      </c>
      <c r="W19">
        <f t="shared" si="8"/>
        <v>-5.9676015408800008E-3</v>
      </c>
      <c r="X19" s="150">
        <f t="shared" si="10"/>
        <v>-5.2236405487836276E+25</v>
      </c>
      <c r="Y19" s="150">
        <f t="shared" si="21"/>
        <v>-5.2236405487836276E+25</v>
      </c>
      <c r="Z19" s="95">
        <f>$AF$46*(P19/$AF$28/100)^3</f>
        <v>9.76843480821773E-87</v>
      </c>
      <c r="AA19" s="147">
        <f>SQRT(Z19^3/4/$Y$37/$Y$38)</f>
        <v>9.469612348787209E-129</v>
      </c>
      <c r="AB19" s="97">
        <f t="shared" si="22"/>
        <v>-2.1279836470654666E-127</v>
      </c>
      <c r="AC19">
        <f>SQRT(Z19/$AF$38/$AF$39)</f>
        <v>1.9388187636407961E-42</v>
      </c>
      <c r="AD19" s="175">
        <f t="shared" si="23"/>
        <v>4.3623422181917907E-42</v>
      </c>
      <c r="AE19" s="175">
        <f>Q19/60*PI()*$AB$38/1000</f>
        <v>1.7278759594743859E-27</v>
      </c>
      <c r="AF19" s="163">
        <f t="shared" si="24"/>
        <v>891200349345550.5</v>
      </c>
      <c r="AG19" s="159">
        <f>$AT$35/($AF$39*$AF$44*$AF$38*($AC19-$AF$45)^2/4/$AF19)/(PI()*$AF$44/60/($AC19-$AF$45))</f>
        <v>0</v>
      </c>
      <c r="AH19" s="95">
        <f>D19/$AF$29*$AF$24</f>
        <v>0</v>
      </c>
      <c r="AI19" s="95">
        <f>AH19/$AF$24*$AF$29</f>
        <v>0</v>
      </c>
      <c r="AJ19" s="96" t="e">
        <f>MAX(($AF$32+$AG$32*LN($AI19)),0)</f>
        <v>#VALUE!</v>
      </c>
      <c r="AK19" s="96" t="e">
        <f>MAX(($AF$32+$AG$32*LN(AI19))/$AF$28,0)</f>
        <v>#VALUE!</v>
      </c>
      <c r="AL19" s="96" t="e">
        <f>($AF$33+$AG$33*AK19*$AF$28)/$AF$28</f>
        <v>#VALUE!</v>
      </c>
      <c r="AM19" s="96" t="e">
        <f>($AF$34+$AG$34*AL19*$AF$28)/$AF$28</f>
        <v>#VALUE!</v>
      </c>
      <c r="AN19" s="97" t="e">
        <f>AO19/$AF$28</f>
        <v>#VALUE!</v>
      </c>
      <c r="AO19" s="174" t="e">
        <f>MAX($AF$33+$AG$33*AJ19, 0)</f>
        <v>#VALUE!</v>
      </c>
      <c r="AP19" s="127" t="e">
        <f>MAX($AF$35+$AJ19*($AG$35+$AJ19*$AH$35), 0)</f>
        <v>#VALUE!</v>
      </c>
      <c r="AQ19" s="127" t="e">
        <f t="shared" si="25"/>
        <v>#VALUE!</v>
      </c>
      <c r="AR19" s="146" t="e">
        <f>MAX($AG$35+$AH$35*2*AJ19,1E-32)</f>
        <v>#VALUE!</v>
      </c>
      <c r="AS19" s="95" t="e">
        <f>$Y$31/AR19</f>
        <v>#VALUE!</v>
      </c>
      <c r="AT19" s="127"/>
      <c r="AU19" s="153"/>
      <c r="AV19" s="134"/>
      <c r="AX19" s="127"/>
      <c r="AY19" s="96"/>
    </row>
    <row r="20" spans="1:51" ht="13.9" customHeight="1" x14ac:dyDescent="0.25">
      <c r="A20" t="s">
        <v>233</v>
      </c>
      <c r="B20" s="176">
        <v>55</v>
      </c>
      <c r="C20" s="113">
        <f t="shared" si="1"/>
        <v>1</v>
      </c>
      <c r="D20" s="73"/>
      <c r="E20" s="73"/>
      <c r="F20" s="73"/>
      <c r="G20" s="73"/>
      <c r="H20" s="148">
        <v>1.0000000000000001E+32</v>
      </c>
      <c r="I20" s="105">
        <v>1.0000000000000001E+32</v>
      </c>
      <c r="J20" s="78"/>
      <c r="K20" s="2">
        <f t="shared" si="14"/>
        <v>0</v>
      </c>
      <c r="L20" s="1">
        <f t="shared" si="15"/>
        <v>0</v>
      </c>
      <c r="M20" s="1" t="e">
        <f t="shared" si="16"/>
        <v>#NUM!</v>
      </c>
      <c r="N20" s="3">
        <f t="shared" si="17"/>
        <v>9.999999999999999E-27</v>
      </c>
      <c r="O20" s="3">
        <f t="shared" si="18"/>
        <v>9.999999999999999E-27</v>
      </c>
      <c r="P20" s="3">
        <f>N20*60/$Y$24</f>
        <v>5.9999999999999995E-25</v>
      </c>
      <c r="Q20" s="3">
        <f>O20*60/$Y$24</f>
        <v>5.9999999999999995E-25</v>
      </c>
      <c r="R20" s="3">
        <f>P20/$Y$35*100</f>
        <v>1.3020833333333332E-27</v>
      </c>
      <c r="S20" s="3">
        <f>Q20/$Y$35*100</f>
        <v>1.3020833333333332E-27</v>
      </c>
      <c r="T20" s="3">
        <f t="shared" si="19"/>
        <v>0</v>
      </c>
      <c r="U20" s="158">
        <f t="shared" si="20"/>
        <v>0</v>
      </c>
      <c r="V20" s="96">
        <f t="shared" si="7"/>
        <v>-4.4500400000000004</v>
      </c>
      <c r="W20">
        <f t="shared" si="8"/>
        <v>-5.9676015408800008E-3</v>
      </c>
      <c r="X20" s="150">
        <f t="shared" si="10"/>
        <v>-5.2236405487836276E+25</v>
      </c>
      <c r="Y20" s="150">
        <f t="shared" si="21"/>
        <v>-5.2236405487836276E+25</v>
      </c>
      <c r="Z20" s="95">
        <f>$AF$46*(P20/$AF$28/100)^3</f>
        <v>9.76843480821773E-87</v>
      </c>
      <c r="AA20" s="147">
        <f>SQRT(Z20^3/4/$Y$37/$Y$38)</f>
        <v>9.469612348787209E-129</v>
      </c>
      <c r="AB20" s="97">
        <f t="shared" si="22"/>
        <v>-2.1279836470654666E-127</v>
      </c>
      <c r="AC20">
        <f>SQRT(Z20/$AF$38/$AF$39)</f>
        <v>1.9388187636407961E-42</v>
      </c>
      <c r="AD20" s="175">
        <f t="shared" si="23"/>
        <v>4.3623422181917907E-42</v>
      </c>
      <c r="AE20" s="175">
        <f>Q20/60*PI()*$AB$38/1000</f>
        <v>1.7278759594743859E-27</v>
      </c>
      <c r="AF20" s="163">
        <f t="shared" si="24"/>
        <v>891200349345550.5</v>
      </c>
      <c r="AG20" s="159">
        <f>$AT$35/($AF$39*$AF$44*$AF$38*($AC20-$AF$45)^2/4/$AF20)/(PI()*$AF$44/60/($AC20-$AF$45))</f>
        <v>0</v>
      </c>
      <c r="AH20" s="95">
        <f>D20/$AF$29*$AF$24</f>
        <v>0</v>
      </c>
      <c r="AI20" s="95">
        <f>AH20/$AF$24*$AF$29</f>
        <v>0</v>
      </c>
      <c r="AJ20" s="96" t="e">
        <f>MAX(($AF$32+$AG$32*LN($AI20)),0)</f>
        <v>#VALUE!</v>
      </c>
      <c r="AK20" s="96" t="e">
        <f>MAX(($AF$32+$AG$32*LN(AI20))/$AF$28,0)</f>
        <v>#VALUE!</v>
      </c>
      <c r="AL20" s="96" t="e">
        <f>($AF$33+$AG$33*AK20*$AF$28)/$AF$28</f>
        <v>#VALUE!</v>
      </c>
      <c r="AM20" s="96" t="e">
        <f>($AF$34+$AG$34*AL20*$AF$28)/$AF$28</f>
        <v>#VALUE!</v>
      </c>
      <c r="AN20" s="97" t="e">
        <f>AO20/$AF$28</f>
        <v>#VALUE!</v>
      </c>
      <c r="AO20" s="174" t="e">
        <f>MAX($AF$33+$AG$33*AJ20, 0)</f>
        <v>#VALUE!</v>
      </c>
      <c r="AP20" s="127" t="e">
        <f>MAX($AF$35+$AJ20*($AG$35+$AJ20*$AH$35), 0)</f>
        <v>#VALUE!</v>
      </c>
      <c r="AQ20" s="127" t="e">
        <f t="shared" si="25"/>
        <v>#VALUE!</v>
      </c>
      <c r="AR20" s="146" t="e">
        <f>MAX($AG$35+$AH$35*2*AJ20,1E-32)</f>
        <v>#VALUE!</v>
      </c>
      <c r="AS20" s="95" t="e">
        <f>$Y$31/AR20</f>
        <v>#VALUE!</v>
      </c>
      <c r="AT20" s="127"/>
      <c r="AU20" s="153"/>
      <c r="AV20" s="134"/>
      <c r="AX20" s="127"/>
      <c r="AY20" s="96"/>
    </row>
    <row r="21" spans="1:51" ht="13.9" customHeight="1" x14ac:dyDescent="0.25">
      <c r="A21" t="s">
        <v>233</v>
      </c>
      <c r="B21" s="176">
        <v>62</v>
      </c>
      <c r="C21" s="113">
        <f t="shared" si="1"/>
        <v>1</v>
      </c>
      <c r="D21" s="73"/>
      <c r="E21" s="73"/>
      <c r="F21" s="73"/>
      <c r="G21" s="73"/>
      <c r="H21" s="148">
        <v>1.0000000000000001E+32</v>
      </c>
      <c r="I21" s="105">
        <v>1.0000000000000001E+32</v>
      </c>
      <c r="J21" s="78"/>
      <c r="K21" s="2">
        <f t="shared" si="14"/>
        <v>0</v>
      </c>
      <c r="L21" s="1">
        <f t="shared" si="15"/>
        <v>0</v>
      </c>
      <c r="M21" s="1" t="e">
        <f t="shared" si="16"/>
        <v>#NUM!</v>
      </c>
      <c r="N21" s="3">
        <f t="shared" si="17"/>
        <v>9.999999999999999E-27</v>
      </c>
      <c r="O21" s="3">
        <f t="shared" si="18"/>
        <v>9.999999999999999E-27</v>
      </c>
      <c r="P21" s="3">
        <f>N21*60/$Y$24</f>
        <v>5.9999999999999995E-25</v>
      </c>
      <c r="Q21" s="3">
        <f>O21*60/$Y$24</f>
        <v>5.9999999999999995E-25</v>
      </c>
      <c r="R21" s="3">
        <f>P21/$Y$35*100</f>
        <v>1.3020833333333332E-27</v>
      </c>
      <c r="S21" s="3">
        <f>Q21/$Y$35*100</f>
        <v>1.3020833333333332E-27</v>
      </c>
      <c r="T21" s="3">
        <f t="shared" si="19"/>
        <v>0</v>
      </c>
      <c r="U21" s="158">
        <f t="shared" si="20"/>
        <v>0</v>
      </c>
      <c r="V21" s="96">
        <f t="shared" si="7"/>
        <v>-4.4500400000000004</v>
      </c>
      <c r="W21">
        <f t="shared" si="8"/>
        <v>-5.9676015408800008E-3</v>
      </c>
      <c r="X21" s="150">
        <f t="shared" si="10"/>
        <v>-5.2236405487836276E+25</v>
      </c>
      <c r="Y21" s="150">
        <f t="shared" si="21"/>
        <v>-5.2236405487836276E+25</v>
      </c>
      <c r="Z21" s="95">
        <f>$AF$46*(P21/$AF$28/100)^3</f>
        <v>9.76843480821773E-87</v>
      </c>
      <c r="AA21" s="147">
        <f>SQRT(Z21^3/4/$Y$37/$Y$38)</f>
        <v>9.469612348787209E-129</v>
      </c>
      <c r="AB21" s="97">
        <f t="shared" si="22"/>
        <v>-2.1279836470654666E-127</v>
      </c>
      <c r="AC21">
        <f>SQRT(Z21/$AF$38/$AF$39)</f>
        <v>1.9388187636407961E-42</v>
      </c>
      <c r="AD21" s="175">
        <f t="shared" si="23"/>
        <v>4.3623422181917907E-42</v>
      </c>
      <c r="AE21" s="175">
        <f>Q21/60*PI()*$AB$38/1000</f>
        <v>1.7278759594743859E-27</v>
      </c>
      <c r="AF21" s="163">
        <f t="shared" si="24"/>
        <v>891200349345550.5</v>
      </c>
      <c r="AG21" s="159">
        <f>$AT$35/($AF$39*$AF$44*$AF$38*($AC21-$AF$45)^2/4/$AF21)/(PI()*$AF$44/60/($AC21-$AF$45))</f>
        <v>0</v>
      </c>
      <c r="AH21" s="95">
        <f>D21/$AF$29*$AF$24</f>
        <v>0</v>
      </c>
      <c r="AI21" s="95">
        <f>AH21/$AF$24*$AF$29</f>
        <v>0</v>
      </c>
      <c r="AJ21" s="96" t="e">
        <f>MAX(($AF$32+$AG$32*LN($AI21)),0)</f>
        <v>#VALUE!</v>
      </c>
      <c r="AK21" s="96" t="e">
        <f>MAX(($AF$32+$AG$32*LN(AI21))/$AF$28,0)</f>
        <v>#VALUE!</v>
      </c>
      <c r="AL21" s="96" t="e">
        <f>($AF$33+$AG$33*AK21*$AF$28)/$AF$28</f>
        <v>#VALUE!</v>
      </c>
      <c r="AM21" s="96" t="e">
        <f>($AF$34+$AG$34*AL21*$AF$28)/$AF$28</f>
        <v>#VALUE!</v>
      </c>
      <c r="AN21" s="97" t="e">
        <f>AO21/$AF$28</f>
        <v>#VALUE!</v>
      </c>
      <c r="AO21" s="174" t="e">
        <f>MAX($AF$33+$AG$33*AJ21, 0)</f>
        <v>#VALUE!</v>
      </c>
      <c r="AP21" s="127" t="e">
        <f>MAX($AF$35+$AJ21*($AG$35+$AJ21*$AH$35), 0)</f>
        <v>#VALUE!</v>
      </c>
      <c r="AQ21" s="127" t="e">
        <f t="shared" si="25"/>
        <v>#VALUE!</v>
      </c>
      <c r="AR21" s="146" t="e">
        <f>MAX($AG$35+$AH$35*2*AJ21,1E-32)</f>
        <v>#VALUE!</v>
      </c>
      <c r="AS21" s="95" t="e">
        <f>$Y$31/AR21</f>
        <v>#VALUE!</v>
      </c>
      <c r="AT21" s="127"/>
      <c r="AU21" s="153"/>
      <c r="AV21" s="134"/>
      <c r="AX21" s="127"/>
      <c r="AY21" s="96"/>
    </row>
    <row r="22" spans="1:51" ht="13.9" customHeight="1" thickBot="1" x14ac:dyDescent="0.3">
      <c r="A22" t="s">
        <v>234</v>
      </c>
      <c r="B22" t="s">
        <v>235</v>
      </c>
      <c r="C22" s="116">
        <f t="shared" si="1"/>
        <v>1.9166666666666665</v>
      </c>
      <c r="D22" s="80">
        <v>165</v>
      </c>
      <c r="E22" s="80">
        <v>2.63</v>
      </c>
      <c r="F22" s="80">
        <v>12.75</v>
      </c>
      <c r="G22" s="80">
        <v>16.399999999999999</v>
      </c>
      <c r="H22" s="80">
        <v>1316</v>
      </c>
      <c r="I22" s="80">
        <v>1680</v>
      </c>
      <c r="J22" s="81">
        <v>17.2</v>
      </c>
      <c r="K22" s="2">
        <f>F22*G22</f>
        <v>209.1</v>
      </c>
      <c r="L22" s="1">
        <f t="shared" si="2"/>
        <v>165</v>
      </c>
      <c r="M22" s="1">
        <f t="shared" si="3"/>
        <v>5.1059454739005803</v>
      </c>
      <c r="N22" s="3">
        <f t="shared" si="5"/>
        <v>759.87841945288756</v>
      </c>
      <c r="O22" s="3">
        <f t="shared" si="5"/>
        <v>595.2380952380953</v>
      </c>
      <c r="P22" s="3">
        <f>N22*60/$Y$24</f>
        <v>45592.705167173255</v>
      </c>
      <c r="Q22" s="3">
        <f>O22*60/$Y$24</f>
        <v>35714.285714285717</v>
      </c>
      <c r="R22" s="3">
        <f>P22/$Y$35*100</f>
        <v>98.942502532928074</v>
      </c>
      <c r="S22" s="3">
        <f>Q22/$Y$35*100</f>
        <v>77.504960317460331</v>
      </c>
      <c r="T22" s="3">
        <f t="shared" si="4"/>
        <v>165</v>
      </c>
      <c r="U22" s="158">
        <f t="shared" si="0"/>
        <v>209.1</v>
      </c>
      <c r="V22" s="96">
        <f t="shared" si="7"/>
        <v>204.64995999999999</v>
      </c>
      <c r="W22">
        <f t="shared" si="8"/>
        <v>0.27444009865912</v>
      </c>
      <c r="X22" s="150">
        <f t="shared" si="10"/>
        <v>3.1613816132925514E-2</v>
      </c>
      <c r="Y22" s="150">
        <f t="shared" si="11"/>
        <v>2.863872523257344E-2</v>
      </c>
      <c r="Z22" s="134">
        <f>$AA$36</f>
        <v>4.4249528005034611</v>
      </c>
      <c r="AA22" s="147">
        <f>SQRT(Z22^3/4/$Y$37/$Y$38)</f>
        <v>91.297248929319878</v>
      </c>
      <c r="AB22" s="97">
        <f t="shared" si="12"/>
        <v>44.611417920296624</v>
      </c>
      <c r="AC22">
        <f>SQRT(Z22/$AF$38/$AF$39)</f>
        <v>41.264733453849395</v>
      </c>
      <c r="AD22" s="175">
        <f>AC22*1/1.6/1000*3600</f>
        <v>92.845650271161119</v>
      </c>
      <c r="AE22" s="175">
        <f>Q22/60*PI()*$AB$38/1000</f>
        <v>102.84975949252301</v>
      </c>
      <c r="AF22" s="165">
        <f t="shared" si="9"/>
        <v>2.4924372674683695</v>
      </c>
      <c r="AG22" s="151"/>
      <c r="AH22" s="95">
        <f>D22/$AF$29*$AF$24</f>
        <v>4.583333333333333</v>
      </c>
      <c r="AI22" s="95">
        <f>AH22/$AF$24*$AF$29</f>
        <v>165</v>
      </c>
      <c r="AJ22" s="96" t="e">
        <f>MAX(($AF$32+$AG$32*LN($AI22)),0)</f>
        <v>#VALUE!</v>
      </c>
      <c r="AK22" s="96" t="e">
        <f>MAX(($AF$32+$AG$32*LN(AI22))/$AF$28,0)</f>
        <v>#VALUE!</v>
      </c>
      <c r="AL22" s="96" t="e">
        <f>($AF$33+$AG$33*AK22*$AF$28)/$AF$28</f>
        <v>#VALUE!</v>
      </c>
      <c r="AM22" s="96" t="e">
        <f>($AF$34+$AG$34*AL22*$AF$28)/$AF$28</f>
        <v>#VALUE!</v>
      </c>
      <c r="AN22" s="97" t="e">
        <f>AO22/$AF$28</f>
        <v>#VALUE!</v>
      </c>
      <c r="AO22" s="174" t="e">
        <f>MAX($AF$33+$AG$33*AJ22, 0)</f>
        <v>#VALUE!</v>
      </c>
      <c r="AP22" s="127" t="e">
        <f>MAX($AF$35+$AJ22*($AG$35+$AJ22*$AH$35), 0)</f>
        <v>#VALUE!</v>
      </c>
      <c r="AQ22" s="127" t="e">
        <f t="shared" si="13"/>
        <v>#VALUE!</v>
      </c>
      <c r="AR22" s="146" t="e">
        <f>MAX($AG$35+$AH$35*2*AJ22,1E-32)</f>
        <v>#VALUE!</v>
      </c>
      <c r="AS22" s="95" t="e">
        <f>$Y$31/AR22</f>
        <v>#VALUE!</v>
      </c>
      <c r="AT22" s="127"/>
      <c r="AU22" s="153"/>
      <c r="AV22" s="151"/>
      <c r="AX22" s="127"/>
      <c r="AY22" s="96"/>
    </row>
    <row r="23" spans="1:51" ht="13.9" customHeight="1" thickBot="1" x14ac:dyDescent="0.3">
      <c r="X23" t="s">
        <v>32</v>
      </c>
      <c r="AA23" t="s">
        <v>33</v>
      </c>
      <c r="AE23" s="5" t="s">
        <v>56</v>
      </c>
      <c r="AF23" s="5"/>
      <c r="AG23" s="5"/>
      <c r="AH23" s="5"/>
    </row>
    <row r="24" spans="1:51" ht="13.9" customHeight="1" x14ac:dyDescent="0.25">
      <c r="F24" s="61"/>
      <c r="G24" s="61"/>
      <c r="H24" s="61"/>
      <c r="I24" s="61"/>
      <c r="J24" s="61"/>
      <c r="K24" s="187"/>
      <c r="L24" s="61"/>
      <c r="M24" s="61"/>
      <c r="N24" s="188"/>
      <c r="O24" s="188"/>
      <c r="P24" s="188"/>
      <c r="Q24" s="188"/>
      <c r="R24" s="188"/>
      <c r="S24" s="45"/>
      <c r="T24" s="188"/>
      <c r="U24" s="189"/>
      <c r="V24" s="189"/>
      <c r="W24" s="45"/>
      <c r="X24" s="17" t="s">
        <v>3</v>
      </c>
      <c r="Y24" s="18">
        <v>1</v>
      </c>
      <c r="AA24" s="17"/>
      <c r="AB24" s="23" t="s">
        <v>22</v>
      </c>
      <c r="AC24" s="7"/>
      <c r="AE24" s="62" t="s">
        <v>15</v>
      </c>
      <c r="AF24" s="63">
        <f>Y42</f>
        <v>5</v>
      </c>
      <c r="AG24" s="64"/>
      <c r="AH24" s="29"/>
      <c r="AJ24" s="17" t="s">
        <v>134</v>
      </c>
      <c r="AK24" s="28"/>
      <c r="AL24" s="28"/>
      <c r="AM24" s="29"/>
      <c r="AN24" s="45"/>
      <c r="AO24" s="45"/>
      <c r="AP24" s="45"/>
      <c r="AQ24" s="45"/>
      <c r="AR24" s="45"/>
      <c r="AS24" s="45"/>
      <c r="AT24" s="45"/>
    </row>
    <row r="25" spans="1:51" ht="13.9" customHeight="1" x14ac:dyDescent="0.25">
      <c r="F25" s="61"/>
      <c r="G25" s="61"/>
      <c r="H25" s="61"/>
      <c r="I25" s="61"/>
      <c r="J25" s="61"/>
      <c r="K25" s="187"/>
      <c r="L25" s="61"/>
      <c r="M25" s="61"/>
      <c r="N25" s="188"/>
      <c r="O25" s="188"/>
      <c r="P25" s="188"/>
      <c r="Q25" s="188"/>
      <c r="R25" s="188"/>
      <c r="S25" s="45"/>
      <c r="T25" s="188"/>
      <c r="U25" s="189"/>
      <c r="V25" s="189"/>
      <c r="W25" s="45"/>
      <c r="X25" s="19" t="s">
        <v>4</v>
      </c>
      <c r="Y25" s="20">
        <v>4800</v>
      </c>
      <c r="Z25" t="s">
        <v>77</v>
      </c>
      <c r="AA25" s="24" t="s">
        <v>16</v>
      </c>
      <c r="AB25" s="25">
        <v>0</v>
      </c>
      <c r="AE25" s="65" t="s">
        <v>14</v>
      </c>
      <c r="AF25" s="66">
        <f>Y41</f>
        <v>0</v>
      </c>
      <c r="AG25" s="45"/>
      <c r="AH25" s="31"/>
      <c r="AJ25" s="19" t="s">
        <v>128</v>
      </c>
      <c r="AK25" s="30">
        <v>25</v>
      </c>
      <c r="AL25" s="30" t="s">
        <v>93</v>
      </c>
      <c r="AM25" s="31"/>
      <c r="AN25" s="45"/>
      <c r="AO25" s="45"/>
      <c r="AP25" s="45"/>
      <c r="AQ25" s="45"/>
      <c r="AR25" s="45"/>
      <c r="AS25" s="45"/>
      <c r="AT25" s="45"/>
    </row>
    <row r="26" spans="1:51" ht="13.9" customHeight="1" thickBot="1" x14ac:dyDescent="0.3">
      <c r="F26" s="61"/>
      <c r="G26" s="61"/>
      <c r="H26" s="61"/>
      <c r="I26" s="61"/>
      <c r="J26" s="61"/>
      <c r="K26" s="187"/>
      <c r="L26" s="61"/>
      <c r="M26" s="61"/>
      <c r="N26" s="188"/>
      <c r="O26" s="188"/>
      <c r="P26" s="188"/>
      <c r="Q26" s="188"/>
      <c r="R26" s="188"/>
      <c r="S26" s="45"/>
      <c r="T26" s="188"/>
      <c r="U26" s="189"/>
      <c r="V26" s="189"/>
      <c r="W26" s="45"/>
      <c r="X26" s="19" t="s">
        <v>5</v>
      </c>
      <c r="Y26" s="20">
        <v>12</v>
      </c>
      <c r="AA26" s="26" t="s">
        <v>17</v>
      </c>
      <c r="AB26" s="27">
        <v>5</v>
      </c>
      <c r="AE26" s="65" t="s">
        <v>17</v>
      </c>
      <c r="AF26" s="66">
        <f>AB26</f>
        <v>5</v>
      </c>
      <c r="AG26" s="30"/>
      <c r="AH26" s="31"/>
      <c r="AJ26" s="19" t="s">
        <v>144</v>
      </c>
      <c r="AK26" s="30">
        <v>2.1797</v>
      </c>
      <c r="AL26" s="30" t="s">
        <v>94</v>
      </c>
      <c r="AM26" s="31"/>
      <c r="AN26" s="45"/>
      <c r="AO26" s="45"/>
      <c r="AP26" s="45"/>
      <c r="AQ26" s="45"/>
      <c r="AR26" s="45"/>
      <c r="AS26" s="45"/>
      <c r="AT26" s="45"/>
    </row>
    <row r="27" spans="1:51" ht="13.9" customHeight="1" x14ac:dyDescent="0.25">
      <c r="A27" s="45"/>
      <c r="B27" s="45"/>
      <c r="C27" s="45"/>
      <c r="D27" s="61"/>
      <c r="E27" s="61"/>
      <c r="F27" s="61"/>
      <c r="G27" s="61"/>
      <c r="H27" s="61"/>
      <c r="I27" s="61"/>
      <c r="J27" s="61"/>
      <c r="K27" s="187"/>
      <c r="L27" s="61"/>
      <c r="M27" s="61"/>
      <c r="N27" s="188"/>
      <c r="O27" s="188"/>
      <c r="P27" s="188"/>
      <c r="Q27" s="188"/>
      <c r="R27" s="188"/>
      <c r="S27" s="45"/>
      <c r="T27" s="188"/>
      <c r="U27" s="189"/>
      <c r="V27" s="189"/>
      <c r="W27" s="45"/>
      <c r="X27" s="57" t="s">
        <v>69</v>
      </c>
      <c r="Y27" s="20">
        <v>3.9899999999999998E-2</v>
      </c>
      <c r="Z27" t="s">
        <v>76</v>
      </c>
      <c r="AE27" s="65" t="s">
        <v>16</v>
      </c>
      <c r="AF27" s="66">
        <f>AB25</f>
        <v>0</v>
      </c>
      <c r="AG27" s="30"/>
      <c r="AH27" s="31"/>
      <c r="AJ27" s="19" t="s">
        <v>129</v>
      </c>
      <c r="AK27" s="30">
        <f>($AK$25/25.4)^2*$AK$26/1000*2.2/3</f>
        <v>1.5484983053299442E-3</v>
      </c>
      <c r="AL27" s="30" t="s">
        <v>96</v>
      </c>
      <c r="AM27" s="177" t="s">
        <v>146</v>
      </c>
      <c r="AN27" s="45"/>
      <c r="AO27" s="45"/>
      <c r="AP27" s="45"/>
      <c r="AQ27" s="45"/>
      <c r="AR27" s="191"/>
      <c r="AS27" s="149"/>
      <c r="AT27" s="45"/>
    </row>
    <row r="28" spans="1:51" ht="13.9" customHeight="1" x14ac:dyDescent="0.25">
      <c r="A28" s="45"/>
      <c r="B28" s="45"/>
      <c r="C28" s="45"/>
      <c r="D28" s="61"/>
      <c r="E28" s="61"/>
      <c r="F28" s="61"/>
      <c r="G28" s="61"/>
      <c r="H28" s="61"/>
      <c r="I28" s="61"/>
      <c r="J28" s="61"/>
      <c r="K28" s="187"/>
      <c r="L28" s="61"/>
      <c r="M28" s="61"/>
      <c r="N28" s="188"/>
      <c r="O28" s="188"/>
      <c r="P28" s="188"/>
      <c r="Q28" s="188"/>
      <c r="R28" s="188"/>
      <c r="S28" s="45"/>
      <c r="T28" s="188"/>
      <c r="U28" s="189"/>
      <c r="V28" s="189"/>
      <c r="W28" s="45"/>
      <c r="X28" s="57" t="s">
        <v>70</v>
      </c>
      <c r="Y28" s="129">
        <v>4.1999999999999996E-6</v>
      </c>
      <c r="Z28" t="s">
        <v>75</v>
      </c>
      <c r="AE28" s="65" t="s">
        <v>27</v>
      </c>
      <c r="AF28" s="66">
        <f>Y35/100</f>
        <v>460.8</v>
      </c>
      <c r="AG28" s="30"/>
      <c r="AH28" s="31"/>
      <c r="AJ28" s="19" t="s">
        <v>141</v>
      </c>
      <c r="AK28" s="178">
        <f>3/8/2*25.4</f>
        <v>4.7624999999999993</v>
      </c>
      <c r="AL28" s="30" t="s">
        <v>93</v>
      </c>
      <c r="AM28" s="31" t="s">
        <v>142</v>
      </c>
      <c r="AN28" s="45"/>
      <c r="AO28" s="45"/>
      <c r="AP28" s="45"/>
      <c r="AQ28" s="45"/>
      <c r="AR28" s="191"/>
      <c r="AS28" s="149"/>
      <c r="AT28" s="45"/>
    </row>
    <row r="29" spans="1:51" ht="13.9" customHeight="1" x14ac:dyDescent="0.25">
      <c r="A29" s="45"/>
      <c r="B29" s="45"/>
      <c r="C29" s="45"/>
      <c r="D29" s="61"/>
      <c r="E29" s="61"/>
      <c r="F29" s="61"/>
      <c r="G29" s="61"/>
      <c r="H29" s="61"/>
      <c r="I29" s="61"/>
      <c r="J29" s="61"/>
      <c r="K29" s="187"/>
      <c r="L29" s="61"/>
      <c r="M29" s="61"/>
      <c r="N29" s="188"/>
      <c r="O29" s="188"/>
      <c r="P29" s="188"/>
      <c r="Q29" s="188"/>
      <c r="R29" s="188"/>
      <c r="S29" s="45"/>
      <c r="T29" s="188"/>
      <c r="U29" s="189"/>
      <c r="V29" s="189"/>
      <c r="W29" s="45"/>
      <c r="X29" s="57" t="s">
        <v>71</v>
      </c>
      <c r="Y29" s="130">
        <f>Y25*2*PI()/60</f>
        <v>502.6548245743669</v>
      </c>
      <c r="Z29" t="s">
        <v>73</v>
      </c>
      <c r="AE29" s="65" t="s">
        <v>18</v>
      </c>
      <c r="AF29" s="66">
        <f>AA42</f>
        <v>180</v>
      </c>
      <c r="AG29" s="30"/>
      <c r="AH29" s="31"/>
      <c r="AJ29" s="19" t="s">
        <v>143</v>
      </c>
      <c r="AK29" s="178">
        <f>3/4*25.4</f>
        <v>19.049999999999997</v>
      </c>
      <c r="AL29" s="30" t="s">
        <v>93</v>
      </c>
      <c r="AM29" s="31" t="s">
        <v>142</v>
      </c>
      <c r="AN29" s="45"/>
      <c r="AO29" s="45"/>
      <c r="AP29" s="45"/>
      <c r="AQ29" s="45"/>
      <c r="AR29" s="191"/>
      <c r="AS29" s="149"/>
      <c r="AT29" s="45"/>
    </row>
    <row r="30" spans="1:51" ht="13.9" customHeight="1" x14ac:dyDescent="0.25">
      <c r="A30" s="45"/>
      <c r="B30" s="45"/>
      <c r="C30" s="45"/>
      <c r="D30" s="61"/>
      <c r="E30" s="61"/>
      <c r="F30" s="61"/>
      <c r="G30" s="61"/>
      <c r="H30" s="61"/>
      <c r="I30" s="61"/>
      <c r="J30" s="61"/>
      <c r="K30" s="187"/>
      <c r="L30" s="61"/>
      <c r="M30" s="61"/>
      <c r="N30" s="188"/>
      <c r="O30" s="188"/>
      <c r="P30" s="188"/>
      <c r="Q30" s="188"/>
      <c r="R30" s="188"/>
      <c r="S30" s="45"/>
      <c r="T30" s="188"/>
      <c r="U30" s="189"/>
      <c r="V30" s="189"/>
      <c r="W30" s="45"/>
      <c r="X30" s="57" t="s">
        <v>72</v>
      </c>
      <c r="Y30" s="132">
        <f>7/Y29</f>
        <v>1.3926057520540842E-2</v>
      </c>
      <c r="Z30" t="s">
        <v>74</v>
      </c>
      <c r="AE30" s="65" t="s">
        <v>13</v>
      </c>
      <c r="AF30" s="66">
        <f>AA41</f>
        <v>0</v>
      </c>
      <c r="AG30" s="30"/>
      <c r="AH30" s="31"/>
      <c r="AJ30" s="19" t="s">
        <v>145</v>
      </c>
      <c r="AK30" s="30">
        <f>PI()*(AK28/25.4)^2/4*3/4*0.3</f>
        <v>6.2126221909368446E-3</v>
      </c>
      <c r="AL30" s="30" t="s">
        <v>148</v>
      </c>
      <c r="AM30" s="31" t="s">
        <v>142</v>
      </c>
      <c r="AN30" s="45"/>
      <c r="AO30" s="45"/>
      <c r="AP30" s="45"/>
      <c r="AQ30" s="45"/>
      <c r="AR30" s="191"/>
      <c r="AS30" s="149"/>
      <c r="AT30" s="45"/>
    </row>
    <row r="31" spans="1:51" ht="13.9" customHeight="1" thickBot="1" x14ac:dyDescent="0.3">
      <c r="A31" s="45"/>
      <c r="B31" s="45"/>
      <c r="C31" s="45"/>
      <c r="D31" s="61"/>
      <c r="E31" s="61"/>
      <c r="F31" s="61"/>
      <c r="G31" s="61"/>
      <c r="H31" s="61"/>
      <c r="I31" s="61"/>
      <c r="J31" s="61"/>
      <c r="K31" s="187"/>
      <c r="L31" s="61"/>
      <c r="M31" s="61"/>
      <c r="N31" s="188"/>
      <c r="O31" s="188"/>
      <c r="P31" s="188"/>
      <c r="Q31" s="188"/>
      <c r="R31" s="188"/>
      <c r="S31" s="45"/>
      <c r="T31" s="188"/>
      <c r="U31" s="189"/>
      <c r="V31" s="189"/>
      <c r="W31" s="45"/>
      <c r="X31" s="131" t="s">
        <v>79</v>
      </c>
      <c r="Y31" s="145">
        <f>AK34</f>
        <v>3.7426817504796325E-8</v>
      </c>
      <c r="Z31" t="s">
        <v>80</v>
      </c>
      <c r="AB31" t="s">
        <v>112</v>
      </c>
      <c r="AD31" s="97"/>
      <c r="AE31" s="65" t="s">
        <v>121</v>
      </c>
      <c r="AF31" s="66">
        <f>Y50</f>
        <v>0</v>
      </c>
      <c r="AG31" s="67">
        <f>Y49</f>
        <v>14524.599856984931</v>
      </c>
      <c r="AH31" s="68">
        <f>Y48</f>
        <v>-338.40298674736437</v>
      </c>
      <c r="AJ31" s="19" t="s">
        <v>135</v>
      </c>
      <c r="AK31" s="30">
        <f>($AK$28/25.4)^2*$AK$30/2</f>
        <v>1.0920624945006168E-4</v>
      </c>
      <c r="AL31" s="30" t="s">
        <v>96</v>
      </c>
      <c r="AM31" s="31" t="s">
        <v>147</v>
      </c>
      <c r="AN31" s="45"/>
      <c r="AO31" s="45"/>
      <c r="AP31" s="45"/>
      <c r="AQ31" s="45"/>
      <c r="AR31" s="191"/>
      <c r="AS31" s="149"/>
      <c r="AT31" s="45"/>
    </row>
    <row r="32" spans="1:51" ht="13.9" customHeight="1" thickBot="1" x14ac:dyDescent="0.3">
      <c r="A32" s="45"/>
      <c r="B32" s="45"/>
      <c r="C32" s="45"/>
      <c r="D32" s="61"/>
      <c r="E32" s="61"/>
      <c r="F32" s="61"/>
      <c r="G32" s="61"/>
      <c r="H32" s="61"/>
      <c r="I32" s="61"/>
      <c r="J32" s="61"/>
      <c r="K32" s="187"/>
      <c r="L32" s="61"/>
      <c r="M32" s="61"/>
      <c r="N32" s="188"/>
      <c r="O32" s="188"/>
      <c r="P32" s="188"/>
      <c r="Q32" s="188"/>
      <c r="R32" s="188"/>
      <c r="S32" s="45"/>
      <c r="T32" s="188"/>
      <c r="U32" s="189"/>
      <c r="V32" s="189"/>
      <c r="W32" s="45"/>
      <c r="X32" t="s">
        <v>35</v>
      </c>
      <c r="AE32" s="65" t="s">
        <v>21</v>
      </c>
      <c r="AF32" s="66" t="e">
        <f>Y52</f>
        <v>#VALUE!</v>
      </c>
      <c r="AG32" s="67" t="e">
        <f>Y51</f>
        <v>#VALUE!</v>
      </c>
      <c r="AH32" s="31"/>
      <c r="AJ32" s="19" t="s">
        <v>95</v>
      </c>
      <c r="AK32" s="30">
        <f>AK27+AK31</f>
        <v>1.6577045547800059E-3</v>
      </c>
      <c r="AL32" s="30" t="s">
        <v>96</v>
      </c>
      <c r="AM32" s="31"/>
      <c r="AN32" s="45"/>
      <c r="AO32" s="45"/>
      <c r="AP32" s="45"/>
      <c r="AQ32" s="45"/>
      <c r="AR32" s="191"/>
      <c r="AS32" s="149"/>
      <c r="AT32" s="45"/>
    </row>
    <row r="33" spans="3:50" ht="13.9" customHeight="1" thickBot="1" x14ac:dyDescent="0.3">
      <c r="C33" s="5"/>
      <c r="D33" s="6"/>
      <c r="E33" s="6"/>
      <c r="F33" s="6"/>
      <c r="G33" s="6"/>
      <c r="H33" s="6"/>
      <c r="I33" s="6"/>
      <c r="J33" s="6"/>
      <c r="K33" s="2"/>
      <c r="N33" s="3"/>
      <c r="O33" s="3"/>
      <c r="P33" s="3"/>
      <c r="Q33" s="3"/>
      <c r="R33" s="3"/>
      <c r="S33" s="3"/>
      <c r="T33" s="3"/>
      <c r="U33" s="4"/>
      <c r="V33" s="4"/>
      <c r="X33" s="34">
        <v>240</v>
      </c>
      <c r="Y33" s="35" t="s">
        <v>34</v>
      </c>
      <c r="Z33" s="36"/>
      <c r="AA33" s="35"/>
      <c r="AB33" s="37"/>
      <c r="AC33" s="30"/>
      <c r="AE33" s="65" t="s">
        <v>122</v>
      </c>
      <c r="AF33" s="66">
        <f>AB51</f>
        <v>-997.49039883282785</v>
      </c>
      <c r="AG33" s="69">
        <f>AB50</f>
        <v>0.75265028556560287</v>
      </c>
      <c r="AH33" s="31"/>
      <c r="AJ33" s="19" t="s">
        <v>95</v>
      </c>
      <c r="AK33" s="30">
        <f>AK32/144</f>
        <v>1.1511837185972264E-5</v>
      </c>
      <c r="AL33" s="30" t="s">
        <v>97</v>
      </c>
      <c r="AM33" s="31"/>
      <c r="AN33" s="45"/>
      <c r="AO33" s="45"/>
      <c r="AP33" s="45"/>
      <c r="AQ33" s="45"/>
      <c r="AR33" s="191"/>
      <c r="AS33" s="149"/>
      <c r="AT33" s="45"/>
    </row>
    <row r="34" spans="3:50" ht="13.9" customHeight="1" thickBot="1" x14ac:dyDescent="0.3">
      <c r="C34" s="5"/>
      <c r="D34" s="6"/>
      <c r="E34" s="6"/>
      <c r="F34" s="6"/>
      <c r="G34" s="6"/>
      <c r="H34" s="6"/>
      <c r="I34" s="6"/>
      <c r="J34" s="6"/>
      <c r="K34" s="2"/>
      <c r="N34" s="3"/>
      <c r="O34" s="3"/>
      <c r="P34" s="3"/>
      <c r="Q34" s="3"/>
      <c r="R34" s="3"/>
      <c r="S34" s="3"/>
      <c r="T34" s="3"/>
      <c r="U34" s="3"/>
      <c r="V34" s="3"/>
      <c r="X34" t="s">
        <v>36</v>
      </c>
      <c r="AD34" s="30"/>
      <c r="AE34" s="65" t="s">
        <v>123</v>
      </c>
      <c r="AF34" s="66">
        <f>AB49</f>
        <v>1704.3183031809858</v>
      </c>
      <c r="AG34" s="69">
        <f>AB48</f>
        <v>1.3013227431369936</v>
      </c>
      <c r="AH34" s="31"/>
      <c r="AJ34" s="21" t="s">
        <v>95</v>
      </c>
      <c r="AK34" s="32">
        <f>AK33/2048.5*6.66</f>
        <v>3.7426817504796325E-8</v>
      </c>
      <c r="AL34" s="32" t="s">
        <v>98</v>
      </c>
      <c r="AM34" s="33"/>
      <c r="AN34" s="45"/>
      <c r="AO34" s="45"/>
      <c r="AP34" s="45"/>
      <c r="AQ34" s="45"/>
      <c r="AR34" s="191"/>
      <c r="AS34" s="149"/>
      <c r="AT34" s="45"/>
    </row>
    <row r="35" spans="3:50" ht="13.9" customHeight="1" x14ac:dyDescent="0.25">
      <c r="F35" s="6"/>
      <c r="G35" s="6"/>
      <c r="H35" s="6"/>
      <c r="I35" s="6"/>
      <c r="J35" s="6"/>
      <c r="K35" s="2"/>
      <c r="N35" s="3"/>
      <c r="O35" s="3"/>
      <c r="P35" s="3"/>
      <c r="Q35" s="3"/>
      <c r="R35" s="3"/>
      <c r="S35" s="3"/>
      <c r="T35" s="3"/>
      <c r="U35" s="3"/>
      <c r="V35" s="3"/>
      <c r="X35" s="17" t="s">
        <v>6</v>
      </c>
      <c r="Y35" s="50">
        <f>Y25*Y26/Z35</f>
        <v>46080</v>
      </c>
      <c r="Z35" s="154">
        <v>1.25</v>
      </c>
      <c r="AA35" s="28" t="s">
        <v>9</v>
      </c>
      <c r="AB35" s="155"/>
      <c r="AC35">
        <f>X33</f>
        <v>240</v>
      </c>
      <c r="AD35" s="30"/>
      <c r="AE35" s="65" t="s">
        <v>92</v>
      </c>
      <c r="AF35" s="124">
        <f>Y58</f>
        <v>-4.671987635157824E+25</v>
      </c>
      <c r="AG35" s="124">
        <f>Y57</f>
        <v>3.7159081687256693E+21</v>
      </c>
      <c r="AH35" s="139">
        <f>Y56</f>
        <v>-6.366225178707132E+16</v>
      </c>
      <c r="AN35" s="45"/>
      <c r="AO35" s="45"/>
      <c r="AP35" s="45"/>
      <c r="AQ35" s="45"/>
      <c r="AR35" s="191"/>
      <c r="AS35" s="149"/>
      <c r="AT35" s="45"/>
      <c r="AU35" s="146"/>
    </row>
    <row r="36" spans="3:50" ht="15.75" thickBot="1" x14ac:dyDescent="0.3">
      <c r="F36" s="6"/>
      <c r="G36" s="6"/>
      <c r="H36" s="6"/>
      <c r="I36" s="6"/>
      <c r="J36" s="6"/>
      <c r="K36" s="2"/>
      <c r="N36" s="3"/>
      <c r="O36" s="3"/>
      <c r="P36" s="3"/>
      <c r="Q36" s="3"/>
      <c r="R36" s="3"/>
      <c r="S36" s="3"/>
      <c r="T36" s="3"/>
      <c r="U36" s="3"/>
      <c r="V36" s="3"/>
      <c r="X36" s="21" t="s">
        <v>154</v>
      </c>
      <c r="Y36" s="156">
        <f>450/454</f>
        <v>0.99118942731277537</v>
      </c>
      <c r="Z36" s="32" t="s">
        <v>155</v>
      </c>
      <c r="AA36" s="166">
        <f>Y36/0.224</f>
        <v>4.4249528005034611</v>
      </c>
      <c r="AB36" s="33" t="s">
        <v>158</v>
      </c>
      <c r="AD36" s="30"/>
      <c r="AE36" s="65" t="s">
        <v>130</v>
      </c>
      <c r="AF36" s="124" t="e">
        <f>AB58</f>
        <v>#VALUE!</v>
      </c>
      <c r="AG36" s="124" t="e">
        <f>AB57</f>
        <v>#VALUE!</v>
      </c>
      <c r="AH36" s="139" t="e">
        <f>AB56</f>
        <v>#VALUE!</v>
      </c>
    </row>
    <row r="37" spans="3:50" ht="13.9" customHeight="1" x14ac:dyDescent="0.25">
      <c r="F37" s="6"/>
      <c r="G37" s="6"/>
      <c r="H37" s="6"/>
      <c r="I37" s="6"/>
      <c r="J37" s="6"/>
      <c r="K37" s="2"/>
      <c r="N37" s="3"/>
      <c r="O37" s="3"/>
      <c r="P37" s="3"/>
      <c r="Q37" s="2"/>
      <c r="R37" s="3"/>
      <c r="S37" s="3"/>
      <c r="T37" s="3"/>
      <c r="U37" s="3"/>
      <c r="V37" s="3"/>
      <c r="X37" s="45" t="s">
        <v>160</v>
      </c>
      <c r="Y37" s="5">
        <v>1.2250000000000001</v>
      </c>
      <c r="Z37" t="s">
        <v>161</v>
      </c>
      <c r="AA37" t="s">
        <v>169</v>
      </c>
      <c r="AD37" s="30"/>
      <c r="AE37" s="65" t="s">
        <v>179</v>
      </c>
      <c r="AF37" s="69">
        <f>Z22</f>
        <v>4.4249528005034611</v>
      </c>
      <c r="AG37" s="30"/>
      <c r="AH37" s="31"/>
    </row>
    <row r="38" spans="3:50" ht="13.9" customHeight="1" x14ac:dyDescent="0.25">
      <c r="C38" s="5"/>
      <c r="D38" s="6"/>
      <c r="E38" s="6"/>
      <c r="F38" s="6"/>
      <c r="G38" s="6"/>
      <c r="H38" s="6"/>
      <c r="I38" s="6"/>
      <c r="J38" s="6"/>
      <c r="K38" s="2"/>
      <c r="N38" s="3"/>
      <c r="O38" s="3"/>
      <c r="P38" s="3"/>
      <c r="Q38" s="3"/>
      <c r="R38" s="3"/>
      <c r="S38" s="3"/>
      <c r="T38" s="3"/>
      <c r="U38" s="3"/>
      <c r="V38" s="3"/>
      <c r="X38" s="45" t="s">
        <v>162</v>
      </c>
      <c r="Y38" s="157">
        <f>(55^2-18^2)*PI()/4/1000^2</f>
        <v>2.1213604393365078E-3</v>
      </c>
      <c r="Z38" t="s">
        <v>163</v>
      </c>
      <c r="AA38" t="s">
        <v>168</v>
      </c>
      <c r="AB38" s="157">
        <v>55</v>
      </c>
      <c r="AC38" t="s">
        <v>93</v>
      </c>
      <c r="AD38" s="30"/>
      <c r="AE38" s="65" t="s">
        <v>178</v>
      </c>
      <c r="AF38" s="160">
        <f>$Y$38</f>
        <v>2.1213604393365078E-3</v>
      </c>
      <c r="AG38" s="30"/>
      <c r="AH38" s="31"/>
    </row>
    <row r="39" spans="3:50" ht="15" customHeight="1" thickBot="1" x14ac:dyDescent="0.4">
      <c r="C39" s="5"/>
      <c r="D39" s="6"/>
      <c r="E39" s="6"/>
      <c r="F39" s="6"/>
      <c r="G39" s="6"/>
      <c r="H39" s="6"/>
      <c r="I39" s="6"/>
      <c r="J39" s="6"/>
      <c r="K39" s="2"/>
      <c r="N39" s="3"/>
      <c r="O39" s="3"/>
      <c r="P39" s="3"/>
      <c r="Q39" s="3"/>
      <c r="R39" s="3"/>
      <c r="S39" s="3"/>
      <c r="T39" s="3"/>
      <c r="U39" s="3"/>
      <c r="V39" s="3"/>
      <c r="AA39" t="s">
        <v>174</v>
      </c>
      <c r="AB39" s="157">
        <v>45</v>
      </c>
      <c r="AC39" t="s">
        <v>175</v>
      </c>
      <c r="AD39" s="94" t="s">
        <v>54</v>
      </c>
      <c r="AE39" s="65" t="s">
        <v>177</v>
      </c>
      <c r="AF39" s="160">
        <f>$Y$37</f>
        <v>1.2250000000000001</v>
      </c>
      <c r="AG39" s="30"/>
      <c r="AH39" s="31"/>
    </row>
    <row r="40" spans="3:50" ht="30" x14ac:dyDescent="0.25">
      <c r="C40" s="5"/>
      <c r="D40" s="6"/>
      <c r="E40" s="6"/>
      <c r="F40" s="6"/>
      <c r="G40" s="6"/>
      <c r="H40" s="6"/>
      <c r="I40" s="6"/>
      <c r="J40" s="6"/>
      <c r="K40" s="2"/>
      <c r="N40" s="3"/>
      <c r="O40" s="3"/>
      <c r="P40" s="3"/>
      <c r="Q40" s="3"/>
      <c r="R40" s="3"/>
      <c r="S40" s="3"/>
      <c r="T40" s="3"/>
      <c r="U40" s="3"/>
      <c r="V40" s="3"/>
      <c r="X40" s="17"/>
      <c r="Y40" s="42" t="s">
        <v>19</v>
      </c>
      <c r="Z40" s="28"/>
      <c r="AA40" s="42" t="s">
        <v>20</v>
      </c>
      <c r="AB40" s="29" t="s">
        <v>109</v>
      </c>
      <c r="AE40" s="65" t="s">
        <v>180</v>
      </c>
      <c r="AF40" s="162">
        <f>$AG$17</f>
        <v>0</v>
      </c>
      <c r="AG40" s="30"/>
      <c r="AH40" s="31"/>
      <c r="AI40" s="5"/>
    </row>
    <row r="41" spans="3:50" x14ac:dyDescent="0.25">
      <c r="C41" s="5"/>
      <c r="D41" s="6"/>
      <c r="E41" s="6"/>
      <c r="F41" s="6"/>
      <c r="G41" s="6"/>
      <c r="H41" s="6"/>
      <c r="I41" s="6"/>
      <c r="J41" s="6"/>
      <c r="K41" s="2"/>
      <c r="N41" s="3"/>
      <c r="O41" s="3"/>
      <c r="P41" s="3"/>
      <c r="Q41" s="3"/>
      <c r="R41" s="3"/>
      <c r="S41" s="3"/>
      <c r="T41" s="3"/>
      <c r="U41" s="3"/>
      <c r="V41" s="3"/>
      <c r="X41" s="57" t="s">
        <v>14</v>
      </c>
      <c r="Y41" s="58">
        <v>0</v>
      </c>
      <c r="Z41" s="45" t="s">
        <v>13</v>
      </c>
      <c r="AA41" s="59">
        <v>0</v>
      </c>
      <c r="AB41" s="89">
        <f>AB51/Y35*100</f>
        <v>-2.1646927058004075</v>
      </c>
      <c r="AC41" t="s">
        <v>106</v>
      </c>
      <c r="AE41" s="65" t="s">
        <v>182</v>
      </c>
      <c r="AF41" s="92">
        <f>AF17</f>
        <v>2.6406493436282674</v>
      </c>
      <c r="AG41" s="30"/>
      <c r="AH41" s="31"/>
      <c r="AI41" s="5"/>
    </row>
    <row r="42" spans="3:50" x14ac:dyDescent="0.25">
      <c r="D42" s="6"/>
      <c r="E42" s="6"/>
      <c r="F42" s="6"/>
      <c r="G42" s="6"/>
      <c r="H42" s="6"/>
      <c r="I42" s="6"/>
      <c r="J42" s="6"/>
      <c r="K42" s="2"/>
      <c r="N42" s="3"/>
      <c r="O42" s="3"/>
      <c r="P42" s="3"/>
      <c r="Q42" s="3"/>
      <c r="R42" s="3"/>
      <c r="S42" s="3"/>
      <c r="T42" s="3"/>
      <c r="U42" s="3"/>
      <c r="V42" s="3"/>
      <c r="X42" s="57" t="s">
        <v>15</v>
      </c>
      <c r="Y42" s="58">
        <v>5</v>
      </c>
      <c r="Z42" s="45" t="s">
        <v>18</v>
      </c>
      <c r="AA42" s="59">
        <v>180</v>
      </c>
      <c r="AB42" s="60">
        <v>77</v>
      </c>
      <c r="AE42" s="65" t="s">
        <v>183</v>
      </c>
      <c r="AF42" s="162">
        <f>1/1.3556</f>
        <v>0.73768073177928595</v>
      </c>
      <c r="AG42" s="30"/>
      <c r="AH42" s="31"/>
      <c r="AI42" s="5"/>
    </row>
    <row r="43" spans="3:50" x14ac:dyDescent="0.25">
      <c r="X43" s="19"/>
      <c r="Y43" s="30" t="s">
        <v>40</v>
      </c>
      <c r="Z43" s="30"/>
      <c r="AA43" s="61"/>
      <c r="AB43" s="89">
        <f>(AB42-AB41)/(Y42-Y41)</f>
        <v>15.832938541160081</v>
      </c>
      <c r="AE43" s="65" t="s">
        <v>184</v>
      </c>
      <c r="AF43" s="179">
        <f>$Y$31</f>
        <v>3.7426817504796325E-8</v>
      </c>
      <c r="AG43" s="30"/>
      <c r="AH43" s="31"/>
      <c r="AI43" s="5"/>
    </row>
    <row r="44" spans="3:50" x14ac:dyDescent="0.25">
      <c r="X44" s="19"/>
      <c r="Y44" s="30"/>
      <c r="Z44" s="30"/>
      <c r="AA44" s="61"/>
      <c r="AB44" s="89">
        <f>AB42-AB43*(Y42-Y41)</f>
        <v>-2.1646927058004053</v>
      </c>
      <c r="AE44" s="65" t="s">
        <v>199</v>
      </c>
      <c r="AF44" s="160">
        <f>AB38/1000</f>
        <v>5.5E-2</v>
      </c>
      <c r="AG44" s="30"/>
      <c r="AH44" s="31"/>
      <c r="AI44" s="5"/>
      <c r="AW44" s="151"/>
      <c r="AX44" s="164"/>
    </row>
    <row r="45" spans="3:50" ht="15.75" thickBot="1" x14ac:dyDescent="0.3">
      <c r="D45" s="6"/>
      <c r="E45" s="6"/>
      <c r="F45" s="6"/>
      <c r="G45" s="6"/>
      <c r="H45" s="6"/>
      <c r="I45" s="6"/>
      <c r="J45" s="6"/>
      <c r="K45" s="9"/>
      <c r="L45" s="6"/>
      <c r="M45" s="6"/>
      <c r="N45" s="10"/>
      <c r="O45" s="10"/>
      <c r="P45" s="10"/>
      <c r="Q45" s="10"/>
      <c r="R45" s="10"/>
      <c r="S45" s="10"/>
      <c r="T45" s="10"/>
      <c r="U45" s="10"/>
      <c r="V45" s="10"/>
      <c r="X45" s="21"/>
      <c r="Y45" s="32"/>
      <c r="Z45" s="32"/>
      <c r="AA45" s="47"/>
      <c r="AB45" s="48" t="s">
        <v>124</v>
      </c>
      <c r="AE45" s="161" t="s">
        <v>211</v>
      </c>
      <c r="AF45" s="160">
        <v>7</v>
      </c>
      <c r="AG45" s="30"/>
      <c r="AH45" s="31"/>
      <c r="AI45" s="5"/>
    </row>
    <row r="46" spans="3:50" ht="15.75" thickBot="1" x14ac:dyDescent="0.3">
      <c r="D46" s="6"/>
      <c r="E46" s="6"/>
      <c r="F46" s="6"/>
      <c r="G46" s="6"/>
      <c r="H46" s="6"/>
      <c r="I46" s="6"/>
      <c r="J46" s="6"/>
      <c r="K46" s="9"/>
      <c r="L46" s="6"/>
      <c r="M46" s="6"/>
      <c r="N46" s="10"/>
      <c r="O46" s="10"/>
      <c r="P46" s="10"/>
      <c r="Q46" s="10"/>
      <c r="R46" s="10"/>
      <c r="S46" s="10"/>
      <c r="T46" s="10"/>
      <c r="U46" s="10"/>
      <c r="V46" s="10"/>
      <c r="AD46" t="s">
        <v>156</v>
      </c>
      <c r="AE46" s="70" t="s">
        <v>218</v>
      </c>
      <c r="AF46" s="183">
        <f>$Z$22</f>
        <v>4.4249528005034611</v>
      </c>
      <c r="AG46" s="32"/>
      <c r="AH46" s="33"/>
      <c r="AI46" s="5"/>
    </row>
    <row r="47" spans="3:50" ht="15.75" thickBot="1" x14ac:dyDescent="0.3">
      <c r="D47" s="6"/>
      <c r="E47" s="6"/>
      <c r="F47" s="6"/>
      <c r="G47" s="6"/>
      <c r="H47" s="6"/>
      <c r="I47" s="6"/>
      <c r="J47" s="6"/>
      <c r="K47" s="9"/>
      <c r="L47" s="6"/>
      <c r="M47" s="6"/>
      <c r="N47" s="10"/>
      <c r="O47" s="10"/>
      <c r="P47" s="10"/>
      <c r="Q47" s="10"/>
      <c r="R47" s="10"/>
      <c r="S47" s="10"/>
      <c r="T47" s="10"/>
      <c r="U47" s="10"/>
      <c r="V47" s="10"/>
      <c r="X47" t="s">
        <v>38</v>
      </c>
      <c r="AI47" s="5"/>
      <c r="AJ47" s="5"/>
      <c r="AK47" s="151"/>
    </row>
    <row r="48" spans="3:50" x14ac:dyDescent="0.25">
      <c r="C48" s="45"/>
      <c r="D48" s="61"/>
      <c r="E48" s="61"/>
      <c r="F48" s="6"/>
      <c r="G48" s="6"/>
      <c r="H48" s="6"/>
      <c r="I48" s="6"/>
      <c r="J48" s="6"/>
      <c r="K48" s="9"/>
      <c r="L48" s="6"/>
      <c r="M48" s="6"/>
      <c r="N48" s="10"/>
      <c r="O48" s="10"/>
      <c r="P48" s="10"/>
      <c r="Q48" s="10"/>
      <c r="R48" s="10"/>
      <c r="S48" s="10"/>
      <c r="T48" s="10"/>
      <c r="U48" s="10"/>
      <c r="V48" s="10"/>
      <c r="X48" s="49" t="s">
        <v>121</v>
      </c>
      <c r="Y48" s="50">
        <f>INDEX(LINEST($Q$12:$Q$22,$E$12:$E$22^{1,2},FALSE,FALSE),1)</f>
        <v>-338.40298674736437</v>
      </c>
      <c r="Z48" s="28"/>
      <c r="AA48" s="51" t="s">
        <v>123</v>
      </c>
      <c r="AB48" s="52">
        <f>INDEX(LINEST($P$12:$P$22,$Q$12:$Q$22),1)</f>
        <v>1.3013227431369936</v>
      </c>
      <c r="AI48" s="5"/>
      <c r="AJ48" s="5"/>
      <c r="AK48" s="151"/>
      <c r="AX48" s="164"/>
    </row>
    <row r="49" spans="3:50" x14ac:dyDescent="0.25">
      <c r="C49" s="45"/>
      <c r="D49" s="61"/>
      <c r="E49" s="61"/>
      <c r="F49" s="6"/>
      <c r="G49" s="6"/>
      <c r="H49" s="6"/>
      <c r="I49" s="6"/>
      <c r="J49" s="6"/>
      <c r="K49" s="9"/>
      <c r="L49" s="6"/>
      <c r="M49" s="6"/>
      <c r="N49" s="10"/>
      <c r="O49" s="10"/>
      <c r="P49" s="10"/>
      <c r="Q49" s="10"/>
      <c r="R49" s="10"/>
      <c r="S49" s="10"/>
      <c r="T49" s="10"/>
      <c r="U49" s="10"/>
      <c r="V49" s="10"/>
      <c r="X49" s="43"/>
      <c r="Y49" s="54">
        <f>INDEX(LINEST($Q$12:$Q$22,$E$12:$E$22^{1,2},FALSE,FALSE),2)</f>
        <v>14524.599856984931</v>
      </c>
      <c r="Z49" s="30"/>
      <c r="AA49" s="44"/>
      <c r="AB49" s="46">
        <f>INDEX(LINEST($P$12:$P$22,$Q$12:$Q$22),2)</f>
        <v>1704.3183031809858</v>
      </c>
      <c r="AI49" s="5"/>
      <c r="AJ49" s="5"/>
      <c r="AK49" s="151"/>
    </row>
    <row r="50" spans="3:50" x14ac:dyDescent="0.25">
      <c r="C50" s="61"/>
      <c r="D50" s="61"/>
      <c r="E50" s="61"/>
      <c r="F50" s="6"/>
      <c r="G50" s="6"/>
      <c r="H50" s="6"/>
      <c r="I50" s="6"/>
      <c r="J50" s="6"/>
      <c r="K50" s="9"/>
      <c r="L50" s="6"/>
      <c r="M50" s="6"/>
      <c r="N50" s="10"/>
      <c r="O50" s="10"/>
      <c r="P50" s="10"/>
      <c r="Q50" s="10"/>
      <c r="R50" s="10"/>
      <c r="S50" s="10"/>
      <c r="T50" s="10"/>
      <c r="U50" s="10">
        <f>(60*2.5/PI()/AB38*1000/41)^2</f>
        <v>448.32161728852856</v>
      </c>
      <c r="V50" s="10"/>
      <c r="X50" s="43"/>
      <c r="Y50" s="54">
        <f>INDEX(LINEST($Q$12:$Q$22,$E$12:$E$22^{1,2},FALSE,FALSE),3)</f>
        <v>0</v>
      </c>
      <c r="Z50" s="30"/>
      <c r="AA50" s="44" t="s">
        <v>122</v>
      </c>
      <c r="AB50" s="46">
        <f>INDEX(LINEST($Q$12:$Q$22,$P$12:$P$22),1)</f>
        <v>0.75265028556560287</v>
      </c>
      <c r="AD50" t="s">
        <v>176</v>
      </c>
      <c r="AX50" s="164"/>
    </row>
    <row r="51" spans="3:50" x14ac:dyDescent="0.25">
      <c r="C51" s="61"/>
      <c r="D51" s="61"/>
      <c r="E51" s="61"/>
      <c r="F51" s="6"/>
      <c r="G51" s="6"/>
      <c r="H51" s="6"/>
      <c r="I51" s="6"/>
      <c r="J51" s="6"/>
      <c r="K51" s="9"/>
      <c r="L51" s="6"/>
      <c r="M51" s="6"/>
      <c r="N51" s="10"/>
      <c r="O51" s="10"/>
      <c r="P51" s="10"/>
      <c r="Q51" s="10"/>
      <c r="R51" s="10"/>
      <c r="S51" s="10"/>
      <c r="T51" s="10"/>
      <c r="U51" s="10"/>
      <c r="V51" s="10"/>
      <c r="X51" s="43" t="s">
        <v>21</v>
      </c>
      <c r="Y51" s="54" t="e">
        <f>INDEX(LINEST($P$12:$P$22,$M$12:$M$22),1)</f>
        <v>#VALUE!</v>
      </c>
      <c r="Z51" s="30"/>
      <c r="AA51" s="44"/>
      <c r="AB51" s="46">
        <f>INDEX(LINEST($Q$12:$Q$22,$P$12:$P$22),2)</f>
        <v>-997.49039883282785</v>
      </c>
      <c r="AC51" t="s">
        <v>60</v>
      </c>
    </row>
    <row r="52" spans="3:50" x14ac:dyDescent="0.25">
      <c r="C52" s="61"/>
      <c r="D52" s="61"/>
      <c r="E52" s="61"/>
      <c r="F52" s="6"/>
      <c r="G52" s="6"/>
      <c r="H52" s="6"/>
      <c r="I52" s="6"/>
      <c r="J52" s="6"/>
      <c r="K52" s="9"/>
      <c r="L52" s="6"/>
      <c r="M52" s="6"/>
      <c r="N52" s="10"/>
      <c r="O52" s="10"/>
      <c r="P52" s="10"/>
      <c r="Q52" s="10"/>
      <c r="R52" s="10"/>
      <c r="S52" s="10"/>
      <c r="T52" s="10"/>
      <c r="U52" s="10"/>
      <c r="V52" s="10"/>
      <c r="X52" s="43"/>
      <c r="Y52" s="54" t="e">
        <f>INDEX(LINEST($P$12:$P$22,$M$12:$M$22),2)</f>
        <v>#VALUE!</v>
      </c>
      <c r="Z52" s="30"/>
      <c r="AA52" s="30"/>
      <c r="AB52" s="31"/>
    </row>
    <row r="53" spans="3:50" x14ac:dyDescent="0.25">
      <c r="C53" s="61"/>
      <c r="D53" s="61"/>
      <c r="E53" s="61"/>
      <c r="F53" s="6"/>
      <c r="G53" s="6"/>
      <c r="H53" s="6"/>
      <c r="I53" s="6"/>
      <c r="J53" s="6"/>
      <c r="K53" s="2"/>
      <c r="N53" s="3"/>
      <c r="O53" s="3"/>
      <c r="P53" s="3"/>
      <c r="Q53" s="3"/>
      <c r="R53" s="3"/>
      <c r="S53" s="3"/>
      <c r="T53" s="3"/>
      <c r="U53" s="3"/>
      <c r="V53" s="3"/>
      <c r="X53" s="19"/>
      <c r="Y53" s="30"/>
      <c r="Z53" s="30"/>
      <c r="AA53" s="30"/>
      <c r="AB53" s="31"/>
    </row>
    <row r="54" spans="3:50" x14ac:dyDescent="0.25">
      <c r="C54" s="61"/>
      <c r="D54" s="61"/>
      <c r="E54" s="61"/>
      <c r="X54" s="181" t="s">
        <v>62</v>
      </c>
      <c r="Y54" s="44" t="e">
        <f>EXP((0-$AF$32)/$AG$32)</f>
        <v>#VALUE!</v>
      </c>
      <c r="Z54" s="30"/>
      <c r="AA54" s="30"/>
      <c r="AB54" s="31"/>
      <c r="AC54" t="s">
        <v>65</v>
      </c>
      <c r="AJ54" s="104"/>
      <c r="AR54" s="3"/>
    </row>
    <row r="55" spans="3:50" x14ac:dyDescent="0.25">
      <c r="C55" s="61"/>
      <c r="D55" s="61"/>
      <c r="E55" s="61"/>
      <c r="X55" s="19"/>
      <c r="Y55" s="30"/>
      <c r="Z55" s="30"/>
      <c r="AA55" s="30"/>
      <c r="AB55" s="31"/>
      <c r="AS55" s="3"/>
    </row>
    <row r="56" spans="3:50" x14ac:dyDescent="0.25">
      <c r="C56" s="61"/>
      <c r="D56" s="61"/>
      <c r="E56" s="61"/>
      <c r="X56" s="43" t="s">
        <v>92</v>
      </c>
      <c r="Y56" s="180">
        <f>INDEX(LINEST($Y$10:$Y$22,$P$10:$P$22^{1,2}),1)</f>
        <v>-6.366225178707132E+16</v>
      </c>
      <c r="Z56" s="30"/>
      <c r="AA56" s="44" t="s">
        <v>130</v>
      </c>
      <c r="AB56" s="122" t="e">
        <f>INDEX(LINEST($Y$73:$Y$90,$P$73:$P$90^{1,2}),1)</f>
        <v>#VALUE!</v>
      </c>
    </row>
    <row r="57" spans="3:50" x14ac:dyDescent="0.25">
      <c r="X57" s="43"/>
      <c r="Y57" s="180">
        <f>INDEX(LINEST($Y$10:$Y$22,$P$10:$P$22^{1,2}),2)</f>
        <v>3.7159081687256693E+21</v>
      </c>
      <c r="Z57" s="30"/>
      <c r="AA57" s="44"/>
      <c r="AB57" s="122" t="e">
        <f>INDEX(LINEST($Y$73:$Y$90,$P$73:$P$90^{1,2}),2)</f>
        <v>#VALUE!</v>
      </c>
    </row>
    <row r="58" spans="3:50" ht="15.75" thickBot="1" x14ac:dyDescent="0.3">
      <c r="X58" s="55"/>
      <c r="Y58" s="182">
        <f>INDEX(LINEST($Y$10:$Y$22,$P$10:$P$22^{1,2}),3)</f>
        <v>-4.671987635157824E+25</v>
      </c>
      <c r="Z58" s="32"/>
      <c r="AA58" s="108"/>
      <c r="AB58" s="123" t="e">
        <f>INDEX(LINEST($Y$73:$Y$90,$P$73:$P$90^{1,2}),3)</f>
        <v>#VALUE!</v>
      </c>
    </row>
    <row r="65" spans="1:36" x14ac:dyDescent="0.25">
      <c r="H65" s="176"/>
    </row>
    <row r="67" spans="1:36" x14ac:dyDescent="0.25">
      <c r="AG67" s="45"/>
      <c r="AH67" s="149"/>
    </row>
    <row r="68" spans="1:36" x14ac:dyDescent="0.25">
      <c r="AG68" s="45"/>
      <c r="AH68" s="149"/>
    </row>
    <row r="69" spans="1:36" x14ac:dyDescent="0.25">
      <c r="AG69" s="45"/>
      <c r="AH69" s="149"/>
    </row>
    <row r="71" spans="1:36" x14ac:dyDescent="0.25">
      <c r="A71" s="45"/>
      <c r="B71" s="45"/>
      <c r="C71" s="45"/>
      <c r="D71" s="61"/>
      <c r="E71" s="61"/>
      <c r="F71" s="61"/>
      <c r="G71" s="61"/>
      <c r="H71" s="61"/>
      <c r="I71" s="61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45"/>
      <c r="V71" s="45"/>
      <c r="W71" s="45"/>
      <c r="X71" s="45"/>
      <c r="Y71" s="45"/>
      <c r="Z71" s="45"/>
      <c r="AA71" s="45"/>
      <c r="AB71" s="45"/>
      <c r="AC71" s="45"/>
      <c r="AD71" s="45"/>
      <c r="AE71" s="45"/>
      <c r="AF71" s="45"/>
      <c r="AG71" s="45"/>
      <c r="AH71" s="45"/>
      <c r="AI71" s="45"/>
      <c r="AJ71" s="45"/>
    </row>
    <row r="72" spans="1:36" x14ac:dyDescent="0.25">
      <c r="A72" s="45"/>
      <c r="B72" s="45"/>
      <c r="C72" s="45"/>
      <c r="D72" s="61"/>
      <c r="E72" s="61"/>
      <c r="F72" s="61"/>
      <c r="G72" s="61"/>
      <c r="H72" s="61"/>
      <c r="I72" s="61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45"/>
      <c r="V72" s="45"/>
      <c r="W72" s="45"/>
      <c r="X72" s="45"/>
      <c r="Y72" s="45"/>
      <c r="Z72" s="45"/>
      <c r="AA72" s="45"/>
      <c r="AB72" s="45"/>
      <c r="AC72" s="45"/>
      <c r="AD72" s="45"/>
      <c r="AE72" s="45"/>
      <c r="AF72" s="45"/>
      <c r="AG72" s="45"/>
      <c r="AH72" s="45"/>
      <c r="AI72" s="45"/>
      <c r="AJ72" s="45"/>
    </row>
    <row r="73" spans="1:36" x14ac:dyDescent="0.25">
      <c r="A73" s="45"/>
      <c r="B73" s="45"/>
      <c r="C73" s="45"/>
      <c r="D73" s="61"/>
      <c r="E73" s="61"/>
      <c r="F73" s="61"/>
      <c r="G73" s="61"/>
      <c r="H73" s="61"/>
      <c r="I73" s="190"/>
      <c r="J73" s="61"/>
      <c r="K73" s="187"/>
      <c r="L73" s="61"/>
      <c r="M73" s="61"/>
      <c r="N73" s="188"/>
      <c r="O73" s="188"/>
      <c r="P73" s="188"/>
      <c r="Q73" s="188"/>
      <c r="R73" s="188"/>
      <c r="S73" s="188"/>
      <c r="T73" s="188"/>
      <c r="U73" s="189"/>
      <c r="V73" s="189"/>
      <c r="W73" s="45"/>
      <c r="X73" s="186"/>
      <c r="Y73" s="186"/>
      <c r="Z73" s="45"/>
      <c r="AA73" s="45"/>
      <c r="AB73" s="45"/>
      <c r="AC73" s="45"/>
      <c r="AD73" s="45"/>
      <c r="AE73" s="45"/>
      <c r="AF73" s="45"/>
      <c r="AG73" s="45"/>
      <c r="AH73" s="45"/>
      <c r="AI73" s="45"/>
      <c r="AJ73" s="45"/>
    </row>
    <row r="74" spans="1:36" x14ac:dyDescent="0.25">
      <c r="A74" s="45"/>
      <c r="B74" s="45"/>
      <c r="C74" s="45"/>
      <c r="D74" s="61"/>
      <c r="E74" s="61"/>
      <c r="F74" s="61"/>
      <c r="G74" s="61"/>
      <c r="H74" s="61"/>
      <c r="I74" s="190"/>
      <c r="J74" s="61"/>
      <c r="K74" s="187"/>
      <c r="L74" s="61"/>
      <c r="M74" s="61"/>
      <c r="N74" s="188"/>
      <c r="O74" s="188"/>
      <c r="P74" s="188"/>
      <c r="Q74" s="188"/>
      <c r="R74" s="188"/>
      <c r="S74" s="188"/>
      <c r="T74" s="188"/>
      <c r="U74" s="189"/>
      <c r="V74" s="189"/>
      <c r="W74" s="45"/>
      <c r="X74" s="186"/>
      <c r="Y74" s="186"/>
      <c r="Z74" s="45"/>
      <c r="AA74" s="45"/>
      <c r="AB74" s="45"/>
      <c r="AC74" s="45"/>
      <c r="AD74" s="45"/>
      <c r="AE74" s="45"/>
      <c r="AF74" s="45"/>
      <c r="AG74" s="45"/>
      <c r="AH74" s="45"/>
      <c r="AI74" s="45"/>
      <c r="AJ74" s="45"/>
    </row>
    <row r="75" spans="1:36" x14ac:dyDescent="0.25">
      <c r="A75" s="45"/>
      <c r="B75" s="45"/>
      <c r="C75" s="45"/>
      <c r="D75" s="61"/>
      <c r="E75" s="61"/>
      <c r="F75" s="61"/>
      <c r="G75" s="61"/>
      <c r="H75" s="61"/>
      <c r="I75" s="190"/>
      <c r="J75" s="61"/>
      <c r="K75" s="187"/>
      <c r="L75" s="61"/>
      <c r="M75" s="61"/>
      <c r="N75" s="188"/>
      <c r="O75" s="188"/>
      <c r="P75" s="188"/>
      <c r="Q75" s="188"/>
      <c r="R75" s="188"/>
      <c r="S75" s="188"/>
      <c r="T75" s="188"/>
      <c r="U75" s="189"/>
      <c r="V75" s="189"/>
      <c r="W75" s="45"/>
      <c r="X75" s="186"/>
      <c r="Y75" s="186"/>
      <c r="Z75" s="45"/>
      <c r="AA75" s="45"/>
      <c r="AB75" s="45"/>
      <c r="AC75" s="45"/>
      <c r="AD75" s="45"/>
      <c r="AE75" s="45"/>
      <c r="AF75" s="45"/>
      <c r="AG75" s="45"/>
      <c r="AH75" s="45"/>
      <c r="AI75" s="45"/>
      <c r="AJ75" s="45"/>
    </row>
    <row r="76" spans="1:36" x14ac:dyDescent="0.25">
      <c r="A76" s="45"/>
      <c r="B76" s="45"/>
      <c r="C76" s="45"/>
      <c r="D76" s="61"/>
      <c r="E76" s="61"/>
      <c r="F76" s="61"/>
      <c r="G76" s="61"/>
      <c r="H76" s="61"/>
      <c r="I76" s="190"/>
      <c r="J76" s="61"/>
      <c r="K76" s="187"/>
      <c r="L76" s="61"/>
      <c r="M76" s="61"/>
      <c r="N76" s="188"/>
      <c r="O76" s="188"/>
      <c r="P76" s="188"/>
      <c r="Q76" s="188"/>
      <c r="R76" s="188"/>
      <c r="S76" s="188"/>
      <c r="T76" s="188"/>
      <c r="U76" s="189"/>
      <c r="V76" s="189"/>
      <c r="W76" s="45"/>
      <c r="X76" s="186"/>
      <c r="Y76" s="186"/>
      <c r="Z76" s="45"/>
      <c r="AA76" s="45"/>
      <c r="AB76" s="45"/>
      <c r="AC76" s="45"/>
      <c r="AD76" s="45"/>
      <c r="AE76" s="45"/>
      <c r="AF76" s="45"/>
      <c r="AG76" s="45"/>
      <c r="AH76" s="45"/>
      <c r="AI76" s="45"/>
      <c r="AJ76" s="45"/>
    </row>
    <row r="77" spans="1:36" x14ac:dyDescent="0.25">
      <c r="A77" s="45"/>
      <c r="B77" s="45"/>
      <c r="C77" s="45"/>
      <c r="D77" s="61"/>
      <c r="E77" s="61"/>
      <c r="F77" s="61"/>
      <c r="G77" s="61"/>
      <c r="H77" s="61"/>
      <c r="I77" s="190"/>
      <c r="J77" s="61"/>
      <c r="K77" s="187"/>
      <c r="L77" s="61"/>
      <c r="M77" s="61"/>
      <c r="N77" s="188"/>
      <c r="O77" s="188"/>
      <c r="P77" s="188"/>
      <c r="Q77" s="188"/>
      <c r="R77" s="188"/>
      <c r="S77" s="188"/>
      <c r="T77" s="188"/>
      <c r="U77" s="189"/>
      <c r="V77" s="189"/>
      <c r="W77" s="45"/>
      <c r="X77" s="186"/>
      <c r="Y77" s="186"/>
      <c r="Z77" s="45"/>
      <c r="AA77" s="45"/>
      <c r="AB77" s="45"/>
      <c r="AC77" s="45"/>
      <c r="AD77" s="45"/>
      <c r="AE77" s="45"/>
      <c r="AF77" s="45"/>
      <c r="AG77" s="45"/>
      <c r="AH77" s="45"/>
      <c r="AI77" s="45"/>
      <c r="AJ77" s="45"/>
    </row>
    <row r="78" spans="1:36" x14ac:dyDescent="0.25">
      <c r="A78" s="45"/>
      <c r="B78" s="45"/>
      <c r="C78" s="45"/>
      <c r="D78" s="61"/>
      <c r="E78" s="61"/>
      <c r="F78" s="61"/>
      <c r="G78" s="61"/>
      <c r="H78" s="61"/>
      <c r="I78" s="190"/>
      <c r="J78" s="61"/>
      <c r="K78" s="187"/>
      <c r="L78" s="61"/>
      <c r="M78" s="61"/>
      <c r="N78" s="188"/>
      <c r="O78" s="188"/>
      <c r="P78" s="188"/>
      <c r="Q78" s="188"/>
      <c r="R78" s="188"/>
      <c r="S78" s="188"/>
      <c r="T78" s="188"/>
      <c r="U78" s="189"/>
      <c r="V78" s="189"/>
      <c r="W78" s="45"/>
      <c r="X78" s="186"/>
      <c r="Y78" s="186"/>
      <c r="Z78" s="45"/>
      <c r="AA78" s="45"/>
      <c r="AB78" s="45"/>
      <c r="AC78" s="45"/>
      <c r="AD78" s="45"/>
      <c r="AE78" s="45"/>
      <c r="AF78" s="45"/>
      <c r="AG78" s="45"/>
      <c r="AH78" s="45"/>
      <c r="AI78" s="45"/>
      <c r="AJ78" s="45"/>
    </row>
    <row r="79" spans="1:36" x14ac:dyDescent="0.25">
      <c r="A79" s="45"/>
      <c r="B79" s="45"/>
      <c r="C79" s="45"/>
      <c r="D79" s="61"/>
      <c r="E79" s="61"/>
      <c r="F79" s="61"/>
      <c r="G79" s="61"/>
      <c r="H79" s="61"/>
      <c r="I79" s="61"/>
      <c r="J79" s="61"/>
      <c r="K79" s="187"/>
      <c r="L79" s="61"/>
      <c r="M79" s="61"/>
      <c r="N79" s="188"/>
      <c r="O79" s="188"/>
      <c r="P79" s="188"/>
      <c r="Q79" s="188"/>
      <c r="R79" s="188"/>
      <c r="S79" s="188"/>
      <c r="T79" s="188"/>
      <c r="U79" s="189"/>
      <c r="V79" s="189"/>
      <c r="W79" s="45"/>
      <c r="X79" s="186"/>
      <c r="Y79" s="186"/>
      <c r="Z79" s="45"/>
      <c r="AA79" s="45"/>
      <c r="AB79" s="45"/>
      <c r="AC79" s="45"/>
      <c r="AD79" s="45"/>
      <c r="AE79" s="45"/>
      <c r="AF79" s="45"/>
      <c r="AG79" s="45"/>
      <c r="AH79" s="45"/>
      <c r="AI79" s="45"/>
      <c r="AJ79" s="45"/>
    </row>
    <row r="80" spans="1:36" x14ac:dyDescent="0.25">
      <c r="A80" s="45"/>
      <c r="B80" s="45"/>
      <c r="C80" s="45"/>
      <c r="D80" s="61"/>
      <c r="E80" s="61"/>
      <c r="F80" s="61"/>
      <c r="G80" s="61"/>
      <c r="H80" s="61"/>
      <c r="I80" s="61"/>
      <c r="J80" s="61"/>
      <c r="K80" s="187"/>
      <c r="L80" s="61"/>
      <c r="M80" s="61"/>
      <c r="N80" s="188"/>
      <c r="O80" s="188"/>
      <c r="P80" s="188"/>
      <c r="Q80" s="188"/>
      <c r="R80" s="188"/>
      <c r="S80" s="188"/>
      <c r="T80" s="188"/>
      <c r="U80" s="189"/>
      <c r="V80" s="189"/>
      <c r="W80" s="45"/>
      <c r="X80" s="186"/>
      <c r="Y80" s="186"/>
      <c r="Z80" s="45"/>
      <c r="AA80" s="45"/>
      <c r="AB80" s="45"/>
      <c r="AC80" s="45"/>
      <c r="AD80" s="45"/>
      <c r="AE80" s="45"/>
      <c r="AF80" s="45"/>
      <c r="AG80" s="45"/>
      <c r="AH80" s="45"/>
      <c r="AI80" s="45"/>
      <c r="AJ80" s="45"/>
    </row>
    <row r="81" spans="1:36" x14ac:dyDescent="0.25">
      <c r="A81" s="45"/>
      <c r="B81" s="45"/>
      <c r="C81" s="45"/>
      <c r="D81" s="61"/>
      <c r="E81" s="61"/>
      <c r="F81" s="61"/>
      <c r="G81" s="61"/>
      <c r="H81" s="61"/>
      <c r="I81" s="61"/>
      <c r="J81" s="61"/>
      <c r="K81" s="187"/>
      <c r="L81" s="61"/>
      <c r="M81" s="61"/>
      <c r="N81" s="188"/>
      <c r="O81" s="188"/>
      <c r="P81" s="188"/>
      <c r="Q81" s="188"/>
      <c r="R81" s="188"/>
      <c r="S81" s="188"/>
      <c r="T81" s="188"/>
      <c r="U81" s="189"/>
      <c r="V81" s="189"/>
      <c r="W81" s="45"/>
      <c r="X81" s="186"/>
      <c r="Y81" s="186"/>
      <c r="Z81" s="45"/>
      <c r="AA81" s="45"/>
      <c r="AB81" s="45"/>
      <c r="AC81" s="45"/>
      <c r="AD81" s="45"/>
      <c r="AE81" s="45"/>
      <c r="AF81" s="45"/>
      <c r="AG81" s="45"/>
      <c r="AH81" s="45"/>
      <c r="AI81" s="45"/>
      <c r="AJ81" s="45"/>
    </row>
    <row r="82" spans="1:36" x14ac:dyDescent="0.25">
      <c r="A82" s="45"/>
      <c r="B82" s="45"/>
      <c r="C82" s="45"/>
      <c r="D82" s="61"/>
      <c r="E82" s="61"/>
      <c r="F82" s="61"/>
      <c r="G82" s="61"/>
      <c r="H82" s="61"/>
      <c r="I82" s="61"/>
      <c r="J82" s="61"/>
      <c r="K82" s="187"/>
      <c r="L82" s="61"/>
      <c r="M82" s="61"/>
      <c r="N82" s="188"/>
      <c r="O82" s="188"/>
      <c r="P82" s="188"/>
      <c r="Q82" s="188"/>
      <c r="R82" s="188"/>
      <c r="S82" s="188"/>
      <c r="T82" s="188"/>
      <c r="U82" s="189"/>
      <c r="V82" s="189"/>
      <c r="W82" s="45"/>
      <c r="X82" s="186"/>
      <c r="Y82" s="186"/>
      <c r="Z82" s="45"/>
      <c r="AA82" s="45"/>
      <c r="AB82" s="45"/>
      <c r="AC82" s="45"/>
      <c r="AD82" s="45"/>
      <c r="AE82" s="45"/>
      <c r="AF82" s="45"/>
      <c r="AG82" s="45"/>
      <c r="AH82" s="45"/>
      <c r="AI82" s="45"/>
      <c r="AJ82" s="45"/>
    </row>
    <row r="83" spans="1:36" x14ac:dyDescent="0.25">
      <c r="A83" s="45"/>
      <c r="B83" s="45"/>
      <c r="C83" s="45"/>
      <c r="D83" s="61"/>
      <c r="E83" s="61"/>
      <c r="F83" s="61"/>
      <c r="G83" s="61"/>
      <c r="H83" s="61"/>
      <c r="I83" s="61"/>
      <c r="J83" s="61"/>
      <c r="K83" s="187"/>
      <c r="L83" s="61"/>
      <c r="M83" s="61"/>
      <c r="N83" s="188"/>
      <c r="O83" s="188"/>
      <c r="P83" s="188"/>
      <c r="Q83" s="188"/>
      <c r="R83" s="188"/>
      <c r="S83" s="188"/>
      <c r="T83" s="188"/>
      <c r="U83" s="189"/>
      <c r="V83" s="189"/>
      <c r="W83" s="45"/>
      <c r="X83" s="186"/>
      <c r="Y83" s="186"/>
      <c r="Z83" s="45"/>
      <c r="AA83" s="45"/>
      <c r="AB83" s="45"/>
      <c r="AC83" s="45"/>
      <c r="AD83" s="45"/>
      <c r="AE83" s="45"/>
      <c r="AF83" s="45"/>
      <c r="AG83" s="45"/>
      <c r="AH83" s="45"/>
      <c r="AI83" s="45"/>
      <c r="AJ83" s="45"/>
    </row>
    <row r="84" spans="1:36" x14ac:dyDescent="0.25">
      <c r="A84" s="45"/>
      <c r="B84" s="45"/>
      <c r="C84" s="45"/>
      <c r="D84" s="61"/>
      <c r="E84" s="61"/>
      <c r="F84" s="61"/>
      <c r="G84" s="61"/>
      <c r="H84" s="61"/>
      <c r="I84" s="61"/>
      <c r="J84" s="61"/>
      <c r="K84" s="187"/>
      <c r="L84" s="61"/>
      <c r="M84" s="61"/>
      <c r="N84" s="188"/>
      <c r="O84" s="188"/>
      <c r="P84" s="188"/>
      <c r="Q84" s="188"/>
      <c r="R84" s="188"/>
      <c r="S84" s="188"/>
      <c r="T84" s="188"/>
      <c r="U84" s="189"/>
      <c r="V84" s="189"/>
      <c r="W84" s="45"/>
      <c r="X84" s="186"/>
      <c r="Y84" s="186"/>
      <c r="Z84" s="45"/>
      <c r="AA84" s="45"/>
      <c r="AB84" s="45"/>
      <c r="AC84" s="45"/>
      <c r="AD84" s="45"/>
      <c r="AE84" s="45"/>
      <c r="AF84" s="45"/>
      <c r="AG84" s="45"/>
      <c r="AH84" s="45"/>
      <c r="AI84" s="45"/>
      <c r="AJ84" s="45"/>
    </row>
    <row r="85" spans="1:36" x14ac:dyDescent="0.25">
      <c r="A85" s="45"/>
      <c r="B85" s="45"/>
      <c r="C85" s="45"/>
      <c r="D85" s="61"/>
      <c r="E85" s="61"/>
      <c r="F85" s="61"/>
      <c r="G85" s="61"/>
      <c r="H85" s="61"/>
      <c r="I85" s="61"/>
      <c r="J85" s="61"/>
      <c r="K85" s="187"/>
      <c r="L85" s="61"/>
      <c r="M85" s="61"/>
      <c r="N85" s="188"/>
      <c r="O85" s="188"/>
      <c r="P85" s="188"/>
      <c r="Q85" s="188"/>
      <c r="R85" s="188"/>
      <c r="S85" s="188"/>
      <c r="T85" s="188"/>
      <c r="U85" s="189"/>
      <c r="V85" s="189"/>
      <c r="W85" s="45"/>
      <c r="X85" s="186"/>
      <c r="Y85" s="186"/>
      <c r="Z85" s="45"/>
      <c r="AA85" s="45"/>
      <c r="AB85" s="45"/>
      <c r="AC85" s="45"/>
      <c r="AD85" s="45"/>
      <c r="AE85" s="45"/>
      <c r="AF85" s="45"/>
      <c r="AG85" s="45"/>
      <c r="AH85" s="45"/>
      <c r="AI85" s="45"/>
      <c r="AJ85" s="45"/>
    </row>
    <row r="86" spans="1:36" x14ac:dyDescent="0.25">
      <c r="A86" s="45"/>
      <c r="B86" s="45"/>
      <c r="C86" s="45"/>
      <c r="D86" s="61"/>
      <c r="E86" s="61"/>
      <c r="F86" s="61"/>
      <c r="G86" s="61"/>
      <c r="H86" s="61"/>
      <c r="I86" s="61"/>
      <c r="J86" s="61"/>
      <c r="K86" s="187"/>
      <c r="L86" s="61"/>
      <c r="M86" s="61"/>
      <c r="N86" s="188"/>
      <c r="O86" s="188"/>
      <c r="P86" s="188"/>
      <c r="Q86" s="188"/>
      <c r="R86" s="188"/>
      <c r="S86" s="188"/>
      <c r="T86" s="188"/>
      <c r="U86" s="189"/>
      <c r="V86" s="189"/>
      <c r="W86" s="45"/>
      <c r="X86" s="186"/>
      <c r="Y86" s="186"/>
      <c r="Z86" s="45"/>
      <c r="AA86" s="45"/>
      <c r="AB86" s="45"/>
      <c r="AC86" s="45"/>
      <c r="AD86" s="45"/>
      <c r="AE86" s="45"/>
      <c r="AF86" s="45"/>
      <c r="AG86" s="45"/>
      <c r="AH86" s="45"/>
      <c r="AI86" s="45"/>
      <c r="AJ86" s="45"/>
    </row>
    <row r="87" spans="1:36" x14ac:dyDescent="0.25">
      <c r="A87" s="45"/>
      <c r="B87" s="45"/>
      <c r="C87" s="45"/>
      <c r="D87" s="61"/>
      <c r="E87" s="61"/>
      <c r="F87" s="61"/>
      <c r="G87" s="61"/>
      <c r="H87" s="61"/>
      <c r="I87" s="61"/>
      <c r="J87" s="61"/>
      <c r="K87" s="187"/>
      <c r="L87" s="61"/>
      <c r="M87" s="61"/>
      <c r="N87" s="188"/>
      <c r="O87" s="188"/>
      <c r="P87" s="188"/>
      <c r="Q87" s="188"/>
      <c r="R87" s="188"/>
      <c r="S87" s="188"/>
      <c r="T87" s="188"/>
      <c r="U87" s="189"/>
      <c r="V87" s="189"/>
      <c r="W87" s="45"/>
      <c r="X87" s="186"/>
      <c r="Y87" s="186"/>
      <c r="Z87" s="45"/>
      <c r="AA87" s="45"/>
      <c r="AB87" s="45"/>
      <c r="AC87" s="45"/>
      <c r="AD87" s="45"/>
      <c r="AE87" s="45"/>
      <c r="AF87" s="45"/>
      <c r="AG87" s="45"/>
      <c r="AH87" s="45"/>
      <c r="AI87" s="45"/>
      <c r="AJ87" s="45"/>
    </row>
    <row r="88" spans="1:36" x14ac:dyDescent="0.25">
      <c r="A88" s="45"/>
      <c r="B88" s="45"/>
      <c r="C88" s="45"/>
      <c r="D88" s="61"/>
      <c r="E88" s="61"/>
      <c r="F88" s="61"/>
      <c r="G88" s="61"/>
      <c r="H88" s="61"/>
      <c r="I88" s="61"/>
      <c r="J88" s="61"/>
      <c r="K88" s="187"/>
      <c r="L88" s="61"/>
      <c r="M88" s="61"/>
      <c r="N88" s="188"/>
      <c r="O88" s="188"/>
      <c r="P88" s="188"/>
      <c r="Q88" s="188"/>
      <c r="R88" s="188"/>
      <c r="S88" s="188"/>
      <c r="T88" s="188"/>
      <c r="U88" s="189"/>
      <c r="V88" s="189"/>
      <c r="W88" s="45"/>
      <c r="X88" s="186"/>
      <c r="Y88" s="186"/>
      <c r="Z88" s="45"/>
      <c r="AA88" s="45"/>
      <c r="AB88" s="45"/>
      <c r="AC88" s="45"/>
      <c r="AD88" s="45"/>
      <c r="AE88" s="45"/>
      <c r="AF88" s="45"/>
      <c r="AG88" s="45"/>
      <c r="AH88" s="45"/>
      <c r="AI88" s="45"/>
      <c r="AJ88" s="45"/>
    </row>
    <row r="89" spans="1:36" x14ac:dyDescent="0.25">
      <c r="A89" s="45"/>
      <c r="B89" s="45"/>
      <c r="C89" s="45"/>
      <c r="D89" s="61"/>
      <c r="E89" s="61"/>
      <c r="F89" s="61"/>
      <c r="G89" s="61"/>
      <c r="H89" s="61"/>
      <c r="I89" s="61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189"/>
      <c r="V89" s="189"/>
      <c r="W89" s="45"/>
      <c r="X89" s="186"/>
      <c r="Y89" s="186"/>
      <c r="Z89" s="45"/>
      <c r="AA89" s="45"/>
      <c r="AB89" s="45"/>
      <c r="AC89" s="45"/>
      <c r="AD89" s="45"/>
      <c r="AE89" s="45"/>
      <c r="AF89" s="45"/>
      <c r="AG89" s="45"/>
      <c r="AH89" s="45"/>
      <c r="AI89" s="45"/>
      <c r="AJ89" s="45"/>
    </row>
    <row r="90" spans="1:36" x14ac:dyDescent="0.25">
      <c r="A90" s="45"/>
      <c r="B90" s="45"/>
      <c r="C90" s="45"/>
      <c r="D90" s="61"/>
      <c r="E90" s="61"/>
      <c r="F90" s="61"/>
      <c r="G90" s="61"/>
      <c r="H90" s="61"/>
      <c r="I90" s="61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189"/>
      <c r="V90" s="189"/>
      <c r="W90" s="45"/>
      <c r="X90" s="186"/>
      <c r="Y90" s="186"/>
      <c r="Z90" s="45"/>
      <c r="AA90" s="45"/>
      <c r="AB90" s="45"/>
      <c r="AC90" s="45"/>
      <c r="AD90" s="45"/>
      <c r="AE90" s="45"/>
      <c r="AF90" s="45"/>
      <c r="AG90" s="45"/>
      <c r="AH90" s="45"/>
      <c r="AI90" s="45"/>
      <c r="AJ90" s="45"/>
    </row>
    <row r="91" spans="1:36" x14ac:dyDescent="0.25">
      <c r="A91" s="45"/>
      <c r="B91" s="45"/>
      <c r="C91" s="45"/>
      <c r="D91" s="61"/>
      <c r="E91" s="61"/>
      <c r="F91" s="61"/>
      <c r="G91" s="61"/>
      <c r="H91" s="61"/>
      <c r="I91" s="61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45"/>
      <c r="V91" s="45"/>
      <c r="W91" s="45"/>
      <c r="X91" s="45"/>
      <c r="Y91" s="45"/>
      <c r="Z91" s="45"/>
      <c r="AA91" s="45"/>
      <c r="AB91" s="45"/>
      <c r="AC91" s="45"/>
      <c r="AD91" s="45"/>
      <c r="AE91" s="45"/>
      <c r="AF91" s="45"/>
      <c r="AG91" s="45"/>
      <c r="AH91" s="45"/>
      <c r="AI91" s="45"/>
      <c r="AJ91" s="45"/>
    </row>
    <row r="92" spans="1:36" x14ac:dyDescent="0.25">
      <c r="A92" s="45"/>
      <c r="B92" s="45"/>
      <c r="C92" s="45"/>
      <c r="D92" s="61"/>
      <c r="E92" s="61"/>
      <c r="F92" s="61"/>
      <c r="G92" s="61"/>
      <c r="H92" s="61"/>
      <c r="I92" s="61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45"/>
      <c r="V92" s="45"/>
      <c r="W92" s="45"/>
      <c r="X92" s="45"/>
      <c r="Y92" s="45"/>
      <c r="Z92" s="45"/>
      <c r="AA92" s="45"/>
      <c r="AB92" s="45"/>
      <c r="AC92" s="45"/>
      <c r="AD92" s="45"/>
      <c r="AE92" s="45"/>
      <c r="AF92" s="45"/>
      <c r="AG92" s="45"/>
      <c r="AH92" s="45"/>
      <c r="AI92" s="45"/>
      <c r="AJ92" s="45"/>
    </row>
    <row r="93" spans="1:36" x14ac:dyDescent="0.25">
      <c r="A93" s="45"/>
      <c r="B93" s="45"/>
      <c r="C93" s="45"/>
      <c r="D93" s="61"/>
      <c r="E93" s="61"/>
      <c r="F93" s="61"/>
      <c r="G93" s="61"/>
      <c r="H93" s="61"/>
      <c r="I93" s="61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45"/>
      <c r="V93" s="45"/>
      <c r="W93" s="45"/>
      <c r="X93" s="45"/>
      <c r="Y93" s="45"/>
      <c r="Z93" s="45"/>
      <c r="AA93" s="45"/>
      <c r="AB93" s="45"/>
      <c r="AC93" s="45"/>
      <c r="AD93" s="45"/>
      <c r="AE93" s="45"/>
      <c r="AF93" s="45"/>
      <c r="AG93" s="45"/>
      <c r="AH93" s="45"/>
      <c r="AI93" s="45"/>
      <c r="AJ93" s="45"/>
    </row>
    <row r="94" spans="1:36" x14ac:dyDescent="0.25">
      <c r="A94" s="45"/>
      <c r="B94" s="45"/>
      <c r="C94" s="45"/>
      <c r="D94" s="61"/>
      <c r="E94" s="61"/>
      <c r="F94" s="61"/>
      <c r="G94" s="61"/>
      <c r="H94" s="61"/>
      <c r="I94" s="190"/>
      <c r="J94" s="61"/>
      <c r="K94" s="187"/>
      <c r="L94" s="61"/>
      <c r="M94" s="61"/>
      <c r="N94" s="188"/>
      <c r="O94" s="188"/>
      <c r="P94" s="188"/>
      <c r="Q94" s="188"/>
      <c r="R94" s="188"/>
      <c r="S94" s="188"/>
      <c r="T94" s="188"/>
      <c r="U94" s="189"/>
      <c r="V94" s="189"/>
      <c r="W94" s="45"/>
      <c r="X94" s="186"/>
      <c r="Y94" s="186"/>
      <c r="Z94" s="45"/>
      <c r="AA94" s="45"/>
      <c r="AB94" s="45"/>
      <c r="AC94" s="45"/>
      <c r="AD94" s="45"/>
      <c r="AE94" s="45"/>
      <c r="AF94" s="45"/>
      <c r="AG94" s="45"/>
      <c r="AH94" s="45"/>
      <c r="AI94" s="45"/>
      <c r="AJ94" s="45"/>
    </row>
    <row r="95" spans="1:36" x14ac:dyDescent="0.25">
      <c r="A95" s="45"/>
      <c r="B95" s="45"/>
      <c r="C95" s="45"/>
      <c r="D95" s="61"/>
      <c r="E95" s="61"/>
      <c r="F95" s="61"/>
      <c r="G95" s="61"/>
      <c r="H95" s="61"/>
      <c r="I95" s="190"/>
      <c r="J95" s="61"/>
      <c r="K95" s="187"/>
      <c r="L95" s="61"/>
      <c r="M95" s="61"/>
      <c r="N95" s="188"/>
      <c r="O95" s="188"/>
      <c r="P95" s="188"/>
      <c r="Q95" s="188"/>
      <c r="R95" s="188"/>
      <c r="S95" s="188"/>
      <c r="T95" s="188"/>
      <c r="U95" s="189"/>
      <c r="V95" s="189"/>
      <c r="W95" s="45"/>
      <c r="X95" s="186"/>
      <c r="Y95" s="186"/>
      <c r="Z95" s="45"/>
      <c r="AA95" s="45"/>
      <c r="AB95" s="45"/>
      <c r="AC95" s="45"/>
      <c r="AD95" s="45"/>
      <c r="AE95" s="45"/>
      <c r="AF95" s="45"/>
      <c r="AG95" s="45"/>
      <c r="AH95" s="45"/>
      <c r="AI95" s="45"/>
      <c r="AJ95" s="45"/>
    </row>
    <row r="96" spans="1:36" x14ac:dyDescent="0.25">
      <c r="A96" s="45"/>
      <c r="B96" s="45"/>
      <c r="C96" s="45"/>
      <c r="D96" s="61"/>
      <c r="E96" s="61"/>
      <c r="F96" s="61"/>
      <c r="G96" s="61"/>
      <c r="H96" s="61"/>
      <c r="I96" s="190"/>
      <c r="J96" s="61"/>
      <c r="K96" s="187"/>
      <c r="L96" s="61"/>
      <c r="M96" s="61"/>
      <c r="N96" s="188"/>
      <c r="O96" s="188"/>
      <c r="P96" s="188"/>
      <c r="Q96" s="188"/>
      <c r="R96" s="188"/>
      <c r="S96" s="188"/>
      <c r="T96" s="188"/>
      <c r="U96" s="189"/>
      <c r="V96" s="189"/>
      <c r="W96" s="45"/>
      <c r="X96" s="186"/>
      <c r="Y96" s="186"/>
      <c r="Z96" s="45"/>
      <c r="AA96" s="45"/>
      <c r="AB96" s="45"/>
      <c r="AC96" s="45"/>
      <c r="AD96" s="45"/>
      <c r="AE96" s="45"/>
      <c r="AF96" s="45"/>
      <c r="AG96" s="45"/>
      <c r="AH96" s="45"/>
      <c r="AI96" s="45"/>
      <c r="AJ96" s="45"/>
    </row>
    <row r="97" spans="1:36" x14ac:dyDescent="0.25">
      <c r="A97" s="45"/>
      <c r="B97" s="45"/>
      <c r="C97" s="45"/>
      <c r="D97" s="61"/>
      <c r="E97" s="61"/>
      <c r="F97" s="61"/>
      <c r="G97" s="61"/>
      <c r="H97" s="61"/>
      <c r="I97" s="61"/>
      <c r="J97" s="61"/>
      <c r="K97" s="187"/>
      <c r="L97" s="61"/>
      <c r="M97" s="61"/>
      <c r="N97" s="188"/>
      <c r="O97" s="188"/>
      <c r="P97" s="188"/>
      <c r="Q97" s="188"/>
      <c r="R97" s="188"/>
      <c r="S97" s="188"/>
      <c r="T97" s="188"/>
      <c r="U97" s="189"/>
      <c r="V97" s="189"/>
      <c r="W97" s="45"/>
      <c r="X97" s="186"/>
      <c r="Y97" s="186"/>
      <c r="Z97" s="45"/>
      <c r="AA97" s="45"/>
      <c r="AB97" s="45"/>
      <c r="AC97" s="45"/>
      <c r="AD97" s="45"/>
      <c r="AE97" s="45"/>
      <c r="AF97" s="45"/>
      <c r="AG97" s="45"/>
      <c r="AH97" s="45"/>
      <c r="AI97" s="45"/>
      <c r="AJ97" s="45"/>
    </row>
    <row r="98" spans="1:36" x14ac:dyDescent="0.25">
      <c r="A98" s="45"/>
      <c r="B98" s="45"/>
      <c r="C98" s="45"/>
      <c r="D98" s="61"/>
      <c r="E98" s="61"/>
      <c r="F98" s="61"/>
      <c r="G98" s="61"/>
      <c r="H98" s="61"/>
      <c r="I98" s="61"/>
      <c r="J98" s="61"/>
      <c r="K98" s="187"/>
      <c r="L98" s="61"/>
      <c r="M98" s="61"/>
      <c r="N98" s="188"/>
      <c r="O98" s="188"/>
      <c r="P98" s="188"/>
      <c r="Q98" s="188"/>
      <c r="R98" s="188"/>
      <c r="S98" s="188"/>
      <c r="T98" s="188"/>
      <c r="U98" s="189"/>
      <c r="V98" s="189"/>
      <c r="W98" s="45"/>
      <c r="X98" s="186"/>
      <c r="Y98" s="186"/>
      <c r="Z98" s="45"/>
      <c r="AA98" s="45"/>
      <c r="AB98" s="45"/>
      <c r="AC98" s="45"/>
      <c r="AD98" s="45"/>
      <c r="AE98" s="45"/>
      <c r="AF98" s="45"/>
      <c r="AG98" s="45"/>
      <c r="AH98" s="45"/>
      <c r="AI98" s="45"/>
      <c r="AJ98" s="45"/>
    </row>
    <row r="99" spans="1:36" x14ac:dyDescent="0.25">
      <c r="A99" s="45"/>
      <c r="B99" s="45"/>
      <c r="C99" s="45"/>
      <c r="D99" s="61"/>
      <c r="E99" s="61"/>
      <c r="F99" s="61"/>
      <c r="G99" s="61"/>
      <c r="H99" s="61"/>
      <c r="I99" s="61"/>
      <c r="J99" s="61"/>
      <c r="K99" s="187"/>
      <c r="L99" s="61"/>
      <c r="M99" s="61"/>
      <c r="N99" s="188"/>
      <c r="O99" s="188"/>
      <c r="P99" s="188"/>
      <c r="Q99" s="188"/>
      <c r="R99" s="188"/>
      <c r="S99" s="188"/>
      <c r="T99" s="188"/>
      <c r="U99" s="189"/>
      <c r="V99" s="189"/>
      <c r="W99" s="45"/>
      <c r="X99" s="186"/>
      <c r="Y99" s="186"/>
      <c r="Z99" s="45"/>
      <c r="AA99" s="45"/>
      <c r="AB99" s="45"/>
      <c r="AC99" s="45"/>
      <c r="AD99" s="45"/>
      <c r="AE99" s="45"/>
      <c r="AF99" s="45"/>
      <c r="AG99" s="45"/>
      <c r="AH99" s="45"/>
      <c r="AI99" s="45"/>
      <c r="AJ99" s="45"/>
    </row>
    <row r="100" spans="1:36" x14ac:dyDescent="0.25">
      <c r="A100" s="45"/>
      <c r="B100" s="45"/>
      <c r="C100" s="45"/>
      <c r="D100" s="61"/>
      <c r="E100" s="61"/>
      <c r="F100" s="61"/>
      <c r="G100" s="61"/>
      <c r="H100" s="61"/>
      <c r="I100" s="61"/>
      <c r="J100" s="61"/>
      <c r="K100" s="187"/>
      <c r="L100" s="61"/>
      <c r="M100" s="61"/>
      <c r="N100" s="188"/>
      <c r="O100" s="188"/>
      <c r="P100" s="188"/>
      <c r="Q100" s="188"/>
      <c r="R100" s="188"/>
      <c r="S100" s="188"/>
      <c r="T100" s="188"/>
      <c r="U100" s="189"/>
      <c r="V100" s="189"/>
      <c r="W100" s="45"/>
      <c r="X100" s="186"/>
      <c r="Y100" s="186"/>
      <c r="Z100" s="45"/>
      <c r="AA100" s="45"/>
      <c r="AB100" s="45"/>
      <c r="AC100" s="45"/>
      <c r="AD100" s="45"/>
      <c r="AE100" s="45"/>
      <c r="AF100" s="45"/>
      <c r="AG100" s="45"/>
      <c r="AH100" s="45"/>
      <c r="AI100" s="45"/>
      <c r="AJ100" s="45"/>
    </row>
    <row r="101" spans="1:36" x14ac:dyDescent="0.25">
      <c r="A101" s="45"/>
      <c r="B101" s="45"/>
      <c r="C101" s="45"/>
      <c r="D101" s="61"/>
      <c r="E101" s="61"/>
      <c r="F101" s="61"/>
      <c r="G101" s="61"/>
      <c r="H101" s="61"/>
      <c r="I101" s="61"/>
      <c r="J101" s="61"/>
      <c r="K101" s="187"/>
      <c r="L101" s="61"/>
      <c r="M101" s="61"/>
      <c r="N101" s="188"/>
      <c r="O101" s="188"/>
      <c r="P101" s="188"/>
      <c r="Q101" s="188"/>
      <c r="R101" s="188"/>
      <c r="S101" s="188"/>
      <c r="T101" s="188"/>
      <c r="U101" s="189"/>
      <c r="V101" s="189"/>
      <c r="W101" s="45"/>
      <c r="X101" s="186"/>
      <c r="Y101" s="186"/>
      <c r="Z101" s="45"/>
      <c r="AA101" s="45"/>
      <c r="AB101" s="45"/>
      <c r="AC101" s="45"/>
      <c r="AD101" s="45"/>
      <c r="AE101" s="45"/>
      <c r="AF101" s="45"/>
      <c r="AG101" s="45"/>
      <c r="AH101" s="45"/>
      <c r="AI101" s="45"/>
      <c r="AJ101" s="45"/>
    </row>
    <row r="102" spans="1:36" x14ac:dyDescent="0.25">
      <c r="A102" s="45"/>
      <c r="B102" s="45"/>
      <c r="C102" s="45"/>
      <c r="D102" s="61"/>
      <c r="E102" s="61"/>
      <c r="F102" s="61"/>
      <c r="G102" s="61"/>
      <c r="H102" s="61"/>
      <c r="I102" s="61"/>
      <c r="J102" s="61"/>
      <c r="K102" s="187"/>
      <c r="L102" s="61"/>
      <c r="M102" s="61"/>
      <c r="N102" s="188"/>
      <c r="O102" s="188"/>
      <c r="P102" s="188"/>
      <c r="Q102" s="188"/>
      <c r="R102" s="188"/>
      <c r="S102" s="188"/>
      <c r="T102" s="188"/>
      <c r="U102" s="189"/>
      <c r="V102" s="189"/>
      <c r="W102" s="45"/>
      <c r="X102" s="186"/>
      <c r="Y102" s="186"/>
      <c r="Z102" s="45"/>
      <c r="AA102" s="45"/>
      <c r="AB102" s="45"/>
      <c r="AC102" s="45"/>
      <c r="AD102" s="45"/>
      <c r="AE102" s="45"/>
      <c r="AF102" s="45"/>
      <c r="AG102" s="45"/>
      <c r="AH102" s="45"/>
      <c r="AI102" s="45"/>
      <c r="AJ102" s="45"/>
    </row>
    <row r="103" spans="1:36" x14ac:dyDescent="0.25">
      <c r="A103" s="45"/>
      <c r="B103" s="45"/>
      <c r="C103" s="45"/>
      <c r="D103" s="61"/>
      <c r="E103" s="61"/>
      <c r="F103" s="61"/>
      <c r="G103" s="61"/>
      <c r="H103" s="61"/>
      <c r="I103" s="61"/>
      <c r="J103" s="61"/>
      <c r="K103" s="187"/>
      <c r="L103" s="61"/>
      <c r="M103" s="61"/>
      <c r="N103" s="188"/>
      <c r="O103" s="188"/>
      <c r="P103" s="188"/>
      <c r="Q103" s="188"/>
      <c r="R103" s="188"/>
      <c r="S103" s="188"/>
      <c r="T103" s="188"/>
      <c r="U103" s="189"/>
      <c r="V103" s="189"/>
      <c r="W103" s="45"/>
      <c r="X103" s="186"/>
      <c r="Y103" s="186"/>
      <c r="Z103" s="45"/>
      <c r="AA103" s="45"/>
      <c r="AB103" s="45"/>
      <c r="AC103" s="45"/>
      <c r="AD103" s="45"/>
      <c r="AE103" s="45"/>
      <c r="AF103" s="45"/>
      <c r="AG103" s="45"/>
      <c r="AH103" s="45"/>
      <c r="AI103" s="45"/>
      <c r="AJ103" s="45"/>
    </row>
    <row r="104" spans="1:36" x14ac:dyDescent="0.25">
      <c r="A104" s="45"/>
      <c r="B104" s="45"/>
      <c r="C104" s="45"/>
      <c r="D104" s="61"/>
      <c r="E104" s="61"/>
      <c r="F104" s="61"/>
      <c r="G104" s="61"/>
      <c r="H104" s="61"/>
      <c r="I104" s="61"/>
      <c r="J104" s="61"/>
      <c r="K104" s="187"/>
      <c r="L104" s="61"/>
      <c r="M104" s="61"/>
      <c r="N104" s="188"/>
      <c r="O104" s="188"/>
      <c r="P104" s="188"/>
      <c r="Q104" s="188"/>
      <c r="R104" s="188"/>
      <c r="S104" s="188"/>
      <c r="T104" s="188"/>
      <c r="U104" s="189"/>
      <c r="V104" s="189"/>
      <c r="W104" s="45"/>
      <c r="X104" s="186"/>
      <c r="Y104" s="186"/>
      <c r="Z104" s="45"/>
      <c r="AA104" s="45"/>
      <c r="AB104" s="45"/>
      <c r="AC104" s="45"/>
      <c r="AD104" s="45"/>
      <c r="AE104" s="45"/>
      <c r="AF104" s="45"/>
      <c r="AG104" s="45"/>
      <c r="AH104" s="45"/>
      <c r="AI104" s="45"/>
      <c r="AJ104" s="45"/>
    </row>
    <row r="105" spans="1:36" x14ac:dyDescent="0.25">
      <c r="A105" s="45"/>
      <c r="B105" s="45"/>
      <c r="C105" s="45"/>
      <c r="D105" s="61"/>
      <c r="E105" s="61"/>
      <c r="F105" s="61"/>
      <c r="G105" s="61"/>
      <c r="H105" s="61"/>
      <c r="I105" s="61"/>
      <c r="J105" s="61"/>
      <c r="K105" s="187"/>
      <c r="L105" s="61"/>
      <c r="M105" s="61"/>
      <c r="N105" s="188"/>
      <c r="O105" s="188"/>
      <c r="P105" s="188"/>
      <c r="Q105" s="188"/>
      <c r="R105" s="188"/>
      <c r="S105" s="188"/>
      <c r="T105" s="188"/>
      <c r="U105" s="189"/>
      <c r="V105" s="189"/>
      <c r="W105" s="45"/>
      <c r="X105" s="186"/>
      <c r="Y105" s="186"/>
      <c r="Z105" s="45"/>
      <c r="AA105" s="45"/>
      <c r="AB105" s="45"/>
      <c r="AC105" s="45"/>
      <c r="AD105" s="45"/>
      <c r="AE105" s="45"/>
      <c r="AF105" s="45"/>
      <c r="AG105" s="45"/>
      <c r="AH105" s="45"/>
      <c r="AI105" s="45"/>
      <c r="AJ105" s="45"/>
    </row>
    <row r="106" spans="1:36" x14ac:dyDescent="0.25">
      <c r="A106" s="45"/>
      <c r="B106" s="45"/>
      <c r="C106" s="45"/>
      <c r="D106" s="61"/>
      <c r="E106" s="61"/>
      <c r="F106" s="61"/>
      <c r="G106" s="61"/>
      <c r="H106" s="61"/>
      <c r="I106" s="61"/>
      <c r="J106" s="61"/>
      <c r="K106" s="187"/>
      <c r="L106" s="61"/>
      <c r="M106" s="61"/>
      <c r="N106" s="188"/>
      <c r="O106" s="188"/>
      <c r="P106" s="188"/>
      <c r="Q106" s="188"/>
      <c r="R106" s="188"/>
      <c r="S106" s="188"/>
      <c r="T106" s="188"/>
      <c r="U106" s="189"/>
      <c r="V106" s="189"/>
      <c r="W106" s="45"/>
      <c r="X106" s="186"/>
      <c r="Y106" s="186"/>
      <c r="Z106" s="45"/>
      <c r="AA106" s="45"/>
      <c r="AB106" s="45"/>
      <c r="AC106" s="45"/>
      <c r="AD106" s="45"/>
      <c r="AE106" s="45"/>
      <c r="AF106" s="45"/>
      <c r="AG106" s="45"/>
      <c r="AH106" s="45"/>
      <c r="AI106" s="45"/>
      <c r="AJ106" s="45"/>
    </row>
    <row r="107" spans="1:36" x14ac:dyDescent="0.25">
      <c r="A107" s="45"/>
      <c r="B107" s="45"/>
      <c r="C107" s="45"/>
      <c r="D107" s="61"/>
      <c r="E107" s="61"/>
      <c r="F107" s="61"/>
      <c r="G107" s="61"/>
      <c r="H107" s="61"/>
      <c r="I107" s="61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189"/>
      <c r="V107" s="189"/>
      <c r="W107" s="45"/>
      <c r="X107" s="186"/>
      <c r="Y107" s="186"/>
      <c r="Z107" s="45"/>
      <c r="AA107" s="45"/>
      <c r="AB107" s="45"/>
      <c r="AC107" s="45"/>
      <c r="AD107" s="45"/>
      <c r="AE107" s="45"/>
      <c r="AF107" s="45"/>
      <c r="AG107" s="45"/>
      <c r="AH107" s="45"/>
      <c r="AI107" s="45"/>
      <c r="AJ107" s="45"/>
    </row>
    <row r="108" spans="1:36" x14ac:dyDescent="0.25">
      <c r="A108" s="45"/>
      <c r="B108" s="45"/>
      <c r="C108" s="45"/>
      <c r="D108" s="61"/>
      <c r="E108" s="61"/>
      <c r="F108" s="61"/>
      <c r="G108" s="61"/>
      <c r="H108" s="61"/>
      <c r="I108" s="61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189"/>
      <c r="V108" s="189"/>
      <c r="W108" s="45"/>
      <c r="X108" s="186"/>
      <c r="Y108" s="186"/>
      <c r="Z108" s="45"/>
      <c r="AA108" s="45"/>
      <c r="AB108" s="45"/>
      <c r="AC108" s="45"/>
      <c r="AD108" s="45"/>
      <c r="AE108" s="45"/>
      <c r="AF108" s="45"/>
      <c r="AG108" s="45"/>
      <c r="AH108" s="45"/>
      <c r="AI108" s="45"/>
      <c r="AJ108" s="45"/>
    </row>
    <row r="109" spans="1:36" x14ac:dyDescent="0.25">
      <c r="A109" s="45"/>
      <c r="B109" s="45"/>
      <c r="C109" s="45"/>
      <c r="D109" s="61"/>
      <c r="E109" s="61"/>
      <c r="F109" s="61"/>
      <c r="G109" s="61"/>
      <c r="H109" s="61"/>
      <c r="I109" s="61"/>
      <c r="J109" s="61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45"/>
      <c r="V109" s="45"/>
      <c r="W109" s="45"/>
      <c r="X109" s="186"/>
      <c r="Y109" s="45"/>
      <c r="Z109" s="45"/>
      <c r="AA109" s="45"/>
      <c r="AB109" s="45"/>
      <c r="AC109" s="45"/>
      <c r="AD109" s="45"/>
      <c r="AE109" s="45"/>
      <c r="AF109" s="45"/>
      <c r="AG109" s="45"/>
      <c r="AH109" s="45"/>
      <c r="AI109" s="45"/>
      <c r="AJ109" s="45"/>
    </row>
    <row r="110" spans="1:36" x14ac:dyDescent="0.25">
      <c r="A110" s="45"/>
      <c r="B110" s="45"/>
      <c r="C110" s="45"/>
      <c r="D110" s="61"/>
      <c r="E110" s="61"/>
      <c r="F110" s="61"/>
      <c r="G110" s="61"/>
      <c r="H110" s="61"/>
      <c r="I110" s="61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45"/>
      <c r="V110" s="45"/>
      <c r="W110" s="45"/>
      <c r="X110" s="186"/>
      <c r="Y110" s="45"/>
      <c r="Z110" s="45"/>
      <c r="AA110" s="45"/>
      <c r="AB110" s="45"/>
      <c r="AC110" s="45"/>
      <c r="AD110" s="45"/>
      <c r="AE110" s="45"/>
      <c r="AF110" s="45"/>
      <c r="AG110" s="45"/>
      <c r="AH110" s="45"/>
      <c r="AI110" s="45"/>
      <c r="AJ110" s="45"/>
    </row>
    <row r="111" spans="1:36" x14ac:dyDescent="0.25">
      <c r="A111" s="45"/>
      <c r="B111" s="45"/>
      <c r="C111" s="45"/>
      <c r="D111" s="61"/>
      <c r="E111" s="61"/>
      <c r="F111" s="61"/>
      <c r="G111" s="61"/>
      <c r="H111" s="61"/>
      <c r="I111" s="61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45"/>
      <c r="V111" s="45"/>
      <c r="W111" s="45"/>
      <c r="X111" s="45"/>
      <c r="Y111" s="45"/>
      <c r="Z111" s="45"/>
      <c r="AA111" s="45"/>
      <c r="AB111" s="45"/>
      <c r="AC111" s="45"/>
      <c r="AD111" s="45"/>
      <c r="AE111" s="45"/>
      <c r="AF111" s="45"/>
      <c r="AG111" s="45"/>
      <c r="AH111" s="45"/>
      <c r="AI111" s="45"/>
      <c r="AJ111" s="45"/>
    </row>
    <row r="112" spans="1:36" x14ac:dyDescent="0.25">
      <c r="A112" s="45"/>
      <c r="B112" s="45"/>
      <c r="C112" s="45"/>
      <c r="D112" s="61"/>
      <c r="E112" s="61"/>
      <c r="F112" s="61"/>
      <c r="G112" s="61"/>
      <c r="H112" s="61"/>
      <c r="I112" s="61"/>
      <c r="J112" s="61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45"/>
      <c r="V112" s="45"/>
      <c r="W112" s="45"/>
      <c r="X112" s="45"/>
      <c r="Y112" s="45"/>
      <c r="Z112" s="45"/>
      <c r="AA112" s="45"/>
      <c r="AB112" s="45"/>
      <c r="AC112" s="45"/>
      <c r="AD112" s="45"/>
      <c r="AE112" s="45"/>
      <c r="AF112" s="45"/>
      <c r="AG112" s="45"/>
      <c r="AH112" s="45"/>
      <c r="AI112" s="45"/>
      <c r="AJ112" s="45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104"/>
  <sheetViews>
    <sheetView zoomScaleNormal="100" workbookViewId="0">
      <pane ySplit="1" topLeftCell="A16" activePane="bottomLeft" state="frozen"/>
      <selection pane="bottomLeft" activeCell="D40" sqref="D40"/>
    </sheetView>
  </sheetViews>
  <sheetFormatPr defaultRowHeight="15" x14ac:dyDescent="0.25"/>
  <cols>
    <col min="2" max="2" width="7.140625" bestFit="1" customWidth="1"/>
    <col min="3" max="3" width="6.85546875" style="1" customWidth="1"/>
    <col min="4" max="4" width="6.42578125" style="1" customWidth="1"/>
    <col min="5" max="6" width="6.28515625" style="1" customWidth="1"/>
    <col min="7" max="7" width="9.140625" style="1" bestFit="1" customWidth="1"/>
    <col min="8" max="8" width="8.5703125" style="1" bestFit="1" customWidth="1"/>
    <col min="9" max="9" width="5.85546875" style="1" bestFit="1" customWidth="1"/>
    <col min="10" max="10" width="10" style="1" bestFit="1" customWidth="1"/>
    <col min="11" max="12" width="5.140625" style="1" customWidth="1"/>
    <col min="13" max="13" width="6.7109375" style="1" customWidth="1"/>
    <col min="14" max="14" width="7.85546875" style="1" customWidth="1"/>
    <col min="15" max="15" width="7.28515625" style="1" bestFit="1" customWidth="1"/>
    <col min="16" max="16" width="7.42578125" style="1" customWidth="1"/>
    <col min="17" max="17" width="6.28515625" style="1" customWidth="1"/>
    <col min="18" max="18" width="5.7109375" style="1" customWidth="1"/>
    <col min="19" max="19" width="8" style="1" customWidth="1"/>
    <col min="20" max="21" width="7.7109375" customWidth="1"/>
    <col min="23" max="23" width="9.85546875" bestFit="1" customWidth="1"/>
    <col min="24" max="24" width="10.7109375" customWidth="1"/>
    <col min="25" max="25" width="8.7109375" customWidth="1"/>
    <col min="26" max="26" width="9.7109375" customWidth="1"/>
    <col min="27" max="27" width="10.7109375" customWidth="1"/>
    <col min="28" max="28" width="7.85546875" customWidth="1"/>
    <col min="29" max="29" width="10" customWidth="1"/>
    <col min="30" max="30" width="10.85546875" customWidth="1"/>
    <col min="31" max="31" width="10" customWidth="1"/>
    <col min="32" max="32" width="10.7109375" customWidth="1"/>
    <col min="33" max="33" width="11.85546875" customWidth="1"/>
    <col min="34" max="35" width="11.5703125" customWidth="1"/>
    <col min="36" max="36" width="8.7109375" customWidth="1"/>
    <col min="37" max="37" width="11.5703125" bestFit="1" customWidth="1"/>
    <col min="38" max="38" width="9.7109375" customWidth="1"/>
    <col min="43" max="44" width="9.85546875" bestFit="1" customWidth="1"/>
    <col min="45" max="45" width="13.140625" bestFit="1" customWidth="1"/>
    <col min="46" max="46" width="12" bestFit="1" customWidth="1"/>
    <col min="47" max="47" width="10.42578125" bestFit="1" customWidth="1"/>
    <col min="48" max="48" width="10.28515625" customWidth="1"/>
    <col min="49" max="49" width="9.28515625" bestFit="1" customWidth="1"/>
    <col min="50" max="50" width="10.28515625" bestFit="1" customWidth="1"/>
  </cols>
  <sheetData>
    <row r="1" spans="1:50" ht="86.45" x14ac:dyDescent="0.3">
      <c r="A1" t="s">
        <v>39</v>
      </c>
      <c r="B1" s="74" t="s">
        <v>50</v>
      </c>
      <c r="C1" s="75" t="s">
        <v>0</v>
      </c>
      <c r="D1" s="75" t="s">
        <v>1</v>
      </c>
      <c r="E1" s="75" t="s">
        <v>10</v>
      </c>
      <c r="F1" s="75" t="s">
        <v>11</v>
      </c>
      <c r="G1" s="75" t="s">
        <v>23</v>
      </c>
      <c r="H1" s="75" t="s">
        <v>110</v>
      </c>
      <c r="I1" s="76" t="s">
        <v>2</v>
      </c>
      <c r="J1" s="4" t="s">
        <v>12</v>
      </c>
      <c r="K1" s="4" t="s">
        <v>7</v>
      </c>
      <c r="L1" s="4" t="s">
        <v>61</v>
      </c>
      <c r="M1" s="4" t="s">
        <v>24</v>
      </c>
      <c r="N1" s="4" t="s">
        <v>115</v>
      </c>
      <c r="O1" s="4" t="s">
        <v>25</v>
      </c>
      <c r="P1" s="4" t="s">
        <v>136</v>
      </c>
      <c r="Q1" s="4" t="s">
        <v>26</v>
      </c>
      <c r="R1" s="4" t="s">
        <v>100</v>
      </c>
      <c r="S1" s="4" t="s">
        <v>7</v>
      </c>
      <c r="T1" s="4" t="str">
        <f t="shared" ref="T1:T15" si="0">J1</f>
        <v>Charger Pwr, W</v>
      </c>
      <c r="U1" s="4" t="s">
        <v>170</v>
      </c>
      <c r="V1" s="4" t="s">
        <v>137</v>
      </c>
      <c r="W1" s="4" t="s">
        <v>149</v>
      </c>
      <c r="X1" s="4" t="s">
        <v>46</v>
      </c>
      <c r="Y1" s="4" t="s">
        <v>157</v>
      </c>
      <c r="Z1" s="4" t="s">
        <v>159</v>
      </c>
      <c r="AA1" s="4" t="s">
        <v>171</v>
      </c>
      <c r="AB1" s="4" t="s">
        <v>165</v>
      </c>
      <c r="AC1" s="4" t="s">
        <v>166</v>
      </c>
      <c r="AD1" s="4" t="s">
        <v>167</v>
      </c>
      <c r="AE1" s="4" t="s">
        <v>213</v>
      </c>
      <c r="AF1" s="4" t="s">
        <v>172</v>
      </c>
      <c r="AG1" s="4" t="s">
        <v>66</v>
      </c>
      <c r="AH1" s="4" t="s">
        <v>63</v>
      </c>
      <c r="AI1" s="4" t="s">
        <v>67</v>
      </c>
      <c r="AJ1" s="4" t="s">
        <v>64</v>
      </c>
      <c r="AK1" s="4" t="s">
        <v>107</v>
      </c>
      <c r="AL1" s="4" t="s">
        <v>108</v>
      </c>
      <c r="AM1" s="4" t="s">
        <v>101</v>
      </c>
      <c r="AN1" s="4" t="s">
        <v>102</v>
      </c>
      <c r="AO1" s="4" t="s">
        <v>85</v>
      </c>
      <c r="AP1" s="4" t="s">
        <v>138</v>
      </c>
      <c r="AQ1" s="4" t="s">
        <v>84</v>
      </c>
      <c r="AR1" s="4" t="s">
        <v>81</v>
      </c>
      <c r="AS1" s="4"/>
      <c r="AT1" s="4" t="s">
        <v>105</v>
      </c>
      <c r="AU1" s="4" t="s">
        <v>185</v>
      </c>
      <c r="AW1" s="4" t="s">
        <v>82</v>
      </c>
      <c r="AX1" s="4" t="s">
        <v>83</v>
      </c>
    </row>
    <row r="2" spans="1:50" ht="14.45" x14ac:dyDescent="0.3">
      <c r="B2" s="113">
        <f t="shared" ref="B2:B7" si="1">C2/180+1</f>
        <v>1.0000055555555556</v>
      </c>
      <c r="C2" s="110">
        <v>1E-3</v>
      </c>
      <c r="D2" s="110"/>
      <c r="E2" s="110"/>
      <c r="F2" s="110"/>
      <c r="G2" s="110"/>
      <c r="H2" s="110"/>
      <c r="I2" s="114"/>
      <c r="J2" s="4"/>
      <c r="K2" s="1">
        <f t="shared" ref="K2:K15" si="2">C2</f>
        <v>1E-3</v>
      </c>
      <c r="L2" s="1">
        <f t="shared" ref="L2:L7" si="3">LN(K2)</f>
        <v>-6.9077552789821368</v>
      </c>
      <c r="M2" s="3"/>
      <c r="N2" s="4"/>
      <c r="O2" s="4">
        <v>0</v>
      </c>
      <c r="P2" s="4">
        <v>0</v>
      </c>
      <c r="Q2" s="3">
        <f t="shared" ref="Q2:Q15" si="4">O2/$X$40*100</f>
        <v>0</v>
      </c>
      <c r="R2" s="3">
        <f t="shared" ref="R2:R15" si="5">P2/$X$40*100</f>
        <v>0</v>
      </c>
      <c r="S2" s="3">
        <f t="shared" ref="S2:S15" si="6">K2</f>
        <v>1E-3</v>
      </c>
      <c r="T2" s="4">
        <f t="shared" si="0"/>
        <v>0</v>
      </c>
      <c r="U2" s="4"/>
      <c r="AC2" s="4"/>
      <c r="AD2" s="4"/>
      <c r="AE2" s="4"/>
      <c r="AG2" s="95">
        <f t="shared" ref="AG2:AG10" si="7">C2/$AE$27*$AE$22</f>
        <v>2.7777777777777779E-5</v>
      </c>
      <c r="AH2" s="95">
        <f t="shared" ref="AH2:AH10" si="8">AG2/$AE$22*$AE$27</f>
        <v>1E-3</v>
      </c>
      <c r="AI2" s="96">
        <f t="shared" ref="AI2:AI15" si="9">MAX(($AE$30+$AF$30*LN($AH2)),0)</f>
        <v>0</v>
      </c>
      <c r="AJ2" s="96">
        <f>MAX(($AE$30+$AF$30*LN($AH2))/$AE$26,0)</f>
        <v>0</v>
      </c>
      <c r="AK2" s="96">
        <f t="shared" ref="AK2:AK15" si="10">($AE$31+$AF$31*AJ2*$AE$26)/$AE$26</f>
        <v>-18.907319518350299</v>
      </c>
      <c r="AL2" s="96">
        <f t="shared" ref="AL2:AL15" si="11">($AE$32+$AF$32*AK2*$AE$26)/$AE$26</f>
        <v>7.9793218228958712E-2</v>
      </c>
      <c r="AN2">
        <f t="shared" ref="AN2:AN15" si="12">MAX($AE$31+$AF$31*AI2, 0)</f>
        <v>0</v>
      </c>
      <c r="AO2" s="127"/>
      <c r="AP2" s="127"/>
      <c r="AS2" s="127"/>
      <c r="AT2" s="127"/>
    </row>
    <row r="3" spans="1:50" ht="14.45" x14ac:dyDescent="0.3">
      <c r="B3" s="113">
        <f t="shared" si="1"/>
        <v>1.0408972290491105</v>
      </c>
      <c r="C3" s="111">
        <f>EXP((0-$AE$30)/$AF$30)</f>
        <v>7.361501228839896</v>
      </c>
      <c r="D3" s="109"/>
      <c r="E3" s="109">
        <v>13.82</v>
      </c>
      <c r="F3" s="109">
        <v>0.32200000000000001</v>
      </c>
      <c r="G3" s="148">
        <v>1.0000000000000001E+32</v>
      </c>
      <c r="H3" s="105">
        <v>1.0000000000000001E+32</v>
      </c>
      <c r="I3" s="115">
        <v>0</v>
      </c>
      <c r="J3" s="2">
        <f t="shared" ref="J3:J8" si="13">E3*F3</f>
        <v>4.4500400000000004</v>
      </c>
      <c r="K3" s="1">
        <f>C3</f>
        <v>7.361501228839896</v>
      </c>
      <c r="L3" s="1">
        <f t="shared" si="3"/>
        <v>1.9962638832512341</v>
      </c>
      <c r="M3" s="3">
        <f t="shared" ref="M3:N7" si="14">1/G3/0.000001</f>
        <v>9.999999999999999E-27</v>
      </c>
      <c r="N3" s="3">
        <f t="shared" si="14"/>
        <v>9.999999999999999E-27</v>
      </c>
      <c r="O3" s="3">
        <f t="shared" ref="O3:O15" si="15">M3*60/$X$29</f>
        <v>5.9999999999999995E-25</v>
      </c>
      <c r="P3" s="4">
        <v>0</v>
      </c>
      <c r="Q3" s="3">
        <f t="shared" si="4"/>
        <v>1.3020833333333332E-27</v>
      </c>
      <c r="R3" s="3">
        <f t="shared" si="5"/>
        <v>0</v>
      </c>
      <c r="S3" s="3">
        <f t="shared" si="6"/>
        <v>7.361501228839896</v>
      </c>
      <c r="T3" s="4">
        <f t="shared" si="0"/>
        <v>4.4500400000000004</v>
      </c>
      <c r="U3">
        <f>($T3-$T$3)</f>
        <v>0</v>
      </c>
      <c r="V3">
        <f>($T3-$T$3)*0.001341022</f>
        <v>0</v>
      </c>
      <c r="W3" s="127">
        <v>0</v>
      </c>
      <c r="X3" s="127">
        <v>0</v>
      </c>
      <c r="Y3" s="95">
        <f t="shared" ref="Y3:Y14" si="16">$AE$44*(O3/$AE$26/100)^3</f>
        <v>9.76843480821773E-87</v>
      </c>
      <c r="Z3" s="127">
        <f t="shared" ref="Z3:Z13" si="17">SQRT(Y3^3/4/$X$42/$X$43)</f>
        <v>9.469612348787209E-129</v>
      </c>
      <c r="AB3">
        <f t="shared" ref="AB3:AB15" si="18">SQRT(Y3/$AE$36/$AE$37)</f>
        <v>1.9388187636407961E-42</v>
      </c>
      <c r="AC3" s="4">
        <f t="shared" ref="AC3:AC14" si="19">AB3*1/1.6/1000*3600</f>
        <v>4.3623422181917907E-42</v>
      </c>
      <c r="AD3" s="4">
        <f t="shared" ref="AD3:AD15" si="20">P3/60*PI()*$AA$43/1000</f>
        <v>0</v>
      </c>
      <c r="AE3" s="158">
        <f>AD3/AB3</f>
        <v>0</v>
      </c>
      <c r="AG3" s="95">
        <f t="shared" si="7"/>
        <v>0.20448614524555267</v>
      </c>
      <c r="AH3" s="95">
        <f t="shared" si="8"/>
        <v>7.361501228839896</v>
      </c>
      <c r="AI3" s="96">
        <f t="shared" si="9"/>
        <v>0</v>
      </c>
      <c r="AJ3" s="96">
        <f t="shared" ref="AJ3:AJ15" si="21">MAX(($AE$30+$AF$30*LN(AH3))/$AE$26,0)</f>
        <v>0</v>
      </c>
      <c r="AK3" s="96">
        <f t="shared" si="10"/>
        <v>-18.907319518350299</v>
      </c>
      <c r="AL3" s="96">
        <f t="shared" si="11"/>
        <v>7.9793218228958712E-2</v>
      </c>
      <c r="AN3">
        <f t="shared" si="12"/>
        <v>0</v>
      </c>
      <c r="AO3" s="127"/>
      <c r="AP3" s="127"/>
      <c r="AQ3" s="127"/>
      <c r="AS3" s="127"/>
      <c r="AT3" s="127"/>
    </row>
    <row r="4" spans="1:50" ht="15" customHeight="1" x14ac:dyDescent="0.3">
      <c r="B4" s="113">
        <f t="shared" si="1"/>
        <v>1.05</v>
      </c>
      <c r="C4" s="73">
        <v>9</v>
      </c>
      <c r="D4" s="109"/>
      <c r="E4" s="73">
        <v>13.69</v>
      </c>
      <c r="F4" s="106">
        <v>0.56000000000000005</v>
      </c>
      <c r="G4" s="73">
        <v>7880</v>
      </c>
      <c r="H4" s="105">
        <v>1.0000000000000001E+32</v>
      </c>
      <c r="I4" s="78">
        <v>0</v>
      </c>
      <c r="J4" s="2">
        <f t="shared" si="13"/>
        <v>7.6664000000000003</v>
      </c>
      <c r="K4" s="1">
        <f>C4</f>
        <v>9</v>
      </c>
      <c r="L4" s="1">
        <f t="shared" si="3"/>
        <v>2.1972245773362196</v>
      </c>
      <c r="M4" s="3">
        <f t="shared" si="14"/>
        <v>126.9035532994924</v>
      </c>
      <c r="N4" s="3">
        <f t="shared" si="14"/>
        <v>9.999999999999999E-27</v>
      </c>
      <c r="O4" s="3">
        <f t="shared" si="15"/>
        <v>7614.2131979695441</v>
      </c>
      <c r="P4" s="3">
        <f t="shared" ref="P4:P15" si="22">N4*60/$X$29</f>
        <v>5.9999999999999995E-25</v>
      </c>
      <c r="Q4" s="3">
        <f t="shared" si="4"/>
        <v>16.52390016920474</v>
      </c>
      <c r="R4" s="3">
        <f t="shared" si="5"/>
        <v>1.3020833333333332E-27</v>
      </c>
      <c r="S4" s="3">
        <f>K4</f>
        <v>9</v>
      </c>
      <c r="T4" s="4">
        <f>J4</f>
        <v>7.6664000000000003</v>
      </c>
      <c r="U4">
        <f t="shared" ref="U4:U15" si="23">($T4-$T$3)</f>
        <v>3.2163599999999999</v>
      </c>
      <c r="V4">
        <f t="shared" ref="V4:V15" si="24">($T4-$T$3)*0.001341022</f>
        <v>4.3132095199200004E-3</v>
      </c>
      <c r="W4" s="150">
        <f>$V4/$O4*5252</f>
        <v>2.9750909003520725E-3</v>
      </c>
      <c r="X4" s="150">
        <f>W4-$W$4</f>
        <v>0</v>
      </c>
      <c r="Y4" s="95">
        <f t="shared" si="16"/>
        <v>1.9963943404514357E-2</v>
      </c>
      <c r="Z4" s="127">
        <f t="shared" si="17"/>
        <v>2.766713710450296E-2</v>
      </c>
      <c r="AA4" s="97">
        <f>Z4/U4*100</f>
        <v>0.86020026068297573</v>
      </c>
      <c r="AB4">
        <f t="shared" si="18"/>
        <v>2.7717106329049916</v>
      </c>
      <c r="AC4" s="4">
        <f t="shared" si="19"/>
        <v>6.2363489240362311</v>
      </c>
      <c r="AD4" s="4">
        <f t="shared" si="20"/>
        <v>1.7278759594743859E-27</v>
      </c>
      <c r="AE4" s="158">
        <f t="shared" ref="AE4:AE15" si="25">AD4/AB4</f>
        <v>6.2339695167363955E-28</v>
      </c>
      <c r="AG4" s="95">
        <f t="shared" si="7"/>
        <v>0.25</v>
      </c>
      <c r="AH4" s="95">
        <f t="shared" si="8"/>
        <v>9</v>
      </c>
      <c r="AI4" s="96">
        <f t="shared" si="9"/>
        <v>2851.6343524568838</v>
      </c>
      <c r="AJ4" s="96">
        <f t="shared" si="21"/>
        <v>6.1884426051581674</v>
      </c>
      <c r="AK4" s="96">
        <f t="shared" si="10"/>
        <v>-12.826465521236472</v>
      </c>
      <c r="AL4" s="96">
        <f t="shared" si="11"/>
        <v>6.2612708809312894</v>
      </c>
      <c r="AN4">
        <f t="shared" si="12"/>
        <v>0</v>
      </c>
      <c r="AO4" s="127">
        <f t="shared" ref="AO4:AO15" si="26">MAX($AE$33+$AI4*($AF$33+$AI4*$AG$33), 0)</f>
        <v>2.8885232311502262E-4</v>
      </c>
      <c r="AP4" s="127">
        <f>AI4*AO4/5252</f>
        <v>1.568357211313355E-4</v>
      </c>
      <c r="AQ4" s="146">
        <f t="shared" ref="AQ4:AQ15" si="27">MAX($AF$33+$AG$33*2*AI4,1E-32)</f>
        <v>1.0000000000000001E-32</v>
      </c>
      <c r="AR4" s="95"/>
      <c r="AS4" s="127"/>
      <c r="AU4" s="95"/>
      <c r="AW4" s="128">
        <f t="shared" ref="AW4:AW15" si="28">$X$33/$X$32</f>
        <v>1.0526315789473683E-4</v>
      </c>
      <c r="AX4" s="96"/>
    </row>
    <row r="5" spans="1:50" ht="15" customHeight="1" x14ac:dyDescent="0.3">
      <c r="B5" s="113">
        <f t="shared" si="1"/>
        <v>1.0555555555555556</v>
      </c>
      <c r="C5" s="73">
        <v>10</v>
      </c>
      <c r="D5" s="109"/>
      <c r="E5" s="73">
        <v>13.68</v>
      </c>
      <c r="F5" s="106">
        <v>0.60799999999999998</v>
      </c>
      <c r="G5" s="73">
        <v>7280</v>
      </c>
      <c r="H5" s="105">
        <v>1.0000000000000001E+32</v>
      </c>
      <c r="I5" s="78">
        <v>0</v>
      </c>
      <c r="J5" s="2">
        <f t="shared" si="13"/>
        <v>8.3174399999999995</v>
      </c>
      <c r="K5" s="1">
        <f>C5</f>
        <v>10</v>
      </c>
      <c r="L5" s="1">
        <f t="shared" si="3"/>
        <v>2.3025850929940459</v>
      </c>
      <c r="M5" s="3">
        <f t="shared" si="14"/>
        <v>137.36263736263737</v>
      </c>
      <c r="N5" s="3">
        <f t="shared" si="14"/>
        <v>9.999999999999999E-27</v>
      </c>
      <c r="O5" s="3">
        <f t="shared" si="15"/>
        <v>8241.7582417582416</v>
      </c>
      <c r="P5" s="3">
        <f t="shared" si="22"/>
        <v>5.9999999999999995E-25</v>
      </c>
      <c r="Q5" s="3">
        <f t="shared" si="4"/>
        <v>17.885760073260073</v>
      </c>
      <c r="R5" s="3">
        <f t="shared" si="5"/>
        <v>1.3020833333333332E-27</v>
      </c>
      <c r="S5" s="3">
        <f>K5</f>
        <v>10</v>
      </c>
      <c r="T5" s="158">
        <f>J5</f>
        <v>8.3174399999999995</v>
      </c>
      <c r="U5" s="96">
        <f t="shared" si="23"/>
        <v>3.8673999999999991</v>
      </c>
      <c r="V5">
        <f t="shared" si="24"/>
        <v>5.1862684827999987E-3</v>
      </c>
      <c r="W5" s="150">
        <f>$V5/$O5*5252</f>
        <v>3.3049115580287588E-3</v>
      </c>
      <c r="X5" s="150">
        <f t="shared" ref="X5:X15" si="29">W5-$W$4</f>
        <v>3.2982065767668631E-4</v>
      </c>
      <c r="Y5" s="95">
        <f t="shared" si="16"/>
        <v>2.5318084473527055E-2</v>
      </c>
      <c r="Z5" s="147">
        <f t="shared" si="17"/>
        <v>3.9513090032507601E-2</v>
      </c>
      <c r="AA5" s="97">
        <f t="shared" ref="AA5:AA15" si="30">Z5/U5*100</f>
        <v>1.0216964894375449</v>
      </c>
      <c r="AB5">
        <f t="shared" si="18"/>
        <v>3.1213332962707385</v>
      </c>
      <c r="AC5" s="175">
        <f t="shared" si="19"/>
        <v>7.0229999166091615</v>
      </c>
      <c r="AD5" s="175">
        <f t="shared" si="20"/>
        <v>1.7278759594743859E-27</v>
      </c>
      <c r="AE5" s="158">
        <f t="shared" si="25"/>
        <v>5.5356983553752252E-28</v>
      </c>
      <c r="AG5" s="95">
        <f t="shared" si="7"/>
        <v>0.27777777777777779</v>
      </c>
      <c r="AH5" s="95">
        <f t="shared" si="8"/>
        <v>10</v>
      </c>
      <c r="AI5" s="96">
        <f t="shared" si="9"/>
        <v>4346.701172416062</v>
      </c>
      <c r="AJ5" s="96">
        <f t="shared" si="21"/>
        <v>9.4329452526390227</v>
      </c>
      <c r="AK5" s="96">
        <f t="shared" si="10"/>
        <v>-9.6383698804793578</v>
      </c>
      <c r="AL5" s="96">
        <f t="shared" si="11"/>
        <v>9.5021219191657913</v>
      </c>
      <c r="AN5">
        <f t="shared" si="12"/>
        <v>0</v>
      </c>
      <c r="AO5" s="127">
        <f t="shared" si="26"/>
        <v>1.9093165395329351E-4</v>
      </c>
      <c r="AP5" s="127">
        <f t="shared" ref="AP5:AP15" si="31">AI5*AO5/5252</f>
        <v>1.5802034350535392E-4</v>
      </c>
      <c r="AQ5" s="146">
        <f t="shared" si="27"/>
        <v>1.0000000000000001E-32</v>
      </c>
      <c r="AR5" s="95"/>
      <c r="AS5" s="127"/>
      <c r="AU5" s="95"/>
      <c r="AW5" s="127">
        <f t="shared" si="28"/>
        <v>1.0526315789473683E-4</v>
      </c>
      <c r="AX5" s="96"/>
    </row>
    <row r="6" spans="1:50" ht="15" customHeight="1" x14ac:dyDescent="0.3">
      <c r="B6" s="113">
        <f t="shared" si="1"/>
        <v>1.0611111111111111</v>
      </c>
      <c r="C6" s="73">
        <v>11</v>
      </c>
      <c r="D6" s="109"/>
      <c r="E6" s="73">
        <v>13.65</v>
      </c>
      <c r="F6" s="106">
        <v>0.66400000000000003</v>
      </c>
      <c r="G6" s="73">
        <v>6600</v>
      </c>
      <c r="H6" s="105">
        <v>1.0000000000000001E+32</v>
      </c>
      <c r="I6" s="78">
        <v>0</v>
      </c>
      <c r="J6" s="2">
        <f t="shared" si="13"/>
        <v>9.063600000000001</v>
      </c>
      <c r="K6" s="1">
        <f>C6</f>
        <v>11</v>
      </c>
      <c r="L6" s="1">
        <f t="shared" si="3"/>
        <v>2.3978952727983707</v>
      </c>
      <c r="M6" s="3">
        <f t="shared" si="14"/>
        <v>151.51515151515153</v>
      </c>
      <c r="N6" s="3">
        <f t="shared" si="14"/>
        <v>9.999999999999999E-27</v>
      </c>
      <c r="O6" s="3">
        <f t="shared" si="15"/>
        <v>9090.9090909090919</v>
      </c>
      <c r="P6" s="3">
        <f t="shared" si="22"/>
        <v>5.9999999999999995E-25</v>
      </c>
      <c r="Q6" s="3">
        <f t="shared" si="4"/>
        <v>19.728535353535356</v>
      </c>
      <c r="R6" s="3">
        <f t="shared" si="5"/>
        <v>1.3020833333333332E-27</v>
      </c>
      <c r="S6" s="3">
        <f>K6</f>
        <v>11</v>
      </c>
      <c r="T6" s="158">
        <f>J6</f>
        <v>9.063600000000001</v>
      </c>
      <c r="U6" s="96">
        <f t="shared" si="23"/>
        <v>4.6135600000000005</v>
      </c>
      <c r="V6">
        <f t="shared" si="24"/>
        <v>6.1868854583200013E-3</v>
      </c>
      <c r="W6" s="150">
        <f t="shared" ref="W6:W15" si="32">$V6/$O6*5252</f>
        <v>3.5742874669806306E-3</v>
      </c>
      <c r="X6" s="150">
        <f t="shared" si="29"/>
        <v>5.9919656662855807E-4</v>
      </c>
      <c r="Y6" s="95">
        <f t="shared" si="16"/>
        <v>3.397763728266736E-2</v>
      </c>
      <c r="Z6" s="147">
        <f t="shared" si="17"/>
        <v>6.1430562354518103E-2</v>
      </c>
      <c r="AA6" s="97">
        <f t="shared" si="30"/>
        <v>1.3315219126773705</v>
      </c>
      <c r="AB6">
        <f t="shared" si="18"/>
        <v>3.6159407932613967</v>
      </c>
      <c r="AC6" s="175">
        <f t="shared" si="19"/>
        <v>8.135866784838143</v>
      </c>
      <c r="AD6" s="175">
        <f t="shared" si="20"/>
        <v>1.7278759594743859E-27</v>
      </c>
      <c r="AE6" s="158">
        <f t="shared" si="25"/>
        <v>4.7784962704434349E-28</v>
      </c>
      <c r="AG6" s="95">
        <f t="shared" si="7"/>
        <v>0.30555555555555552</v>
      </c>
      <c r="AH6" s="95">
        <f t="shared" si="8"/>
        <v>10.999999999999998</v>
      </c>
      <c r="AI6" s="96">
        <f t="shared" si="9"/>
        <v>5699.1536214204207</v>
      </c>
      <c r="AJ6" s="96">
        <f t="shared" si="21"/>
        <v>12.367954907596399</v>
      </c>
      <c r="AK6" s="96">
        <f t="shared" si="10"/>
        <v>-6.7543865698740113</v>
      </c>
      <c r="AL6" s="96">
        <f t="shared" si="11"/>
        <v>12.433828291753372</v>
      </c>
      <c r="AN6">
        <f t="shared" si="12"/>
        <v>0</v>
      </c>
      <c r="AO6" s="127">
        <f t="shared" si="26"/>
        <v>1.7100500229004468E-4</v>
      </c>
      <c r="AP6" s="127">
        <f t="shared" si="31"/>
        <v>1.8556431418170516E-4</v>
      </c>
      <c r="AQ6" s="146">
        <f t="shared" si="27"/>
        <v>9.3761701698468599E-9</v>
      </c>
      <c r="AR6" s="95">
        <f>$X$36/AQ6</f>
        <v>3.9916956312459519</v>
      </c>
      <c r="AS6" s="127"/>
      <c r="AU6" s="95"/>
      <c r="AW6" s="127">
        <f t="shared" si="28"/>
        <v>1.0526315789473683E-4</v>
      </c>
      <c r="AX6" s="96">
        <f t="shared" ref="AX6:AX15" si="33">$X$35/$X$32/$X$30/AQ6</f>
        <v>7755.1208650508042</v>
      </c>
    </row>
    <row r="7" spans="1:50" ht="15" customHeight="1" x14ac:dyDescent="0.3">
      <c r="B7" s="113">
        <f t="shared" si="1"/>
        <v>1.0666666666666667</v>
      </c>
      <c r="C7" s="73">
        <v>12</v>
      </c>
      <c r="D7" s="109"/>
      <c r="E7" s="73">
        <v>13.68</v>
      </c>
      <c r="F7" s="106">
        <v>0.68600000000000005</v>
      </c>
      <c r="G7" s="73">
        <v>6200</v>
      </c>
      <c r="H7" s="105">
        <v>1.0000000000000001E+32</v>
      </c>
      <c r="I7" s="78">
        <v>0</v>
      </c>
      <c r="J7" s="2">
        <f t="shared" si="13"/>
        <v>9.3844799999999999</v>
      </c>
      <c r="K7" s="1">
        <f>C7</f>
        <v>12</v>
      </c>
      <c r="L7" s="1">
        <f t="shared" si="3"/>
        <v>2.4849066497880004</v>
      </c>
      <c r="M7" s="3">
        <f t="shared" si="14"/>
        <v>161.29032258064518</v>
      </c>
      <c r="N7" s="3">
        <f t="shared" si="14"/>
        <v>9.999999999999999E-27</v>
      </c>
      <c r="O7" s="3">
        <f t="shared" si="15"/>
        <v>9677.4193548387102</v>
      </c>
      <c r="P7" s="3">
        <f t="shared" si="22"/>
        <v>5.9999999999999995E-25</v>
      </c>
      <c r="Q7" s="3">
        <f t="shared" si="4"/>
        <v>21.001344086021508</v>
      </c>
      <c r="R7" s="3">
        <f t="shared" si="5"/>
        <v>1.3020833333333332E-27</v>
      </c>
      <c r="S7" s="3">
        <f>K7</f>
        <v>12</v>
      </c>
      <c r="T7" s="158">
        <f>J7</f>
        <v>9.3844799999999999</v>
      </c>
      <c r="U7" s="96">
        <f t="shared" si="23"/>
        <v>4.9344399999999995</v>
      </c>
      <c r="V7">
        <f t="shared" si="24"/>
        <v>6.6171925976800001E-3</v>
      </c>
      <c r="W7" s="150">
        <f t="shared" si="32"/>
        <v>3.5911945373782541E-3</v>
      </c>
      <c r="X7" s="150">
        <f t="shared" si="29"/>
        <v>6.1610363702618159E-4</v>
      </c>
      <c r="Y7" s="95">
        <f t="shared" si="16"/>
        <v>4.0987356954355909E-2</v>
      </c>
      <c r="Z7" s="147">
        <f t="shared" si="17"/>
        <v>8.1389728207219222E-2</v>
      </c>
      <c r="AA7" s="97">
        <f t="shared" si="30"/>
        <v>1.6494217825572755</v>
      </c>
      <c r="AB7">
        <f t="shared" si="18"/>
        <v>3.9714553098827987</v>
      </c>
      <c r="AC7" s="175">
        <f t="shared" si="19"/>
        <v>8.9357744472362963</v>
      </c>
      <c r="AD7" s="175">
        <f t="shared" si="20"/>
        <v>1.7278759594743859E-27</v>
      </c>
      <c r="AE7" s="158">
        <f t="shared" si="25"/>
        <v>4.3507375122027426E-28</v>
      </c>
      <c r="AG7" s="95">
        <f t="shared" si="7"/>
        <v>0.33333333333333331</v>
      </c>
      <c r="AH7" s="95">
        <f t="shared" si="8"/>
        <v>12</v>
      </c>
      <c r="AI7" s="96">
        <f t="shared" si="9"/>
        <v>6933.8459716233592</v>
      </c>
      <c r="AJ7" s="96">
        <f t="shared" si="21"/>
        <v>15.047408792585415</v>
      </c>
      <c r="AK7" s="96">
        <f t="shared" si="10"/>
        <v>-4.1215160875596348</v>
      </c>
      <c r="AL7" s="96">
        <f t="shared" si="11"/>
        <v>15.110266516209885</v>
      </c>
      <c r="AN7">
        <f t="shared" si="12"/>
        <v>0</v>
      </c>
      <c r="AO7" s="127">
        <f t="shared" si="26"/>
        <v>2.0975801042066519E-4</v>
      </c>
      <c r="AP7" s="127">
        <f t="shared" si="31"/>
        <v>2.7692873868451255E-4</v>
      </c>
      <c r="AQ7" s="146">
        <f t="shared" si="27"/>
        <v>5.3397375198359203E-8</v>
      </c>
      <c r="AR7" s="95">
        <f>$X$36/AQ7</f>
        <v>0.70091118459969504</v>
      </c>
      <c r="AS7" s="127"/>
      <c r="AU7" s="95"/>
      <c r="AW7" s="127">
        <f t="shared" si="28"/>
        <v>1.0526315789473683E-4</v>
      </c>
      <c r="AX7" s="96">
        <f t="shared" si="33"/>
        <v>1361.7398354943984</v>
      </c>
    </row>
    <row r="8" spans="1:50" ht="15" customHeight="1" x14ac:dyDescent="0.3">
      <c r="A8">
        <v>28</v>
      </c>
      <c r="B8" s="113">
        <f t="shared" ref="B8:B26" si="34">C8/180+1</f>
        <v>1.1388888888888888</v>
      </c>
      <c r="C8" s="140">
        <v>25</v>
      </c>
      <c r="D8" s="141">
        <v>0.61099999999999999</v>
      </c>
      <c r="E8" s="73">
        <v>13.77</v>
      </c>
      <c r="F8" s="106">
        <v>1.48</v>
      </c>
      <c r="G8" s="73">
        <v>3260</v>
      </c>
      <c r="H8" s="140">
        <v>6740</v>
      </c>
      <c r="I8" s="78">
        <v>4.08</v>
      </c>
      <c r="J8" s="2">
        <f t="shared" si="13"/>
        <v>20.3796</v>
      </c>
      <c r="K8" s="1">
        <f t="shared" si="2"/>
        <v>25</v>
      </c>
      <c r="L8" s="1">
        <f t="shared" ref="L8:L15" si="35">LN(K8)</f>
        <v>3.2188758248682006</v>
      </c>
      <c r="M8" s="3">
        <f t="shared" ref="M8:N15" si="36">1/G8/0.000001</f>
        <v>306.74846625766872</v>
      </c>
      <c r="N8" s="3">
        <f t="shared" si="36"/>
        <v>148.36795252225519</v>
      </c>
      <c r="O8" s="3">
        <f t="shared" si="15"/>
        <v>18404.907975460123</v>
      </c>
      <c r="P8" s="3">
        <f t="shared" si="22"/>
        <v>8902.077151335312</v>
      </c>
      <c r="Q8" s="3">
        <f t="shared" si="4"/>
        <v>39.941206543967276</v>
      </c>
      <c r="R8" s="3">
        <f t="shared" si="5"/>
        <v>19.31874381800198</v>
      </c>
      <c r="S8" s="3">
        <f t="shared" si="6"/>
        <v>25</v>
      </c>
      <c r="T8" s="158">
        <f t="shared" si="0"/>
        <v>20.3796</v>
      </c>
      <c r="U8" s="96">
        <f t="shared" si="23"/>
        <v>15.929559999999999</v>
      </c>
      <c r="V8">
        <f t="shared" si="24"/>
        <v>2.1361890410319998E-2</v>
      </c>
      <c r="W8" s="150">
        <f t="shared" si="32"/>
        <v>6.0958005649683674E-3</v>
      </c>
      <c r="X8" s="150">
        <f t="shared" si="29"/>
        <v>3.1207096646162949E-3</v>
      </c>
      <c r="Y8" s="95">
        <f t="shared" si="16"/>
        <v>0.28195005411935081</v>
      </c>
      <c r="Z8" s="147">
        <f t="shared" si="17"/>
        <v>1.4684291617572443</v>
      </c>
      <c r="AA8" s="97">
        <f t="shared" si="30"/>
        <v>9.2182656756196923</v>
      </c>
      <c r="AB8">
        <f t="shared" si="18"/>
        <v>10.416236069496557</v>
      </c>
      <c r="AC8" s="175">
        <f t="shared" si="19"/>
        <v>23.436531156367252</v>
      </c>
      <c r="AD8" s="175">
        <f t="shared" si="20"/>
        <v>25.636141831964185</v>
      </c>
      <c r="AE8" s="158">
        <f t="shared" si="25"/>
        <v>2.4611713541169045</v>
      </c>
      <c r="AF8" s="151"/>
      <c r="AG8" s="95">
        <f t="shared" si="7"/>
        <v>0.69444444444444442</v>
      </c>
      <c r="AH8" s="95">
        <f t="shared" si="8"/>
        <v>25</v>
      </c>
      <c r="AI8" s="96">
        <f t="shared" si="9"/>
        <v>17348.876248230645</v>
      </c>
      <c r="AJ8" s="96">
        <f t="shared" si="21"/>
        <v>37.649471024806083</v>
      </c>
      <c r="AK8" s="96">
        <f t="shared" si="10"/>
        <v>18.087600040180838</v>
      </c>
      <c r="AL8" s="96">
        <f t="shared" si="11"/>
        <v>37.686890674124193</v>
      </c>
      <c r="AM8" s="97">
        <f t="shared" ref="AM8:AM15" si="37">AN8/$AE$26</f>
        <v>18.087600040180838</v>
      </c>
      <c r="AN8" s="174">
        <f t="shared" si="12"/>
        <v>8334.7660985153307</v>
      </c>
      <c r="AO8" s="127">
        <f t="shared" si="26"/>
        <v>2.6996162202028583E-3</v>
      </c>
      <c r="AP8" s="127">
        <f t="shared" si="31"/>
        <v>8.9176138084568844E-3</v>
      </c>
      <c r="AQ8" s="146">
        <f t="shared" si="27"/>
        <v>4.2473051183708176E-7</v>
      </c>
      <c r="AR8" s="95">
        <f>$X$36/AQ8</f>
        <v>8.8118975354312457E-2</v>
      </c>
      <c r="AS8" s="127"/>
      <c r="AT8" s="153">
        <f t="shared" ref="AT8:AT15" si="38">$AE$38*$AE$37*$AE$42^2*$AE$36*PI()/240*($AB8-$AE$43)/$AE$39*$AE$40</f>
        <v>-1.4205107110783354E-7</v>
      </c>
      <c r="AU8" s="151">
        <f t="shared" ref="AU8:AU15" si="39">-$AE$41/AT8</f>
        <v>0.26347437729902756</v>
      </c>
      <c r="AW8" s="127">
        <f t="shared" si="28"/>
        <v>1.0526315789473683E-4</v>
      </c>
      <c r="AX8" s="96">
        <f t="shared" si="33"/>
        <v>171.198750482842</v>
      </c>
    </row>
    <row r="9" spans="1:50" ht="13.9" customHeight="1" x14ac:dyDescent="0.3">
      <c r="B9" s="113">
        <f t="shared" si="34"/>
        <v>1.1944444444444444</v>
      </c>
      <c r="C9" s="73">
        <v>35</v>
      </c>
      <c r="D9" s="73">
        <v>0.98599999999999999</v>
      </c>
      <c r="E9" s="73">
        <v>13.69</v>
      </c>
      <c r="F9" s="73">
        <v>2.19</v>
      </c>
      <c r="G9" s="73">
        <v>2680</v>
      </c>
      <c r="H9" s="73">
        <v>4532</v>
      </c>
      <c r="I9" s="78">
        <v>6.04</v>
      </c>
      <c r="J9" s="2">
        <f t="shared" ref="J9:J15" si="40">E9*F9</f>
        <v>29.981099999999998</v>
      </c>
      <c r="K9" s="1">
        <f t="shared" si="2"/>
        <v>35</v>
      </c>
      <c r="L9" s="1">
        <f t="shared" si="35"/>
        <v>3.5553480614894135</v>
      </c>
      <c r="M9" s="3">
        <f t="shared" si="36"/>
        <v>373.13432835820896</v>
      </c>
      <c r="N9" s="3">
        <f t="shared" si="36"/>
        <v>220.65313327449252</v>
      </c>
      <c r="O9" s="3">
        <f t="shared" si="15"/>
        <v>22388.059701492537</v>
      </c>
      <c r="P9" s="3">
        <f t="shared" si="22"/>
        <v>13239.187996469551</v>
      </c>
      <c r="Q9" s="3">
        <f t="shared" si="4"/>
        <v>48.585199004975124</v>
      </c>
      <c r="R9" s="3">
        <f t="shared" si="5"/>
        <v>28.730876728449545</v>
      </c>
      <c r="S9" s="3">
        <f t="shared" si="6"/>
        <v>35</v>
      </c>
      <c r="T9" s="158">
        <f t="shared" si="0"/>
        <v>29.981099999999998</v>
      </c>
      <c r="U9" s="96">
        <f t="shared" si="23"/>
        <v>25.531059999999997</v>
      </c>
      <c r="V9">
        <f t="shared" si="24"/>
        <v>3.4237713143319998E-2</v>
      </c>
      <c r="W9" s="150">
        <f t="shared" si="32"/>
        <v>8.0318023011493427E-3</v>
      </c>
      <c r="X9" s="150">
        <f t="shared" si="29"/>
        <v>5.0567114007972706E-3</v>
      </c>
      <c r="Y9" s="95">
        <f t="shared" si="16"/>
        <v>0.50748195050056688</v>
      </c>
      <c r="Z9" s="147">
        <f t="shared" si="17"/>
        <v>3.5458930123707444</v>
      </c>
      <c r="AA9" s="97">
        <f t="shared" si="30"/>
        <v>13.888545999933982</v>
      </c>
      <c r="AB9">
        <f t="shared" si="18"/>
        <v>13.974459619196972</v>
      </c>
      <c r="AC9" s="175">
        <f t="shared" si="19"/>
        <v>31.442534143193186</v>
      </c>
      <c r="AD9" s="175">
        <f t="shared" si="20"/>
        <v>38.126124436769338</v>
      </c>
      <c r="AE9" s="158">
        <f t="shared" si="25"/>
        <v>2.728271824149449</v>
      </c>
      <c r="AF9" s="151"/>
      <c r="AG9" s="95">
        <f t="shared" si="7"/>
        <v>0.97222222222222221</v>
      </c>
      <c r="AH9" s="95">
        <f t="shared" si="8"/>
        <v>35</v>
      </c>
      <c r="AI9" s="96">
        <f t="shared" si="9"/>
        <v>22123.420807632323</v>
      </c>
      <c r="AJ9" s="96">
        <f t="shared" si="21"/>
        <v>48.010895849896535</v>
      </c>
      <c r="AK9" s="96">
        <f t="shared" si="10"/>
        <v>28.268887253045815</v>
      </c>
      <c r="AL9" s="96">
        <f t="shared" si="11"/>
        <v>48.036653966213251</v>
      </c>
      <c r="AM9" s="97">
        <f t="shared" si="37"/>
        <v>28.268887253045815</v>
      </c>
      <c r="AN9" s="174">
        <f t="shared" si="12"/>
        <v>13026.303246203512</v>
      </c>
      <c r="AO9" s="127">
        <f t="shared" si="26"/>
        <v>5.1338954187745353E-3</v>
      </c>
      <c r="AP9" s="127">
        <f t="shared" si="31"/>
        <v>2.1625919408211122E-2</v>
      </c>
      <c r="AQ9" s="146">
        <f t="shared" si="27"/>
        <v>5.9496012809140091E-7</v>
      </c>
      <c r="AR9" s="95">
        <f t="shared" ref="AR9:AR15" si="41">$X$36/AQ9</f>
        <v>6.2906429754981188E-2</v>
      </c>
      <c r="AS9" s="127"/>
      <c r="AT9" s="153">
        <f t="shared" si="38"/>
        <v>-2.9000614686773219E-7</v>
      </c>
      <c r="AU9" s="151">
        <f t="shared" si="39"/>
        <v>0.12905525592830341</v>
      </c>
      <c r="AW9" s="127">
        <f t="shared" si="28"/>
        <v>1.0526315789473683E-4</v>
      </c>
      <c r="AX9" s="96">
        <f t="shared" si="33"/>
        <v>122.21547207155994</v>
      </c>
    </row>
    <row r="10" spans="1:50" ht="13.9" customHeight="1" x14ac:dyDescent="0.3">
      <c r="B10" s="113">
        <f t="shared" si="34"/>
        <v>1.3</v>
      </c>
      <c r="C10" s="73">
        <v>54</v>
      </c>
      <c r="D10" s="73">
        <v>1.375</v>
      </c>
      <c r="E10" s="73">
        <v>13.62</v>
      </c>
      <c r="F10" s="73">
        <v>3.93</v>
      </c>
      <c r="G10" s="73">
        <v>2150</v>
      </c>
      <c r="H10" s="73">
        <v>3180</v>
      </c>
      <c r="I10" s="78">
        <v>8.24</v>
      </c>
      <c r="J10" s="2">
        <f t="shared" si="40"/>
        <v>53.526600000000002</v>
      </c>
      <c r="K10" s="1">
        <f t="shared" si="2"/>
        <v>54</v>
      </c>
      <c r="L10" s="1">
        <f t="shared" si="35"/>
        <v>3.9889840465642745</v>
      </c>
      <c r="M10" s="3">
        <f t="shared" si="36"/>
        <v>465.11627906976747</v>
      </c>
      <c r="N10" s="3">
        <f t="shared" si="36"/>
        <v>314.46540880503147</v>
      </c>
      <c r="O10" s="3">
        <f t="shared" si="15"/>
        <v>27906.976744186049</v>
      </c>
      <c r="P10" s="3">
        <f t="shared" si="22"/>
        <v>18867.92452830189</v>
      </c>
      <c r="Q10" s="3">
        <f t="shared" si="4"/>
        <v>60.562015503875976</v>
      </c>
      <c r="R10" s="3">
        <f t="shared" si="5"/>
        <v>40.946016771488473</v>
      </c>
      <c r="S10" s="3">
        <f t="shared" si="6"/>
        <v>54</v>
      </c>
      <c r="T10" s="158">
        <f t="shared" si="0"/>
        <v>53.526600000000002</v>
      </c>
      <c r="U10" s="96">
        <f t="shared" si="23"/>
        <v>49.076560000000001</v>
      </c>
      <c r="V10">
        <f t="shared" si="24"/>
        <v>6.5812746644320005E-2</v>
      </c>
      <c r="W10" s="150">
        <f t="shared" si="32"/>
        <v>1.2385739542638876E-2</v>
      </c>
      <c r="X10" s="150">
        <f t="shared" si="29"/>
        <v>9.4106486422868042E-3</v>
      </c>
      <c r="Y10" s="95">
        <f t="shared" si="16"/>
        <v>0.98290060580504701</v>
      </c>
      <c r="Z10" s="147">
        <f t="shared" si="17"/>
        <v>9.5578262506065865</v>
      </c>
      <c r="AA10" s="97">
        <f t="shared" si="30"/>
        <v>19.475338635402696</v>
      </c>
      <c r="AB10">
        <f t="shared" si="18"/>
        <v>19.448205025325478</v>
      </c>
      <c r="AC10" s="175">
        <f t="shared" si="19"/>
        <v>43.758461306982326</v>
      </c>
      <c r="AD10" s="175">
        <f t="shared" si="20"/>
        <v>54.335721996049891</v>
      </c>
      <c r="AE10" s="158">
        <f t="shared" si="25"/>
        <v>2.7938682220438258</v>
      </c>
      <c r="AF10" s="151"/>
      <c r="AG10" s="95">
        <f t="shared" si="7"/>
        <v>1.5</v>
      </c>
      <c r="AH10" s="95">
        <f t="shared" si="8"/>
        <v>54</v>
      </c>
      <c r="AI10" s="96">
        <f t="shared" si="9"/>
        <v>28276.719974572956</v>
      </c>
      <c r="AJ10" s="96">
        <f t="shared" si="21"/>
        <v>61.364409667042004</v>
      </c>
      <c r="AK10" s="96">
        <f t="shared" si="10"/>
        <v>41.390244765971858</v>
      </c>
      <c r="AL10" s="96">
        <f t="shared" si="11"/>
        <v>61.375138726574363</v>
      </c>
      <c r="AM10" s="97">
        <f t="shared" si="37"/>
        <v>41.390244765971858</v>
      </c>
      <c r="AN10" s="174">
        <f t="shared" si="12"/>
        <v>19072.624788159832</v>
      </c>
      <c r="AO10" s="127">
        <f t="shared" si="26"/>
        <v>9.4698404838995734E-3</v>
      </c>
      <c r="AP10" s="127">
        <f t="shared" si="31"/>
        <v>5.0985534571040117E-2</v>
      </c>
      <c r="AQ10" s="146">
        <f t="shared" si="27"/>
        <v>8.1434728488810894E-7</v>
      </c>
      <c r="AR10" s="95">
        <f t="shared" si="41"/>
        <v>4.5959283219000058E-2</v>
      </c>
      <c r="AS10" s="127"/>
      <c r="AT10" s="153">
        <f t="shared" si="38"/>
        <v>-5.176108504345801E-7</v>
      </c>
      <c r="AU10" s="151">
        <f t="shared" si="39"/>
        <v>7.2306864265641271E-2</v>
      </c>
      <c r="AW10" s="127">
        <f t="shared" si="28"/>
        <v>1.0526315789473683E-4</v>
      </c>
      <c r="AX10" s="96">
        <f t="shared" si="33"/>
        <v>89.290324002783549</v>
      </c>
    </row>
    <row r="11" spans="1:50" ht="13.9" customHeight="1" x14ac:dyDescent="0.3">
      <c r="A11">
        <v>64</v>
      </c>
      <c r="B11" s="113">
        <f t="shared" si="34"/>
        <v>1.3555555555555556</v>
      </c>
      <c r="C11" s="140">
        <v>64</v>
      </c>
      <c r="D11" s="140">
        <v>1.41</v>
      </c>
      <c r="E11" s="73">
        <v>13.54</v>
      </c>
      <c r="F11" s="140">
        <v>4.6100000000000003</v>
      </c>
      <c r="G11" s="73">
        <v>2020</v>
      </c>
      <c r="H11" s="140">
        <v>2870</v>
      </c>
      <c r="I11" s="78">
        <v>9</v>
      </c>
      <c r="J11" s="2">
        <f t="shared" si="40"/>
        <v>62.419400000000003</v>
      </c>
      <c r="K11" s="1">
        <f t="shared" si="2"/>
        <v>64</v>
      </c>
      <c r="L11" s="1">
        <f t="shared" si="35"/>
        <v>4.1588830833596715</v>
      </c>
      <c r="M11" s="3">
        <f t="shared" si="36"/>
        <v>495.04950495049508</v>
      </c>
      <c r="N11" s="3">
        <f t="shared" si="36"/>
        <v>348.43205574912895</v>
      </c>
      <c r="O11" s="3">
        <f t="shared" si="15"/>
        <v>29702.970297029704</v>
      </c>
      <c r="P11" s="3">
        <f t="shared" si="22"/>
        <v>20905.923344947736</v>
      </c>
      <c r="Q11" s="3">
        <f t="shared" si="4"/>
        <v>64.459570957095707</v>
      </c>
      <c r="R11" s="3">
        <f t="shared" si="5"/>
        <v>45.368757259001164</v>
      </c>
      <c r="S11" s="3">
        <f t="shared" si="6"/>
        <v>64</v>
      </c>
      <c r="T11" s="158">
        <f t="shared" si="0"/>
        <v>62.419400000000003</v>
      </c>
      <c r="U11" s="96">
        <f t="shared" si="23"/>
        <v>57.969360000000002</v>
      </c>
      <c r="V11">
        <f t="shared" si="24"/>
        <v>7.7738187085920007E-2</v>
      </c>
      <c r="W11" s="150">
        <f t="shared" si="32"/>
        <v>1.3745458938700147E-2</v>
      </c>
      <c r="X11" s="150">
        <f t="shared" si="29"/>
        <v>1.0770368038348075E-2</v>
      </c>
      <c r="Y11" s="95">
        <f t="shared" si="16"/>
        <v>1.1851433231911994</v>
      </c>
      <c r="Z11" s="147">
        <f t="shared" si="17"/>
        <v>12.654676236558226</v>
      </c>
      <c r="AA11" s="97">
        <f t="shared" si="30"/>
        <v>21.829939534537253</v>
      </c>
      <c r="AB11">
        <f t="shared" si="18"/>
        <v>21.355520448756128</v>
      </c>
      <c r="AC11" s="175">
        <f t="shared" si="19"/>
        <v>48.049921009701286</v>
      </c>
      <c r="AD11" s="175">
        <f t="shared" si="20"/>
        <v>60.204737263915909</v>
      </c>
      <c r="AE11" s="158">
        <f t="shared" si="25"/>
        <v>2.819165068272667</v>
      </c>
      <c r="AF11" s="151"/>
      <c r="AG11" s="95"/>
      <c r="AH11" s="151">
        <v>70.201599999999999</v>
      </c>
      <c r="AI11" s="152">
        <f t="shared" si="9"/>
        <v>31999.995048805355</v>
      </c>
      <c r="AJ11" s="152">
        <f t="shared" si="21"/>
        <v>69.444433699664401</v>
      </c>
      <c r="AK11" s="152">
        <f t="shared" si="10"/>
        <v>49.329794273079528</v>
      </c>
      <c r="AL11" s="152">
        <f t="shared" si="11"/>
        <v>69.446068887600987</v>
      </c>
      <c r="AM11" s="173">
        <f t="shared" si="37"/>
        <v>49.329794273079528</v>
      </c>
      <c r="AN11" s="8">
        <f t="shared" si="12"/>
        <v>22731.169201035049</v>
      </c>
      <c r="AO11" s="150">
        <f t="shared" si="26"/>
        <v>1.2749008265139302E-2</v>
      </c>
      <c r="AP11" s="150">
        <f t="shared" si="31"/>
        <v>7.7678636969085335E-2</v>
      </c>
      <c r="AQ11" s="153">
        <f t="shared" si="27"/>
        <v>9.4709537828432563E-7</v>
      </c>
      <c r="AR11" s="151">
        <f t="shared" si="41"/>
        <v>3.9517474546856564E-2</v>
      </c>
      <c r="AS11" s="150"/>
      <c r="AT11" s="153">
        <f t="shared" si="38"/>
        <v>-5.969192452079957E-7</v>
      </c>
      <c r="AU11" s="151">
        <f t="shared" si="39"/>
        <v>6.2699967885530311E-2</v>
      </c>
      <c r="AW11" s="150">
        <f t="shared" si="28"/>
        <v>1.0526315789473683E-4</v>
      </c>
      <c r="AX11" s="152">
        <f t="shared" si="33"/>
        <v>76.775090012758156</v>
      </c>
    </row>
    <row r="12" spans="1:50" ht="13.9" customHeight="1" x14ac:dyDescent="0.3">
      <c r="B12" s="113">
        <f t="shared" si="34"/>
        <v>1.4944444444444445</v>
      </c>
      <c r="C12" s="73">
        <v>89</v>
      </c>
      <c r="D12" s="73">
        <v>1.81</v>
      </c>
      <c r="E12" s="73">
        <v>13.45</v>
      </c>
      <c r="F12" s="73">
        <v>6.61</v>
      </c>
      <c r="G12" s="73">
        <v>1770</v>
      </c>
      <c r="H12" s="73">
        <v>2400</v>
      </c>
      <c r="I12" s="78">
        <v>10.8</v>
      </c>
      <c r="J12" s="2">
        <f t="shared" si="40"/>
        <v>88.904499999999999</v>
      </c>
      <c r="K12" s="1">
        <f t="shared" si="2"/>
        <v>89</v>
      </c>
      <c r="L12" s="1">
        <f t="shared" si="35"/>
        <v>4.4886363697321396</v>
      </c>
      <c r="M12" s="3">
        <f t="shared" si="36"/>
        <v>564.9717514124294</v>
      </c>
      <c r="N12" s="3">
        <f t="shared" si="36"/>
        <v>416.66666666666669</v>
      </c>
      <c r="O12" s="3">
        <f t="shared" si="15"/>
        <v>33898.305084745763</v>
      </c>
      <c r="P12" s="3">
        <f t="shared" si="22"/>
        <v>25000</v>
      </c>
      <c r="Q12" s="3">
        <f t="shared" si="4"/>
        <v>73.56403013182674</v>
      </c>
      <c r="R12" s="3">
        <f t="shared" si="5"/>
        <v>54.253472222222221</v>
      </c>
      <c r="S12" s="3">
        <f t="shared" si="6"/>
        <v>89</v>
      </c>
      <c r="T12" s="158">
        <f t="shared" si="0"/>
        <v>88.904499999999999</v>
      </c>
      <c r="U12" s="96">
        <f t="shared" si="23"/>
        <v>84.454459999999997</v>
      </c>
      <c r="V12">
        <f t="shared" si="24"/>
        <v>0.11325528885812</v>
      </c>
      <c r="W12" s="150">
        <f t="shared" si="32"/>
        <v>1.7547094923943962E-2</v>
      </c>
      <c r="X12" s="150">
        <f t="shared" si="29"/>
        <v>1.457200402359189E-2</v>
      </c>
      <c r="Y12" s="95">
        <f t="shared" si="16"/>
        <v>1.7615914080107602</v>
      </c>
      <c r="Z12" s="147">
        <f t="shared" si="17"/>
        <v>22.932558091663331</v>
      </c>
      <c r="AA12" s="97">
        <f t="shared" si="30"/>
        <v>27.153756109107007</v>
      </c>
      <c r="AB12">
        <f t="shared" si="18"/>
        <v>26.036182950687113</v>
      </c>
      <c r="AC12" s="175">
        <f t="shared" si="19"/>
        <v>58.58141163904601</v>
      </c>
      <c r="AD12" s="175">
        <f t="shared" si="20"/>
        <v>71.994831644766094</v>
      </c>
      <c r="AE12" s="158">
        <f t="shared" si="25"/>
        <v>2.7651838128932069</v>
      </c>
      <c r="AF12" s="151"/>
      <c r="AG12" s="95">
        <f>C12/$AE$27*$AE$22</f>
        <v>2.4722222222222223</v>
      </c>
      <c r="AH12" s="95">
        <f>AG12/$AE$22*$AE$27</f>
        <v>89</v>
      </c>
      <c r="AI12" s="96">
        <f t="shared" si="9"/>
        <v>35366.791670025093</v>
      </c>
      <c r="AJ12" s="96">
        <f t="shared" si="21"/>
        <v>76.75084997835306</v>
      </c>
      <c r="AK12" s="96">
        <f t="shared" si="10"/>
        <v>56.509185513746289</v>
      </c>
      <c r="AL12" s="96">
        <f t="shared" si="11"/>
        <v>76.744261971507669</v>
      </c>
      <c r="AM12" s="97">
        <f t="shared" si="37"/>
        <v>56.509185513746289</v>
      </c>
      <c r="AN12" s="174">
        <f t="shared" si="12"/>
        <v>26039.432684734289</v>
      </c>
      <c r="AO12" s="127">
        <f t="shared" si="26"/>
        <v>1.6139758156510163E-2</v>
      </c>
      <c r="AP12" s="127">
        <f t="shared" si="31"/>
        <v>0.10868458955176756</v>
      </c>
      <c r="AQ12" s="146">
        <f t="shared" si="27"/>
        <v>1.0671337379029437E-6</v>
      </c>
      <c r="AR12" s="95">
        <f t="shared" si="41"/>
        <v>3.5072283984146989E-2</v>
      </c>
      <c r="AS12" s="127"/>
      <c r="AT12" s="153">
        <f t="shared" si="38"/>
        <v>-7.9154663873924901E-7</v>
      </c>
      <c r="AU12" s="151">
        <f t="shared" si="39"/>
        <v>4.7283148803977743E-2</v>
      </c>
      <c r="AW12" s="127">
        <f t="shared" si="28"/>
        <v>1.0526315789473683E-4</v>
      </c>
      <c r="AX12" s="96">
        <f t="shared" si="33"/>
        <v>68.138912992609036</v>
      </c>
    </row>
    <row r="13" spans="1:50" ht="13.9" customHeight="1" x14ac:dyDescent="0.3">
      <c r="B13" s="113">
        <f t="shared" si="34"/>
        <v>1.6944444444444444</v>
      </c>
      <c r="C13" s="73">
        <v>125</v>
      </c>
      <c r="D13" s="73">
        <v>2.16</v>
      </c>
      <c r="E13" s="73">
        <v>13.2</v>
      </c>
      <c r="F13" s="73">
        <v>10.3</v>
      </c>
      <c r="G13" s="73">
        <v>1520</v>
      </c>
      <c r="H13" s="73">
        <v>2000</v>
      </c>
      <c r="I13" s="78">
        <v>14</v>
      </c>
      <c r="J13" s="2">
        <f t="shared" si="40"/>
        <v>135.96</v>
      </c>
      <c r="K13" s="1">
        <f t="shared" si="2"/>
        <v>125</v>
      </c>
      <c r="L13" s="1">
        <f t="shared" si="35"/>
        <v>4.8283137373023015</v>
      </c>
      <c r="M13" s="3">
        <f t="shared" si="36"/>
        <v>657.89473684210532</v>
      </c>
      <c r="N13" s="3">
        <f t="shared" si="36"/>
        <v>500.00000000000006</v>
      </c>
      <c r="O13" s="3">
        <f t="shared" si="15"/>
        <v>39473.68421052632</v>
      </c>
      <c r="P13" s="3">
        <f t="shared" si="22"/>
        <v>30000.000000000004</v>
      </c>
      <c r="Q13" s="3">
        <f t="shared" si="4"/>
        <v>85.663377192982466</v>
      </c>
      <c r="R13" s="3">
        <f t="shared" si="5"/>
        <v>65.104166666666671</v>
      </c>
      <c r="S13" s="3">
        <f t="shared" si="6"/>
        <v>125</v>
      </c>
      <c r="T13" s="158">
        <f t="shared" si="0"/>
        <v>135.96</v>
      </c>
      <c r="U13" s="96">
        <f t="shared" si="23"/>
        <v>131.50996000000001</v>
      </c>
      <c r="V13">
        <f t="shared" si="24"/>
        <v>0.17635774957912001</v>
      </c>
      <c r="W13" s="150">
        <f t="shared" si="32"/>
        <v>2.3464516153334967E-2</v>
      </c>
      <c r="X13" s="150">
        <f t="shared" si="29"/>
        <v>2.0489425252982894E-2</v>
      </c>
      <c r="Y13" s="95">
        <f t="shared" si="16"/>
        <v>2.7815970600379454</v>
      </c>
      <c r="Z13" s="147">
        <f t="shared" si="17"/>
        <v>45.502583489373642</v>
      </c>
      <c r="AA13" s="97">
        <f t="shared" si="30"/>
        <v>34.600104425074448</v>
      </c>
      <c r="AB13">
        <f t="shared" si="18"/>
        <v>32.716876317630934</v>
      </c>
      <c r="AC13" s="175">
        <f t="shared" si="19"/>
        <v>73.612971714669598</v>
      </c>
      <c r="AD13" s="175">
        <f t="shared" si="20"/>
        <v>86.39379797371933</v>
      </c>
      <c r="AE13" s="163">
        <f t="shared" si="25"/>
        <v>2.6406493436282674</v>
      </c>
      <c r="AF13" s="159">
        <f>$AS$29/($AE$37*$AE$42*$AE$36*($AB13-$AE$43)^2/4/$AE13)/(PI()*$AE$42/60/($AB13-$AE$43))</f>
        <v>-1.4465197554381539</v>
      </c>
      <c r="AG13" s="95">
        <f>C13/$AE$27*$AE$22</f>
        <v>3.4722222222222223</v>
      </c>
      <c r="AH13" s="95">
        <f>AG13/$AE$22*$AE$27</f>
        <v>125</v>
      </c>
      <c r="AI13" s="96">
        <f t="shared" si="9"/>
        <v>40186.817071139434</v>
      </c>
      <c r="AJ13" s="96">
        <f t="shared" si="21"/>
        <v>87.210974546743557</v>
      </c>
      <c r="AK13" s="96">
        <f t="shared" si="10"/>
        <v>66.787456534469484</v>
      </c>
      <c r="AL13" s="96">
        <f t="shared" si="11"/>
        <v>87.192613922723197</v>
      </c>
      <c r="AM13" s="97">
        <f t="shared" si="37"/>
        <v>66.787456534469484</v>
      </c>
      <c r="AN13" s="174">
        <f t="shared" si="12"/>
        <v>30775.659971083536</v>
      </c>
      <c r="AO13" s="127">
        <f t="shared" si="26"/>
        <v>2.1697533384729531E-2</v>
      </c>
      <c r="AP13" s="127">
        <f t="shared" si="31"/>
        <v>0.16602338252609797</v>
      </c>
      <c r="AQ13" s="146">
        <f t="shared" si="27"/>
        <v>1.2389849090794855E-6</v>
      </c>
      <c r="AR13" s="95">
        <f t="shared" si="41"/>
        <v>3.0207645977385553E-2</v>
      </c>
      <c r="AS13" s="127"/>
      <c r="AT13" s="153">
        <f t="shared" si="38"/>
        <v>-1.0693376429941804E-6</v>
      </c>
      <c r="AU13" s="134">
        <f t="shared" si="39"/>
        <v>3.500000000000001E-2</v>
      </c>
      <c r="AW13" s="127">
        <f t="shared" si="28"/>
        <v>1.0526315789473683E-4</v>
      </c>
      <c r="AX13" s="96">
        <f t="shared" si="33"/>
        <v>58.687827741557669</v>
      </c>
    </row>
    <row r="14" spans="1:50" ht="13.9" customHeight="1" x14ac:dyDescent="0.3">
      <c r="B14" s="113">
        <f t="shared" si="34"/>
        <v>1.8611111111111112</v>
      </c>
      <c r="C14" s="73">
        <v>155</v>
      </c>
      <c r="D14" s="73">
        <v>2.5299999999999998</v>
      </c>
      <c r="E14" s="73">
        <v>12.85</v>
      </c>
      <c r="F14" s="73">
        <v>15</v>
      </c>
      <c r="G14" s="73">
        <v>1364</v>
      </c>
      <c r="H14" s="73">
        <v>1740</v>
      </c>
      <c r="I14" s="78">
        <v>15.8</v>
      </c>
      <c r="J14" s="2">
        <f t="shared" si="40"/>
        <v>192.75</v>
      </c>
      <c r="K14" s="1">
        <f t="shared" si="2"/>
        <v>155</v>
      </c>
      <c r="L14" s="1">
        <f t="shared" si="35"/>
        <v>5.0434251169192468</v>
      </c>
      <c r="M14" s="3">
        <f t="shared" si="36"/>
        <v>733.13782991202345</v>
      </c>
      <c r="N14" s="3">
        <f t="shared" si="36"/>
        <v>574.71264367816093</v>
      </c>
      <c r="O14" s="3">
        <f t="shared" si="15"/>
        <v>43988.269794721404</v>
      </c>
      <c r="P14" s="3">
        <f t="shared" si="22"/>
        <v>34482.758620689652</v>
      </c>
      <c r="Q14" s="3">
        <f t="shared" si="4"/>
        <v>95.460654936461381</v>
      </c>
      <c r="R14" s="3">
        <f t="shared" si="5"/>
        <v>74.83237547892719</v>
      </c>
      <c r="S14" s="3">
        <f t="shared" si="6"/>
        <v>155</v>
      </c>
      <c r="T14" s="158">
        <f t="shared" si="0"/>
        <v>192.75</v>
      </c>
      <c r="U14" s="96">
        <f t="shared" si="23"/>
        <v>188.29996</v>
      </c>
      <c r="V14">
        <f t="shared" si="24"/>
        <v>0.25251438895912004</v>
      </c>
      <c r="W14" s="150">
        <f t="shared" si="32"/>
        <v>3.0149073309822319E-2</v>
      </c>
      <c r="X14" s="150">
        <f t="shared" si="29"/>
        <v>2.7173982409470245E-2</v>
      </c>
      <c r="Y14" s="95">
        <f t="shared" si="16"/>
        <v>3.8493009912054741</v>
      </c>
      <c r="Z14" s="147">
        <f>SQRT(Y14^3/4/$X$42/$X$43)</f>
        <v>74.07429631585768</v>
      </c>
      <c r="AA14" s="97">
        <f t="shared" si="30"/>
        <v>39.338455683080163</v>
      </c>
      <c r="AB14">
        <f t="shared" si="18"/>
        <v>38.487141683695697</v>
      </c>
      <c r="AC14" s="175">
        <f t="shared" si="19"/>
        <v>86.596068788315307</v>
      </c>
      <c r="AD14" s="175">
        <f t="shared" si="20"/>
        <v>99.303216061746326</v>
      </c>
      <c r="AE14" s="158">
        <f t="shared" si="25"/>
        <v>2.5801660429310118</v>
      </c>
      <c r="AF14" s="151"/>
      <c r="AG14" s="95">
        <f>C14/$AE$27*$AE$22</f>
        <v>4.3055555555555554</v>
      </c>
      <c r="AH14" s="95">
        <f>AG14/$AE$22*$AE$27</f>
        <v>155</v>
      </c>
      <c r="AI14" s="96">
        <f t="shared" si="9"/>
        <v>43239.249799405501</v>
      </c>
      <c r="AJ14" s="96">
        <f t="shared" si="21"/>
        <v>93.835177516070971</v>
      </c>
      <c r="AK14" s="96">
        <f t="shared" si="10"/>
        <v>73.296495023434872</v>
      </c>
      <c r="AL14" s="96">
        <f t="shared" si="11"/>
        <v>93.809361511845779</v>
      </c>
      <c r="AM14" s="97">
        <f t="shared" si="37"/>
        <v>73.296495023434872</v>
      </c>
      <c r="AN14" s="174">
        <f t="shared" si="12"/>
        <v>33775.02490679879</v>
      </c>
      <c r="AO14" s="127">
        <f t="shared" si="26"/>
        <v>2.5645549843300849E-2</v>
      </c>
      <c r="AP14" s="127">
        <f t="shared" si="31"/>
        <v>0.21113753539938881</v>
      </c>
      <c r="AQ14" s="146">
        <f t="shared" si="27"/>
        <v>1.3478150698435463E-6</v>
      </c>
      <c r="AR14" s="95">
        <f t="shared" si="41"/>
        <v>2.7768510934620141E-2</v>
      </c>
      <c r="AS14" s="127"/>
      <c r="AT14" s="153">
        <f t="shared" si="38"/>
        <v>-1.3092719915436728E-6</v>
      </c>
      <c r="AU14" s="151">
        <f t="shared" si="39"/>
        <v>2.858597582971964E-2</v>
      </c>
      <c r="AW14" s="127">
        <f t="shared" si="28"/>
        <v>1.0526315789473683E-4</v>
      </c>
      <c r="AX14" s="96">
        <f t="shared" si="33"/>
        <v>53.949042821495425</v>
      </c>
    </row>
    <row r="15" spans="1:50" ht="13.9" customHeight="1" x14ac:dyDescent="0.3">
      <c r="B15" s="113">
        <f t="shared" si="34"/>
        <v>1.9166666666666665</v>
      </c>
      <c r="C15" s="73">
        <v>165</v>
      </c>
      <c r="D15" s="73">
        <v>2.63</v>
      </c>
      <c r="E15" s="73">
        <v>12.75</v>
      </c>
      <c r="F15" s="73">
        <v>16.399999999999999</v>
      </c>
      <c r="G15" s="73">
        <v>1316</v>
      </c>
      <c r="H15" s="73">
        <v>1680</v>
      </c>
      <c r="I15" s="78">
        <v>17.2</v>
      </c>
      <c r="J15" s="2">
        <f t="shared" si="40"/>
        <v>209.1</v>
      </c>
      <c r="K15" s="1">
        <f t="shared" si="2"/>
        <v>165</v>
      </c>
      <c r="L15" s="1">
        <f t="shared" si="35"/>
        <v>5.1059454739005803</v>
      </c>
      <c r="M15" s="3">
        <f t="shared" si="36"/>
        <v>759.87841945288756</v>
      </c>
      <c r="N15" s="3">
        <f t="shared" si="36"/>
        <v>595.2380952380953</v>
      </c>
      <c r="O15" s="3">
        <f t="shared" si="15"/>
        <v>45592.705167173255</v>
      </c>
      <c r="P15" s="3">
        <f t="shared" si="22"/>
        <v>35714.285714285717</v>
      </c>
      <c r="Q15" s="3">
        <f t="shared" si="4"/>
        <v>98.942502532928074</v>
      </c>
      <c r="R15" s="3">
        <f t="shared" si="5"/>
        <v>77.504960317460331</v>
      </c>
      <c r="S15" s="3">
        <f t="shared" si="6"/>
        <v>165</v>
      </c>
      <c r="T15" s="158">
        <f t="shared" si="0"/>
        <v>209.1</v>
      </c>
      <c r="U15" s="96">
        <f t="shared" si="23"/>
        <v>204.64995999999999</v>
      </c>
      <c r="V15">
        <f t="shared" si="24"/>
        <v>0.27444009865912</v>
      </c>
      <c r="W15" s="150">
        <f t="shared" si="32"/>
        <v>3.1613816132925514E-2</v>
      </c>
      <c r="X15" s="150">
        <f t="shared" si="29"/>
        <v>2.863872523257344E-2</v>
      </c>
      <c r="Y15" s="134">
        <f>$Z$41</f>
        <v>4.4249528005034611</v>
      </c>
      <c r="Z15" s="147">
        <f>SQRT(Y15^3/4/$X$42/$X$43)</f>
        <v>91.297248929319878</v>
      </c>
      <c r="AA15" s="97">
        <f t="shared" si="30"/>
        <v>44.611417920296624</v>
      </c>
      <c r="AB15">
        <f t="shared" si="18"/>
        <v>41.264733453849395</v>
      </c>
      <c r="AC15" s="175">
        <f>AB15*1/1.6/1000*3600</f>
        <v>92.845650271161119</v>
      </c>
      <c r="AD15" s="175">
        <f t="shared" si="20"/>
        <v>102.84975949252301</v>
      </c>
      <c r="AE15" s="165">
        <f t="shared" si="25"/>
        <v>2.4924372674683695</v>
      </c>
      <c r="AF15" s="151"/>
      <c r="AG15" s="95">
        <f>C15/$AE$27*$AE$22</f>
        <v>4.583333333333333</v>
      </c>
      <c r="AH15" s="95">
        <f>AG15/$AE$22*$AE$27</f>
        <v>165</v>
      </c>
      <c r="AI15" s="96">
        <f t="shared" si="9"/>
        <v>44126.414319351083</v>
      </c>
      <c r="AJ15" s="96">
        <f t="shared" si="21"/>
        <v>95.760447741647312</v>
      </c>
      <c r="AK15" s="96">
        <f t="shared" si="10"/>
        <v>75.188293637994533</v>
      </c>
      <c r="AL15" s="96">
        <f t="shared" si="11"/>
        <v>95.732464892354869</v>
      </c>
      <c r="AM15" s="97">
        <f t="shared" si="37"/>
        <v>75.188293637994533</v>
      </c>
      <c r="AN15" s="174">
        <f t="shared" si="12"/>
        <v>34646.76570838788</v>
      </c>
      <c r="AO15" s="127">
        <f t="shared" si="26"/>
        <v>2.6855314322647372E-2</v>
      </c>
      <c r="AP15" s="127">
        <f t="shared" si="31"/>
        <v>0.22563380169031633</v>
      </c>
      <c r="AQ15" s="146">
        <f t="shared" si="27"/>
        <v>1.3794456628573665E-6</v>
      </c>
      <c r="AR15" s="95">
        <f t="shared" si="41"/>
        <v>2.7131780912102679E-2</v>
      </c>
      <c r="AS15" s="127"/>
      <c r="AT15" s="153">
        <f t="shared" si="38"/>
        <v>-1.4247674895198362E-6</v>
      </c>
      <c r="AU15" s="151">
        <f t="shared" si="39"/>
        <v>2.62687194788601E-2</v>
      </c>
      <c r="AW15" s="127">
        <f t="shared" si="28"/>
        <v>1.0526315789473683E-4</v>
      </c>
      <c r="AX15" s="96">
        <f t="shared" si="33"/>
        <v>52.711995025471928</v>
      </c>
    </row>
    <row r="16" spans="1:50" ht="13.9" customHeight="1" thickBot="1" x14ac:dyDescent="0.35">
      <c r="B16" s="116">
        <f t="shared" si="34"/>
        <v>2</v>
      </c>
      <c r="C16" s="117">
        <v>180</v>
      </c>
      <c r="D16" s="117"/>
      <c r="E16" s="117"/>
      <c r="F16" s="117"/>
      <c r="G16" s="117"/>
      <c r="H16" s="117"/>
      <c r="I16" s="118"/>
      <c r="O16" s="3"/>
      <c r="P16" s="3"/>
      <c r="Q16" s="3"/>
      <c r="R16" s="3"/>
      <c r="T16" s="4"/>
      <c r="AC16" s="4"/>
      <c r="AD16" s="97"/>
      <c r="AG16" s="95"/>
      <c r="AH16" s="95"/>
      <c r="AI16" s="96"/>
      <c r="AJ16" s="96"/>
      <c r="AK16" s="96"/>
      <c r="AL16" s="96"/>
      <c r="AO16" s="127"/>
      <c r="AP16" s="127"/>
      <c r="AQ16" s="146"/>
      <c r="AR16" s="95"/>
      <c r="AS16" s="127"/>
      <c r="AU16" s="146"/>
      <c r="AV16" s="95"/>
      <c r="AW16" s="128"/>
      <c r="AX16" s="96"/>
    </row>
    <row r="17" spans="1:46" ht="13.9" customHeight="1" x14ac:dyDescent="0.3"/>
    <row r="18" spans="1:46" ht="13.9" customHeight="1" x14ac:dyDescent="0.3">
      <c r="B18" s="120">
        <f t="shared" si="34"/>
        <v>1.05</v>
      </c>
      <c r="C18" s="73">
        <v>9</v>
      </c>
      <c r="D18" s="119"/>
      <c r="E18" s="73">
        <v>13.8</v>
      </c>
      <c r="F18" s="73">
        <v>0.42399999999999999</v>
      </c>
      <c r="G18" s="73">
        <v>6160</v>
      </c>
      <c r="H18" s="119"/>
      <c r="I18" s="119"/>
      <c r="J18" s="2">
        <f t="shared" ref="J18:J26" si="42">E18*F18</f>
        <v>5.8512000000000004</v>
      </c>
      <c r="K18" s="1">
        <f t="shared" ref="K18:K26" si="43">C18</f>
        <v>9</v>
      </c>
      <c r="L18" s="1">
        <f t="shared" ref="L18:L26" si="44">LN(K18)</f>
        <v>2.1972245773362196</v>
      </c>
      <c r="M18" s="3">
        <f t="shared" ref="M18:M26" si="45">1/G18/0.000001</f>
        <v>162.33766233766235</v>
      </c>
      <c r="N18" s="3"/>
      <c r="O18" s="3">
        <f t="shared" ref="O18:O26" si="46">M18*60/$X$29</f>
        <v>9740.2597402597403</v>
      </c>
      <c r="P18" s="3"/>
      <c r="Q18" s="3">
        <f t="shared" ref="Q18:Q26" si="47">O18/$X$40*100</f>
        <v>21.137716450216452</v>
      </c>
      <c r="R18">
        <v>16</v>
      </c>
      <c r="S18" s="3">
        <f t="shared" ref="S18:S26" si="48">K18</f>
        <v>9</v>
      </c>
      <c r="T18" s="4">
        <f t="shared" ref="T18:T26" si="49">J18</f>
        <v>5.8512000000000004</v>
      </c>
      <c r="U18" s="4"/>
      <c r="V18">
        <f t="shared" ref="V18:V26" si="50">T18*0.001341022</f>
        <v>7.8465879264000005E-3</v>
      </c>
      <c r="W18" s="150">
        <f t="shared" ref="W18:W26" si="51">$V18/$O18*5252</f>
        <v>4.230922058383821E-3</v>
      </c>
      <c r="X18" s="150">
        <f t="shared" ref="X18:X26" si="52">W18-$W$4</f>
        <v>1.2558311580317485E-3</v>
      </c>
      <c r="AN18" s="157" t="s">
        <v>219</v>
      </c>
      <c r="AO18" s="157"/>
      <c r="AP18" s="157"/>
      <c r="AQ18" s="157"/>
      <c r="AR18" s="157"/>
    </row>
    <row r="19" spans="1:46" ht="13.9" customHeight="1" x14ac:dyDescent="0.3">
      <c r="B19" s="120">
        <f t="shared" si="34"/>
        <v>1.0722222222222222</v>
      </c>
      <c r="C19" s="73">
        <v>13</v>
      </c>
      <c r="D19" s="119"/>
      <c r="E19" s="73">
        <v>13.8</v>
      </c>
      <c r="F19" s="73">
        <v>0.56499999999999995</v>
      </c>
      <c r="G19" s="73">
        <v>5080</v>
      </c>
      <c r="H19" s="119"/>
      <c r="I19" s="119"/>
      <c r="J19" s="2">
        <f t="shared" si="42"/>
        <v>7.7969999999999997</v>
      </c>
      <c r="K19" s="1">
        <f t="shared" si="43"/>
        <v>13</v>
      </c>
      <c r="L19" s="1">
        <f t="shared" si="44"/>
        <v>2.5649493574615367</v>
      </c>
      <c r="M19" s="3">
        <f t="shared" si="45"/>
        <v>196.85039370078741</v>
      </c>
      <c r="N19" s="3"/>
      <c r="O19" s="3">
        <f t="shared" si="46"/>
        <v>11811.023622047245</v>
      </c>
      <c r="P19" s="3"/>
      <c r="Q19" s="3">
        <f t="shared" si="47"/>
        <v>25.631561679790028</v>
      </c>
      <c r="R19">
        <v>20</v>
      </c>
      <c r="S19" s="3">
        <f t="shared" si="48"/>
        <v>13</v>
      </c>
      <c r="T19" s="4">
        <f t="shared" si="49"/>
        <v>7.7969999999999997</v>
      </c>
      <c r="U19" s="4"/>
      <c r="V19">
        <f t="shared" si="50"/>
        <v>1.0455948534E-2</v>
      </c>
      <c r="W19" s="150">
        <f t="shared" si="51"/>
        <v>4.6494396639814237E-3</v>
      </c>
      <c r="X19" s="150">
        <f t="shared" si="52"/>
        <v>1.6743487636293511E-3</v>
      </c>
      <c r="AM19" s="5" t="s">
        <v>132</v>
      </c>
      <c r="AN19" s="157" t="s">
        <v>100</v>
      </c>
      <c r="AO19" s="157" t="s">
        <v>139</v>
      </c>
      <c r="AP19" s="157" t="s">
        <v>140</v>
      </c>
      <c r="AQ19" s="157" t="s">
        <v>131</v>
      </c>
      <c r="AR19" s="157" t="s">
        <v>164</v>
      </c>
      <c r="AS19" s="157" t="s">
        <v>173</v>
      </c>
    </row>
    <row r="20" spans="1:46" ht="13.9" customHeight="1" x14ac:dyDescent="0.3">
      <c r="B20" s="120">
        <f t="shared" si="34"/>
        <v>1.1444444444444444</v>
      </c>
      <c r="C20" s="73">
        <v>26</v>
      </c>
      <c r="D20" s="119"/>
      <c r="E20" s="73">
        <v>13.75</v>
      </c>
      <c r="F20" s="73">
        <v>1.32</v>
      </c>
      <c r="G20" s="73">
        <v>3180</v>
      </c>
      <c r="H20" s="119"/>
      <c r="I20" s="119"/>
      <c r="J20" s="2">
        <f t="shared" si="42"/>
        <v>18.150000000000002</v>
      </c>
      <c r="K20" s="1">
        <f t="shared" si="43"/>
        <v>26</v>
      </c>
      <c r="L20" s="1">
        <f t="shared" si="44"/>
        <v>3.2580965380214821</v>
      </c>
      <c r="M20" s="3">
        <f t="shared" si="45"/>
        <v>314.46540880503147</v>
      </c>
      <c r="N20" s="3"/>
      <c r="O20" s="3">
        <f t="shared" si="46"/>
        <v>18867.92452830189</v>
      </c>
      <c r="P20" s="3"/>
      <c r="Q20" s="3">
        <f t="shared" si="47"/>
        <v>40.946016771488473</v>
      </c>
      <c r="R20">
        <v>25</v>
      </c>
      <c r="S20" s="3">
        <f t="shared" si="48"/>
        <v>26</v>
      </c>
      <c r="T20" s="4">
        <f t="shared" si="49"/>
        <v>18.150000000000002</v>
      </c>
      <c r="U20" s="4"/>
      <c r="V20">
        <f t="shared" si="50"/>
        <v>2.4339549300000006E-2</v>
      </c>
      <c r="W20" s="150">
        <f t="shared" si="51"/>
        <v>6.7750595849508004E-3</v>
      </c>
      <c r="X20" s="150">
        <f t="shared" si="52"/>
        <v>3.7999686845987279E-3</v>
      </c>
      <c r="AM20" s="5"/>
      <c r="AN20" s="157"/>
      <c r="AO20" s="157" t="s">
        <v>152</v>
      </c>
      <c r="AP20" s="157" t="s">
        <v>153</v>
      </c>
      <c r="AQ20" s="157"/>
      <c r="AR20" s="157"/>
      <c r="AS20" s="157"/>
    </row>
    <row r="21" spans="1:46" ht="13.9" customHeight="1" thickBot="1" x14ac:dyDescent="0.35">
      <c r="B21" s="120">
        <f t="shared" si="34"/>
        <v>1.2</v>
      </c>
      <c r="C21" s="73">
        <v>36</v>
      </c>
      <c r="D21" s="119"/>
      <c r="E21" s="73">
        <v>13.71</v>
      </c>
      <c r="F21" s="73">
        <v>2.08</v>
      </c>
      <c r="G21" s="73">
        <v>2650</v>
      </c>
      <c r="H21" s="119"/>
      <c r="I21" s="119"/>
      <c r="J21" s="2">
        <f t="shared" si="42"/>
        <v>28.516800000000003</v>
      </c>
      <c r="K21" s="1">
        <f t="shared" si="43"/>
        <v>36</v>
      </c>
      <c r="L21" s="1">
        <f t="shared" si="44"/>
        <v>3.5835189384561099</v>
      </c>
      <c r="M21" s="3">
        <f t="shared" si="45"/>
        <v>377.35849056603774</v>
      </c>
      <c r="N21" s="3"/>
      <c r="O21" s="3">
        <f t="shared" si="46"/>
        <v>22641.509433962266</v>
      </c>
      <c r="P21" s="3"/>
      <c r="Q21" s="3">
        <f t="shared" si="47"/>
        <v>49.135220125786169</v>
      </c>
      <c r="R21">
        <v>36</v>
      </c>
      <c r="S21" s="3">
        <f t="shared" si="48"/>
        <v>36</v>
      </c>
      <c r="T21" s="4">
        <f t="shared" si="49"/>
        <v>28.516800000000003</v>
      </c>
      <c r="U21" s="4"/>
      <c r="V21">
        <f t="shared" si="50"/>
        <v>3.8241656169600007E-2</v>
      </c>
      <c r="W21" s="150">
        <f t="shared" si="51"/>
        <v>8.8706620372876483E-3</v>
      </c>
      <c r="X21" s="150">
        <f t="shared" si="52"/>
        <v>5.8955711369355762E-3</v>
      </c>
      <c r="AD21" s="5" t="s">
        <v>56</v>
      </c>
      <c r="AE21" s="5"/>
      <c r="AF21" s="5"/>
      <c r="AG21" s="5"/>
      <c r="AM21" s="5">
        <f t="shared" ref="AM21:AM29" si="53">AN21*$AE$26</f>
        <v>7372.8</v>
      </c>
      <c r="AN21" s="157">
        <v>16</v>
      </c>
      <c r="AO21" s="157">
        <v>3.3218574470251366E-4</v>
      </c>
      <c r="AP21" s="157">
        <v>7.3801227827272476E-4</v>
      </c>
      <c r="AQ21" s="172">
        <v>0.34399999999999997</v>
      </c>
      <c r="AR21" s="185">
        <f t="shared" ref="AR21:AR29" si="54">$AE$41/AQ21</f>
        <v>1.0879888809533816E-7</v>
      </c>
      <c r="AS21" s="157" t="s">
        <v>201</v>
      </c>
    </row>
    <row r="22" spans="1:46" ht="13.9" customHeight="1" x14ac:dyDescent="0.3">
      <c r="B22" s="120">
        <f t="shared" si="34"/>
        <v>1.3111111111111111</v>
      </c>
      <c r="C22" s="73">
        <v>56</v>
      </c>
      <c r="D22" s="119"/>
      <c r="E22" s="73">
        <v>13.6</v>
      </c>
      <c r="F22" s="73">
        <v>3.8</v>
      </c>
      <c r="G22" s="73">
        <v>2070</v>
      </c>
      <c r="H22" s="119"/>
      <c r="I22" s="119"/>
      <c r="J22" s="2">
        <f t="shared" si="42"/>
        <v>51.68</v>
      </c>
      <c r="K22" s="1">
        <f t="shared" si="43"/>
        <v>56</v>
      </c>
      <c r="L22" s="1">
        <f t="shared" si="44"/>
        <v>4.0253516907351496</v>
      </c>
      <c r="M22" s="3">
        <f t="shared" si="45"/>
        <v>483.09178743961354</v>
      </c>
      <c r="N22" s="3"/>
      <c r="O22" s="3">
        <f t="shared" si="46"/>
        <v>28985.507246376812</v>
      </c>
      <c r="P22" s="3"/>
      <c r="Q22" s="3">
        <f t="shared" si="47"/>
        <v>62.902576489533011</v>
      </c>
      <c r="R22">
        <v>45</v>
      </c>
      <c r="S22" s="3">
        <f t="shared" si="48"/>
        <v>56</v>
      </c>
      <c r="T22" s="4">
        <f t="shared" si="49"/>
        <v>51.68</v>
      </c>
      <c r="U22" s="4"/>
      <c r="V22">
        <f t="shared" si="50"/>
        <v>6.9304016960000006E-2</v>
      </c>
      <c r="W22" s="150">
        <f t="shared" si="51"/>
        <v>1.255747204905024E-2</v>
      </c>
      <c r="X22" s="150">
        <f t="shared" si="52"/>
        <v>9.5823811486981676E-3</v>
      </c>
      <c r="AD22" s="62" t="s">
        <v>15</v>
      </c>
      <c r="AE22" s="63">
        <f>X47</f>
        <v>5</v>
      </c>
      <c r="AF22" s="64"/>
      <c r="AG22" s="29"/>
      <c r="AI22" s="17" t="s">
        <v>134</v>
      </c>
      <c r="AJ22" s="28"/>
      <c r="AK22" s="28"/>
      <c r="AL22" s="29"/>
      <c r="AM22" s="5">
        <f t="shared" si="53"/>
        <v>9216</v>
      </c>
      <c r="AN22" s="157">
        <v>20</v>
      </c>
      <c r="AO22" s="157">
        <v>7.4483427705766901E-4</v>
      </c>
      <c r="AP22" s="157">
        <v>6.978697406499287E-4</v>
      </c>
      <c r="AQ22" s="172">
        <v>0.27100000000000002</v>
      </c>
      <c r="AR22" s="185">
        <f t="shared" si="54"/>
        <v>1.3810633765607499E-7</v>
      </c>
      <c r="AS22" s="157" t="s">
        <v>201</v>
      </c>
    </row>
    <row r="23" spans="1:46" ht="13.9" customHeight="1" x14ac:dyDescent="0.3">
      <c r="B23" s="120">
        <f t="shared" si="34"/>
        <v>1.3555555555555556</v>
      </c>
      <c r="C23" s="73">
        <v>64</v>
      </c>
      <c r="D23" s="119"/>
      <c r="E23" s="73">
        <v>13.55</v>
      </c>
      <c r="F23" s="73">
        <v>4.38</v>
      </c>
      <c r="G23" s="73">
        <v>2000</v>
      </c>
      <c r="H23" s="119"/>
      <c r="I23" s="119"/>
      <c r="J23" s="2">
        <f t="shared" si="42"/>
        <v>59.349000000000004</v>
      </c>
      <c r="K23" s="1">
        <f t="shared" si="43"/>
        <v>64</v>
      </c>
      <c r="L23" s="1">
        <f t="shared" si="44"/>
        <v>4.1588830833596715</v>
      </c>
      <c r="M23" s="3">
        <f t="shared" si="45"/>
        <v>500.00000000000006</v>
      </c>
      <c r="N23" s="3"/>
      <c r="O23" s="3">
        <f t="shared" si="46"/>
        <v>30000.000000000004</v>
      </c>
      <c r="P23" s="3"/>
      <c r="Q23" s="3">
        <f t="shared" si="47"/>
        <v>65.104166666666671</v>
      </c>
      <c r="R23">
        <v>50</v>
      </c>
      <c r="S23" s="3">
        <f t="shared" si="48"/>
        <v>64</v>
      </c>
      <c r="T23" s="4">
        <f t="shared" si="49"/>
        <v>59.349000000000004</v>
      </c>
      <c r="U23" s="4"/>
      <c r="V23">
        <f t="shared" si="50"/>
        <v>7.9588314678000011E-2</v>
      </c>
      <c r="W23" s="150">
        <f t="shared" si="51"/>
        <v>1.39332609562952E-2</v>
      </c>
      <c r="X23" s="150">
        <f t="shared" si="52"/>
        <v>1.0958170055943128E-2</v>
      </c>
      <c r="AD23" s="65" t="s">
        <v>14</v>
      </c>
      <c r="AE23" s="66">
        <f>X46</f>
        <v>0</v>
      </c>
      <c r="AF23" s="45"/>
      <c r="AG23" s="31"/>
      <c r="AI23" s="19" t="s">
        <v>128</v>
      </c>
      <c r="AJ23" s="30">
        <v>25</v>
      </c>
      <c r="AK23" s="30" t="s">
        <v>93</v>
      </c>
      <c r="AL23" s="31"/>
      <c r="AM23" s="5">
        <f t="shared" si="53"/>
        <v>11520</v>
      </c>
      <c r="AN23" s="157">
        <v>25</v>
      </c>
      <c r="AO23" s="157">
        <v>1.8196732395486779E-3</v>
      </c>
      <c r="AP23" s="157">
        <v>8.2156541787077825E-4</v>
      </c>
      <c r="AQ23" s="172">
        <v>0.185</v>
      </c>
      <c r="AR23" s="185">
        <f t="shared" si="54"/>
        <v>2.0230712164754772E-7</v>
      </c>
      <c r="AS23" s="157" t="s">
        <v>201</v>
      </c>
    </row>
    <row r="24" spans="1:46" ht="13.9" customHeight="1" x14ac:dyDescent="0.3">
      <c r="B24" s="120">
        <f t="shared" si="34"/>
        <v>1.4944444444444445</v>
      </c>
      <c r="C24" s="73">
        <v>89</v>
      </c>
      <c r="D24" s="119"/>
      <c r="E24" s="73">
        <v>13.42</v>
      </c>
      <c r="F24" s="73">
        <v>6.3</v>
      </c>
      <c r="G24" s="73">
        <v>1760</v>
      </c>
      <c r="H24" s="119"/>
      <c r="I24" s="119"/>
      <c r="J24" s="2">
        <f t="shared" si="42"/>
        <v>84.545999999999992</v>
      </c>
      <c r="K24" s="1">
        <f t="shared" si="43"/>
        <v>89</v>
      </c>
      <c r="L24" s="1">
        <f t="shared" si="44"/>
        <v>4.4886363697321396</v>
      </c>
      <c r="M24" s="3">
        <f t="shared" si="45"/>
        <v>568.18181818181813</v>
      </c>
      <c r="N24" s="3"/>
      <c r="O24" s="3">
        <f t="shared" si="46"/>
        <v>34090.909090909088</v>
      </c>
      <c r="P24" s="3"/>
      <c r="Q24" s="3">
        <f t="shared" si="47"/>
        <v>73.982007575757564</v>
      </c>
      <c r="R24">
        <v>52</v>
      </c>
      <c r="S24" s="3">
        <f t="shared" si="48"/>
        <v>89</v>
      </c>
      <c r="T24" s="4">
        <f t="shared" si="49"/>
        <v>84.545999999999992</v>
      </c>
      <c r="U24" s="4"/>
      <c r="V24">
        <f t="shared" si="50"/>
        <v>0.11337804601199999</v>
      </c>
      <c r="W24" s="150">
        <f t="shared" si="51"/>
        <v>1.7466870597880702E-2</v>
      </c>
      <c r="X24" s="150">
        <f t="shared" si="52"/>
        <v>1.449177969752863E-2</v>
      </c>
      <c r="AB24" s="147"/>
      <c r="AD24" s="65" t="s">
        <v>17</v>
      </c>
      <c r="AE24" s="66">
        <f>AA31</f>
        <v>5</v>
      </c>
      <c r="AF24" s="30"/>
      <c r="AG24" s="31"/>
      <c r="AI24" s="19" t="s">
        <v>144</v>
      </c>
      <c r="AJ24" s="30">
        <v>2.1797</v>
      </c>
      <c r="AK24" s="30" t="s">
        <v>94</v>
      </c>
      <c r="AL24" s="31"/>
      <c r="AM24" s="5">
        <f t="shared" si="53"/>
        <v>16588.8</v>
      </c>
      <c r="AN24" s="157">
        <v>36</v>
      </c>
      <c r="AO24" s="157">
        <v>7.5397784789642732E-3</v>
      </c>
      <c r="AP24" s="157">
        <v>2.7131440751281396E-3</v>
      </c>
      <c r="AQ24" s="172">
        <v>0.121</v>
      </c>
      <c r="AR24" s="185">
        <f t="shared" si="54"/>
        <v>3.0931254136195313E-7</v>
      </c>
      <c r="AS24" s="157" t="s">
        <v>201</v>
      </c>
    </row>
    <row r="25" spans="1:46" ht="13.9" customHeight="1" x14ac:dyDescent="0.3">
      <c r="B25" s="120">
        <f t="shared" si="34"/>
        <v>1.7944444444444443</v>
      </c>
      <c r="C25" s="73">
        <v>143</v>
      </c>
      <c r="D25" s="119"/>
      <c r="E25" s="73">
        <v>13.1</v>
      </c>
      <c r="F25" s="73">
        <v>11.7</v>
      </c>
      <c r="G25" s="73">
        <v>1430</v>
      </c>
      <c r="H25" s="119"/>
      <c r="I25" s="119"/>
      <c r="J25" s="2">
        <f t="shared" si="42"/>
        <v>153.26999999999998</v>
      </c>
      <c r="K25" s="1">
        <f t="shared" si="43"/>
        <v>143</v>
      </c>
      <c r="L25" s="1">
        <f t="shared" si="44"/>
        <v>4.962844630259907</v>
      </c>
      <c r="M25" s="3">
        <f t="shared" si="45"/>
        <v>699.30069930069931</v>
      </c>
      <c r="N25" s="3"/>
      <c r="O25" s="3">
        <f t="shared" si="46"/>
        <v>41958.041958041955</v>
      </c>
      <c r="P25" s="3"/>
      <c r="Q25" s="3">
        <f t="shared" si="47"/>
        <v>91.054778554778551</v>
      </c>
      <c r="R25">
        <v>55</v>
      </c>
      <c r="S25" s="3">
        <f t="shared" si="48"/>
        <v>143</v>
      </c>
      <c r="T25" s="4">
        <f t="shared" si="49"/>
        <v>153.26999999999998</v>
      </c>
      <c r="U25" s="4"/>
      <c r="V25">
        <f t="shared" si="50"/>
        <v>0.20553844193999998</v>
      </c>
      <c r="W25" s="150">
        <f t="shared" si="51"/>
        <v>2.5727794880141638E-2</v>
      </c>
      <c r="X25" s="150">
        <f t="shared" si="52"/>
        <v>2.2752703979789565E-2</v>
      </c>
      <c r="AC25" s="97"/>
      <c r="AD25" s="65" t="s">
        <v>16</v>
      </c>
      <c r="AE25" s="66">
        <f>AA30</f>
        <v>0</v>
      </c>
      <c r="AF25" s="30"/>
      <c r="AG25" s="31"/>
      <c r="AI25" s="19" t="s">
        <v>129</v>
      </c>
      <c r="AJ25" s="30">
        <f>($AJ$23/25.4)^2*$AJ$24/1000*2.2/3</f>
        <v>1.5484983053299442E-3</v>
      </c>
      <c r="AK25" s="30" t="s">
        <v>96</v>
      </c>
      <c r="AL25" s="177" t="s">
        <v>146</v>
      </c>
      <c r="AM25" s="5">
        <f t="shared" si="53"/>
        <v>20736</v>
      </c>
      <c r="AN25" s="157">
        <v>45</v>
      </c>
      <c r="AO25" s="157">
        <v>1.7146093021340732E-2</v>
      </c>
      <c r="AP25" s="157">
        <v>7.1180011608729891E-3</v>
      </c>
      <c r="AQ25" s="172">
        <v>9.6000000000000002E-2</v>
      </c>
      <c r="AR25" s="185">
        <f t="shared" si="54"/>
        <v>3.8986268234162836E-7</v>
      </c>
      <c r="AS25" s="157" t="s">
        <v>201</v>
      </c>
    </row>
    <row r="26" spans="1:46" ht="13.9" customHeight="1" x14ac:dyDescent="0.3">
      <c r="B26" s="120">
        <f t="shared" si="34"/>
        <v>1.9166666666666665</v>
      </c>
      <c r="C26" s="73">
        <v>165</v>
      </c>
      <c r="D26" s="119"/>
      <c r="E26" s="73">
        <v>12.72</v>
      </c>
      <c r="F26" s="73">
        <v>16.86</v>
      </c>
      <c r="G26" s="73">
        <v>1280</v>
      </c>
      <c r="H26" s="119"/>
      <c r="I26" s="119"/>
      <c r="J26" s="2">
        <f t="shared" si="42"/>
        <v>214.45920000000001</v>
      </c>
      <c r="K26" s="1">
        <f t="shared" si="43"/>
        <v>165</v>
      </c>
      <c r="L26" s="1">
        <f t="shared" si="44"/>
        <v>5.1059454739005803</v>
      </c>
      <c r="M26" s="3">
        <f t="shared" si="45"/>
        <v>781.25000000000011</v>
      </c>
      <c r="N26" s="3"/>
      <c r="O26" s="3">
        <f t="shared" si="46"/>
        <v>46875.000000000007</v>
      </c>
      <c r="P26" s="3"/>
      <c r="Q26" s="3">
        <f t="shared" si="47"/>
        <v>101.72526041666667</v>
      </c>
      <c r="R26">
        <v>62</v>
      </c>
      <c r="S26" s="3">
        <f t="shared" si="48"/>
        <v>165</v>
      </c>
      <c r="T26" s="4">
        <f t="shared" si="49"/>
        <v>214.45920000000001</v>
      </c>
      <c r="U26" s="4"/>
      <c r="V26">
        <f t="shared" si="50"/>
        <v>0.28759450530240005</v>
      </c>
      <c r="W26" s="150">
        <f t="shared" si="51"/>
        <v>3.2222855292761705E-2</v>
      </c>
      <c r="X26" s="150">
        <f t="shared" si="52"/>
        <v>2.9247764392409632E-2</v>
      </c>
      <c r="AD26" s="65" t="s">
        <v>27</v>
      </c>
      <c r="AE26" s="66">
        <f>X40/100</f>
        <v>460.8</v>
      </c>
      <c r="AF26" s="30"/>
      <c r="AG26" s="31"/>
      <c r="AI26" s="19" t="s">
        <v>141</v>
      </c>
      <c r="AJ26" s="178">
        <f>3/8/2*25.4</f>
        <v>4.7624999999999993</v>
      </c>
      <c r="AK26" s="30" t="s">
        <v>93</v>
      </c>
      <c r="AL26" s="31" t="s">
        <v>142</v>
      </c>
      <c r="AM26" s="5">
        <f t="shared" si="53"/>
        <v>23040</v>
      </c>
      <c r="AN26" s="157">
        <v>50</v>
      </c>
      <c r="AO26" s="157">
        <v>2.4979887676232684E-2</v>
      </c>
      <c r="AP26" s="157">
        <v>1.1143313366134135E-2</v>
      </c>
      <c r="AQ26" s="172">
        <v>7.0999999999999994E-2</v>
      </c>
      <c r="AR26" s="185">
        <f t="shared" si="54"/>
        <v>5.2713827471544122E-7</v>
      </c>
      <c r="AS26" s="157" t="s">
        <v>201</v>
      </c>
    </row>
    <row r="27" spans="1:46" ht="13.9" customHeight="1" x14ac:dyDescent="0.3">
      <c r="B27" s="5"/>
      <c r="C27" s="6"/>
      <c r="D27" s="6"/>
      <c r="E27" s="6"/>
      <c r="F27" s="6"/>
      <c r="G27" s="6"/>
      <c r="H27" s="6"/>
      <c r="I27" s="6"/>
      <c r="J27" s="2"/>
      <c r="M27" s="3"/>
      <c r="N27" s="3"/>
      <c r="O27" s="3"/>
      <c r="P27" s="3"/>
      <c r="Q27" s="3"/>
      <c r="R27" s="3"/>
      <c r="S27" s="3"/>
      <c r="T27" s="4"/>
      <c r="U27" s="4"/>
      <c r="AD27" s="65" t="s">
        <v>18</v>
      </c>
      <c r="AE27" s="66">
        <f>Z47</f>
        <v>180</v>
      </c>
      <c r="AF27" s="30"/>
      <c r="AG27" s="31"/>
      <c r="AI27" s="19" t="s">
        <v>143</v>
      </c>
      <c r="AJ27" s="178">
        <f>3/4*25.4</f>
        <v>19.049999999999997</v>
      </c>
      <c r="AK27" s="30" t="s">
        <v>93</v>
      </c>
      <c r="AL27" s="31" t="s">
        <v>142</v>
      </c>
      <c r="AM27" s="5">
        <f t="shared" si="53"/>
        <v>23961.600000000002</v>
      </c>
      <c r="AN27" s="157">
        <v>52</v>
      </c>
      <c r="AO27" s="157">
        <v>2.8687189497277076E-2</v>
      </c>
      <c r="AP27" s="157">
        <v>1.3128852647530663E-2</v>
      </c>
      <c r="AQ27" s="172">
        <v>6.4000000000000001E-2</v>
      </c>
      <c r="AR27" s="185">
        <f t="shared" si="54"/>
        <v>5.8479402351244256E-7</v>
      </c>
      <c r="AS27" s="157" t="s">
        <v>201</v>
      </c>
    </row>
    <row r="28" spans="1:46" ht="13.9" customHeight="1" thickBot="1" x14ac:dyDescent="0.35">
      <c r="B28" s="5"/>
      <c r="C28" s="6"/>
      <c r="D28" s="6"/>
      <c r="E28" s="6"/>
      <c r="F28" s="6"/>
      <c r="G28" s="6"/>
      <c r="H28" s="6"/>
      <c r="I28" s="6"/>
      <c r="J28" s="2"/>
      <c r="M28" s="3"/>
      <c r="N28" s="3"/>
      <c r="O28" s="3"/>
      <c r="P28" s="3"/>
      <c r="Q28" s="3"/>
      <c r="R28" s="3"/>
      <c r="S28" s="3"/>
      <c r="T28" s="3"/>
      <c r="U28" s="3"/>
      <c r="W28" t="s">
        <v>32</v>
      </c>
      <c r="Z28" t="s">
        <v>33</v>
      </c>
      <c r="AC28" s="30"/>
      <c r="AD28" s="65" t="s">
        <v>13</v>
      </c>
      <c r="AE28" s="66">
        <f>Z46</f>
        <v>0</v>
      </c>
      <c r="AF28" s="30"/>
      <c r="AG28" s="31"/>
      <c r="AI28" s="19" t="s">
        <v>145</v>
      </c>
      <c r="AJ28" s="30">
        <f>PI()*(AJ26/25.4)^2/4*3/4*0.3</f>
        <v>6.2126221909368446E-3</v>
      </c>
      <c r="AK28" s="30" t="s">
        <v>148</v>
      </c>
      <c r="AL28" s="31" t="s">
        <v>142</v>
      </c>
      <c r="AM28" s="5">
        <f t="shared" si="53"/>
        <v>25344</v>
      </c>
      <c r="AN28" s="157">
        <v>55</v>
      </c>
      <c r="AO28" s="157">
        <v>3.4912727705496999E-2</v>
      </c>
      <c r="AP28" s="157">
        <v>1.6549422883591874E-2</v>
      </c>
      <c r="AQ28" s="172">
        <v>5.6000000000000001E-2</v>
      </c>
      <c r="AR28" s="185">
        <f t="shared" si="54"/>
        <v>6.6833602687136296E-7</v>
      </c>
      <c r="AS28" s="157" t="s">
        <v>201</v>
      </c>
    </row>
    <row r="29" spans="1:46" ht="13.9" customHeight="1" x14ac:dyDescent="0.3">
      <c r="A29" s="3" t="s">
        <v>28</v>
      </c>
      <c r="B29" s="11" t="s">
        <v>29</v>
      </c>
      <c r="C29" s="12"/>
      <c r="D29" s="12"/>
      <c r="E29" s="6"/>
      <c r="F29" s="6"/>
      <c r="G29" s="6"/>
      <c r="H29" s="6"/>
      <c r="I29" s="6"/>
      <c r="J29" s="2"/>
      <c r="M29" s="3"/>
      <c r="N29" s="3"/>
      <c r="O29" s="3"/>
      <c r="P29" s="3"/>
      <c r="Q29" s="3"/>
      <c r="R29" s="3"/>
      <c r="S29" s="3"/>
      <c r="T29" s="3"/>
      <c r="U29" s="3"/>
      <c r="W29" s="17" t="s">
        <v>3</v>
      </c>
      <c r="X29" s="18">
        <v>1</v>
      </c>
      <c r="Z29" s="17"/>
      <c r="AA29" s="23" t="s">
        <v>22</v>
      </c>
      <c r="AB29" s="7"/>
      <c r="AC29" s="30"/>
      <c r="AD29" s="65" t="s">
        <v>121</v>
      </c>
      <c r="AE29" s="66">
        <f>X55</f>
        <v>0</v>
      </c>
      <c r="AF29" s="67">
        <f>X54</f>
        <v>14542.877489600363</v>
      </c>
      <c r="AG29" s="68">
        <f>X53</f>
        <v>-351.26655108462336</v>
      </c>
      <c r="AI29" s="19" t="s">
        <v>135</v>
      </c>
      <c r="AJ29" s="30">
        <f>($AJ$26/25.4)^2*$AJ$28/2</f>
        <v>1.0920624945006168E-4</v>
      </c>
      <c r="AK29" s="30" t="s">
        <v>96</v>
      </c>
      <c r="AL29" s="31" t="s">
        <v>147</v>
      </c>
      <c r="AM29" s="5">
        <f t="shared" si="53"/>
        <v>28569.600000000002</v>
      </c>
      <c r="AN29" s="157">
        <v>62</v>
      </c>
      <c r="AO29" s="157">
        <v>5.2819357330458824E-2</v>
      </c>
      <c r="AP29" s="157">
        <v>2.6818816528704516E-2</v>
      </c>
      <c r="AQ29" s="134">
        <v>3.5000000000000003E-2</v>
      </c>
      <c r="AR29" s="185">
        <f t="shared" si="54"/>
        <v>1.0693376429941806E-6</v>
      </c>
      <c r="AS29" s="136">
        <f>-AR29/$AE$40</f>
        <v>-1.4495941088429112E-6</v>
      </c>
      <c r="AT29" s="146"/>
    </row>
    <row r="30" spans="1:46" ht="14.45" x14ac:dyDescent="0.3">
      <c r="A30" s="3"/>
      <c r="B30" s="13" t="s">
        <v>30</v>
      </c>
      <c r="C30" s="14"/>
      <c r="D30" s="14"/>
      <c r="E30" s="6"/>
      <c r="F30" s="6"/>
      <c r="G30" s="6"/>
      <c r="H30" s="6"/>
      <c r="I30" s="6"/>
      <c r="J30" s="2"/>
      <c r="M30" s="3"/>
      <c r="N30" s="3"/>
      <c r="O30" s="3"/>
      <c r="P30" s="3"/>
      <c r="Q30" s="3"/>
      <c r="R30" s="3"/>
      <c r="S30" s="3"/>
      <c r="T30" s="3"/>
      <c r="U30" s="3"/>
      <c r="W30" s="19" t="s">
        <v>4</v>
      </c>
      <c r="X30" s="20">
        <v>4800</v>
      </c>
      <c r="Y30" t="s">
        <v>77</v>
      </c>
      <c r="Z30" s="24" t="s">
        <v>16</v>
      </c>
      <c r="AA30" s="25">
        <v>0</v>
      </c>
      <c r="AC30" s="30"/>
      <c r="AD30" s="65" t="s">
        <v>21</v>
      </c>
      <c r="AE30" s="66">
        <f>X57</f>
        <v>-28327.005397586898</v>
      </c>
      <c r="AF30" s="67">
        <f>X56</f>
        <v>14190.01046667831</v>
      </c>
      <c r="AG30" s="31"/>
      <c r="AI30" s="19" t="s">
        <v>95</v>
      </c>
      <c r="AJ30" s="30">
        <f>AJ25+AJ29</f>
        <v>1.6577045547800059E-3</v>
      </c>
      <c r="AK30" s="30" t="s">
        <v>96</v>
      </c>
      <c r="AL30" s="31"/>
    </row>
    <row r="31" spans="1:46" ht="13.9" customHeight="1" thickBot="1" x14ac:dyDescent="0.35">
      <c r="A31" s="3"/>
      <c r="B31" s="15" t="s">
        <v>31</v>
      </c>
      <c r="C31" s="16"/>
      <c r="D31" s="16"/>
      <c r="E31" s="6"/>
      <c r="F31" s="6"/>
      <c r="G31" s="6"/>
      <c r="H31" s="6"/>
      <c r="I31" s="6"/>
      <c r="J31" s="2"/>
      <c r="M31" s="3"/>
      <c r="N31" s="3"/>
      <c r="O31" s="3"/>
      <c r="P31" s="2"/>
      <c r="Q31" s="3"/>
      <c r="R31" s="3"/>
      <c r="S31" s="3"/>
      <c r="T31" s="3"/>
      <c r="U31" s="3"/>
      <c r="W31" s="19" t="s">
        <v>5</v>
      </c>
      <c r="X31" s="20">
        <v>12</v>
      </c>
      <c r="Z31" s="26" t="s">
        <v>17</v>
      </c>
      <c r="AA31" s="27">
        <v>5</v>
      </c>
      <c r="AC31" s="30"/>
      <c r="AD31" s="65" t="s">
        <v>122</v>
      </c>
      <c r="AE31" s="66">
        <f>AA56</f>
        <v>-8712.4928340558181</v>
      </c>
      <c r="AF31" s="69">
        <f>AA55</f>
        <v>0.98261459063146772</v>
      </c>
      <c r="AG31" s="31"/>
      <c r="AI31" s="19" t="s">
        <v>95</v>
      </c>
      <c r="AJ31" s="30">
        <f>AJ30/144</f>
        <v>1.1511837185972264E-5</v>
      </c>
      <c r="AK31" s="30" t="s">
        <v>97</v>
      </c>
      <c r="AL31" s="31"/>
    </row>
    <row r="32" spans="1:46" ht="13.9" customHeight="1" thickBot="1" x14ac:dyDescent="0.35">
      <c r="B32" s="5"/>
      <c r="C32" s="6"/>
      <c r="D32" s="6"/>
      <c r="E32" s="6"/>
      <c r="F32" s="6"/>
      <c r="G32" s="6"/>
      <c r="H32" s="6"/>
      <c r="I32" s="6"/>
      <c r="J32" s="2"/>
      <c r="M32" s="3"/>
      <c r="N32" s="3"/>
      <c r="O32" s="3"/>
      <c r="P32" s="3"/>
      <c r="Q32" s="3"/>
      <c r="R32" s="3"/>
      <c r="S32" s="3"/>
      <c r="T32" s="3"/>
      <c r="U32" s="3"/>
      <c r="W32" s="57" t="s">
        <v>69</v>
      </c>
      <c r="X32" s="20">
        <v>3.9899999999999998E-2</v>
      </c>
      <c r="Y32" t="s">
        <v>76</v>
      </c>
      <c r="AC32" s="30"/>
      <c r="AD32" s="65" t="s">
        <v>123</v>
      </c>
      <c r="AE32" s="66">
        <f>AA54</f>
        <v>8893.4325759458807</v>
      </c>
      <c r="AF32" s="69">
        <f>AA53</f>
        <v>1.0165476207184487</v>
      </c>
      <c r="AG32" s="31"/>
      <c r="AI32" s="21" t="s">
        <v>95</v>
      </c>
      <c r="AJ32" s="32">
        <f>AJ31/2048.5*6.66</f>
        <v>3.7426817504796325E-8</v>
      </c>
      <c r="AK32" s="32" t="s">
        <v>98</v>
      </c>
      <c r="AL32" s="33"/>
    </row>
    <row r="33" spans="2:50" ht="15" customHeight="1" x14ac:dyDescent="0.45">
      <c r="B33" s="5"/>
      <c r="C33" s="6"/>
      <c r="D33" s="6"/>
      <c r="E33" s="6"/>
      <c r="F33" s="6"/>
      <c r="G33" s="6"/>
      <c r="H33" s="6"/>
      <c r="I33" s="6"/>
      <c r="J33" s="2"/>
      <c r="M33" s="3"/>
      <c r="N33" s="3"/>
      <c r="O33" s="3"/>
      <c r="P33" s="3"/>
      <c r="Q33" s="3"/>
      <c r="R33" s="3"/>
      <c r="S33" s="3"/>
      <c r="T33" s="3"/>
      <c r="U33" s="3"/>
      <c r="W33" s="57" t="s">
        <v>70</v>
      </c>
      <c r="X33" s="129">
        <v>4.1999999999999996E-6</v>
      </c>
      <c r="Y33" t="s">
        <v>75</v>
      </c>
      <c r="AC33" s="94" t="s">
        <v>54</v>
      </c>
      <c r="AD33" s="65" t="s">
        <v>92</v>
      </c>
      <c r="AE33" s="124">
        <f>X63</f>
        <v>6.9658921582847581E-4</v>
      </c>
      <c r="AF33" s="124">
        <f>X62</f>
        <v>-1.9381907115184841E-7</v>
      </c>
      <c r="AG33" s="139">
        <f>X61</f>
        <v>1.782679103068748E-11</v>
      </c>
    </row>
    <row r="34" spans="2:50" ht="14.45" x14ac:dyDescent="0.3">
      <c r="B34" s="5"/>
      <c r="C34" s="6"/>
      <c r="D34" s="6"/>
      <c r="E34" s="6"/>
      <c r="F34" s="6"/>
      <c r="G34" s="6"/>
      <c r="H34" s="6"/>
      <c r="I34" s="6"/>
      <c r="J34" s="2"/>
      <c r="M34" s="3"/>
      <c r="N34" s="3"/>
      <c r="O34" s="3"/>
      <c r="P34" s="3"/>
      <c r="Q34" s="3"/>
      <c r="R34" s="3"/>
      <c r="S34" s="3"/>
      <c r="T34" s="3"/>
      <c r="U34" s="3"/>
      <c r="W34" s="57" t="s">
        <v>71</v>
      </c>
      <c r="X34" s="130">
        <f>X30*2*PI()/60</f>
        <v>502.6548245743669</v>
      </c>
      <c r="Y34" t="s">
        <v>73</v>
      </c>
      <c r="AD34" s="65" t="s">
        <v>130</v>
      </c>
      <c r="AE34" s="124">
        <f>AA63</f>
        <v>2.0111653701195102E-3</v>
      </c>
      <c r="AF34" s="124">
        <f>AA62</f>
        <v>-3.0709262345742761E-7</v>
      </c>
      <c r="AG34" s="139">
        <f>AA61</f>
        <v>1.4325144135226059E-11</v>
      </c>
      <c r="AH34" s="5"/>
      <c r="AI34" s="5"/>
      <c r="AJ34" s="5"/>
    </row>
    <row r="35" spans="2:50" ht="14.45" x14ac:dyDescent="0.3">
      <c r="B35" s="5"/>
      <c r="C35" s="6"/>
      <c r="D35" s="6"/>
      <c r="E35" s="6"/>
      <c r="F35" s="6"/>
      <c r="G35" s="6"/>
      <c r="H35" s="6"/>
      <c r="I35" s="6"/>
      <c r="J35" s="2"/>
      <c r="M35" s="3"/>
      <c r="N35" s="3"/>
      <c r="O35" s="3"/>
      <c r="P35" s="3"/>
      <c r="Q35" s="3"/>
      <c r="R35" s="3"/>
      <c r="S35" s="3"/>
      <c r="T35" s="3"/>
      <c r="U35" s="3"/>
      <c r="W35" s="57" t="s">
        <v>72</v>
      </c>
      <c r="X35" s="132">
        <f>7/X34</f>
        <v>1.3926057520540842E-2</v>
      </c>
      <c r="Y35" t="s">
        <v>74</v>
      </c>
      <c r="AD35" s="65" t="s">
        <v>179</v>
      </c>
      <c r="AE35" s="69">
        <f>Y15</f>
        <v>4.4249528005034611</v>
      </c>
      <c r="AF35" s="30"/>
      <c r="AG35" s="31"/>
      <c r="AH35" s="5"/>
      <c r="AI35" s="5"/>
      <c r="AJ35" s="151"/>
    </row>
    <row r="36" spans="2:50" thickBot="1" x14ac:dyDescent="0.35">
      <c r="C36" s="6"/>
      <c r="D36" s="6"/>
      <c r="E36" s="6"/>
      <c r="F36" s="6"/>
      <c r="G36" s="6"/>
      <c r="H36" s="6"/>
      <c r="I36" s="6"/>
      <c r="J36" s="2"/>
      <c r="M36" s="3"/>
      <c r="N36" s="3"/>
      <c r="O36" s="3"/>
      <c r="P36" s="3"/>
      <c r="Q36" s="3"/>
      <c r="R36" s="3"/>
      <c r="S36" s="3"/>
      <c r="T36" s="3"/>
      <c r="U36" s="3"/>
      <c r="W36" s="131" t="s">
        <v>79</v>
      </c>
      <c r="X36" s="145">
        <f>AJ32</f>
        <v>3.7426817504796325E-8</v>
      </c>
      <c r="Y36" t="s">
        <v>80</v>
      </c>
      <c r="AA36" t="s">
        <v>112</v>
      </c>
      <c r="AD36" s="65" t="s">
        <v>178</v>
      </c>
      <c r="AE36" s="160">
        <f>$X$43</f>
        <v>2.1213604393365078E-3</v>
      </c>
      <c r="AF36" s="30"/>
      <c r="AG36" s="31"/>
      <c r="AH36" s="5"/>
      <c r="AI36" s="5"/>
      <c r="AJ36" s="151"/>
    </row>
    <row r="37" spans="2:50" thickBot="1" x14ac:dyDescent="0.35">
      <c r="W37" t="s">
        <v>35</v>
      </c>
      <c r="AD37" s="65" t="s">
        <v>177</v>
      </c>
      <c r="AE37" s="160">
        <f>$X$42</f>
        <v>1.2250000000000001</v>
      </c>
      <c r="AF37" s="30"/>
      <c r="AG37" s="31"/>
      <c r="AH37" s="5"/>
      <c r="AI37" s="5"/>
      <c r="AJ37" s="151"/>
      <c r="AU37" t="s">
        <v>188</v>
      </c>
      <c r="AX37" t="s">
        <v>193</v>
      </c>
    </row>
    <row r="38" spans="2:50" thickBot="1" x14ac:dyDescent="0.35">
      <c r="W38" s="34">
        <v>240</v>
      </c>
      <c r="X38" s="35" t="s">
        <v>34</v>
      </c>
      <c r="Y38" s="36"/>
      <c r="Z38" s="35"/>
      <c r="AA38" s="37"/>
      <c r="AB38" s="30"/>
      <c r="AD38" s="65" t="s">
        <v>180</v>
      </c>
      <c r="AE38" s="162">
        <f>$AF$13</f>
        <v>-1.4465197554381539</v>
      </c>
      <c r="AF38" s="30"/>
      <c r="AG38" s="31"/>
      <c r="AH38" s="5"/>
      <c r="AI38" s="5"/>
      <c r="AJ38" s="151"/>
      <c r="AU38" t="s">
        <v>186</v>
      </c>
      <c r="AV38" s="151"/>
      <c r="AW38" s="164" t="s">
        <v>189</v>
      </c>
      <c r="AX38" t="s">
        <v>190</v>
      </c>
    </row>
    <row r="39" spans="2:50" thickBot="1" x14ac:dyDescent="0.35">
      <c r="C39" s="6"/>
      <c r="D39" s="6"/>
      <c r="E39" s="6"/>
      <c r="F39" s="6"/>
      <c r="G39" s="6"/>
      <c r="H39" s="6"/>
      <c r="I39" s="6"/>
      <c r="J39" s="9"/>
      <c r="K39" s="6"/>
      <c r="L39" s="6"/>
      <c r="M39" s="10"/>
      <c r="N39" s="10"/>
      <c r="O39" s="10"/>
      <c r="P39" s="10"/>
      <c r="Q39" s="10"/>
      <c r="R39" s="10"/>
      <c r="S39" s="10"/>
      <c r="T39" s="10"/>
      <c r="U39" s="10"/>
      <c r="W39" t="s">
        <v>36</v>
      </c>
      <c r="AD39" s="65" t="s">
        <v>182</v>
      </c>
      <c r="AE39" s="92">
        <f>AE13</f>
        <v>2.6406493436282674</v>
      </c>
      <c r="AF39" s="30"/>
      <c r="AG39" s="31"/>
      <c r="AH39" s="5"/>
      <c r="AI39" s="5"/>
      <c r="AJ39" s="151"/>
      <c r="AU39" t="s">
        <v>187</v>
      </c>
      <c r="AX39" t="s">
        <v>191</v>
      </c>
    </row>
    <row r="40" spans="2:50" ht="14.45" x14ac:dyDescent="0.3">
      <c r="C40" s="6"/>
      <c r="D40" s="6"/>
      <c r="E40" s="6"/>
      <c r="F40" s="6"/>
      <c r="G40" s="6"/>
      <c r="H40" s="6"/>
      <c r="I40" s="6"/>
      <c r="J40" s="9"/>
      <c r="K40" s="6"/>
      <c r="L40" s="6"/>
      <c r="M40" s="10"/>
      <c r="N40" s="10"/>
      <c r="O40" s="10"/>
      <c r="P40" s="10"/>
      <c r="Q40" s="10"/>
      <c r="R40" s="10"/>
      <c r="S40" s="10"/>
      <c r="T40" s="10"/>
      <c r="U40" s="10"/>
      <c r="W40" s="17" t="s">
        <v>6</v>
      </c>
      <c r="X40" s="50">
        <f>X30*X31/Y40</f>
        <v>46080</v>
      </c>
      <c r="Y40" s="154">
        <v>1.25</v>
      </c>
      <c r="Z40" s="28" t="s">
        <v>9</v>
      </c>
      <c r="AA40" s="155"/>
      <c r="AB40">
        <f>W38</f>
        <v>240</v>
      </c>
      <c r="AC40" t="s">
        <v>156</v>
      </c>
      <c r="AD40" s="65" t="s">
        <v>183</v>
      </c>
      <c r="AE40" s="162">
        <f>1/1.3556</f>
        <v>0.73768073177928595</v>
      </c>
      <c r="AF40" s="30"/>
      <c r="AG40" s="31"/>
      <c r="AH40" s="5"/>
      <c r="AI40" s="5"/>
      <c r="AJ40" s="151"/>
      <c r="AU40" t="s">
        <v>181</v>
      </c>
      <c r="AX40" t="s">
        <v>192</v>
      </c>
    </row>
    <row r="41" spans="2:50" thickBot="1" x14ac:dyDescent="0.35">
      <c r="C41" s="6"/>
      <c r="D41" s="6"/>
      <c r="E41" s="6"/>
      <c r="F41" s="6"/>
      <c r="G41" s="6"/>
      <c r="H41" s="6"/>
      <c r="I41" s="6"/>
      <c r="J41" s="9"/>
      <c r="K41" s="6"/>
      <c r="L41" s="6"/>
      <c r="M41" s="10"/>
      <c r="N41" s="10"/>
      <c r="O41" s="10"/>
      <c r="P41" s="10"/>
      <c r="Q41" s="10"/>
      <c r="R41" s="10"/>
      <c r="S41" s="10"/>
      <c r="T41" s="10"/>
      <c r="U41" s="10"/>
      <c r="W41" s="21" t="s">
        <v>154</v>
      </c>
      <c r="X41" s="156">
        <f>450/454</f>
        <v>0.99118942731277537</v>
      </c>
      <c r="Y41" s="32" t="s">
        <v>155</v>
      </c>
      <c r="Z41" s="166">
        <f>X41/0.224</f>
        <v>4.4249528005034611</v>
      </c>
      <c r="AA41" s="33" t="s">
        <v>158</v>
      </c>
      <c r="AD41" s="65" t="s">
        <v>184</v>
      </c>
      <c r="AE41" s="179">
        <f>$X$36</f>
        <v>3.7426817504796325E-8</v>
      </c>
      <c r="AF41" s="30"/>
      <c r="AG41" s="31"/>
      <c r="AH41" s="5"/>
      <c r="AI41" s="5"/>
      <c r="AJ41" s="151"/>
      <c r="AU41" t="s">
        <v>194</v>
      </c>
      <c r="AV41" t="s">
        <v>197</v>
      </c>
    </row>
    <row r="42" spans="2:50" ht="14.45" x14ac:dyDescent="0.3">
      <c r="B42" t="s">
        <v>55</v>
      </c>
      <c r="C42" s="6"/>
      <c r="D42" s="6"/>
      <c r="E42" s="6"/>
      <c r="F42" s="6"/>
      <c r="G42" s="6"/>
      <c r="H42" s="6"/>
      <c r="I42" s="6"/>
      <c r="J42" s="9"/>
      <c r="K42" s="6"/>
      <c r="L42" s="6"/>
      <c r="M42" s="10"/>
      <c r="N42" s="10"/>
      <c r="O42" s="10"/>
      <c r="P42" s="10"/>
      <c r="Q42" s="10"/>
      <c r="R42" s="10"/>
      <c r="S42" s="10"/>
      <c r="T42" s="10"/>
      <c r="U42" s="10"/>
      <c r="W42" s="45" t="s">
        <v>160</v>
      </c>
      <c r="X42" s="5">
        <v>1.2250000000000001</v>
      </c>
      <c r="Y42" t="s">
        <v>161</v>
      </c>
      <c r="Z42" t="s">
        <v>169</v>
      </c>
      <c r="AD42" s="65" t="s">
        <v>199</v>
      </c>
      <c r="AE42" s="160">
        <f>AA43/1000</f>
        <v>5.5E-2</v>
      </c>
      <c r="AF42" s="30"/>
      <c r="AG42" s="31"/>
      <c r="AH42" s="5"/>
      <c r="AI42" s="5"/>
      <c r="AJ42" s="151"/>
      <c r="AU42" t="s">
        <v>195</v>
      </c>
      <c r="AW42" s="164" t="s">
        <v>196</v>
      </c>
      <c r="AX42" t="s">
        <v>214</v>
      </c>
    </row>
    <row r="43" spans="2:50" ht="14.45" x14ac:dyDescent="0.3">
      <c r="B43" t="s">
        <v>51</v>
      </c>
      <c r="C43" s="6" t="s">
        <v>52</v>
      </c>
      <c r="D43" s="6" t="s">
        <v>53</v>
      </c>
      <c r="E43" s="6"/>
      <c r="F43" s="6"/>
      <c r="G43" s="6"/>
      <c r="H43" s="6"/>
      <c r="I43" s="6"/>
      <c r="J43" s="9"/>
      <c r="K43" s="6"/>
      <c r="L43" s="6"/>
      <c r="M43" s="10"/>
      <c r="N43" s="10"/>
      <c r="O43" s="10"/>
      <c r="P43" s="10"/>
      <c r="Q43" s="10"/>
      <c r="R43" s="10"/>
      <c r="S43" s="10"/>
      <c r="T43" s="10"/>
      <c r="U43" s="10"/>
      <c r="W43" s="45" t="s">
        <v>162</v>
      </c>
      <c r="X43" s="157">
        <f>(55^2-18^2)*PI()/4/1000^2</f>
        <v>2.1213604393365078E-3</v>
      </c>
      <c r="Y43" t="s">
        <v>163</v>
      </c>
      <c r="Z43" t="s">
        <v>168</v>
      </c>
      <c r="AA43" s="157">
        <v>55</v>
      </c>
      <c r="AB43" t="s">
        <v>93</v>
      </c>
      <c r="AD43" s="161" t="s">
        <v>211</v>
      </c>
      <c r="AE43" s="160">
        <v>7</v>
      </c>
      <c r="AF43" s="30"/>
      <c r="AG43" s="31"/>
      <c r="AH43" s="5"/>
      <c r="AI43" s="5"/>
      <c r="AJ43" s="151"/>
      <c r="AU43" t="s">
        <v>198</v>
      </c>
    </row>
    <row r="44" spans="2:50" ht="15.75" thickBot="1" x14ac:dyDescent="0.3">
      <c r="B44" s="73">
        <v>87</v>
      </c>
      <c r="C44" s="6">
        <f>B44/180*(2.4-0.53)+0.53</f>
        <v>1.4338333333333333</v>
      </c>
      <c r="D44" s="88">
        <f>(C44-1)*180</f>
        <v>78.089999999999989</v>
      </c>
      <c r="E44" s="6"/>
      <c r="F44" s="6"/>
      <c r="G44" s="6"/>
      <c r="H44" s="6"/>
      <c r="I44" s="6"/>
      <c r="J44" s="9"/>
      <c r="K44" s="6"/>
      <c r="L44" s="6"/>
      <c r="M44" s="10"/>
      <c r="N44" s="10"/>
      <c r="O44" s="10"/>
      <c r="P44" s="10"/>
      <c r="Q44" s="10"/>
      <c r="R44" s="10"/>
      <c r="S44" s="10"/>
      <c r="T44" s="10">
        <f>(60*2.5/PI()/AA43*1000/41)^2</f>
        <v>448.32161728852856</v>
      </c>
      <c r="U44" s="10"/>
      <c r="Z44" t="s">
        <v>174</v>
      </c>
      <c r="AA44" s="157">
        <v>45</v>
      </c>
      <c r="AB44" t="s">
        <v>175</v>
      </c>
      <c r="AC44" t="s">
        <v>176</v>
      </c>
      <c r="AD44" s="70" t="s">
        <v>218</v>
      </c>
      <c r="AE44" s="183">
        <f>$Y$15</f>
        <v>4.4249528005034611</v>
      </c>
      <c r="AF44" s="32"/>
      <c r="AG44" s="33"/>
      <c r="AW44" s="164" t="s">
        <v>189</v>
      </c>
      <c r="AX44" t="s">
        <v>200</v>
      </c>
    </row>
    <row r="45" spans="2:50" ht="28.9" x14ac:dyDescent="0.3">
      <c r="B45" s="73">
        <v>90</v>
      </c>
      <c r="C45" s="6">
        <f t="shared" ref="C45:C50" si="55">B45/180*(2.4-0.53)+0.53</f>
        <v>1.4649999999999999</v>
      </c>
      <c r="D45" s="88">
        <f t="shared" ref="D45:D50" si="56">(C45-1)*180</f>
        <v>83.699999999999974</v>
      </c>
      <c r="E45" s="6"/>
      <c r="F45" s="6"/>
      <c r="G45" s="6"/>
      <c r="H45" s="6"/>
      <c r="I45" s="6"/>
      <c r="J45" s="9"/>
      <c r="K45" s="6"/>
      <c r="L45" s="6"/>
      <c r="M45" s="10"/>
      <c r="N45" s="10"/>
      <c r="O45" s="10"/>
      <c r="P45" s="10"/>
      <c r="Q45" s="10"/>
      <c r="R45" s="10"/>
      <c r="S45" s="10"/>
      <c r="T45" s="10"/>
      <c r="U45" s="10"/>
      <c r="W45" s="17"/>
      <c r="X45" s="42" t="s">
        <v>19</v>
      </c>
      <c r="Y45" s="28"/>
      <c r="Z45" s="42" t="s">
        <v>20</v>
      </c>
      <c r="AA45" s="29" t="s">
        <v>109</v>
      </c>
      <c r="AU45" t="s">
        <v>217</v>
      </c>
    </row>
    <row r="46" spans="2:50" ht="14.45" x14ac:dyDescent="0.3">
      <c r="B46" s="73">
        <v>100</v>
      </c>
      <c r="C46" s="6">
        <f t="shared" si="55"/>
        <v>1.568888888888889</v>
      </c>
      <c r="D46" s="88">
        <f t="shared" si="56"/>
        <v>102.40000000000002</v>
      </c>
      <c r="E46" s="6"/>
      <c r="F46" s="6"/>
      <c r="G46" s="6"/>
      <c r="H46" s="6"/>
      <c r="I46" s="6"/>
      <c r="J46" s="9"/>
      <c r="K46" s="6"/>
      <c r="L46" s="6"/>
      <c r="M46" s="10"/>
      <c r="N46" s="10"/>
      <c r="O46" s="10"/>
      <c r="P46" s="10"/>
      <c r="Q46" s="10"/>
      <c r="R46" s="10"/>
      <c r="S46" s="10"/>
      <c r="T46" s="10"/>
      <c r="U46" s="10"/>
      <c r="W46" s="57" t="s">
        <v>14</v>
      </c>
      <c r="X46" s="58">
        <v>0</v>
      </c>
      <c r="Y46" s="45" t="s">
        <v>13</v>
      </c>
      <c r="Z46" s="59">
        <v>0</v>
      </c>
      <c r="AA46" s="89">
        <f>AA56/X40*100</f>
        <v>-18.907319518350299</v>
      </c>
      <c r="AB46" t="s">
        <v>106</v>
      </c>
      <c r="AU46" t="s">
        <v>215</v>
      </c>
    </row>
    <row r="47" spans="2:50" ht="14.45" x14ac:dyDescent="0.3">
      <c r="B47" s="73">
        <v>110</v>
      </c>
      <c r="C47" s="6">
        <f t="shared" si="55"/>
        <v>1.6727777777777779</v>
      </c>
      <c r="D47" s="88">
        <f t="shared" si="56"/>
        <v>121.10000000000002</v>
      </c>
      <c r="E47" s="6"/>
      <c r="F47" s="6"/>
      <c r="G47" s="6"/>
      <c r="H47" s="6"/>
      <c r="I47" s="6"/>
      <c r="J47" s="2"/>
      <c r="M47" s="3"/>
      <c r="N47" s="3"/>
      <c r="O47" s="3"/>
      <c r="P47" s="3"/>
      <c r="Q47" s="3"/>
      <c r="R47" s="3"/>
      <c r="S47" s="3"/>
      <c r="T47" s="3"/>
      <c r="U47" s="3"/>
      <c r="W47" s="57" t="s">
        <v>15</v>
      </c>
      <c r="X47" s="58">
        <v>5</v>
      </c>
      <c r="Y47" s="45" t="s">
        <v>18</v>
      </c>
      <c r="Z47" s="59">
        <v>180</v>
      </c>
      <c r="AA47" s="60">
        <v>77</v>
      </c>
      <c r="AU47" t="s">
        <v>216</v>
      </c>
    </row>
    <row r="48" spans="2:50" ht="14.45" x14ac:dyDescent="0.3">
      <c r="B48" s="73">
        <v>114</v>
      </c>
      <c r="C48" s="6">
        <f t="shared" si="55"/>
        <v>1.7143333333333333</v>
      </c>
      <c r="D48" s="88">
        <f t="shared" si="56"/>
        <v>128.57999999999998</v>
      </c>
      <c r="W48" s="19"/>
      <c r="X48" s="30" t="s">
        <v>40</v>
      </c>
      <c r="Y48" s="30"/>
      <c r="Z48" s="61"/>
      <c r="AA48" s="89">
        <f>(AA47-AA46)/(X47-X46)</f>
        <v>19.18146390367006</v>
      </c>
      <c r="AI48" s="104"/>
      <c r="AQ48" s="3"/>
    </row>
    <row r="49" spans="2:44" ht="14.45" x14ac:dyDescent="0.3">
      <c r="B49" s="73">
        <v>127.5</v>
      </c>
      <c r="C49" s="6">
        <f t="shared" si="55"/>
        <v>1.8545833333333333</v>
      </c>
      <c r="D49" s="88">
        <f t="shared" si="56"/>
        <v>153.82499999999999</v>
      </c>
      <c r="W49" s="19"/>
      <c r="X49" s="30"/>
      <c r="Y49" s="30"/>
      <c r="Z49" s="61"/>
      <c r="AA49" s="89">
        <f>AA47-AA48*(X47-X46)</f>
        <v>-18.907319518350306</v>
      </c>
      <c r="AR49" s="3"/>
    </row>
    <row r="50" spans="2:44" thickBot="1" x14ac:dyDescent="0.35">
      <c r="B50" s="80">
        <v>136.4</v>
      </c>
      <c r="C50" s="6">
        <f t="shared" si="55"/>
        <v>1.9470444444444444</v>
      </c>
      <c r="D50" s="88">
        <f t="shared" si="56"/>
        <v>170.46799999999999</v>
      </c>
      <c r="W50" s="21"/>
      <c r="X50" s="32"/>
      <c r="Y50" s="32"/>
      <c r="Z50" s="47"/>
      <c r="AA50" s="48" t="s">
        <v>124</v>
      </c>
    </row>
    <row r="52" spans="2:44" thickBot="1" x14ac:dyDescent="0.35">
      <c r="W52" t="s">
        <v>38</v>
      </c>
    </row>
    <row r="53" spans="2:44" x14ac:dyDescent="0.25">
      <c r="W53" s="49" t="s">
        <v>121</v>
      </c>
      <c r="X53" s="50">
        <f>INDEX(LINEST($P$8:$P$15,$D$8:$D$15^{1,2},FALSE,FALSE),1)</f>
        <v>-351.26655108462336</v>
      </c>
      <c r="Y53" s="28"/>
      <c r="Z53" s="51" t="s">
        <v>123</v>
      </c>
      <c r="AA53" s="52">
        <f>INDEX(LINEST($O$8:$O$15,$P$8:$P$15),1)</f>
        <v>1.0165476207184487</v>
      </c>
    </row>
    <row r="54" spans="2:44" x14ac:dyDescent="0.25">
      <c r="W54" s="43"/>
      <c r="X54" s="54">
        <f>INDEX(LINEST($P$8:$P$15,$D$8:$D$15^{1,2},FALSE,FALSE),2)</f>
        <v>14542.877489600363</v>
      </c>
      <c r="Y54" s="30"/>
      <c r="Z54" s="44"/>
      <c r="AA54" s="46">
        <f>INDEX(LINEST($O$8:$O$15,$P$8:$P$15),2)</f>
        <v>8893.4325759458807</v>
      </c>
    </row>
    <row r="55" spans="2:44" x14ac:dyDescent="0.25">
      <c r="W55" s="43"/>
      <c r="X55" s="54">
        <f>INDEX(LINEST($P$8:$P$15,$D$8:$D$15^{1,2},FALSE,FALSE),3)</f>
        <v>0</v>
      </c>
      <c r="Y55" s="30"/>
      <c r="Z55" s="44" t="s">
        <v>122</v>
      </c>
      <c r="AA55" s="46">
        <f>INDEX(LINEST($P$8:$P$15,$O$8:$O$15),1)</f>
        <v>0.98261459063146772</v>
      </c>
    </row>
    <row r="56" spans="2:44" x14ac:dyDescent="0.25">
      <c r="W56" s="43" t="s">
        <v>21</v>
      </c>
      <c r="X56" s="54">
        <f>INDEX(LINEST($O$8:$O$15,$L$8:$L$15),1)</f>
        <v>14190.01046667831</v>
      </c>
      <c r="Y56" s="30"/>
      <c r="Z56" s="44"/>
      <c r="AA56" s="46">
        <f>INDEX(LINEST($P$8:$P$15,$O$8:$O$15),2)</f>
        <v>-8712.4928340558181</v>
      </c>
      <c r="AB56" t="s">
        <v>60</v>
      </c>
    </row>
    <row r="57" spans="2:44" x14ac:dyDescent="0.25">
      <c r="W57" s="43"/>
      <c r="X57" s="54">
        <f>INDEX(LINEST($O$8:$O$15,$L$8:$L$15),2)</f>
        <v>-28327.005397586898</v>
      </c>
      <c r="Y57" s="30"/>
      <c r="Z57" s="30"/>
      <c r="AA57" s="31"/>
    </row>
    <row r="58" spans="2:44" x14ac:dyDescent="0.25">
      <c r="W58" s="19"/>
      <c r="X58" s="30"/>
      <c r="Y58" s="30"/>
      <c r="Z58" s="30"/>
      <c r="AA58" s="31"/>
    </row>
    <row r="59" spans="2:44" x14ac:dyDescent="0.25">
      <c r="G59" s="176" t="s">
        <v>212</v>
      </c>
      <c r="W59" s="181" t="s">
        <v>62</v>
      </c>
      <c r="X59" s="44">
        <f>EXP((0-$AE$30)/$AF$30)</f>
        <v>7.361501228839896</v>
      </c>
      <c r="Y59" s="30"/>
      <c r="Z59" s="30"/>
      <c r="AA59" s="31"/>
      <c r="AB59" t="s">
        <v>65</v>
      </c>
    </row>
    <row r="60" spans="2:44" x14ac:dyDescent="0.25">
      <c r="W60" s="19"/>
      <c r="X60" s="30"/>
      <c r="Y60" s="30"/>
      <c r="Z60" s="30"/>
      <c r="AA60" s="31"/>
    </row>
    <row r="61" spans="2:44" x14ac:dyDescent="0.25">
      <c r="W61" s="43" t="s">
        <v>92</v>
      </c>
      <c r="X61" s="180">
        <f>INDEX(LINEST($X$4:$X$15,$O$4:$O$15^{1,2}),1)</f>
        <v>1.782679103068748E-11</v>
      </c>
      <c r="Y61" s="30"/>
      <c r="Z61" s="44" t="s">
        <v>130</v>
      </c>
      <c r="AA61" s="122">
        <f>INDEX(LINEST($X$67:$X$84,$O$67:$O$84^{1,2}),1)</f>
        <v>1.4325144135226059E-11</v>
      </c>
      <c r="AF61" s="45"/>
      <c r="AG61" s="149"/>
    </row>
    <row r="62" spans="2:44" x14ac:dyDescent="0.25">
      <c r="W62" s="43"/>
      <c r="X62" s="180">
        <f>INDEX(LINEST($X$4:$X$15,$O$4:$O$15^{1,2}),2)</f>
        <v>-1.9381907115184841E-7</v>
      </c>
      <c r="Y62" s="30"/>
      <c r="Z62" s="44"/>
      <c r="AA62" s="122">
        <f>INDEX(LINEST($X$67:$X$84,$O$67:$O$84^{1,2}),2)</f>
        <v>-3.0709262345742761E-7</v>
      </c>
      <c r="AF62" s="45"/>
      <c r="AG62" s="149"/>
    </row>
    <row r="63" spans="2:44" ht="15.75" thickBot="1" x14ac:dyDescent="0.3">
      <c r="W63" s="55"/>
      <c r="X63" s="182">
        <f>INDEX(LINEST($X$4:$X$15,$O$4:$O$15^{1,2}),3)</f>
        <v>6.9658921582847581E-4</v>
      </c>
      <c r="Y63" s="32"/>
      <c r="Z63" s="108"/>
      <c r="AA63" s="123">
        <f>INDEX(LINEST($X$67:$X$84,$O$67:$O$84^{1,2}),3)</f>
        <v>2.0111653701195102E-3</v>
      </c>
      <c r="AF63" s="45"/>
      <c r="AG63" s="149"/>
    </row>
    <row r="66" spans="2:25" x14ac:dyDescent="0.25">
      <c r="B66" t="s">
        <v>116</v>
      </c>
      <c r="V66" t="s">
        <v>89</v>
      </c>
      <c r="W66" t="s">
        <v>150</v>
      </c>
      <c r="X66" t="s">
        <v>151</v>
      </c>
    </row>
    <row r="67" spans="2:25" x14ac:dyDescent="0.25">
      <c r="B67" s="113">
        <f t="shared" ref="B67:B72" si="57">C67/180+1</f>
        <v>1.0611111111111111</v>
      </c>
      <c r="C67" s="142">
        <v>11</v>
      </c>
      <c r="D67" s="142"/>
      <c r="E67" s="142">
        <v>13.68</v>
      </c>
      <c r="F67" s="142">
        <v>0.6</v>
      </c>
      <c r="G67" s="142">
        <v>6860</v>
      </c>
      <c r="H67" s="143"/>
      <c r="I67" s="142"/>
      <c r="J67" s="2">
        <f>E67*F67</f>
        <v>8.2080000000000002</v>
      </c>
      <c r="K67" s="1">
        <f>C67</f>
        <v>11</v>
      </c>
      <c r="L67" s="1">
        <f>LN(K67)</f>
        <v>2.3978952727983707</v>
      </c>
      <c r="M67" s="3">
        <f>1/G67/0.000001</f>
        <v>145.77259475218659</v>
      </c>
      <c r="N67" s="3"/>
      <c r="O67" s="3">
        <f t="shared" ref="O67:O82" si="58">M67*60/$X$29</f>
        <v>8746.3556851311951</v>
      </c>
      <c r="P67" s="3">
        <f t="shared" ref="P67:P82" si="59">N67*60/$X$29</f>
        <v>0</v>
      </c>
      <c r="Q67" s="3">
        <f t="shared" ref="Q67:Q82" si="60">O67/$X$40*100</f>
        <v>18.980806608357629</v>
      </c>
      <c r="R67" s="3">
        <f t="shared" ref="R67:R82" si="61">P67/$X$40*100</f>
        <v>0</v>
      </c>
      <c r="S67" s="3">
        <f>K67</f>
        <v>11</v>
      </c>
      <c r="T67" s="4">
        <f>J67</f>
        <v>8.2080000000000002</v>
      </c>
      <c r="U67" s="4"/>
      <c r="V67">
        <f>(T67-$T$3)*0.001341022</f>
        <v>5.0395070351200002E-3</v>
      </c>
      <c r="W67" s="137">
        <f>$V67/$O67*5252</f>
        <v>3.0261164651061443E-3</v>
      </c>
      <c r="X67" s="150">
        <f>W67-$W$67</f>
        <v>0</v>
      </c>
      <c r="Y67">
        <f t="shared" ref="Y67:Y84" si="62">-X67/2/O67</f>
        <v>0</v>
      </c>
    </row>
    <row r="68" spans="2:25" x14ac:dyDescent="0.25">
      <c r="B68" s="113">
        <f t="shared" si="57"/>
        <v>1.0833333333333333</v>
      </c>
      <c r="C68" s="142">
        <v>15</v>
      </c>
      <c r="D68" s="142"/>
      <c r="E68" s="142">
        <v>13.66</v>
      </c>
      <c r="F68" s="142">
        <v>0.65100000000000002</v>
      </c>
      <c r="G68" s="142">
        <v>6180</v>
      </c>
      <c r="H68" s="143"/>
      <c r="I68" s="142"/>
      <c r="J68" s="2">
        <f>E68*F68</f>
        <v>8.8926600000000011</v>
      </c>
      <c r="K68" s="1">
        <f>C68</f>
        <v>15</v>
      </c>
      <c r="L68" s="1">
        <f>LN(K68)</f>
        <v>2.7080502011022101</v>
      </c>
      <c r="M68" s="3">
        <f>1/G68/0.000001</f>
        <v>161.81229773462783</v>
      </c>
      <c r="N68" s="3"/>
      <c r="O68" s="3">
        <f t="shared" si="58"/>
        <v>9708.7378640776697</v>
      </c>
      <c r="P68" s="3">
        <f t="shared" si="59"/>
        <v>0</v>
      </c>
      <c r="Q68" s="3">
        <f t="shared" si="60"/>
        <v>21.069309600862997</v>
      </c>
      <c r="R68" s="3">
        <f t="shared" si="61"/>
        <v>0</v>
      </c>
      <c r="S68" s="3">
        <f>K68</f>
        <v>15</v>
      </c>
      <c r="T68" s="4">
        <f>J68</f>
        <v>8.8926600000000011</v>
      </c>
      <c r="U68" s="4"/>
      <c r="V68">
        <f t="shared" ref="V68:V84" si="63">(T68-$T$3)*0.001341022</f>
        <v>5.9576511576400013E-3</v>
      </c>
      <c r="W68" s="127">
        <f>$V68/$O68*5252</f>
        <v>3.2228271396323046E-3</v>
      </c>
      <c r="X68" s="150">
        <f t="shared" ref="X68:X84" si="64">W68-$W$67</f>
        <v>1.967106745261603E-4</v>
      </c>
      <c r="Y68">
        <f t="shared" si="62"/>
        <v>-1.0130599738097255E-8</v>
      </c>
    </row>
    <row r="69" spans="2:25" x14ac:dyDescent="0.25">
      <c r="B69" s="113">
        <f t="shared" si="57"/>
        <v>1.0666666666666667</v>
      </c>
      <c r="C69" s="142">
        <v>12</v>
      </c>
      <c r="D69" s="142"/>
      <c r="E69" s="142">
        <v>13.63</v>
      </c>
      <c r="F69" s="142">
        <v>0.68</v>
      </c>
      <c r="G69" s="142">
        <v>5840</v>
      </c>
      <c r="H69" s="143"/>
      <c r="I69" s="142"/>
      <c r="J69" s="2">
        <f>E69*F69</f>
        <v>9.2684000000000015</v>
      </c>
      <c r="K69" s="1">
        <f>C69</f>
        <v>12</v>
      </c>
      <c r="L69" s="1">
        <f>LN(K69)</f>
        <v>2.4849066497880004</v>
      </c>
      <c r="M69" s="3">
        <f>1/G69/0.000001</f>
        <v>171.23287671232879</v>
      </c>
      <c r="N69" s="3"/>
      <c r="O69" s="3">
        <f t="shared" si="58"/>
        <v>10273.972602739726</v>
      </c>
      <c r="P69" s="3">
        <f t="shared" si="59"/>
        <v>0</v>
      </c>
      <c r="Q69" s="3">
        <f t="shared" si="60"/>
        <v>22.295947488584474</v>
      </c>
      <c r="R69" s="3">
        <f t="shared" si="61"/>
        <v>0</v>
      </c>
      <c r="S69" s="3">
        <f>K69</f>
        <v>12</v>
      </c>
      <c r="T69" s="4">
        <f>J69</f>
        <v>9.2684000000000015</v>
      </c>
      <c r="U69" s="4"/>
      <c r="V69">
        <f t="shared" si="63"/>
        <v>6.4615267639200015E-3</v>
      </c>
      <c r="W69" s="127">
        <f t="shared" ref="W69:W84" si="65">$V69/$O69*5252</f>
        <v>3.3030980202398302E-3</v>
      </c>
      <c r="X69" s="150">
        <f t="shared" si="64"/>
        <v>2.7698155513368591E-4</v>
      </c>
      <c r="Y69">
        <f t="shared" si="62"/>
        <v>-1.3479769016506046E-8</v>
      </c>
    </row>
    <row r="70" spans="2:25" x14ac:dyDescent="0.25">
      <c r="B70" s="113">
        <f t="shared" si="57"/>
        <v>1.0722222222222222</v>
      </c>
      <c r="C70" s="142">
        <v>13</v>
      </c>
      <c r="D70" s="142"/>
      <c r="E70" s="142">
        <v>13.6</v>
      </c>
      <c r="F70" s="142">
        <v>0.74</v>
      </c>
      <c r="G70" s="142">
        <v>5280</v>
      </c>
      <c r="H70" s="143"/>
      <c r="I70" s="142"/>
      <c r="J70" s="2">
        <f>E70*F70</f>
        <v>10.064</v>
      </c>
      <c r="K70" s="1">
        <f>C70</f>
        <v>13</v>
      </c>
      <c r="L70" s="1">
        <f>LN(K70)</f>
        <v>2.5649493574615367</v>
      </c>
      <c r="M70" s="3">
        <f>1/G70/0.000001</f>
        <v>189.39393939393941</v>
      </c>
      <c r="N70" s="3"/>
      <c r="O70" s="3">
        <f t="shared" si="58"/>
        <v>11363.636363636364</v>
      </c>
      <c r="P70" s="3">
        <f t="shared" si="59"/>
        <v>0</v>
      </c>
      <c r="Q70" s="3">
        <f t="shared" si="60"/>
        <v>24.660669191919194</v>
      </c>
      <c r="R70" s="3">
        <f t="shared" si="61"/>
        <v>0</v>
      </c>
      <c r="S70" s="3">
        <f>K70</f>
        <v>13</v>
      </c>
      <c r="T70" s="4">
        <f>J70</f>
        <v>10.064</v>
      </c>
      <c r="U70" s="4"/>
      <c r="V70">
        <f t="shared" si="63"/>
        <v>7.52844386712E-3</v>
      </c>
      <c r="W70" s="127">
        <f t="shared" si="65"/>
        <v>3.479466072730053E-3</v>
      </c>
      <c r="X70" s="150">
        <f t="shared" si="64"/>
        <v>4.5334960762390868E-4</v>
      </c>
      <c r="Y70">
        <f t="shared" si="62"/>
        <v>-1.9947382735451983E-8</v>
      </c>
    </row>
    <row r="71" spans="2:25" x14ac:dyDescent="0.25">
      <c r="B71" s="113">
        <f t="shared" si="57"/>
        <v>1.0777777777777777</v>
      </c>
      <c r="C71" s="142">
        <v>14</v>
      </c>
      <c r="D71" s="142"/>
      <c r="E71" s="142">
        <v>13.57</v>
      </c>
      <c r="F71" s="142">
        <v>0.78700000000000003</v>
      </c>
      <c r="G71" s="142">
        <v>4900</v>
      </c>
      <c r="H71" s="143"/>
      <c r="I71" s="142"/>
      <c r="J71" s="2">
        <f>E71*F71</f>
        <v>10.679590000000001</v>
      </c>
      <c r="K71" s="1">
        <f>C71</f>
        <v>14</v>
      </c>
      <c r="L71" s="1">
        <f>LN(K71)</f>
        <v>2.6390573296152584</v>
      </c>
      <c r="M71" s="3">
        <f>1/G71/0.000001</f>
        <v>204.08163265306123</v>
      </c>
      <c r="N71" s="3"/>
      <c r="O71" s="3">
        <f t="shared" si="58"/>
        <v>12244.897959183674</v>
      </c>
      <c r="P71" s="3">
        <f t="shared" si="59"/>
        <v>0</v>
      </c>
      <c r="Q71" s="3">
        <f t="shared" si="60"/>
        <v>26.573129251700685</v>
      </c>
      <c r="R71" s="3">
        <f t="shared" si="61"/>
        <v>0</v>
      </c>
      <c r="S71" s="3">
        <f>K71</f>
        <v>14</v>
      </c>
      <c r="T71" s="4">
        <f>J71</f>
        <v>10.679590000000001</v>
      </c>
      <c r="U71" s="4"/>
      <c r="V71">
        <f t="shared" si="63"/>
        <v>8.3539636001000016E-3</v>
      </c>
      <c r="W71" s="127">
        <f t="shared" si="65"/>
        <v>3.5831263742642254E-3</v>
      </c>
      <c r="X71" s="150">
        <f t="shared" si="64"/>
        <v>5.5700990915808109E-4</v>
      </c>
      <c r="Y71">
        <f t="shared" si="62"/>
        <v>-2.2744571290621641E-8</v>
      </c>
    </row>
    <row r="72" spans="2:25" x14ac:dyDescent="0.25">
      <c r="B72" s="113">
        <f t="shared" si="57"/>
        <v>1.1111111111111112</v>
      </c>
      <c r="C72" s="142">
        <v>20</v>
      </c>
      <c r="D72" s="142"/>
      <c r="E72" s="142">
        <v>13.77</v>
      </c>
      <c r="F72" s="142">
        <v>0.92900000000000005</v>
      </c>
      <c r="G72" s="142">
        <v>3500</v>
      </c>
      <c r="H72" s="143"/>
      <c r="I72" s="142"/>
      <c r="J72" s="2">
        <f t="shared" ref="J72:J84" si="66">E72*F72</f>
        <v>12.79233</v>
      </c>
      <c r="K72" s="1">
        <f t="shared" ref="K72:K84" si="67">C72</f>
        <v>20</v>
      </c>
      <c r="L72" s="1">
        <f t="shared" ref="L72:L84" si="68">LN(K72)</f>
        <v>2.9957322735539909</v>
      </c>
      <c r="M72" s="3">
        <f t="shared" ref="M72:M84" si="69">1/G72/0.000001</f>
        <v>285.71428571428572</v>
      </c>
      <c r="N72" s="3"/>
      <c r="O72" s="3">
        <f t="shared" si="58"/>
        <v>17142.857142857145</v>
      </c>
      <c r="P72" s="3">
        <f t="shared" si="59"/>
        <v>0</v>
      </c>
      <c r="Q72" s="3">
        <f t="shared" si="60"/>
        <v>37.202380952380956</v>
      </c>
      <c r="R72" s="3">
        <f t="shared" si="61"/>
        <v>0</v>
      </c>
      <c r="S72" s="3">
        <f t="shared" ref="S72:S84" si="70">K72</f>
        <v>20</v>
      </c>
      <c r="T72" s="4">
        <f t="shared" ref="T72:T84" si="71">J72</f>
        <v>12.79233</v>
      </c>
      <c r="U72" s="4"/>
      <c r="V72">
        <f t="shared" si="63"/>
        <v>1.1187194420379999E-2</v>
      </c>
      <c r="W72" s="127">
        <f t="shared" si="65"/>
        <v>3.4273834639237518E-3</v>
      </c>
      <c r="X72" s="150">
        <f t="shared" si="64"/>
        <v>4.0126699881760756E-4</v>
      </c>
      <c r="Y72">
        <f t="shared" si="62"/>
        <v>-1.1703620798846885E-8</v>
      </c>
    </row>
    <row r="73" spans="2:25" x14ac:dyDescent="0.25">
      <c r="B73" s="113">
        <f t="shared" ref="B73:B84" si="72">C73/180+1</f>
        <v>1.1388888888888888</v>
      </c>
      <c r="C73" s="142">
        <v>25</v>
      </c>
      <c r="D73" s="142"/>
      <c r="E73" s="142">
        <v>13.74</v>
      </c>
      <c r="F73" s="142">
        <v>1.26</v>
      </c>
      <c r="G73" s="142">
        <v>3010</v>
      </c>
      <c r="H73" s="142"/>
      <c r="I73" s="142"/>
      <c r="J73" s="2">
        <f t="shared" si="66"/>
        <v>17.3124</v>
      </c>
      <c r="K73" s="1">
        <f t="shared" si="67"/>
        <v>25</v>
      </c>
      <c r="L73" s="1">
        <f t="shared" si="68"/>
        <v>3.2188758248682006</v>
      </c>
      <c r="M73" s="3">
        <f t="shared" si="69"/>
        <v>332.22591362126246</v>
      </c>
      <c r="N73" s="3"/>
      <c r="O73" s="3">
        <f t="shared" si="58"/>
        <v>19933.554817275748</v>
      </c>
      <c r="P73" s="3">
        <f t="shared" si="59"/>
        <v>0</v>
      </c>
      <c r="Q73" s="3">
        <f t="shared" si="60"/>
        <v>43.258582502768547</v>
      </c>
      <c r="R73" s="3">
        <f t="shared" si="61"/>
        <v>0</v>
      </c>
      <c r="S73" s="3">
        <f t="shared" si="70"/>
        <v>25</v>
      </c>
      <c r="T73" s="4">
        <f t="shared" si="71"/>
        <v>17.3124</v>
      </c>
      <c r="U73" s="4"/>
      <c r="V73">
        <f t="shared" si="63"/>
        <v>1.7248707731919999E-2</v>
      </c>
      <c r="W73" s="127">
        <f t="shared" si="65"/>
        <v>4.5446090192368654E-3</v>
      </c>
      <c r="X73" s="150">
        <f t="shared" si="64"/>
        <v>1.5184925541307211E-3</v>
      </c>
      <c r="Y73">
        <f t="shared" si="62"/>
        <v>-3.8088854899445583E-8</v>
      </c>
    </row>
    <row r="74" spans="2:25" x14ac:dyDescent="0.25">
      <c r="B74" s="113">
        <f t="shared" si="72"/>
        <v>1.1666666666666667</v>
      </c>
      <c r="C74" s="142">
        <v>30</v>
      </c>
      <c r="D74" s="142"/>
      <c r="E74" s="142">
        <v>13.72</v>
      </c>
      <c r="F74" s="142">
        <v>1.734</v>
      </c>
      <c r="G74" s="142">
        <v>2650</v>
      </c>
      <c r="H74" s="142"/>
      <c r="I74" s="142"/>
      <c r="J74" s="2">
        <f t="shared" si="66"/>
        <v>23.790480000000002</v>
      </c>
      <c r="K74" s="1">
        <f t="shared" si="67"/>
        <v>30</v>
      </c>
      <c r="L74" s="1">
        <f t="shared" si="68"/>
        <v>3.4011973816621555</v>
      </c>
      <c r="M74" s="3">
        <f t="shared" si="69"/>
        <v>377.35849056603774</v>
      </c>
      <c r="N74" s="3"/>
      <c r="O74" s="3">
        <f t="shared" si="58"/>
        <v>22641.509433962266</v>
      </c>
      <c r="P74" s="3">
        <f t="shared" si="59"/>
        <v>0</v>
      </c>
      <c r="Q74" s="3">
        <f t="shared" si="60"/>
        <v>49.135220125786169</v>
      </c>
      <c r="R74" s="3">
        <f t="shared" si="61"/>
        <v>0</v>
      </c>
      <c r="S74" s="3">
        <f t="shared" si="70"/>
        <v>30</v>
      </c>
      <c r="T74" s="4">
        <f t="shared" si="71"/>
        <v>23.790480000000002</v>
      </c>
      <c r="U74" s="4"/>
      <c r="V74">
        <f t="shared" si="63"/>
        <v>2.5935955529680001E-2</v>
      </c>
      <c r="W74" s="127">
        <f t="shared" si="65"/>
        <v>6.0161906978496715E-3</v>
      </c>
      <c r="X74" s="150">
        <f t="shared" si="64"/>
        <v>2.9900742327435273E-3</v>
      </c>
      <c r="Y74">
        <f t="shared" si="62"/>
        <v>-6.6030805973086218E-8</v>
      </c>
    </row>
    <row r="75" spans="2:25" x14ac:dyDescent="0.25">
      <c r="B75" s="113">
        <f t="shared" si="72"/>
        <v>1.1944444444444444</v>
      </c>
      <c r="C75" s="142">
        <v>35</v>
      </c>
      <c r="D75" s="142"/>
      <c r="E75" s="142">
        <v>13.69</v>
      </c>
      <c r="F75" s="142">
        <v>2.113</v>
      </c>
      <c r="G75" s="142">
        <v>2500</v>
      </c>
      <c r="H75" s="142"/>
      <c r="I75" s="142"/>
      <c r="J75" s="2">
        <f t="shared" si="66"/>
        <v>28.926969999999997</v>
      </c>
      <c r="K75" s="1">
        <f t="shared" si="67"/>
        <v>35</v>
      </c>
      <c r="L75" s="1">
        <f t="shared" si="68"/>
        <v>3.5553480614894135</v>
      </c>
      <c r="M75" s="3">
        <f t="shared" si="69"/>
        <v>400.00000000000006</v>
      </c>
      <c r="N75" s="3"/>
      <c r="O75" s="3">
        <f t="shared" si="58"/>
        <v>24000.000000000004</v>
      </c>
      <c r="P75" s="3">
        <f t="shared" si="59"/>
        <v>0</v>
      </c>
      <c r="Q75" s="3">
        <f t="shared" si="60"/>
        <v>52.083333333333336</v>
      </c>
      <c r="R75" s="3">
        <f t="shared" si="61"/>
        <v>0</v>
      </c>
      <c r="S75" s="3">
        <f t="shared" si="70"/>
        <v>35</v>
      </c>
      <c r="T75" s="4">
        <f t="shared" si="71"/>
        <v>28.926969999999997</v>
      </c>
      <c r="U75" s="4"/>
      <c r="V75">
        <f t="shared" si="63"/>
        <v>3.2824101622459995E-2</v>
      </c>
      <c r="W75" s="127">
        <f t="shared" si="65"/>
        <v>7.1830075717149939E-3</v>
      </c>
      <c r="X75" s="150">
        <f t="shared" si="64"/>
        <v>4.1568911066088496E-3</v>
      </c>
      <c r="Y75">
        <f t="shared" si="62"/>
        <v>-8.6601898054351018E-8</v>
      </c>
    </row>
    <row r="76" spans="2:25" x14ac:dyDescent="0.25">
      <c r="B76" s="113">
        <f t="shared" si="72"/>
        <v>1.2222222222222223</v>
      </c>
      <c r="C76" s="142">
        <v>40</v>
      </c>
      <c r="D76" s="142"/>
      <c r="E76" s="142">
        <v>13.66</v>
      </c>
      <c r="F76" s="142">
        <v>2.37</v>
      </c>
      <c r="G76" s="142">
        <v>2270</v>
      </c>
      <c r="H76" s="142"/>
      <c r="I76" s="142"/>
      <c r="J76" s="2">
        <f t="shared" si="66"/>
        <v>32.374200000000002</v>
      </c>
      <c r="K76" s="1">
        <f t="shared" si="67"/>
        <v>40</v>
      </c>
      <c r="L76" s="1">
        <f t="shared" si="68"/>
        <v>3.6888794541139363</v>
      </c>
      <c r="M76" s="3">
        <f t="shared" si="69"/>
        <v>440.52863436123351</v>
      </c>
      <c r="N76" s="3"/>
      <c r="O76" s="3">
        <f t="shared" si="58"/>
        <v>26431.718061674012</v>
      </c>
      <c r="P76" s="3">
        <f t="shared" si="59"/>
        <v>0</v>
      </c>
      <c r="Q76" s="3">
        <f t="shared" si="60"/>
        <v>57.360499265785613</v>
      </c>
      <c r="R76" s="3">
        <f t="shared" si="61"/>
        <v>0</v>
      </c>
      <c r="S76" s="3">
        <f t="shared" si="70"/>
        <v>40</v>
      </c>
      <c r="T76" s="4">
        <f t="shared" si="71"/>
        <v>32.374200000000002</v>
      </c>
      <c r="U76" s="4"/>
      <c r="V76">
        <f t="shared" si="63"/>
        <v>3.7446912891520003E-2</v>
      </c>
      <c r="W76" s="127">
        <f t="shared" si="65"/>
        <v>7.4407265561536179E-3</v>
      </c>
      <c r="X76" s="150">
        <f t="shared" si="64"/>
        <v>4.4146100910474736E-3</v>
      </c>
      <c r="Y76">
        <f t="shared" si="62"/>
        <v>-8.3509707555648035E-8</v>
      </c>
    </row>
    <row r="77" spans="2:25" x14ac:dyDescent="0.25">
      <c r="B77" s="113">
        <f t="shared" si="72"/>
        <v>1.2777777777777777</v>
      </c>
      <c r="C77" s="142">
        <v>50</v>
      </c>
      <c r="D77" s="142"/>
      <c r="E77" s="142">
        <v>13.6</v>
      </c>
      <c r="F77" s="142">
        <v>3.1</v>
      </c>
      <c r="G77" s="142">
        <v>2020</v>
      </c>
      <c r="H77" s="142"/>
      <c r="I77" s="142"/>
      <c r="J77" s="2">
        <f t="shared" si="66"/>
        <v>42.16</v>
      </c>
      <c r="K77" s="1">
        <f t="shared" si="67"/>
        <v>50</v>
      </c>
      <c r="L77" s="1">
        <f t="shared" si="68"/>
        <v>3.912023005428146</v>
      </c>
      <c r="M77" s="3">
        <f t="shared" si="69"/>
        <v>495.04950495049508</v>
      </c>
      <c r="N77" s="3"/>
      <c r="O77" s="3">
        <f t="shared" si="58"/>
        <v>29702.970297029704</v>
      </c>
      <c r="P77" s="3">
        <f t="shared" si="59"/>
        <v>0</v>
      </c>
      <c r="Q77" s="3">
        <f t="shared" si="60"/>
        <v>64.459570957095707</v>
      </c>
      <c r="R77" s="3">
        <f t="shared" si="61"/>
        <v>0</v>
      </c>
      <c r="S77" s="3">
        <f t="shared" si="70"/>
        <v>50</v>
      </c>
      <c r="T77" s="4">
        <f t="shared" si="71"/>
        <v>42.16</v>
      </c>
      <c r="U77" s="4"/>
      <c r="V77">
        <f t="shared" si="63"/>
        <v>5.0569885979119995E-2</v>
      </c>
      <c r="W77" s="127">
        <f t="shared" si="65"/>
        <v>8.9416323857987191E-3</v>
      </c>
      <c r="X77" s="150">
        <f t="shared" si="64"/>
        <v>5.9155159206925748E-3</v>
      </c>
      <c r="Y77">
        <f t="shared" si="62"/>
        <v>-9.957785133165834E-8</v>
      </c>
    </row>
    <row r="78" spans="2:25" x14ac:dyDescent="0.25">
      <c r="B78" s="113">
        <f t="shared" si="72"/>
        <v>1.3333333333333333</v>
      </c>
      <c r="C78" s="142">
        <v>60</v>
      </c>
      <c r="D78" s="142"/>
      <c r="E78" s="142">
        <v>13.52</v>
      </c>
      <c r="F78" s="142">
        <v>3.9</v>
      </c>
      <c r="G78" s="142">
        <v>1870</v>
      </c>
      <c r="H78" s="142"/>
      <c r="I78" s="142"/>
      <c r="J78" s="2">
        <f t="shared" si="66"/>
        <v>52.727999999999994</v>
      </c>
      <c r="K78" s="1">
        <f t="shared" si="67"/>
        <v>60</v>
      </c>
      <c r="L78" s="1">
        <f t="shared" si="68"/>
        <v>4.0943445622221004</v>
      </c>
      <c r="M78" s="3">
        <f t="shared" si="69"/>
        <v>534.75935828877004</v>
      </c>
      <c r="N78" s="3"/>
      <c r="O78" s="3">
        <f t="shared" si="58"/>
        <v>32085.561497326202</v>
      </c>
      <c r="P78" s="3">
        <f t="shared" si="59"/>
        <v>0</v>
      </c>
      <c r="Q78" s="3">
        <f t="shared" si="60"/>
        <v>69.630124777183596</v>
      </c>
      <c r="R78" s="3">
        <f t="shared" si="61"/>
        <v>0</v>
      </c>
      <c r="S78" s="3">
        <f t="shared" si="70"/>
        <v>60</v>
      </c>
      <c r="T78" s="4">
        <f t="shared" si="71"/>
        <v>52.727999999999994</v>
      </c>
      <c r="U78" s="4"/>
      <c r="V78">
        <f t="shared" si="63"/>
        <v>6.4741806475119998E-2</v>
      </c>
      <c r="W78" s="127">
        <f t="shared" si="65"/>
        <v>1.0597413657095125E-2</v>
      </c>
      <c r="X78" s="150">
        <f t="shared" si="64"/>
        <v>7.5712971919889805E-3</v>
      </c>
      <c r="Y78">
        <f t="shared" si="62"/>
        <v>-1.1798604790849495E-7</v>
      </c>
    </row>
    <row r="79" spans="2:25" x14ac:dyDescent="0.25">
      <c r="B79" s="113">
        <f t="shared" si="72"/>
        <v>1.4166666666666667</v>
      </c>
      <c r="C79" s="142">
        <v>75</v>
      </c>
      <c r="D79" s="142"/>
      <c r="E79" s="142">
        <v>13.2</v>
      </c>
      <c r="F79" s="142">
        <v>4.92</v>
      </c>
      <c r="G79" s="142">
        <v>1650</v>
      </c>
      <c r="H79" s="142"/>
      <c r="I79" s="142"/>
      <c r="J79" s="2">
        <f t="shared" si="66"/>
        <v>64.944000000000003</v>
      </c>
      <c r="K79" s="1">
        <f t="shared" si="67"/>
        <v>75</v>
      </c>
      <c r="L79" s="1">
        <f t="shared" si="68"/>
        <v>4.3174881135363101</v>
      </c>
      <c r="M79" s="3">
        <f t="shared" si="69"/>
        <v>606.06060606060612</v>
      </c>
      <c r="N79" s="3"/>
      <c r="O79" s="3">
        <f t="shared" si="58"/>
        <v>36363.636363636368</v>
      </c>
      <c r="P79" s="3">
        <f t="shared" si="59"/>
        <v>0</v>
      </c>
      <c r="Q79" s="3">
        <f t="shared" si="60"/>
        <v>78.914141414141426</v>
      </c>
      <c r="R79" s="3">
        <f t="shared" si="61"/>
        <v>0</v>
      </c>
      <c r="S79" s="3">
        <f t="shared" si="70"/>
        <v>75</v>
      </c>
      <c r="T79" s="4">
        <f t="shared" si="71"/>
        <v>64.944000000000003</v>
      </c>
      <c r="U79" s="4"/>
      <c r="V79">
        <f t="shared" si="63"/>
        <v>8.1123731227120008E-2</v>
      </c>
      <c r="W79" s="127">
        <f t="shared" si="65"/>
        <v>1.1716700501132942E-2</v>
      </c>
      <c r="X79" s="150">
        <f t="shared" si="64"/>
        <v>8.6905840360267973E-3</v>
      </c>
      <c r="Y79">
        <f t="shared" si="62"/>
        <v>-1.1949553049536844E-7</v>
      </c>
    </row>
    <row r="80" spans="2:25" x14ac:dyDescent="0.25">
      <c r="B80" s="113">
        <f t="shared" si="72"/>
        <v>1.5</v>
      </c>
      <c r="C80" s="142">
        <v>90</v>
      </c>
      <c r="D80" s="142"/>
      <c r="E80" s="142">
        <v>13.31</v>
      </c>
      <c r="F80" s="142">
        <v>6.12</v>
      </c>
      <c r="G80" s="142">
        <v>1510</v>
      </c>
      <c r="H80" s="142"/>
      <c r="I80" s="142"/>
      <c r="J80" s="2">
        <f t="shared" si="66"/>
        <v>81.4572</v>
      </c>
      <c r="K80" s="1">
        <f t="shared" si="67"/>
        <v>90</v>
      </c>
      <c r="L80" s="1">
        <f t="shared" si="68"/>
        <v>4.499809670330265</v>
      </c>
      <c r="M80" s="3">
        <f t="shared" si="69"/>
        <v>662.25165562913912</v>
      </c>
      <c r="N80" s="3"/>
      <c r="O80" s="3">
        <f t="shared" si="58"/>
        <v>39735.099337748346</v>
      </c>
      <c r="P80" s="3">
        <f t="shared" si="59"/>
        <v>0</v>
      </c>
      <c r="Q80" s="3">
        <f t="shared" si="60"/>
        <v>86.230684326710815</v>
      </c>
      <c r="R80" s="3">
        <f t="shared" si="61"/>
        <v>0</v>
      </c>
      <c r="S80" s="3">
        <f t="shared" si="70"/>
        <v>90</v>
      </c>
      <c r="T80" s="4">
        <f t="shared" si="71"/>
        <v>81.4572</v>
      </c>
      <c r="U80" s="4"/>
      <c r="V80">
        <f t="shared" si="63"/>
        <v>0.10326829571752001</v>
      </c>
      <c r="W80" s="127">
        <f t="shared" si="65"/>
        <v>1.3649521409228446E-2</v>
      </c>
      <c r="X80" s="150">
        <f t="shared" si="64"/>
        <v>1.0623404944122301E-2</v>
      </c>
      <c r="Y80">
        <f t="shared" si="62"/>
        <v>-1.3367784554687227E-7</v>
      </c>
    </row>
    <row r="81" spans="2:25" x14ac:dyDescent="0.25">
      <c r="B81" s="113">
        <f t="shared" si="72"/>
        <v>1.6055555555555556</v>
      </c>
      <c r="C81" s="142">
        <v>109</v>
      </c>
      <c r="D81" s="142"/>
      <c r="E81" s="142">
        <v>12.93</v>
      </c>
      <c r="F81" s="142">
        <v>7.27</v>
      </c>
      <c r="G81" s="142">
        <v>1470</v>
      </c>
      <c r="H81" s="142"/>
      <c r="I81" s="142"/>
      <c r="J81" s="2">
        <f t="shared" si="66"/>
        <v>94.001099999999994</v>
      </c>
      <c r="K81" s="1">
        <f t="shared" si="67"/>
        <v>109</v>
      </c>
      <c r="L81" s="1">
        <f t="shared" si="68"/>
        <v>4.6913478822291435</v>
      </c>
      <c r="M81" s="3">
        <f t="shared" si="69"/>
        <v>680.27210884353735</v>
      </c>
      <c r="N81" s="3"/>
      <c r="O81" s="3">
        <f t="shared" si="58"/>
        <v>40816.326530612241</v>
      </c>
      <c r="P81" s="3">
        <f t="shared" si="59"/>
        <v>0</v>
      </c>
      <c r="Q81" s="3">
        <f t="shared" si="60"/>
        <v>88.577097505668917</v>
      </c>
      <c r="R81" s="3">
        <f t="shared" si="61"/>
        <v>0</v>
      </c>
      <c r="S81" s="3">
        <f t="shared" si="70"/>
        <v>109</v>
      </c>
      <c r="T81" s="4">
        <f t="shared" si="71"/>
        <v>94.001099999999994</v>
      </c>
      <c r="U81" s="4"/>
      <c r="V81">
        <f t="shared" si="63"/>
        <v>0.12008994158332</v>
      </c>
      <c r="W81" s="127">
        <f t="shared" si="65"/>
        <v>1.5452453143292119E-2</v>
      </c>
      <c r="X81" s="150">
        <f t="shared" si="64"/>
        <v>1.2426336678185976E-2</v>
      </c>
      <c r="Y81">
        <f t="shared" si="62"/>
        <v>-1.5222262430777822E-7</v>
      </c>
    </row>
    <row r="82" spans="2:25" ht="15.75" thickBot="1" x14ac:dyDescent="0.3">
      <c r="B82" s="116">
        <f t="shared" si="72"/>
        <v>1.7222222222222223</v>
      </c>
      <c r="C82" s="142">
        <v>130</v>
      </c>
      <c r="D82" s="142"/>
      <c r="E82" s="142">
        <v>13.08</v>
      </c>
      <c r="F82" s="142">
        <v>8.9600000000000009</v>
      </c>
      <c r="G82" s="142">
        <v>1380</v>
      </c>
      <c r="H82" s="142"/>
      <c r="I82" s="142"/>
      <c r="J82" s="2">
        <f t="shared" si="66"/>
        <v>117.19680000000001</v>
      </c>
      <c r="K82" s="1">
        <f t="shared" si="67"/>
        <v>130</v>
      </c>
      <c r="L82" s="1">
        <f t="shared" si="68"/>
        <v>4.8675344504555822</v>
      </c>
      <c r="M82" s="3">
        <f t="shared" si="69"/>
        <v>724.63768115942037</v>
      </c>
      <c r="N82" s="3"/>
      <c r="O82" s="3">
        <f t="shared" si="58"/>
        <v>43478.260869565223</v>
      </c>
      <c r="P82" s="3">
        <f t="shared" si="59"/>
        <v>0</v>
      </c>
      <c r="Q82" s="3">
        <f t="shared" si="60"/>
        <v>94.353864734299535</v>
      </c>
      <c r="R82" s="3">
        <f t="shared" si="61"/>
        <v>0</v>
      </c>
      <c r="S82" s="3">
        <f t="shared" si="70"/>
        <v>130</v>
      </c>
      <c r="T82" s="4">
        <f t="shared" si="71"/>
        <v>117.19680000000001</v>
      </c>
      <c r="U82" s="4"/>
      <c r="V82">
        <f t="shared" si="63"/>
        <v>0.15119588558872002</v>
      </c>
      <c r="W82" s="127">
        <f t="shared" si="65"/>
        <v>1.8263858195575022E-2</v>
      </c>
      <c r="X82" s="150">
        <f t="shared" si="64"/>
        <v>1.5237741730468879E-2</v>
      </c>
      <c r="Y82">
        <f t="shared" si="62"/>
        <v>-1.7523402990039207E-7</v>
      </c>
    </row>
    <row r="83" spans="2:25" x14ac:dyDescent="0.25">
      <c r="B83" s="144">
        <f t="shared" si="72"/>
        <v>1.8277777777777777</v>
      </c>
      <c r="C83" s="142">
        <v>149</v>
      </c>
      <c r="D83" s="142"/>
      <c r="E83" s="142">
        <v>12.95</v>
      </c>
      <c r="F83" s="142">
        <v>10.8</v>
      </c>
      <c r="G83" s="142">
        <v>1310</v>
      </c>
      <c r="H83" s="142"/>
      <c r="I83" s="142"/>
      <c r="J83" s="1">
        <f t="shared" si="66"/>
        <v>139.86000000000001</v>
      </c>
      <c r="K83" s="1">
        <f t="shared" si="67"/>
        <v>149</v>
      </c>
      <c r="L83" s="1">
        <f t="shared" si="68"/>
        <v>5.0039463059454592</v>
      </c>
      <c r="M83" s="1">
        <f t="shared" si="69"/>
        <v>763.35877862595419</v>
      </c>
      <c r="O83" s="1">
        <f>M83*60/$X$29</f>
        <v>45801.526717557252</v>
      </c>
      <c r="Q83" s="1">
        <f>O83/$X$40*100</f>
        <v>99.395674300254456</v>
      </c>
      <c r="S83" s="1">
        <f t="shared" si="70"/>
        <v>149</v>
      </c>
      <c r="T83" s="4">
        <f t="shared" si="71"/>
        <v>139.86000000000001</v>
      </c>
      <c r="U83" s="4"/>
      <c r="V83">
        <f t="shared" si="63"/>
        <v>0.18158773537912004</v>
      </c>
      <c r="W83" s="127">
        <f t="shared" si="65"/>
        <v>2.0822423498943188E-2</v>
      </c>
      <c r="X83" s="150">
        <f t="shared" si="64"/>
        <v>1.7796307033837045E-2</v>
      </c>
      <c r="Y83">
        <f t="shared" si="62"/>
        <v>-1.942763517860544E-7</v>
      </c>
    </row>
    <row r="84" spans="2:25" x14ac:dyDescent="0.25">
      <c r="B84" s="144">
        <f t="shared" si="72"/>
        <v>1.911111111111111</v>
      </c>
      <c r="C84" s="142">
        <v>164</v>
      </c>
      <c r="D84" s="142"/>
      <c r="E84" s="142">
        <v>12.75</v>
      </c>
      <c r="F84" s="142">
        <v>13.9</v>
      </c>
      <c r="G84" s="142">
        <v>1252</v>
      </c>
      <c r="H84" s="142"/>
      <c r="I84" s="142"/>
      <c r="J84" s="1">
        <f t="shared" si="66"/>
        <v>177.22499999999999</v>
      </c>
      <c r="K84" s="1">
        <f t="shared" si="67"/>
        <v>164</v>
      </c>
      <c r="L84" s="1">
        <f t="shared" si="68"/>
        <v>5.0998664278241987</v>
      </c>
      <c r="M84" s="1">
        <f t="shared" si="69"/>
        <v>798.72204472843453</v>
      </c>
      <c r="O84" s="1">
        <f>M84*60/$X$29</f>
        <v>47923.322683706072</v>
      </c>
      <c r="Q84" s="1">
        <f>O84/$X$40*100</f>
        <v>104.00026624068157</v>
      </c>
      <c r="S84" s="1">
        <f t="shared" si="70"/>
        <v>164</v>
      </c>
      <c r="T84" s="4">
        <f t="shared" si="71"/>
        <v>177.22499999999999</v>
      </c>
      <c r="U84" s="4"/>
      <c r="V84">
        <f t="shared" si="63"/>
        <v>0.23169502240912002</v>
      </c>
      <c r="W84" s="127">
        <f t="shared" si="65"/>
        <v>2.539185911052097E-2</v>
      </c>
      <c r="X84" s="150">
        <f t="shared" si="64"/>
        <v>2.2365742645414827E-2</v>
      </c>
      <c r="Y84">
        <f t="shared" si="62"/>
        <v>-2.3334924826716135E-7</v>
      </c>
    </row>
    <row r="87" spans="2:25" x14ac:dyDescent="0.25">
      <c r="B87" t="s">
        <v>117</v>
      </c>
      <c r="V87" t="s">
        <v>90</v>
      </c>
      <c r="X87" t="s">
        <v>91</v>
      </c>
    </row>
    <row r="88" spans="2:25" x14ac:dyDescent="0.25">
      <c r="B88" s="113">
        <f>C88/180+1</f>
        <v>1.0611111111111111</v>
      </c>
      <c r="C88" s="142">
        <v>11</v>
      </c>
      <c r="D88" s="142"/>
      <c r="E88" s="142">
        <v>13.81</v>
      </c>
      <c r="F88" s="142">
        <v>0.57599999999999996</v>
      </c>
      <c r="G88" s="142">
        <v>4880</v>
      </c>
      <c r="H88" s="143"/>
      <c r="I88" s="142"/>
      <c r="J88" s="2">
        <f>E88*F88</f>
        <v>7.9545599999999999</v>
      </c>
      <c r="K88" s="1">
        <f t="shared" ref="K88:K102" si="73">C88</f>
        <v>11</v>
      </c>
      <c r="L88" s="1">
        <f t="shared" ref="L88:L102" si="74">LN(K88)</f>
        <v>2.3978952727983707</v>
      </c>
      <c r="M88" s="3">
        <f t="shared" ref="M88:M102" si="75">1/G88/0.000001</f>
        <v>204.91803278688525</v>
      </c>
      <c r="N88" s="3"/>
      <c r="O88" s="3">
        <f t="shared" ref="O88:O100" si="76">M88*60/$X$29</f>
        <v>12295.081967213115</v>
      </c>
      <c r="P88" s="3">
        <f t="shared" ref="P88:P100" si="77">N88*60/$X$29</f>
        <v>0</v>
      </c>
      <c r="Q88" s="3">
        <f t="shared" ref="Q88:Q100" si="78">O88/$X$40*100</f>
        <v>26.682035519125684</v>
      </c>
      <c r="R88" s="3">
        <f t="shared" ref="R88:R100" si="79">P88/$X$40*100</f>
        <v>0</v>
      </c>
      <c r="S88" s="3">
        <f t="shared" ref="S88:S102" si="80">K88</f>
        <v>11</v>
      </c>
      <c r="T88" s="4">
        <f t="shared" ref="T88:T102" si="81">J88</f>
        <v>7.9545599999999999</v>
      </c>
      <c r="U88" s="4"/>
      <c r="V88">
        <f>T88*0.001341022</f>
        <v>1.0667239960320001E-2</v>
      </c>
      <c r="W88" s="137">
        <f>$V88/$O88*5252</f>
        <v>4.5566466674235194E-3</v>
      </c>
      <c r="X88" s="127">
        <f>W88-$W$88</f>
        <v>0</v>
      </c>
      <c r="Y88">
        <f t="shared" ref="Y88:Y102" si="82">-X88/2/O88</f>
        <v>0</v>
      </c>
    </row>
    <row r="89" spans="2:25" x14ac:dyDescent="0.25">
      <c r="B89" s="113">
        <f>C89/180+1</f>
        <v>1.0833333333333333</v>
      </c>
      <c r="C89" s="142">
        <v>15</v>
      </c>
      <c r="D89" s="142"/>
      <c r="E89" s="142">
        <v>13.8</v>
      </c>
      <c r="F89" s="142">
        <v>0.77800000000000002</v>
      </c>
      <c r="G89" s="142">
        <v>3900</v>
      </c>
      <c r="H89" s="143"/>
      <c r="I89" s="142"/>
      <c r="J89" s="2">
        <f t="shared" ref="J89:J102" si="83">E89*F89</f>
        <v>10.736400000000001</v>
      </c>
      <c r="K89" s="1">
        <f t="shared" si="73"/>
        <v>15</v>
      </c>
      <c r="L89" s="1">
        <f t="shared" si="74"/>
        <v>2.7080502011022101</v>
      </c>
      <c r="M89" s="3">
        <f t="shared" si="75"/>
        <v>256.41025641025641</v>
      </c>
      <c r="N89" s="3"/>
      <c r="O89" s="3">
        <f t="shared" si="76"/>
        <v>15384.615384615385</v>
      </c>
      <c r="P89" s="3">
        <f t="shared" si="77"/>
        <v>0</v>
      </c>
      <c r="Q89" s="3">
        <f t="shared" si="78"/>
        <v>33.386752136752136</v>
      </c>
      <c r="R89" s="3">
        <f t="shared" si="79"/>
        <v>0</v>
      </c>
      <c r="S89" s="3">
        <f t="shared" si="80"/>
        <v>15</v>
      </c>
      <c r="T89" s="4">
        <f t="shared" si="81"/>
        <v>10.736400000000001</v>
      </c>
      <c r="U89" s="4"/>
      <c r="V89">
        <f t="shared" ref="V89:V102" si="84">T89*0.001341022</f>
        <v>1.4397748600800004E-2</v>
      </c>
      <c r="W89" s="127">
        <f t="shared" ref="W89:W102" si="85">$V89/$O89*5252</f>
        <v>4.9151034173411049E-3</v>
      </c>
      <c r="X89" s="127">
        <f t="shared" ref="X89:X102" si="86">W89-$W$88</f>
        <v>3.5845674991758555E-4</v>
      </c>
      <c r="Y89">
        <f t="shared" si="82"/>
        <v>-1.1649844372321531E-8</v>
      </c>
    </row>
    <row r="90" spans="2:25" x14ac:dyDescent="0.25">
      <c r="B90" s="113">
        <f>C90/180+1</f>
        <v>1.1111111111111112</v>
      </c>
      <c r="C90" s="142">
        <v>20</v>
      </c>
      <c r="D90" s="142"/>
      <c r="E90" s="142">
        <v>13.78</v>
      </c>
      <c r="F90" s="142">
        <v>1.04</v>
      </c>
      <c r="G90" s="142">
        <v>3260</v>
      </c>
      <c r="H90" s="143"/>
      <c r="I90" s="142"/>
      <c r="J90" s="2">
        <f t="shared" si="83"/>
        <v>14.331199999999999</v>
      </c>
      <c r="K90" s="1">
        <f t="shared" si="73"/>
        <v>20</v>
      </c>
      <c r="L90" s="1">
        <f t="shared" si="74"/>
        <v>2.9957322735539909</v>
      </c>
      <c r="M90" s="3">
        <f t="shared" si="75"/>
        <v>306.74846625766872</v>
      </c>
      <c r="N90" s="3"/>
      <c r="O90" s="3">
        <f t="shared" si="76"/>
        <v>18404.907975460123</v>
      </c>
      <c r="P90" s="3">
        <f t="shared" si="77"/>
        <v>0</v>
      </c>
      <c r="Q90" s="3">
        <f t="shared" si="78"/>
        <v>39.941206543967276</v>
      </c>
      <c r="R90" s="3">
        <f t="shared" si="79"/>
        <v>0</v>
      </c>
      <c r="S90" s="3">
        <f t="shared" si="80"/>
        <v>20</v>
      </c>
      <c r="T90" s="4">
        <f t="shared" si="81"/>
        <v>14.331199999999999</v>
      </c>
      <c r="U90" s="4"/>
      <c r="V90">
        <f t="shared" si="84"/>
        <v>1.92184544864E-2</v>
      </c>
      <c r="W90" s="127">
        <f t="shared" si="85"/>
        <v>5.4841525476331228E-3</v>
      </c>
      <c r="X90" s="127">
        <f t="shared" si="86"/>
        <v>9.2750588020960346E-4</v>
      </c>
      <c r="Y90">
        <f t="shared" si="82"/>
        <v>-2.519724307902756E-8</v>
      </c>
    </row>
    <row r="91" spans="2:25" x14ac:dyDescent="0.25">
      <c r="B91" s="113">
        <f t="shared" ref="B91:B102" si="87">C91/180+1</f>
        <v>1.1388888888888888</v>
      </c>
      <c r="C91" s="142">
        <v>25</v>
      </c>
      <c r="D91" s="142"/>
      <c r="E91" s="142">
        <v>13.76</v>
      </c>
      <c r="F91" s="142">
        <v>1.363</v>
      </c>
      <c r="G91" s="142">
        <v>2870</v>
      </c>
      <c r="H91" s="142"/>
      <c r="I91" s="142"/>
      <c r="J91" s="2">
        <f t="shared" si="83"/>
        <v>18.75488</v>
      </c>
      <c r="K91" s="1">
        <f t="shared" si="73"/>
        <v>25</v>
      </c>
      <c r="L91" s="1">
        <f t="shared" si="74"/>
        <v>3.2188758248682006</v>
      </c>
      <c r="M91" s="3">
        <f t="shared" si="75"/>
        <v>348.43205574912895</v>
      </c>
      <c r="N91" s="3"/>
      <c r="O91" s="3">
        <f t="shared" si="76"/>
        <v>20905.923344947736</v>
      </c>
      <c r="P91" s="3">
        <f t="shared" si="77"/>
        <v>0</v>
      </c>
      <c r="Q91" s="3">
        <f t="shared" si="78"/>
        <v>45.368757259001164</v>
      </c>
      <c r="R91" s="3">
        <f t="shared" si="79"/>
        <v>0</v>
      </c>
      <c r="S91" s="3">
        <f t="shared" si="80"/>
        <v>25</v>
      </c>
      <c r="T91" s="4">
        <f t="shared" si="81"/>
        <v>18.75488</v>
      </c>
      <c r="U91" s="4"/>
      <c r="V91">
        <f t="shared" si="84"/>
        <v>2.5150706687360001E-2</v>
      </c>
      <c r="W91" s="127">
        <f t="shared" si="85"/>
        <v>6.3183773011363711E-3</v>
      </c>
      <c r="X91" s="127">
        <f t="shared" si="86"/>
        <v>1.7617306337128517E-3</v>
      </c>
      <c r="Y91">
        <f t="shared" si="82"/>
        <v>-4.21347243229657E-8</v>
      </c>
    </row>
    <row r="92" spans="2:25" x14ac:dyDescent="0.25">
      <c r="B92" s="113">
        <f t="shared" si="87"/>
        <v>1.1666666666666667</v>
      </c>
      <c r="C92" s="142">
        <v>30</v>
      </c>
      <c r="D92" s="142"/>
      <c r="E92" s="142">
        <v>13.74</v>
      </c>
      <c r="F92" s="142">
        <v>1.67</v>
      </c>
      <c r="G92" s="142">
        <v>2640</v>
      </c>
      <c r="H92" s="142"/>
      <c r="I92" s="142"/>
      <c r="J92" s="2">
        <f t="shared" si="83"/>
        <v>22.945799999999998</v>
      </c>
      <c r="K92" s="1">
        <f t="shared" si="73"/>
        <v>30</v>
      </c>
      <c r="L92" s="1">
        <f t="shared" si="74"/>
        <v>3.4011973816621555</v>
      </c>
      <c r="M92" s="3">
        <f t="shared" si="75"/>
        <v>378.78787878787881</v>
      </c>
      <c r="N92" s="3"/>
      <c r="O92" s="3">
        <f t="shared" si="76"/>
        <v>22727.272727272728</v>
      </c>
      <c r="P92" s="3">
        <f t="shared" si="77"/>
        <v>0</v>
      </c>
      <c r="Q92" s="3">
        <f t="shared" si="78"/>
        <v>49.321338383838388</v>
      </c>
      <c r="R92" s="3">
        <f t="shared" si="79"/>
        <v>0</v>
      </c>
      <c r="S92" s="3">
        <f t="shared" si="80"/>
        <v>30</v>
      </c>
      <c r="T92" s="4">
        <f t="shared" si="81"/>
        <v>22.945799999999998</v>
      </c>
      <c r="U92" s="4"/>
      <c r="V92">
        <f t="shared" si="84"/>
        <v>3.0770822607600001E-2</v>
      </c>
      <c r="W92" s="127">
        <f t="shared" si="85"/>
        <v>7.1107678547450686E-3</v>
      </c>
      <c r="X92" s="127">
        <f t="shared" si="86"/>
        <v>2.5541211873215492E-3</v>
      </c>
      <c r="Y92">
        <f t="shared" si="82"/>
        <v>-5.6190666121074085E-8</v>
      </c>
    </row>
    <row r="93" spans="2:25" x14ac:dyDescent="0.25">
      <c r="B93" s="113">
        <f t="shared" si="87"/>
        <v>1.1944444444444444</v>
      </c>
      <c r="C93" s="142">
        <v>35</v>
      </c>
      <c r="D93" s="142"/>
      <c r="E93" s="142">
        <v>13.72</v>
      </c>
      <c r="F93" s="142">
        <v>2.0550000000000002</v>
      </c>
      <c r="G93" s="142">
        <v>2400</v>
      </c>
      <c r="H93" s="142"/>
      <c r="I93" s="142"/>
      <c r="J93" s="2">
        <f t="shared" si="83"/>
        <v>28.194600000000005</v>
      </c>
      <c r="K93" s="1">
        <f t="shared" si="73"/>
        <v>35</v>
      </c>
      <c r="L93" s="1">
        <f t="shared" si="74"/>
        <v>3.5553480614894135</v>
      </c>
      <c r="M93" s="3">
        <f t="shared" si="75"/>
        <v>416.66666666666669</v>
      </c>
      <c r="N93" s="3"/>
      <c r="O93" s="3">
        <f t="shared" si="76"/>
        <v>25000</v>
      </c>
      <c r="P93" s="3">
        <f t="shared" si="77"/>
        <v>0</v>
      </c>
      <c r="Q93" s="3">
        <f t="shared" si="78"/>
        <v>54.253472222222221</v>
      </c>
      <c r="R93" s="3">
        <f t="shared" si="79"/>
        <v>0</v>
      </c>
      <c r="S93" s="3">
        <f t="shared" si="80"/>
        <v>35</v>
      </c>
      <c r="T93" s="4">
        <f t="shared" si="81"/>
        <v>28.194600000000005</v>
      </c>
      <c r="U93" s="4"/>
      <c r="V93">
        <f t="shared" si="84"/>
        <v>3.7809578881200012E-2</v>
      </c>
      <c r="W93" s="127">
        <f t="shared" si="85"/>
        <v>7.9430363313624987E-3</v>
      </c>
      <c r="X93" s="127">
        <f t="shared" si="86"/>
        <v>3.3863896639389794E-3</v>
      </c>
      <c r="Y93">
        <f t="shared" si="82"/>
        <v>-6.7727793278779586E-8</v>
      </c>
    </row>
    <row r="94" spans="2:25" x14ac:dyDescent="0.25">
      <c r="B94" s="113">
        <f t="shared" si="87"/>
        <v>1.2222222222222223</v>
      </c>
      <c r="C94" s="142">
        <v>40</v>
      </c>
      <c r="D94" s="142"/>
      <c r="E94" s="142">
        <v>13.7</v>
      </c>
      <c r="F94" s="142">
        <v>2.2999999999999998</v>
      </c>
      <c r="G94" s="142">
        <v>2250</v>
      </c>
      <c r="H94" s="142"/>
      <c r="I94" s="142"/>
      <c r="J94" s="2">
        <f t="shared" si="83"/>
        <v>31.509999999999994</v>
      </c>
      <c r="K94" s="1">
        <f t="shared" si="73"/>
        <v>40</v>
      </c>
      <c r="L94" s="1">
        <f t="shared" si="74"/>
        <v>3.6888794541139363</v>
      </c>
      <c r="M94" s="3">
        <f t="shared" si="75"/>
        <v>444.44444444444451</v>
      </c>
      <c r="N94" s="3"/>
      <c r="O94" s="3">
        <f t="shared" si="76"/>
        <v>26666.666666666672</v>
      </c>
      <c r="P94" s="3">
        <f t="shared" si="77"/>
        <v>0</v>
      </c>
      <c r="Q94" s="3">
        <f t="shared" si="78"/>
        <v>57.870370370370381</v>
      </c>
      <c r="R94" s="3">
        <f t="shared" si="79"/>
        <v>0</v>
      </c>
      <c r="S94" s="3">
        <f t="shared" si="80"/>
        <v>40</v>
      </c>
      <c r="T94" s="4">
        <f t="shared" si="81"/>
        <v>31.509999999999994</v>
      </c>
      <c r="U94" s="4"/>
      <c r="V94">
        <f t="shared" si="84"/>
        <v>4.2255603219999993E-2</v>
      </c>
      <c r="W94" s="127">
        <f t="shared" si="85"/>
        <v>8.3222410541789974E-3</v>
      </c>
      <c r="X94" s="127">
        <f t="shared" si="86"/>
        <v>3.765594386755478E-3</v>
      </c>
      <c r="Y94">
        <f t="shared" si="82"/>
        <v>-7.0604894751665205E-8</v>
      </c>
    </row>
    <row r="95" spans="2:25" x14ac:dyDescent="0.25">
      <c r="B95" s="113">
        <f t="shared" si="87"/>
        <v>1.2777777777777777</v>
      </c>
      <c r="C95" s="142">
        <v>50</v>
      </c>
      <c r="D95" s="142"/>
      <c r="E95" s="142">
        <v>13.65</v>
      </c>
      <c r="F95" s="142">
        <v>3.02</v>
      </c>
      <c r="G95" s="142">
        <v>2010</v>
      </c>
      <c r="H95" s="142"/>
      <c r="I95" s="142"/>
      <c r="J95" s="2">
        <f t="shared" si="83"/>
        <v>41.222999999999999</v>
      </c>
      <c r="K95" s="1">
        <f t="shared" si="73"/>
        <v>50</v>
      </c>
      <c r="L95" s="1">
        <f t="shared" si="74"/>
        <v>3.912023005428146</v>
      </c>
      <c r="M95" s="3">
        <f t="shared" si="75"/>
        <v>497.51243781094524</v>
      </c>
      <c r="N95" s="3"/>
      <c r="O95" s="3">
        <f t="shared" si="76"/>
        <v>29850.746268656716</v>
      </c>
      <c r="P95" s="3">
        <f t="shared" si="77"/>
        <v>0</v>
      </c>
      <c r="Q95" s="3">
        <f t="shared" si="78"/>
        <v>64.780265339966832</v>
      </c>
      <c r="R95" s="3">
        <f t="shared" si="79"/>
        <v>0</v>
      </c>
      <c r="S95" s="3">
        <f t="shared" si="80"/>
        <v>50</v>
      </c>
      <c r="T95" s="4">
        <f t="shared" si="81"/>
        <v>41.222999999999999</v>
      </c>
      <c r="U95" s="4"/>
      <c r="V95">
        <f t="shared" si="84"/>
        <v>5.5280949906E-2</v>
      </c>
      <c r="W95" s="127">
        <f t="shared" si="85"/>
        <v>9.7262408883614527E-3</v>
      </c>
      <c r="X95" s="127">
        <f t="shared" si="86"/>
        <v>5.1695942209379333E-3</v>
      </c>
      <c r="Y95">
        <f t="shared" si="82"/>
        <v>-8.6590703200710378E-8</v>
      </c>
    </row>
    <row r="96" spans="2:25" x14ac:dyDescent="0.25">
      <c r="B96" s="113">
        <f t="shared" si="87"/>
        <v>1.3333333333333333</v>
      </c>
      <c r="C96" s="142">
        <v>60</v>
      </c>
      <c r="D96" s="142"/>
      <c r="E96" s="142">
        <v>13.6</v>
      </c>
      <c r="F96" s="142">
        <v>3.81</v>
      </c>
      <c r="G96" s="142">
        <v>1880</v>
      </c>
      <c r="H96" s="142"/>
      <c r="I96" s="142"/>
      <c r="J96" s="2">
        <f t="shared" si="83"/>
        <v>51.816000000000003</v>
      </c>
      <c r="K96" s="1">
        <f t="shared" si="73"/>
        <v>60</v>
      </c>
      <c r="L96" s="1">
        <f t="shared" si="74"/>
        <v>4.0943445622221004</v>
      </c>
      <c r="M96" s="3">
        <f t="shared" si="75"/>
        <v>531.91489361702133</v>
      </c>
      <c r="N96" s="3"/>
      <c r="O96" s="3">
        <f t="shared" si="76"/>
        <v>31914.89361702128</v>
      </c>
      <c r="P96" s="3">
        <f t="shared" si="77"/>
        <v>0</v>
      </c>
      <c r="Q96" s="3">
        <f t="shared" si="78"/>
        <v>69.259751773049643</v>
      </c>
      <c r="R96" s="3">
        <f t="shared" si="79"/>
        <v>0</v>
      </c>
      <c r="S96" s="3">
        <f t="shared" si="80"/>
        <v>60</v>
      </c>
      <c r="T96" s="4">
        <f t="shared" si="81"/>
        <v>51.816000000000003</v>
      </c>
      <c r="U96" s="4"/>
      <c r="V96">
        <f t="shared" si="84"/>
        <v>6.9486395952000013E-2</v>
      </c>
      <c r="W96" s="127">
        <f t="shared" si="85"/>
        <v>1.1434866614916992E-2</v>
      </c>
      <c r="X96" s="127">
        <f t="shared" si="86"/>
        <v>6.8782199474934731E-3</v>
      </c>
      <c r="Y96">
        <f t="shared" si="82"/>
        <v>-1.0775877917739773E-7</v>
      </c>
    </row>
    <row r="97" spans="2:25" x14ac:dyDescent="0.25">
      <c r="B97" s="113">
        <f t="shared" si="87"/>
        <v>1.4166666666666667</v>
      </c>
      <c r="C97" s="142">
        <v>75</v>
      </c>
      <c r="D97" s="142"/>
      <c r="E97" s="142">
        <v>13.54</v>
      </c>
      <c r="F97" s="142">
        <v>4.91</v>
      </c>
      <c r="G97" s="142">
        <v>1630</v>
      </c>
      <c r="H97" s="142"/>
      <c r="I97" s="142"/>
      <c r="J97" s="2">
        <f t="shared" si="83"/>
        <v>66.481399999999994</v>
      </c>
      <c r="K97" s="1">
        <f t="shared" si="73"/>
        <v>75</v>
      </c>
      <c r="L97" s="1">
        <f t="shared" si="74"/>
        <v>4.3174881135363101</v>
      </c>
      <c r="M97" s="3">
        <f t="shared" si="75"/>
        <v>613.49693251533745</v>
      </c>
      <c r="N97" s="3"/>
      <c r="O97" s="3">
        <f t="shared" si="76"/>
        <v>36809.815950920245</v>
      </c>
      <c r="P97" s="3">
        <f t="shared" si="77"/>
        <v>0</v>
      </c>
      <c r="Q97" s="3">
        <f t="shared" si="78"/>
        <v>79.882413087934552</v>
      </c>
      <c r="R97" s="3">
        <f t="shared" si="79"/>
        <v>0</v>
      </c>
      <c r="S97" s="3">
        <f t="shared" si="80"/>
        <v>75</v>
      </c>
      <c r="T97" s="4">
        <f t="shared" si="81"/>
        <v>66.481399999999994</v>
      </c>
      <c r="U97" s="4"/>
      <c r="V97">
        <f t="shared" si="84"/>
        <v>8.9153019990799998E-2</v>
      </c>
      <c r="W97" s="127">
        <f t="shared" si="85"/>
        <v>1.2720293456940682E-2</v>
      </c>
      <c r="X97" s="127">
        <f t="shared" si="86"/>
        <v>8.1636467895171635E-3</v>
      </c>
      <c r="Y97">
        <f t="shared" si="82"/>
        <v>-1.1088953555760814E-7</v>
      </c>
    </row>
    <row r="98" spans="2:25" x14ac:dyDescent="0.25">
      <c r="B98" s="113">
        <f t="shared" si="87"/>
        <v>1.5</v>
      </c>
      <c r="C98" s="142">
        <v>90</v>
      </c>
      <c r="D98" s="142"/>
      <c r="E98" s="142">
        <v>13.47</v>
      </c>
      <c r="F98" s="142">
        <v>6</v>
      </c>
      <c r="G98" s="142">
        <v>1520</v>
      </c>
      <c r="H98" s="142"/>
      <c r="I98" s="142"/>
      <c r="J98" s="2">
        <f t="shared" si="83"/>
        <v>80.820000000000007</v>
      </c>
      <c r="K98" s="1">
        <f t="shared" si="73"/>
        <v>90</v>
      </c>
      <c r="L98" s="1">
        <f t="shared" si="74"/>
        <v>4.499809670330265</v>
      </c>
      <c r="M98" s="3">
        <f t="shared" si="75"/>
        <v>657.89473684210532</v>
      </c>
      <c r="N98" s="3"/>
      <c r="O98" s="3">
        <f t="shared" si="76"/>
        <v>39473.68421052632</v>
      </c>
      <c r="P98" s="3">
        <f t="shared" si="77"/>
        <v>0</v>
      </c>
      <c r="Q98" s="3">
        <f t="shared" si="78"/>
        <v>85.663377192982466</v>
      </c>
      <c r="R98" s="3">
        <f t="shared" si="79"/>
        <v>0</v>
      </c>
      <c r="S98" s="3">
        <f t="shared" si="80"/>
        <v>90</v>
      </c>
      <c r="T98" s="4">
        <f t="shared" si="81"/>
        <v>80.820000000000007</v>
      </c>
      <c r="U98" s="4"/>
      <c r="V98">
        <f t="shared" si="84"/>
        <v>0.10838139804000002</v>
      </c>
      <c r="W98" s="127">
        <f t="shared" si="85"/>
        <v>1.4420217263487361E-2</v>
      </c>
      <c r="X98" s="127">
        <f t="shared" si="86"/>
        <v>9.8635705960638427E-3</v>
      </c>
      <c r="Y98">
        <f t="shared" si="82"/>
        <v>-1.2493856088347532E-7</v>
      </c>
    </row>
    <row r="99" spans="2:25" x14ac:dyDescent="0.25">
      <c r="B99" s="113">
        <f t="shared" si="87"/>
        <v>1.6055555555555556</v>
      </c>
      <c r="C99" s="142">
        <v>109</v>
      </c>
      <c r="D99" s="142"/>
      <c r="E99" s="142">
        <v>13.38</v>
      </c>
      <c r="F99" s="142">
        <v>7.4</v>
      </c>
      <c r="G99" s="142">
        <v>1390</v>
      </c>
      <c r="H99" s="142"/>
      <c r="I99" s="142"/>
      <c r="J99" s="2">
        <f t="shared" si="83"/>
        <v>99.012000000000015</v>
      </c>
      <c r="K99" s="1">
        <f t="shared" si="73"/>
        <v>109</v>
      </c>
      <c r="L99" s="1">
        <f t="shared" si="74"/>
        <v>4.6913478822291435</v>
      </c>
      <c r="M99" s="3">
        <f t="shared" si="75"/>
        <v>719.42446043165478</v>
      </c>
      <c r="N99" s="3"/>
      <c r="O99" s="3">
        <f t="shared" si="76"/>
        <v>43165.467625899284</v>
      </c>
      <c r="P99" s="3">
        <f t="shared" si="77"/>
        <v>0</v>
      </c>
      <c r="Q99" s="3">
        <f t="shared" si="78"/>
        <v>93.675059952038382</v>
      </c>
      <c r="R99" s="3">
        <f t="shared" si="79"/>
        <v>0</v>
      </c>
      <c r="S99" s="3">
        <f t="shared" si="80"/>
        <v>109</v>
      </c>
      <c r="T99" s="4">
        <f t="shared" si="81"/>
        <v>99.012000000000015</v>
      </c>
      <c r="U99" s="4"/>
      <c r="V99">
        <f t="shared" si="84"/>
        <v>0.13277727026400002</v>
      </c>
      <c r="W99" s="127">
        <f t="shared" si="85"/>
        <v>1.6155187509381233E-2</v>
      </c>
      <c r="X99" s="127">
        <f t="shared" si="86"/>
        <v>1.1598540841957713E-2</v>
      </c>
      <c r="Y99">
        <f t="shared" si="82"/>
        <v>-1.3434976475267684E-7</v>
      </c>
    </row>
    <row r="100" spans="2:25" ht="15.75" thickBot="1" x14ac:dyDescent="0.3">
      <c r="B100" s="116">
        <f t="shared" si="87"/>
        <v>1.7222222222222223</v>
      </c>
      <c r="C100" s="142">
        <v>130</v>
      </c>
      <c r="D100" s="142"/>
      <c r="E100" s="142">
        <v>13.29</v>
      </c>
      <c r="F100" s="142">
        <v>8.9</v>
      </c>
      <c r="G100" s="142">
        <v>1350</v>
      </c>
      <c r="H100" s="142"/>
      <c r="I100" s="142"/>
      <c r="J100" s="2">
        <f t="shared" si="83"/>
        <v>118.28099999999999</v>
      </c>
      <c r="K100" s="1">
        <f t="shared" si="73"/>
        <v>130</v>
      </c>
      <c r="L100" s="1">
        <f t="shared" si="74"/>
        <v>4.8675344504555822</v>
      </c>
      <c r="M100" s="3">
        <f t="shared" si="75"/>
        <v>740.74074074074076</v>
      </c>
      <c r="N100" s="3"/>
      <c r="O100" s="3">
        <f t="shared" si="76"/>
        <v>44444.444444444445</v>
      </c>
      <c r="P100" s="3">
        <f t="shared" si="77"/>
        <v>0</v>
      </c>
      <c r="Q100" s="3">
        <f t="shared" si="78"/>
        <v>96.450617283950621</v>
      </c>
      <c r="R100" s="3">
        <f t="shared" si="79"/>
        <v>0</v>
      </c>
      <c r="S100" s="3">
        <f t="shared" si="80"/>
        <v>130</v>
      </c>
      <c r="T100" s="4">
        <f t="shared" si="81"/>
        <v>118.28099999999999</v>
      </c>
      <c r="U100" s="4"/>
      <c r="V100">
        <f t="shared" si="84"/>
        <v>0.15861742318200001</v>
      </c>
      <c r="W100" s="127">
        <f t="shared" si="85"/>
        <v>1.8743820897416941E-2</v>
      </c>
      <c r="X100" s="127">
        <f t="shared" si="86"/>
        <v>1.418717422999342E-2</v>
      </c>
      <c r="Y100">
        <f t="shared" si="82"/>
        <v>-1.5960571008742599E-7</v>
      </c>
    </row>
    <row r="101" spans="2:25" x14ac:dyDescent="0.25">
      <c r="B101" s="144">
        <f t="shared" si="87"/>
        <v>1.8444444444444446</v>
      </c>
      <c r="C101" s="142">
        <v>152</v>
      </c>
      <c r="D101" s="142"/>
      <c r="E101" s="142">
        <v>13.1</v>
      </c>
      <c r="F101" s="142">
        <v>11.64</v>
      </c>
      <c r="G101" s="142">
        <v>1280</v>
      </c>
      <c r="H101" s="142"/>
      <c r="I101" s="142"/>
      <c r="J101" s="1">
        <f t="shared" si="83"/>
        <v>152.48400000000001</v>
      </c>
      <c r="K101" s="1">
        <f t="shared" si="73"/>
        <v>152</v>
      </c>
      <c r="L101" s="1">
        <f t="shared" si="74"/>
        <v>5.0238805208462765</v>
      </c>
      <c r="M101" s="1">
        <f t="shared" si="75"/>
        <v>781.25000000000011</v>
      </c>
      <c r="O101" s="1">
        <f>M101*60/$X$29</f>
        <v>46875.000000000007</v>
      </c>
      <c r="Q101" s="1">
        <f>O101/$X$40*100</f>
        <v>101.72526041666667</v>
      </c>
      <c r="S101" s="1">
        <f t="shared" si="80"/>
        <v>152</v>
      </c>
      <c r="T101" s="4">
        <f t="shared" si="81"/>
        <v>152.48400000000001</v>
      </c>
      <c r="U101" s="4"/>
      <c r="V101">
        <f t="shared" si="84"/>
        <v>0.20448439864800003</v>
      </c>
      <c r="W101" s="127">
        <f t="shared" si="85"/>
        <v>2.2910977316251649E-2</v>
      </c>
      <c r="X101" s="127">
        <f t="shared" si="86"/>
        <v>1.8354330648828129E-2</v>
      </c>
      <c r="Y101">
        <f t="shared" si="82"/>
        <v>-1.9577952692083334E-7</v>
      </c>
    </row>
    <row r="102" spans="2:25" x14ac:dyDescent="0.25">
      <c r="B102" s="144">
        <f t="shared" si="87"/>
        <v>1.911111111111111</v>
      </c>
      <c r="C102" s="142">
        <v>164</v>
      </c>
      <c r="D102" s="142"/>
      <c r="E102" s="142">
        <v>12.93</v>
      </c>
      <c r="F102" s="142">
        <v>14.16</v>
      </c>
      <c r="G102" s="142">
        <v>1236</v>
      </c>
      <c r="H102" s="142"/>
      <c r="I102" s="142"/>
      <c r="J102" s="1">
        <f t="shared" si="83"/>
        <v>183.08879999999999</v>
      </c>
      <c r="K102" s="1">
        <f t="shared" si="73"/>
        <v>164</v>
      </c>
      <c r="L102" s="1">
        <f t="shared" si="74"/>
        <v>5.0998664278241987</v>
      </c>
      <c r="M102" s="1">
        <f t="shared" si="75"/>
        <v>809.06148867313925</v>
      </c>
      <c r="O102" s="1">
        <f>M102*60/$X$29</f>
        <v>48543.689320388352</v>
      </c>
      <c r="Q102" s="1">
        <f>O102/$X$40*100</f>
        <v>105.346548004315</v>
      </c>
      <c r="S102" s="1">
        <f t="shared" si="80"/>
        <v>164</v>
      </c>
      <c r="T102" s="4">
        <f t="shared" si="81"/>
        <v>183.08879999999999</v>
      </c>
      <c r="U102" s="4"/>
      <c r="V102">
        <f t="shared" si="84"/>
        <v>0.24552610875360001</v>
      </c>
      <c r="W102" s="127">
        <f t="shared" si="85"/>
        <v>2.6563764337382487E-2</v>
      </c>
      <c r="X102" s="127">
        <f t="shared" si="86"/>
        <v>2.2007117669958966E-2</v>
      </c>
      <c r="Y102">
        <f t="shared" si="82"/>
        <v>-2.2667331200057733E-7</v>
      </c>
    </row>
    <row r="103" spans="2:25" x14ac:dyDescent="0.25">
      <c r="W103" s="127"/>
    </row>
    <row r="104" spans="2:25" x14ac:dyDescent="0.25">
      <c r="W104" s="127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15"/>
  <sheetViews>
    <sheetView topLeftCell="C1" zoomScale="90" zoomScaleNormal="90" zoomScaleSheetLayoutView="80" workbookViewId="0">
      <selection activeCell="C2" sqref="C2:C10"/>
    </sheetView>
  </sheetViews>
  <sheetFormatPr defaultRowHeight="15" x14ac:dyDescent="0.25"/>
  <cols>
    <col min="5" max="5" width="13.85546875" bestFit="1" customWidth="1"/>
    <col min="6" max="6" width="13.7109375" bestFit="1" customWidth="1"/>
    <col min="7" max="7" width="13.140625" bestFit="1" customWidth="1"/>
    <col min="8" max="8" width="13.7109375" bestFit="1" customWidth="1"/>
    <col min="9" max="10" width="13.7109375" customWidth="1"/>
    <col min="11" max="11" width="10.7109375" customWidth="1"/>
    <col min="12" max="12" width="9.85546875" bestFit="1" customWidth="1"/>
    <col min="13" max="13" width="10.42578125" customWidth="1"/>
    <col min="16" max="16" width="11.85546875" customWidth="1"/>
  </cols>
  <sheetData>
    <row r="1" spans="2:19" x14ac:dyDescent="0.3">
      <c r="B1" t="s">
        <v>132</v>
      </c>
      <c r="C1" t="s">
        <v>100</v>
      </c>
      <c r="D1" s="184" t="s">
        <v>131</v>
      </c>
      <c r="E1" s="184" t="s">
        <v>209</v>
      </c>
      <c r="F1" s="184" t="s">
        <v>100</v>
      </c>
      <c r="G1" t="s">
        <v>208</v>
      </c>
      <c r="H1" t="s">
        <v>207</v>
      </c>
      <c r="I1" t="s">
        <v>206</v>
      </c>
      <c r="J1" t="s">
        <v>205</v>
      </c>
      <c r="K1" t="s">
        <v>152</v>
      </c>
      <c r="L1" t="s">
        <v>204</v>
      </c>
      <c r="M1" t="s">
        <v>153</v>
      </c>
      <c r="O1" s="157" t="s">
        <v>210</v>
      </c>
      <c r="P1" s="157"/>
      <c r="Q1" s="157"/>
      <c r="R1" s="157"/>
      <c r="S1" s="157"/>
    </row>
    <row r="2" spans="2:19" x14ac:dyDescent="0.3">
      <c r="B2">
        <f t="shared" ref="B2:B10" si="0">C2*$E$13</f>
        <v>7372.8</v>
      </c>
      <c r="C2">
        <v>16</v>
      </c>
      <c r="D2" s="184">
        <v>0.33</v>
      </c>
      <c r="E2" s="184">
        <f t="shared" ref="E2:E10" si="1">$E$12*$C2^$F$12</f>
        <v>0.3917732370086745</v>
      </c>
      <c r="F2" s="184">
        <v>16</v>
      </c>
      <c r="G2">
        <f t="shared" ref="G2:G10" si="2">10^(LOG10($E2/$E$12)/$F$12)</f>
        <v>16.000000000000007</v>
      </c>
      <c r="H2" s="146">
        <f>$E$14+$F$14*$C2*$E$13+$G$14*($C2*$E$13)^2</f>
        <v>2.3663188085633704E-4</v>
      </c>
      <c r="I2" s="146">
        <f>I3</f>
        <v>1.0190599989802014E-7</v>
      </c>
      <c r="J2" s="146">
        <f>$F$14+2*$C2*$G$14*$E$13</f>
        <v>6.9047658670256907E-8</v>
      </c>
      <c r="K2" s="146">
        <f t="shared" ref="K2:K10" si="3">$C2*$E$13*$H2/5252</f>
        <v>3.3218574470251366E-4</v>
      </c>
      <c r="L2" s="146">
        <f t="shared" ref="L2:L10" si="4">$E$11+$F$11*$C2*$E$13+$G$11*($C2*$E$13)^2</f>
        <v>5.2572163702912741E-4</v>
      </c>
      <c r="M2" s="146">
        <f t="shared" ref="M2:M10" si="5">$C2*$E$13*$L2/5252</f>
        <v>7.3801227827272476E-4</v>
      </c>
      <c r="O2" s="157" t="s">
        <v>64</v>
      </c>
      <c r="P2" s="157" t="s">
        <v>81</v>
      </c>
      <c r="Q2" s="157" t="s">
        <v>101</v>
      </c>
      <c r="R2" s="157" t="s">
        <v>203</v>
      </c>
      <c r="S2" s="157"/>
    </row>
    <row r="3" spans="2:19" x14ac:dyDescent="0.3">
      <c r="B3">
        <f t="shared" si="0"/>
        <v>9216</v>
      </c>
      <c r="C3">
        <v>20</v>
      </c>
      <c r="D3" s="184">
        <v>0.28000000000000003</v>
      </c>
      <c r="E3" s="184">
        <f t="shared" si="1"/>
        <v>0.27537020278635105</v>
      </c>
      <c r="F3" s="184">
        <v>20</v>
      </c>
      <c r="G3">
        <f t="shared" si="2"/>
        <v>19.999999999999996</v>
      </c>
      <c r="H3" s="146">
        <f t="shared" ref="H3:H10" si="6">$E$14+$F$14*$C3*$E$13+$G$14*($C3*$E$13)^2</f>
        <v>4.2446501986836776E-4</v>
      </c>
      <c r="I3" s="146">
        <f t="shared" ref="I3:I10" si="7">(H3-H2)/(B3-B2)</f>
        <v>1.0190599989802014E-7</v>
      </c>
      <c r="J3" s="146">
        <f t="shared" ref="J3:J10" si="8">$F$14+2*$C3*$G$14*$E$13</f>
        <v>1.3476434112578325E-7</v>
      </c>
      <c r="K3" s="146">
        <f t="shared" si="3"/>
        <v>7.4483427705766901E-4</v>
      </c>
      <c r="L3" s="146">
        <f t="shared" si="4"/>
        <v>3.9770094161169982E-4</v>
      </c>
      <c r="M3" s="146">
        <f t="shared" si="5"/>
        <v>6.978697406499287E-4</v>
      </c>
      <c r="O3" s="157">
        <v>0</v>
      </c>
      <c r="P3" s="157"/>
      <c r="Q3" s="157"/>
      <c r="R3" s="157"/>
      <c r="S3" s="157"/>
    </row>
    <row r="4" spans="2:19" x14ac:dyDescent="0.3">
      <c r="B4">
        <f t="shared" si="0"/>
        <v>11520</v>
      </c>
      <c r="C4">
        <v>25</v>
      </c>
      <c r="D4" s="184">
        <v>0.19</v>
      </c>
      <c r="E4" s="184">
        <f t="shared" si="1"/>
        <v>0.19355265092014706</v>
      </c>
      <c r="F4" s="184">
        <v>25</v>
      </c>
      <c r="G4">
        <f t="shared" si="2"/>
        <v>24.999999999999996</v>
      </c>
      <c r="H4" s="146">
        <f t="shared" si="6"/>
        <v>8.2959408455812993E-4</v>
      </c>
      <c r="I4" s="146">
        <f t="shared" si="7"/>
        <v>1.7583726766048705E-7</v>
      </c>
      <c r="J4" s="146">
        <f t="shared" si="8"/>
        <v>2.1691019419519116E-7</v>
      </c>
      <c r="K4" s="146">
        <f t="shared" si="3"/>
        <v>1.8196732395486779E-3</v>
      </c>
      <c r="L4" s="146">
        <f t="shared" si="4"/>
        <v>3.7455395613344858E-4</v>
      </c>
      <c r="M4" s="146">
        <f t="shared" si="5"/>
        <v>8.2156541787077825E-4</v>
      </c>
      <c r="O4" s="157">
        <v>0</v>
      </c>
      <c r="P4" s="157"/>
      <c r="Q4" s="157"/>
      <c r="R4" s="157"/>
      <c r="S4" s="157"/>
    </row>
    <row r="5" spans="2:19" x14ac:dyDescent="0.3">
      <c r="B5">
        <f t="shared" si="0"/>
        <v>16588.8</v>
      </c>
      <c r="C5">
        <v>36</v>
      </c>
      <c r="D5" s="184">
        <v>0.14000000000000001</v>
      </c>
      <c r="E5" s="184">
        <f t="shared" si="1"/>
        <v>0.10878935110598625</v>
      </c>
      <c r="F5" s="184">
        <v>36</v>
      </c>
      <c r="G5">
        <f t="shared" si="2"/>
        <v>36.000000000000014</v>
      </c>
      <c r="H5" s="146">
        <f t="shared" si="6"/>
        <v>2.3870874669367505E-3</v>
      </c>
      <c r="I5" s="146">
        <f t="shared" si="7"/>
        <v>3.0727063257153976E-7</v>
      </c>
      <c r="J5" s="146">
        <f t="shared" si="8"/>
        <v>3.9763107094788859E-7</v>
      </c>
      <c r="K5" s="146">
        <f t="shared" si="3"/>
        <v>7.5397784789642732E-3</v>
      </c>
      <c r="L5" s="146">
        <f t="shared" si="4"/>
        <v>8.5897911136266578E-4</v>
      </c>
      <c r="M5" s="146">
        <f t="shared" si="5"/>
        <v>2.7131440751281396E-3</v>
      </c>
      <c r="O5" s="157">
        <v>12.367954907596399</v>
      </c>
      <c r="P5" s="157">
        <v>3.9916956312460647</v>
      </c>
      <c r="Q5" s="157"/>
      <c r="R5" s="157"/>
      <c r="S5" s="157"/>
    </row>
    <row r="6" spans="2:19" x14ac:dyDescent="0.3">
      <c r="B6">
        <f t="shared" si="0"/>
        <v>20736</v>
      </c>
      <c r="C6">
        <v>45</v>
      </c>
      <c r="D6" s="184">
        <v>0.11</v>
      </c>
      <c r="E6" s="184">
        <f t="shared" si="1"/>
        <v>7.6466034034855926E-2</v>
      </c>
      <c r="F6" s="184">
        <v>45</v>
      </c>
      <c r="G6">
        <f t="shared" si="2"/>
        <v>44.999999999999993</v>
      </c>
      <c r="H6" s="146">
        <f t="shared" si="6"/>
        <v>4.3427507980363387E-3</v>
      </c>
      <c r="I6" s="146">
        <f t="shared" si="7"/>
        <v>4.7156233871035585E-7</v>
      </c>
      <c r="J6" s="146">
        <f t="shared" si="8"/>
        <v>5.4549360647282279E-7</v>
      </c>
      <c r="K6" s="146">
        <f t="shared" si="3"/>
        <v>1.7146093021340732E-2</v>
      </c>
      <c r="L6" s="146">
        <f t="shared" si="4"/>
        <v>1.8028425008152459E-3</v>
      </c>
      <c r="M6" s="146">
        <f t="shared" si="5"/>
        <v>7.1180011608729891E-3</v>
      </c>
      <c r="O6" s="157">
        <v>15.047408792585415</v>
      </c>
      <c r="P6" s="157">
        <v>0.70091118459969781</v>
      </c>
      <c r="Q6" s="157"/>
      <c r="R6" s="157"/>
      <c r="S6" s="157"/>
    </row>
    <row r="7" spans="2:19" x14ac:dyDescent="0.3">
      <c r="B7">
        <f t="shared" si="0"/>
        <v>23040</v>
      </c>
      <c r="C7">
        <v>50</v>
      </c>
      <c r="D7" s="184">
        <v>0.09</v>
      </c>
      <c r="E7" s="184">
        <f t="shared" si="1"/>
        <v>6.4739856241990537E-2</v>
      </c>
      <c r="F7" s="184">
        <v>50</v>
      </c>
      <c r="G7">
        <f t="shared" si="2"/>
        <v>50.000000000000014</v>
      </c>
      <c r="H7" s="146">
        <f t="shared" si="6"/>
        <v>5.6942000900856793E-3</v>
      </c>
      <c r="I7" s="146">
        <f t="shared" si="7"/>
        <v>5.8656653300752638E-7</v>
      </c>
      <c r="J7" s="146">
        <f t="shared" si="8"/>
        <v>6.2763945954223071E-7</v>
      </c>
      <c r="K7" s="146">
        <f t="shared" si="3"/>
        <v>2.4979887676232684E-2</v>
      </c>
      <c r="L7" s="146">
        <f t="shared" si="4"/>
        <v>2.5401337586343957E-3</v>
      </c>
      <c r="M7" s="146">
        <f t="shared" si="5"/>
        <v>1.1143313366134135E-2</v>
      </c>
      <c r="O7" s="157">
        <v>37.649471024806083</v>
      </c>
      <c r="P7" s="157">
        <v>8.8118975354312457E-2</v>
      </c>
      <c r="Q7" s="157">
        <v>18.349332141930159</v>
      </c>
      <c r="R7" s="157">
        <v>0.2622861097452871</v>
      </c>
      <c r="S7" s="157"/>
    </row>
    <row r="8" spans="2:19" x14ac:dyDescent="0.3">
      <c r="B8">
        <f t="shared" si="0"/>
        <v>23961.600000000002</v>
      </c>
      <c r="C8">
        <v>52</v>
      </c>
      <c r="D8" s="184">
        <v>0.08</v>
      </c>
      <c r="E8" s="184">
        <f t="shared" si="1"/>
        <v>6.0849785914015388E-2</v>
      </c>
      <c r="F8" s="184">
        <v>52</v>
      </c>
      <c r="G8">
        <f t="shared" si="2"/>
        <v>52.000000000000036</v>
      </c>
      <c r="H8" s="146">
        <f t="shared" si="6"/>
        <v>6.2877737396375534E-3</v>
      </c>
      <c r="I8" s="146">
        <f t="shared" si="7"/>
        <v>6.4406863015611191E-7</v>
      </c>
      <c r="J8" s="146">
        <f t="shared" si="8"/>
        <v>6.6049780076999385E-7</v>
      </c>
      <c r="K8" s="146">
        <f t="shared" si="3"/>
        <v>2.8687189497277076E-2</v>
      </c>
      <c r="L8" s="146">
        <f t="shared" si="4"/>
        <v>2.8776348033867118E-3</v>
      </c>
      <c r="M8" s="146">
        <f t="shared" si="5"/>
        <v>1.3128852647530663E-2</v>
      </c>
      <c r="O8" s="157">
        <v>48.010895849896535</v>
      </c>
      <c r="P8" s="157">
        <v>6.2906429754981188E-2</v>
      </c>
      <c r="Q8" s="157">
        <v>28.457488763966595</v>
      </c>
      <c r="R8" s="157">
        <v>0.15327768207325029</v>
      </c>
      <c r="S8" s="157"/>
    </row>
    <row r="9" spans="2:19" x14ac:dyDescent="0.3">
      <c r="B9">
        <f t="shared" si="0"/>
        <v>25344</v>
      </c>
      <c r="C9">
        <v>55</v>
      </c>
      <c r="D9" s="184">
        <v>7.0000000000000007E-2</v>
      </c>
      <c r="E9" s="184">
        <f t="shared" si="1"/>
        <v>5.5689239628374895E-2</v>
      </c>
      <c r="F9" s="184">
        <v>55</v>
      </c>
      <c r="G9">
        <f t="shared" si="2"/>
        <v>55.000000000000014</v>
      </c>
      <c r="H9" s="146">
        <f t="shared" si="6"/>
        <v>7.2349134276069376E-3</v>
      </c>
      <c r="I9" s="146">
        <f t="shared" si="7"/>
        <v>6.8514155669081719E-7</v>
      </c>
      <c r="J9" s="146">
        <f t="shared" si="8"/>
        <v>7.0978531261163862E-7</v>
      </c>
      <c r="K9" s="146">
        <f t="shared" si="3"/>
        <v>3.4912727705496999E-2</v>
      </c>
      <c r="L9" s="146">
        <f t="shared" si="4"/>
        <v>3.4295126651130254E-3</v>
      </c>
      <c r="M9" s="146">
        <f t="shared" si="5"/>
        <v>1.6549422883591874E-2</v>
      </c>
      <c r="O9" s="157">
        <v>61.364409667042004</v>
      </c>
      <c r="P9" s="157">
        <v>4.5959283219000051E-2</v>
      </c>
      <c r="Q9" s="157">
        <v>41.484597621753984</v>
      </c>
      <c r="R9" s="157">
        <v>9.3499270545763416E-2</v>
      </c>
      <c r="S9" s="157"/>
    </row>
    <row r="10" spans="2:19" x14ac:dyDescent="0.3">
      <c r="B10">
        <f t="shared" si="0"/>
        <v>28569.600000000002</v>
      </c>
      <c r="C10">
        <v>62</v>
      </c>
      <c r="D10" s="184">
        <v>0.05</v>
      </c>
      <c r="E10" s="184">
        <f t="shared" si="1"/>
        <v>4.6085623567052196E-2</v>
      </c>
      <c r="F10" s="184">
        <v>62</v>
      </c>
      <c r="G10">
        <f t="shared" si="2"/>
        <v>62.000000000000064</v>
      </c>
      <c r="H10" s="146">
        <f t="shared" si="6"/>
        <v>9.7098756965295178E-3</v>
      </c>
      <c r="I10" s="146">
        <f t="shared" si="7"/>
        <v>7.6728740976022404E-7</v>
      </c>
      <c r="J10" s="146">
        <f t="shared" si="8"/>
        <v>8.2478950690880957E-7</v>
      </c>
      <c r="K10" s="146">
        <f t="shared" si="3"/>
        <v>5.2819357330458824E-2</v>
      </c>
      <c r="L10" s="146">
        <f t="shared" si="4"/>
        <v>4.9301503839310357E-3</v>
      </c>
      <c r="M10" s="146">
        <f t="shared" si="5"/>
        <v>2.6818816528704516E-2</v>
      </c>
      <c r="O10" s="157">
        <v>69.444433699664401</v>
      </c>
      <c r="P10" s="157">
        <v>3.9517474546856557E-2</v>
      </c>
      <c r="Q10" s="157">
        <v>49.367118588734272</v>
      </c>
      <c r="R10" s="157">
        <v>8.2313306461443872E-2</v>
      </c>
      <c r="S10" s="157"/>
    </row>
    <row r="11" spans="2:19" x14ac:dyDescent="0.3">
      <c r="D11" s="171" t="s">
        <v>130</v>
      </c>
      <c r="E11" s="170">
        <v>2.0111653701195102E-3</v>
      </c>
      <c r="F11" s="170">
        <v>-3.0709262345742761E-7</v>
      </c>
      <c r="G11" s="169">
        <v>1.4325144135226059E-11</v>
      </c>
      <c r="J11" s="146"/>
      <c r="O11" s="157">
        <v>76.75084997835306</v>
      </c>
      <c r="P11" s="157">
        <v>3.5072283984146982E-2</v>
      </c>
      <c r="Q11" s="157">
        <v>56.494941386998597</v>
      </c>
      <c r="R11" s="157">
        <v>6.3631390354086409E-2</v>
      </c>
      <c r="S11" s="157"/>
    </row>
    <row r="12" spans="2:19" x14ac:dyDescent="0.3">
      <c r="D12" s="167" t="s">
        <v>133</v>
      </c>
      <c r="E12" s="167">
        <v>31.3</v>
      </c>
      <c r="F12" s="167">
        <v>-1.58</v>
      </c>
      <c r="J12" s="146"/>
      <c r="O12" s="157">
        <v>87.210974546743557</v>
      </c>
      <c r="P12" s="157">
        <v>3.0207645977385542E-2</v>
      </c>
      <c r="Q12" s="157">
        <v>66.699385197396992</v>
      </c>
      <c r="R12" s="157">
        <v>4.8062113370621579E-2</v>
      </c>
      <c r="S12" s="157"/>
    </row>
    <row r="13" spans="2:19" x14ac:dyDescent="0.3">
      <c r="D13" s="167" t="s">
        <v>27</v>
      </c>
      <c r="E13" s="167">
        <v>460.8</v>
      </c>
      <c r="J13" s="146"/>
      <c r="O13" s="157">
        <v>93.835177516070971</v>
      </c>
      <c r="P13" s="157">
        <v>2.7768510934620131E-2</v>
      </c>
      <c r="Q13" s="157">
        <v>73.161670282743401</v>
      </c>
      <c r="R13" s="157">
        <v>3.9676981378982325E-2</v>
      </c>
      <c r="S13" s="157"/>
    </row>
    <row r="14" spans="2:19" x14ac:dyDescent="0.3">
      <c r="D14" s="167" t="s">
        <v>92</v>
      </c>
      <c r="E14" s="167">
        <v>6.9658921582847581E-4</v>
      </c>
      <c r="F14" s="167">
        <v>-1.9381907115184841E-7</v>
      </c>
      <c r="G14" s="167">
        <v>1.782679103068748E-11</v>
      </c>
      <c r="J14" s="146"/>
      <c r="O14" s="157">
        <v>95.760447741647312</v>
      </c>
      <c r="P14" s="157">
        <v>2.7131780912102672E-2</v>
      </c>
      <c r="Q14" s="157">
        <v>75.03988040426492</v>
      </c>
      <c r="R14" s="157">
        <v>3.7281900353922377E-2</v>
      </c>
      <c r="S14" s="157"/>
    </row>
    <row r="15" spans="2:19" x14ac:dyDescent="0.3">
      <c r="D15" s="168" t="s">
        <v>202</v>
      </c>
      <c r="E15" s="167">
        <v>-0.65641091051665401</v>
      </c>
      <c r="J15" s="146"/>
      <c r="O15" s="157">
        <v>98.439901626636328</v>
      </c>
      <c r="P15" s="157">
        <v>2.6292721207050156E-2</v>
      </c>
      <c r="Q15" s="157"/>
      <c r="R15" s="157"/>
      <c r="S15" s="157"/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61"/>
  <sheetViews>
    <sheetView workbookViewId="0">
      <pane ySplit="1" topLeftCell="A20" activePane="bottomLeft" state="frozen"/>
      <selection pane="bottomLeft" activeCell="M6" sqref="M6"/>
    </sheetView>
  </sheetViews>
  <sheetFormatPr defaultRowHeight="15" x14ac:dyDescent="0.25"/>
  <cols>
    <col min="2" max="2" width="7.140625" bestFit="1" customWidth="1"/>
    <col min="3" max="3" width="6.85546875" style="1" customWidth="1"/>
    <col min="4" max="4" width="6.42578125" style="1" customWidth="1"/>
    <col min="5" max="6" width="6.28515625" style="1" customWidth="1"/>
    <col min="7" max="7" width="5" style="1" bestFit="1" customWidth="1"/>
    <col min="8" max="8" width="6.42578125" style="1" bestFit="1" customWidth="1"/>
    <col min="9" max="9" width="5.42578125" style="1" customWidth="1"/>
    <col min="10" max="10" width="7.140625" style="1" customWidth="1"/>
    <col min="11" max="12" width="5.140625" style="1" customWidth="1"/>
    <col min="13" max="13" width="6.7109375" style="1" customWidth="1"/>
    <col min="14" max="14" width="4.7109375" style="1" customWidth="1"/>
    <col min="15" max="15" width="7.28515625" style="1" bestFit="1" customWidth="1"/>
    <col min="16" max="17" width="6.28515625" style="1" customWidth="1"/>
    <col min="18" max="18" width="4.28515625" style="1" customWidth="1"/>
    <col min="19" max="19" width="8" style="1" customWidth="1"/>
    <col min="20" max="20" width="7.7109375" customWidth="1"/>
    <col min="22" max="22" width="9.85546875" bestFit="1" customWidth="1"/>
    <col min="23" max="23" width="10.7109375" customWidth="1"/>
    <col min="24" max="24" width="6.5703125" bestFit="1" customWidth="1"/>
    <col min="25" max="26" width="9.7109375" customWidth="1"/>
    <col min="27" max="27" width="7.85546875" customWidth="1"/>
    <col min="28" max="32" width="10" customWidth="1"/>
    <col min="33" max="34" width="11.5703125" customWidth="1"/>
    <col min="35" max="35" width="8.7109375" customWidth="1"/>
    <col min="36" max="36" width="11.5703125" bestFit="1" customWidth="1"/>
    <col min="37" max="37" width="9.7109375" customWidth="1"/>
    <col min="42" max="42" width="12" bestFit="1" customWidth="1"/>
    <col min="46" max="46" width="12" bestFit="1" customWidth="1"/>
  </cols>
  <sheetData>
    <row r="1" spans="1:49" ht="72" x14ac:dyDescent="0.3">
      <c r="A1" t="s">
        <v>39</v>
      </c>
      <c r="B1" s="74" t="s">
        <v>50</v>
      </c>
      <c r="C1" s="75" t="s">
        <v>0</v>
      </c>
      <c r="D1" s="75" t="s">
        <v>1</v>
      </c>
      <c r="E1" s="75" t="s">
        <v>10</v>
      </c>
      <c r="F1" s="75" t="s">
        <v>11</v>
      </c>
      <c r="G1" s="75" t="s">
        <v>23</v>
      </c>
      <c r="H1" s="75" t="s">
        <v>110</v>
      </c>
      <c r="I1" s="76" t="s">
        <v>2</v>
      </c>
      <c r="J1" s="4" t="s">
        <v>12</v>
      </c>
      <c r="K1" s="4" t="s">
        <v>7</v>
      </c>
      <c r="L1" s="4" t="s">
        <v>61</v>
      </c>
      <c r="M1" s="4" t="s">
        <v>24</v>
      </c>
      <c r="N1" s="4" t="s">
        <v>115</v>
      </c>
      <c r="O1" s="4" t="s">
        <v>25</v>
      </c>
      <c r="P1" s="4" t="s">
        <v>111</v>
      </c>
      <c r="Q1" s="4" t="s">
        <v>26</v>
      </c>
      <c r="R1" s="4" t="s">
        <v>100</v>
      </c>
      <c r="S1" s="4" t="s">
        <v>7</v>
      </c>
      <c r="T1" s="4" t="str">
        <f t="shared" ref="T1:T14" si="0">J1</f>
        <v>Charger Pwr, W</v>
      </c>
      <c r="U1" s="4" t="s">
        <v>45</v>
      </c>
      <c r="V1" s="4" t="s">
        <v>46</v>
      </c>
      <c r="W1" s="4" t="s">
        <v>47</v>
      </c>
      <c r="X1" s="4" t="s">
        <v>78</v>
      </c>
      <c r="Y1" s="4" t="s">
        <v>118</v>
      </c>
      <c r="Z1" s="4" t="s">
        <v>119</v>
      </c>
      <c r="AA1" s="4" t="s">
        <v>120</v>
      </c>
      <c r="AB1" s="4"/>
      <c r="AF1" s="4" t="s">
        <v>66</v>
      </c>
      <c r="AG1" s="4" t="s">
        <v>63</v>
      </c>
      <c r="AH1" s="4" t="s">
        <v>67</v>
      </c>
      <c r="AI1" s="4" t="s">
        <v>64</v>
      </c>
      <c r="AJ1" s="4" t="s">
        <v>107</v>
      </c>
      <c r="AK1" s="4" t="s">
        <v>108</v>
      </c>
      <c r="AL1" s="4" t="s">
        <v>101</v>
      </c>
      <c r="AM1" s="4" t="s">
        <v>102</v>
      </c>
      <c r="AN1" s="4" t="s">
        <v>88</v>
      </c>
      <c r="AO1" s="4" t="s">
        <v>85</v>
      </c>
      <c r="AP1" s="4" t="s">
        <v>84</v>
      </c>
      <c r="AQ1" s="4" t="s">
        <v>81</v>
      </c>
      <c r="AR1" s="4" t="s">
        <v>103</v>
      </c>
      <c r="AS1" s="4" t="s">
        <v>104</v>
      </c>
      <c r="AT1" s="4" t="s">
        <v>105</v>
      </c>
      <c r="AU1" s="4" t="s">
        <v>99</v>
      </c>
      <c r="AV1" s="4" t="s">
        <v>82</v>
      </c>
      <c r="AW1" s="4" t="s">
        <v>83</v>
      </c>
    </row>
    <row r="2" spans="1:49" ht="14.45" x14ac:dyDescent="0.3">
      <c r="B2" s="113">
        <f>C2/180+1</f>
        <v>1.0000055555555556</v>
      </c>
      <c r="C2" s="110">
        <v>1E-3</v>
      </c>
      <c r="D2" s="110"/>
      <c r="E2" s="110"/>
      <c r="F2" s="110"/>
      <c r="G2" s="110"/>
      <c r="H2" s="110"/>
      <c r="I2" s="114"/>
      <c r="J2" s="4"/>
      <c r="K2" s="1">
        <f t="shared" ref="K2:K14" si="1">C2</f>
        <v>1E-3</v>
      </c>
      <c r="L2" s="1">
        <f>LN(K2)</f>
        <v>-6.9077552789821368</v>
      </c>
      <c r="M2" s="3"/>
      <c r="N2" s="4"/>
      <c r="O2" s="4">
        <v>0</v>
      </c>
      <c r="P2" s="4">
        <v>0</v>
      </c>
      <c r="Q2" s="3">
        <f t="shared" ref="Q2:Q14" si="2">O2/$W$40*100</f>
        <v>0</v>
      </c>
      <c r="R2" s="3">
        <f t="shared" ref="R2:R14" si="3">P2/$W$40*100</f>
        <v>0</v>
      </c>
      <c r="S2" s="3">
        <f t="shared" ref="S2:S14" si="4">K2</f>
        <v>1E-3</v>
      </c>
      <c r="T2" s="4">
        <f t="shared" si="0"/>
        <v>0</v>
      </c>
      <c r="U2">
        <f>T2*0.001341022</f>
        <v>0</v>
      </c>
      <c r="X2" s="4"/>
      <c r="Y2" s="4"/>
      <c r="Z2" s="4"/>
      <c r="AA2" s="4"/>
      <c r="AB2" s="97"/>
      <c r="AF2" s="95">
        <f t="shared" ref="AF2:AF8" si="5">C2/$AD$32*$AD$27</f>
        <v>2.7777777777777779E-5</v>
      </c>
      <c r="AG2" s="95">
        <f t="shared" ref="AG2:AG14" si="6">AF2/$AD$27*$AD$32</f>
        <v>1E-3</v>
      </c>
      <c r="AH2" s="96">
        <f t="shared" ref="AH2:AH14" si="7">MAX(($AD$35+$AE$35*LN($AG2)),0)</f>
        <v>0</v>
      </c>
      <c r="AI2" s="96">
        <f>MAX(($AD$35+$AE$35*LN($AG2))/$AD$31,0)</f>
        <v>0</v>
      </c>
      <c r="AJ2" s="96">
        <f t="shared" ref="AJ2:AJ14" si="8">($AD$36+$AE$36*AI2*$AD$31)/$AD$31</f>
        <v>-22.202069774198112</v>
      </c>
      <c r="AK2" s="96">
        <f t="shared" ref="AK2:AK14" si="9">($AD$37+$AE$37*AJ2*$AD$31)/$AD$31</f>
        <v>0.53820371820708912</v>
      </c>
      <c r="AM2">
        <f>MAX($AD$36+$AE$36*AH2, 0)</f>
        <v>0</v>
      </c>
      <c r="AN2" s="127">
        <f>MAX($AD$39+$AH2*($AE$39+$AH2*$AF$39), 0)</f>
        <v>0</v>
      </c>
      <c r="AO2" s="127"/>
      <c r="AP2" s="127"/>
      <c r="AR2" s="127">
        <f>MAX($AD$39+$AM2*($AE$39+$AM2*$AF$39), 0)</f>
        <v>0</v>
      </c>
      <c r="AS2" s="127">
        <f>AR2/MAX(AM2,0.00000001)*5252</f>
        <v>0</v>
      </c>
      <c r="AT2" s="127"/>
    </row>
    <row r="3" spans="1:49" ht="14.45" x14ac:dyDescent="0.3">
      <c r="B3" s="113">
        <f>C3/180+1</f>
        <v>1.0408972290491105</v>
      </c>
      <c r="C3" s="111">
        <f>EXP((0-$AD$35)/$AE$35)</f>
        <v>7.361501228839896</v>
      </c>
      <c r="D3" s="110"/>
      <c r="E3" s="110"/>
      <c r="F3" s="110"/>
      <c r="G3" s="110"/>
      <c r="H3" s="110"/>
      <c r="I3" s="114"/>
      <c r="J3" s="4"/>
      <c r="K3" s="1">
        <f>C3</f>
        <v>7.361501228839896</v>
      </c>
      <c r="L3" s="1">
        <f>LN(K3)</f>
        <v>1.9962638832512341</v>
      </c>
      <c r="M3" s="3"/>
      <c r="N3" s="4"/>
      <c r="O3" s="4">
        <v>0</v>
      </c>
      <c r="P3" s="4">
        <v>0</v>
      </c>
      <c r="Q3" s="3">
        <f t="shared" si="2"/>
        <v>0</v>
      </c>
      <c r="R3" s="3">
        <f t="shared" si="3"/>
        <v>0</v>
      </c>
      <c r="S3" s="3">
        <f t="shared" si="4"/>
        <v>7.361501228839896</v>
      </c>
      <c r="T3" s="4">
        <f t="shared" si="0"/>
        <v>0</v>
      </c>
      <c r="U3">
        <f>T3*0.001341022</f>
        <v>0</v>
      </c>
      <c r="X3" s="4"/>
      <c r="Y3" s="4"/>
      <c r="Z3" s="4"/>
      <c r="AA3" s="4"/>
      <c r="AB3" s="97"/>
      <c r="AF3" s="95">
        <f t="shared" si="5"/>
        <v>0.20448614524555267</v>
      </c>
      <c r="AG3" s="95">
        <f t="shared" si="6"/>
        <v>7.361501228839896</v>
      </c>
      <c r="AH3" s="96">
        <f t="shared" si="7"/>
        <v>0</v>
      </c>
      <c r="AI3" s="96">
        <f t="shared" ref="AI3:AI14" si="10">MAX(($AD$35+$AE$35*LN(AG3))/$AD$31,0)</f>
        <v>0</v>
      </c>
      <c r="AJ3" s="96">
        <f t="shared" si="8"/>
        <v>-22.202069774198112</v>
      </c>
      <c r="AK3" s="96">
        <f t="shared" si="9"/>
        <v>0.53820371820708912</v>
      </c>
      <c r="AM3">
        <f>MAX($AD$36+$AE$36*AH3, 0)</f>
        <v>0</v>
      </c>
      <c r="AN3" s="127">
        <f t="shared" ref="AN3:AN14" si="11">MAX($AD$39+$AH3*($AE$39+$AH3*$AF$39), 0)</f>
        <v>0</v>
      </c>
      <c r="AO3" s="127"/>
      <c r="AP3" t="e">
        <f>AO3/AH3*2</f>
        <v>#DIV/0!</v>
      </c>
      <c r="AR3" s="127">
        <f t="shared" ref="AR3:AR14" si="12">MAX($AD$39+$AM3*($AE$39+$AM3*$AF$39), 0)</f>
        <v>0</v>
      </c>
      <c r="AS3" s="127">
        <f t="shared" ref="AS3:AS14" si="13">AR3/MAX(AM3,0.00000001)*5252</f>
        <v>0</v>
      </c>
      <c r="AT3" s="127"/>
    </row>
    <row r="4" spans="1:49" ht="14.45" x14ac:dyDescent="0.3">
      <c r="B4" s="113">
        <f>C4/180+1</f>
        <v>1.0444444444444445</v>
      </c>
      <c r="C4" s="109">
        <v>8</v>
      </c>
      <c r="D4" s="109">
        <v>3.0000000000000001E-3</v>
      </c>
      <c r="E4" s="109">
        <v>13.8</v>
      </c>
      <c r="F4" s="112">
        <v>0.43</v>
      </c>
      <c r="G4" s="109">
        <v>6700</v>
      </c>
      <c r="H4" s="105">
        <v>100000000</v>
      </c>
      <c r="I4" s="115">
        <v>0</v>
      </c>
      <c r="J4" s="2">
        <f>E4*F4</f>
        <v>5.9340000000000002</v>
      </c>
      <c r="K4" s="1">
        <f t="shared" si="1"/>
        <v>8</v>
      </c>
      <c r="L4" s="1">
        <f>LN(K4)</f>
        <v>2.0794415416798357</v>
      </c>
      <c r="M4" s="3">
        <f t="shared" ref="M4:N13" si="14">1/G4/0.000001</f>
        <v>149.25373134328359</v>
      </c>
      <c r="N4" s="3">
        <f t="shared" si="14"/>
        <v>0.01</v>
      </c>
      <c r="O4" s="3">
        <f t="shared" ref="O4:O13" si="15">M4*60/$W$27</f>
        <v>8955.2238805970155</v>
      </c>
      <c r="P4" s="3">
        <f t="shared" ref="P4:P13" si="16">N4*60/$W$27</f>
        <v>0.6</v>
      </c>
      <c r="Q4" s="3">
        <f t="shared" si="2"/>
        <v>19.434079601990049</v>
      </c>
      <c r="R4" s="3">
        <f t="shared" si="3"/>
        <v>1.3020833333333333E-3</v>
      </c>
      <c r="S4" s="3">
        <f t="shared" si="4"/>
        <v>8</v>
      </c>
      <c r="T4" s="4">
        <f t="shared" si="0"/>
        <v>5.9340000000000002</v>
      </c>
      <c r="U4">
        <f>T4*0.001341022</f>
        <v>7.9576245480000012E-3</v>
      </c>
      <c r="V4" s="127">
        <f t="shared" ref="V4:V13" si="17">U4/O4*5252</f>
        <v>4.6669345940807206E-3</v>
      </c>
      <c r="W4">
        <f t="shared" ref="W4:W13" si="18">-V4/2/O4</f>
        <v>-2.6057051483617353E-7</v>
      </c>
      <c r="X4" s="4"/>
      <c r="Y4" s="4"/>
      <c r="Z4" s="4"/>
      <c r="AA4" s="4"/>
      <c r="AB4" s="97"/>
      <c r="AF4" s="95">
        <f t="shared" si="5"/>
        <v>0.22222222222222224</v>
      </c>
      <c r="AG4" s="95">
        <f t="shared" si="6"/>
        <v>8</v>
      </c>
      <c r="AH4" s="96">
        <f t="shared" si="7"/>
        <v>1180.2918436956534</v>
      </c>
      <c r="AI4" s="96">
        <f t="shared" si="10"/>
        <v>2.5613972302423034</v>
      </c>
      <c r="AJ4" s="96">
        <f t="shared" si="8"/>
        <v>-19.579847910331843</v>
      </c>
      <c r="AK4" s="96">
        <f t="shared" si="9"/>
        <v>3.0771780157392215</v>
      </c>
      <c r="AM4">
        <f>MAX($AD$36+$AE$36*AH4, 0)</f>
        <v>0</v>
      </c>
      <c r="AN4" s="127">
        <f t="shared" si="11"/>
        <v>0</v>
      </c>
      <c r="AO4" s="127">
        <f>AN4/AH4*5252</f>
        <v>0</v>
      </c>
      <c r="AP4">
        <f>AO4/AH4*2</f>
        <v>0</v>
      </c>
      <c r="AQ4" s="95"/>
      <c r="AR4" s="127">
        <f t="shared" si="12"/>
        <v>0</v>
      </c>
      <c r="AS4" s="127">
        <f t="shared" si="13"/>
        <v>0</v>
      </c>
      <c r="AU4" s="95"/>
      <c r="AV4" s="128">
        <f>$W$31/$W$30</f>
        <v>1.0526315789473683E-4</v>
      </c>
      <c r="AW4" t="e">
        <f t="shared" ref="AW4:AW14" si="19">$W$33/$W$30/$W$28/AP4</f>
        <v>#DIV/0!</v>
      </c>
    </row>
    <row r="5" spans="1:49" ht="15" customHeight="1" x14ac:dyDescent="0.3">
      <c r="B5" s="113">
        <f t="shared" ref="B5:B24" si="20">C5/180+1</f>
        <v>1.0722222222222222</v>
      </c>
      <c r="C5" s="73">
        <v>13</v>
      </c>
      <c r="D5" s="109">
        <v>3.0000000000000001E-3</v>
      </c>
      <c r="E5" s="73">
        <v>13.8</v>
      </c>
      <c r="F5" s="106">
        <v>0.53600000000000003</v>
      </c>
      <c r="G5" s="73">
        <v>4620</v>
      </c>
      <c r="H5" s="105">
        <v>100000000</v>
      </c>
      <c r="I5" s="78">
        <v>0</v>
      </c>
      <c r="J5" s="2">
        <f>E5*F5</f>
        <v>7.3968000000000007</v>
      </c>
      <c r="K5" s="1">
        <f t="shared" si="1"/>
        <v>13</v>
      </c>
      <c r="L5" s="1">
        <f t="shared" ref="L5:L14" si="21">LN(K5)</f>
        <v>2.5649493574615367</v>
      </c>
      <c r="M5" s="3">
        <f t="shared" si="14"/>
        <v>216.45021645021646</v>
      </c>
      <c r="N5" s="3">
        <f t="shared" si="14"/>
        <v>0.01</v>
      </c>
      <c r="O5" s="3">
        <f t="shared" si="15"/>
        <v>12987.012987012988</v>
      </c>
      <c r="P5" s="3">
        <f t="shared" si="16"/>
        <v>0.6</v>
      </c>
      <c r="Q5" s="3">
        <f t="shared" si="2"/>
        <v>28.183621933621932</v>
      </c>
      <c r="R5" s="3">
        <f t="shared" si="3"/>
        <v>1.3020833333333333E-3</v>
      </c>
      <c r="S5" s="3">
        <f t="shared" si="4"/>
        <v>13</v>
      </c>
      <c r="T5" s="4">
        <f t="shared" si="0"/>
        <v>7.3968000000000007</v>
      </c>
      <c r="U5">
        <f>T5*0.001341022</f>
        <v>9.9192715296000013E-3</v>
      </c>
      <c r="V5" s="127">
        <f t="shared" si="17"/>
        <v>4.011393083656359E-3</v>
      </c>
      <c r="W5">
        <f t="shared" si="18"/>
        <v>-1.5443863372076981E-7</v>
      </c>
      <c r="AB5" s="97"/>
      <c r="AF5" s="95">
        <f t="shared" si="5"/>
        <v>0.36111111111111105</v>
      </c>
      <c r="AG5" s="95">
        <f t="shared" si="6"/>
        <v>12.999999999999998</v>
      </c>
      <c r="AH5" s="96">
        <f t="shared" si="7"/>
        <v>8069.6528312921109</v>
      </c>
      <c r="AI5" s="96">
        <f t="shared" si="10"/>
        <v>17.512267429019339</v>
      </c>
      <c r="AJ5" s="96">
        <f t="shared" si="8"/>
        <v>-4.2739444541345701</v>
      </c>
      <c r="AK5" s="96">
        <f t="shared" si="9"/>
        <v>17.897165603858483</v>
      </c>
      <c r="AM5">
        <f>MAX($AD$36+$AE$36*AH5, 0)</f>
        <v>0</v>
      </c>
      <c r="AN5" s="127">
        <f t="shared" si="11"/>
        <v>0</v>
      </c>
      <c r="AO5" s="127">
        <f>AN5/AH5*5252</f>
        <v>0</v>
      </c>
      <c r="AP5">
        <f t="shared" ref="AP5:AP14" si="22">AO5/AH5*2</f>
        <v>0</v>
      </c>
      <c r="AQ5" s="95"/>
      <c r="AR5" s="127">
        <f t="shared" si="12"/>
        <v>0</v>
      </c>
      <c r="AS5" s="127">
        <f t="shared" si="13"/>
        <v>0</v>
      </c>
      <c r="AU5" s="95"/>
      <c r="AV5" s="128">
        <f t="shared" ref="AV5:AV14" si="23">$W$31/$W$30</f>
        <v>1.0526315789473683E-4</v>
      </c>
      <c r="AW5" t="e">
        <f t="shared" si="19"/>
        <v>#DIV/0!</v>
      </c>
    </row>
    <row r="6" spans="1:49" ht="15" customHeight="1" x14ac:dyDescent="0.3">
      <c r="B6" s="113">
        <f t="shared" si="20"/>
        <v>1.1388888888888888</v>
      </c>
      <c r="C6" s="73">
        <v>25</v>
      </c>
      <c r="D6" s="109">
        <v>0.66800000000000004</v>
      </c>
      <c r="E6" s="73">
        <v>13.77</v>
      </c>
      <c r="F6" s="106">
        <v>1.48</v>
      </c>
      <c r="G6" s="73">
        <v>3260</v>
      </c>
      <c r="H6" s="105">
        <v>6410</v>
      </c>
      <c r="I6" s="78">
        <v>4.08</v>
      </c>
      <c r="J6" s="2">
        <f>E6*F6</f>
        <v>20.3796</v>
      </c>
      <c r="K6" s="1">
        <f>C6</f>
        <v>25</v>
      </c>
      <c r="L6" s="1">
        <f>LN(K6)</f>
        <v>3.2188758248682006</v>
      </c>
      <c r="M6" s="3">
        <f>1/G6/0.000001</f>
        <v>306.74846625766872</v>
      </c>
      <c r="N6" s="3">
        <f>1/H6/0.000001</f>
        <v>156.00624024960999</v>
      </c>
      <c r="O6" s="3">
        <f t="shared" si="15"/>
        <v>18404.907975460123</v>
      </c>
      <c r="P6" s="3">
        <f t="shared" si="16"/>
        <v>9360.3744149765989</v>
      </c>
      <c r="Q6" s="3">
        <f t="shared" si="2"/>
        <v>39.941206543967276</v>
      </c>
      <c r="R6" s="3">
        <f t="shared" si="3"/>
        <v>20.3133125325013</v>
      </c>
      <c r="S6" s="3">
        <f t="shared" si="4"/>
        <v>25</v>
      </c>
      <c r="T6" s="4">
        <f t="shared" si="0"/>
        <v>20.3796</v>
      </c>
      <c r="U6">
        <f>T6*0.001341022</f>
        <v>2.7329491951200002E-2</v>
      </c>
      <c r="V6" s="127">
        <f t="shared" si="17"/>
        <v>7.7987073838718312E-3</v>
      </c>
      <c r="W6">
        <f t="shared" si="18"/>
        <v>-2.118648839285181E-7</v>
      </c>
      <c r="AB6" s="97"/>
      <c r="AF6" s="95">
        <f t="shared" si="5"/>
        <v>0.69444444444444442</v>
      </c>
      <c r="AG6" s="95">
        <f t="shared" si="6"/>
        <v>25</v>
      </c>
      <c r="AH6" s="96">
        <f t="shared" si="7"/>
        <v>17348.876248230645</v>
      </c>
      <c r="AI6" s="96">
        <f t="shared" si="10"/>
        <v>37.649471024806083</v>
      </c>
      <c r="AJ6" s="96">
        <f t="shared" si="8"/>
        <v>16.341450503953713</v>
      </c>
      <c r="AK6" s="96">
        <f t="shared" si="9"/>
        <v>37.858084492272184</v>
      </c>
      <c r="AM6">
        <f>MAX($AD$36+$AE$36*AH6, 0)</f>
        <v>7530.1403922218742</v>
      </c>
      <c r="AN6" s="127">
        <f t="shared" si="11"/>
        <v>1.4843385324309564E-2</v>
      </c>
      <c r="AO6" s="127">
        <f>AN6/AH6*5252</f>
        <v>4.4935163873351426E-3</v>
      </c>
      <c r="AP6">
        <f t="shared" si="22"/>
        <v>5.1801814976845215E-7</v>
      </c>
      <c r="AQ6" s="95">
        <f t="shared" ref="AQ6:AQ13" si="24">$W$34/AP6</f>
        <v>8.6869543123372139E-2</v>
      </c>
      <c r="AR6" s="127">
        <f t="shared" si="12"/>
        <v>0</v>
      </c>
      <c r="AS6" s="127">
        <f t="shared" si="13"/>
        <v>0</v>
      </c>
      <c r="AT6">
        <f t="shared" ref="AT6:AT14" si="25">AS6/AM6*2</f>
        <v>0</v>
      </c>
      <c r="AU6" s="95"/>
      <c r="AV6" s="128">
        <f t="shared" si="23"/>
        <v>1.0526315789473683E-4</v>
      </c>
      <c r="AW6">
        <f t="shared" si="19"/>
        <v>140.36831132451306</v>
      </c>
    </row>
    <row r="7" spans="1:49" ht="13.9" customHeight="1" x14ac:dyDescent="0.3">
      <c r="B7" s="113">
        <f t="shared" si="20"/>
        <v>1.1944444444444444</v>
      </c>
      <c r="C7" s="73">
        <v>35</v>
      </c>
      <c r="D7" s="73">
        <v>0.98599999999999999</v>
      </c>
      <c r="E7" s="73">
        <v>13.69</v>
      </c>
      <c r="F7" s="73">
        <v>2.19</v>
      </c>
      <c r="G7" s="73">
        <v>2680</v>
      </c>
      <c r="H7" s="73">
        <v>4532</v>
      </c>
      <c r="I7" s="78">
        <v>6.04</v>
      </c>
      <c r="J7" s="2">
        <f t="shared" ref="J7:J13" si="26">E7*F7</f>
        <v>29.981099999999998</v>
      </c>
      <c r="K7" s="1">
        <f t="shared" si="1"/>
        <v>35</v>
      </c>
      <c r="L7" s="1">
        <f t="shared" si="21"/>
        <v>3.5553480614894135</v>
      </c>
      <c r="M7" s="3">
        <f t="shared" si="14"/>
        <v>373.13432835820896</v>
      </c>
      <c r="N7" s="3">
        <f t="shared" si="14"/>
        <v>220.65313327449252</v>
      </c>
      <c r="O7" s="3">
        <f t="shared" si="15"/>
        <v>22388.059701492537</v>
      </c>
      <c r="P7" s="3">
        <f t="shared" si="16"/>
        <v>13239.187996469551</v>
      </c>
      <c r="Q7" s="3">
        <f t="shared" si="2"/>
        <v>48.585199004975124</v>
      </c>
      <c r="R7" s="3">
        <f t="shared" si="3"/>
        <v>28.730876728449545</v>
      </c>
      <c r="S7" s="3">
        <f t="shared" si="4"/>
        <v>35</v>
      </c>
      <c r="T7" s="4">
        <f t="shared" si="0"/>
        <v>29.981099999999998</v>
      </c>
      <c r="U7">
        <f t="shared" ref="U7:U13" si="27">T7*0.001341022</f>
        <v>4.0205314684200001E-2</v>
      </c>
      <c r="V7" s="127">
        <f t="shared" si="17"/>
        <v>9.4317379682233565E-3</v>
      </c>
      <c r="W7">
        <f t="shared" si="18"/>
        <v>-2.106421479569883E-7</v>
      </c>
      <c r="X7">
        <v>0.18</v>
      </c>
      <c r="Y7">
        <f t="shared" ref="Y7:Y12" si="28">-X7*W7</f>
        <v>3.7915586632257891E-8</v>
      </c>
      <c r="Z7">
        <f t="shared" ref="Z7:Z12" si="29">Y7/6.66*2048.5</f>
        <v>1.1662174056483527E-5</v>
      </c>
      <c r="AA7">
        <f t="shared" ref="AA7:AA12" si="30">Z7*144</f>
        <v>1.6793530641336278E-3</v>
      </c>
      <c r="AB7" s="97"/>
      <c r="AF7" s="95">
        <f t="shared" si="5"/>
        <v>0.97222222222222221</v>
      </c>
      <c r="AG7" s="95">
        <f t="shared" si="6"/>
        <v>35</v>
      </c>
      <c r="AH7" s="96">
        <f t="shared" si="7"/>
        <v>22123.420807632323</v>
      </c>
      <c r="AI7" s="96">
        <f t="shared" si="10"/>
        <v>48.010895849896535</v>
      </c>
      <c r="AJ7" s="96">
        <f t="shared" si="8"/>
        <v>26.948924579573251</v>
      </c>
      <c r="AK7" s="96">
        <f t="shared" si="9"/>
        <v>48.128803538153008</v>
      </c>
      <c r="AM7">
        <f t="shared" ref="AM7:AM14" si="31">MAX($AD$36+$AE$36*AH7, 0)</f>
        <v>12418.064446267355</v>
      </c>
      <c r="AN7" s="127">
        <f t="shared" si="11"/>
        <v>3.8056725878256127E-2</v>
      </c>
      <c r="AO7" s="127">
        <f>AN7/AH7*5252</f>
        <v>9.0344945318604156E-3</v>
      </c>
      <c r="AP7">
        <f t="shared" si="22"/>
        <v>8.1673576707844562E-7</v>
      </c>
      <c r="AQ7" s="95">
        <f t="shared" si="24"/>
        <v>5.5097378875630716E-2</v>
      </c>
      <c r="AR7" s="127">
        <f t="shared" si="12"/>
        <v>0</v>
      </c>
      <c r="AS7" s="127">
        <f t="shared" si="13"/>
        <v>0</v>
      </c>
      <c r="AT7">
        <f t="shared" si="25"/>
        <v>0</v>
      </c>
      <c r="AU7" s="95"/>
      <c r="AV7" s="128">
        <f t="shared" si="23"/>
        <v>1.0526315789473683E-4</v>
      </c>
      <c r="AW7">
        <f t="shared" si="19"/>
        <v>89.02920118038908</v>
      </c>
    </row>
    <row r="8" spans="1:49" ht="13.9" customHeight="1" x14ac:dyDescent="0.3">
      <c r="B8" s="113">
        <f>C8/180+1</f>
        <v>1.3</v>
      </c>
      <c r="C8" s="73">
        <v>54</v>
      </c>
      <c r="D8" s="73">
        <v>1.375</v>
      </c>
      <c r="E8" s="73">
        <v>13.62</v>
      </c>
      <c r="F8" s="73">
        <v>3.93</v>
      </c>
      <c r="G8" s="73">
        <v>2150</v>
      </c>
      <c r="H8" s="73">
        <v>3180</v>
      </c>
      <c r="I8" s="78">
        <v>8.24</v>
      </c>
      <c r="J8" s="2">
        <f>E8*F8</f>
        <v>53.526600000000002</v>
      </c>
      <c r="K8" s="1">
        <f>C8</f>
        <v>54</v>
      </c>
      <c r="L8" s="1">
        <f>LN(K8)</f>
        <v>3.9889840465642745</v>
      </c>
      <c r="M8" s="3">
        <f>1/G8/0.000001</f>
        <v>465.11627906976747</v>
      </c>
      <c r="N8" s="3">
        <f>1/H8/0.000001</f>
        <v>314.46540880503147</v>
      </c>
      <c r="O8" s="3">
        <f t="shared" si="15"/>
        <v>27906.976744186049</v>
      </c>
      <c r="P8" s="3">
        <f t="shared" si="16"/>
        <v>18867.92452830189</v>
      </c>
      <c r="Q8" s="3">
        <f t="shared" si="2"/>
        <v>60.562015503875976</v>
      </c>
      <c r="R8" s="3">
        <f t="shared" si="3"/>
        <v>40.946016771488473</v>
      </c>
      <c r="S8" s="3">
        <f t="shared" si="4"/>
        <v>54</v>
      </c>
      <c r="T8" s="4">
        <f t="shared" si="0"/>
        <v>53.526600000000002</v>
      </c>
      <c r="U8">
        <f>T8*0.001341022</f>
        <v>7.1780348185200002E-2</v>
      </c>
      <c r="V8" s="127">
        <f t="shared" si="17"/>
        <v>1.3508822260627353E-2</v>
      </c>
      <c r="W8">
        <f t="shared" si="18"/>
        <v>-2.4203306550290671E-7</v>
      </c>
      <c r="X8">
        <v>0.18</v>
      </c>
      <c r="Y8">
        <f>-X8*W8</f>
        <v>4.3565951790523206E-8</v>
      </c>
      <c r="Z8">
        <f>Y8/6.66*2048.5</f>
        <v>1.3400127964397415E-5</v>
      </c>
      <c r="AA8">
        <f>Z8*144</f>
        <v>1.9296184268732279E-3</v>
      </c>
      <c r="AB8" s="97"/>
      <c r="AF8" s="95">
        <f t="shared" si="5"/>
        <v>1.5</v>
      </c>
      <c r="AG8" s="95">
        <f t="shared" si="6"/>
        <v>54</v>
      </c>
      <c r="AH8" s="96">
        <f t="shared" si="7"/>
        <v>28276.719974572956</v>
      </c>
      <c r="AI8" s="96">
        <f t="shared" si="10"/>
        <v>61.364409667042004</v>
      </c>
      <c r="AJ8" s="96">
        <f t="shared" si="8"/>
        <v>40.619539772456378</v>
      </c>
      <c r="AK8" s="96">
        <f t="shared" si="9"/>
        <v>61.365418290119948</v>
      </c>
      <c r="AM8">
        <f t="shared" si="31"/>
        <v>18717.4839271479</v>
      </c>
      <c r="AN8" s="127">
        <f t="shared" si="11"/>
        <v>8.0150286593492603E-2</v>
      </c>
      <c r="AO8" s="127">
        <f>AN8/AH8*5252</f>
        <v>1.488677985167834E-2</v>
      </c>
      <c r="AP8">
        <f t="shared" si="22"/>
        <v>1.0529354087082843E-6</v>
      </c>
      <c r="AQ8" s="95">
        <f t="shared" si="24"/>
        <v>4.2737664274397333E-2</v>
      </c>
      <c r="AR8" s="127">
        <f t="shared" si="12"/>
        <v>2.0653285932688642E-2</v>
      </c>
      <c r="AS8" s="127">
        <f t="shared" si="13"/>
        <v>5.7951730126052873E-3</v>
      </c>
      <c r="AT8">
        <f t="shared" si="25"/>
        <v>6.1922564327141741E-7</v>
      </c>
      <c r="AU8" s="95">
        <f t="shared" ref="AU8:AU13" si="32">$W$34/AT8</f>
        <v>7.2671409023472425E-2</v>
      </c>
      <c r="AV8" s="128">
        <f t="shared" si="23"/>
        <v>1.0526315789473683E-4</v>
      </c>
      <c r="AW8">
        <f t="shared" si="19"/>
        <v>69.057733567578751</v>
      </c>
    </row>
    <row r="9" spans="1:49" ht="13.9" customHeight="1" x14ac:dyDescent="0.3">
      <c r="B9" s="113">
        <f>C9/180+1</f>
        <v>1.3555555555555556</v>
      </c>
      <c r="C9" s="73">
        <v>64</v>
      </c>
      <c r="D9" s="73">
        <v>1.49</v>
      </c>
      <c r="E9" s="73">
        <v>13.54</v>
      </c>
      <c r="F9" s="73">
        <v>4.6100000000000003</v>
      </c>
      <c r="G9" s="73">
        <v>2020</v>
      </c>
      <c r="H9" s="73">
        <v>2850</v>
      </c>
      <c r="I9" s="78">
        <v>8.8000000000000007</v>
      </c>
      <c r="J9" s="2">
        <f>E9*F9</f>
        <v>62.419400000000003</v>
      </c>
      <c r="K9" s="1">
        <f>C9</f>
        <v>64</v>
      </c>
      <c r="L9" s="1">
        <f>LN(K9)</f>
        <v>4.1588830833596715</v>
      </c>
      <c r="M9" s="3">
        <f>1/G9/0.000001</f>
        <v>495.04950495049508</v>
      </c>
      <c r="N9" s="3">
        <f>1/H9/0.000001</f>
        <v>350.87719298245611</v>
      </c>
      <c r="O9" s="3">
        <f t="shared" si="15"/>
        <v>29702.970297029704</v>
      </c>
      <c r="P9" s="3">
        <f t="shared" si="16"/>
        <v>21052.631578947367</v>
      </c>
      <c r="Q9" s="3">
        <f t="shared" si="2"/>
        <v>64.459570957095707</v>
      </c>
      <c r="R9" s="3">
        <f t="shared" si="3"/>
        <v>45.687134502923968</v>
      </c>
      <c r="S9" s="3">
        <f t="shared" si="4"/>
        <v>64</v>
      </c>
      <c r="T9" s="4">
        <f t="shared" si="0"/>
        <v>62.419400000000003</v>
      </c>
      <c r="U9">
        <f>T9*0.001341022</f>
        <v>8.3705788626800004E-2</v>
      </c>
      <c r="V9" s="127">
        <f t="shared" si="17"/>
        <v>1.4800634329554439E-2</v>
      </c>
      <c r="W9">
        <f t="shared" si="18"/>
        <v>-2.4914401121416636E-7</v>
      </c>
      <c r="X9">
        <v>0.18</v>
      </c>
      <c r="Y9">
        <f>-X9*W9</f>
        <v>4.484592201854994E-8</v>
      </c>
      <c r="Z9">
        <f>Y9/6.66*2048.5</f>
        <v>1.3793824512762695E-5</v>
      </c>
      <c r="AA9">
        <f>Z9*144</f>
        <v>1.986310729837828E-3</v>
      </c>
      <c r="AB9" s="97"/>
      <c r="AF9" s="95"/>
      <c r="AG9" s="134">
        <v>70.201599999999999</v>
      </c>
      <c r="AH9" s="135">
        <f t="shared" si="7"/>
        <v>31999.995048805355</v>
      </c>
      <c r="AI9" s="135">
        <f t="shared" si="10"/>
        <v>69.444433699664401</v>
      </c>
      <c r="AJ9" s="135">
        <f t="shared" si="8"/>
        <v>48.891437402681838</v>
      </c>
      <c r="AK9" s="135">
        <f t="shared" si="9"/>
        <v>69.374708336993905</v>
      </c>
      <c r="AL9" s="136"/>
      <c r="AM9" s="136">
        <f t="shared" si="31"/>
        <v>22529.174355155788</v>
      </c>
      <c r="AN9" s="137">
        <f t="shared" si="11"/>
        <v>0.11227974297099894</v>
      </c>
      <c r="AO9" s="137">
        <f t="shared" ref="AO9:AO14" si="33">AN9/AH9*5252</f>
        <v>1.8427915666371371E-2</v>
      </c>
      <c r="AP9" s="136">
        <f t="shared" si="22"/>
        <v>1.1517449073517487E-6</v>
      </c>
      <c r="AQ9" s="134">
        <f t="shared" si="24"/>
        <v>3.9071151704477884E-2</v>
      </c>
      <c r="AR9" s="137">
        <f t="shared" si="12"/>
        <v>4.0410093517432376E-2</v>
      </c>
      <c r="AS9" s="137">
        <f t="shared" si="13"/>
        <v>9.4203989816868394E-3</v>
      </c>
      <c r="AT9" s="136">
        <f t="shared" si="25"/>
        <v>8.3628444018242383E-7</v>
      </c>
      <c r="AU9" s="134">
        <f t="shared" si="32"/>
        <v>5.3809443100703722E-2</v>
      </c>
      <c r="AV9" s="138">
        <f t="shared" si="23"/>
        <v>1.0526315789473683E-4</v>
      </c>
      <c r="AW9" s="136">
        <f t="shared" si="19"/>
        <v>63.133192475440495</v>
      </c>
    </row>
    <row r="10" spans="1:49" ht="13.9" customHeight="1" x14ac:dyDescent="0.3">
      <c r="B10" s="113">
        <f t="shared" si="20"/>
        <v>1.4944444444444445</v>
      </c>
      <c r="C10" s="73">
        <v>89</v>
      </c>
      <c r="D10" s="73">
        <v>1.81</v>
      </c>
      <c r="E10" s="73">
        <v>13.45</v>
      </c>
      <c r="F10" s="73">
        <v>6.61</v>
      </c>
      <c r="G10" s="73">
        <v>1770</v>
      </c>
      <c r="H10" s="73">
        <v>2400</v>
      </c>
      <c r="I10" s="78">
        <v>10.8</v>
      </c>
      <c r="J10" s="2">
        <f t="shared" si="26"/>
        <v>88.904499999999999</v>
      </c>
      <c r="K10" s="1">
        <f t="shared" si="1"/>
        <v>89</v>
      </c>
      <c r="L10" s="1">
        <f t="shared" si="21"/>
        <v>4.4886363697321396</v>
      </c>
      <c r="M10" s="3">
        <f t="shared" si="14"/>
        <v>564.9717514124294</v>
      </c>
      <c r="N10" s="3">
        <f t="shared" si="14"/>
        <v>416.66666666666669</v>
      </c>
      <c r="O10" s="3">
        <f t="shared" si="15"/>
        <v>33898.305084745763</v>
      </c>
      <c r="P10" s="3">
        <f t="shared" si="16"/>
        <v>25000</v>
      </c>
      <c r="Q10" s="3">
        <f t="shared" si="2"/>
        <v>73.56403013182674</v>
      </c>
      <c r="R10" s="3">
        <f t="shared" si="3"/>
        <v>54.253472222222221</v>
      </c>
      <c r="S10" s="3">
        <f t="shared" si="4"/>
        <v>89</v>
      </c>
      <c r="T10" s="4">
        <f t="shared" si="0"/>
        <v>88.904499999999999</v>
      </c>
      <c r="U10">
        <f t="shared" si="27"/>
        <v>0.11922289039900001</v>
      </c>
      <c r="V10" s="127">
        <f t="shared" si="17"/>
        <v>1.8471679301078667E-2</v>
      </c>
      <c r="W10">
        <f t="shared" si="18"/>
        <v>-2.7245726969091031E-7</v>
      </c>
      <c r="X10">
        <v>0.18</v>
      </c>
      <c r="Y10">
        <f t="shared" si="28"/>
        <v>4.9042308544363851E-8</v>
      </c>
      <c r="Z10">
        <f t="shared" si="29"/>
        <v>1.508455991788729E-5</v>
      </c>
      <c r="AA10">
        <f t="shared" si="30"/>
        <v>2.1721766281757697E-3</v>
      </c>
      <c r="AB10" s="97"/>
      <c r="AF10" s="95">
        <f>C10/$AD$32*$AD$27</f>
        <v>2.4722222222222223</v>
      </c>
      <c r="AG10" s="95">
        <f t="shared" si="6"/>
        <v>89</v>
      </c>
      <c r="AH10" s="96">
        <f t="shared" si="7"/>
        <v>35366.791670025093</v>
      </c>
      <c r="AI10" s="96">
        <f t="shared" si="10"/>
        <v>76.75084997835306</v>
      </c>
      <c r="AJ10" s="96">
        <f t="shared" si="8"/>
        <v>56.37135667731674</v>
      </c>
      <c r="AK10" s="96">
        <f t="shared" si="9"/>
        <v>76.617162931553622</v>
      </c>
      <c r="AM10">
        <f t="shared" si="31"/>
        <v>25975.921156907556</v>
      </c>
      <c r="AN10" s="127">
        <f t="shared" si="11"/>
        <v>0.14565577213038161</v>
      </c>
      <c r="AO10" s="127">
        <f t="shared" si="33"/>
        <v>2.1630011632554215E-2</v>
      </c>
      <c r="AP10">
        <f t="shared" si="22"/>
        <v>1.2231820083859401E-6</v>
      </c>
      <c r="AQ10" s="95">
        <f t="shared" si="24"/>
        <v>3.6789291938147554E-2</v>
      </c>
      <c r="AR10" s="127">
        <f t="shared" si="12"/>
        <v>6.2805810923551059E-2</v>
      </c>
      <c r="AS10" s="127">
        <f t="shared" si="13"/>
        <v>1.2698534037657191E-2</v>
      </c>
      <c r="AT10">
        <f t="shared" si="25"/>
        <v>9.7771578231637638E-7</v>
      </c>
      <c r="AU10" s="95">
        <f t="shared" si="32"/>
        <v>4.6025645503427672E-2</v>
      </c>
      <c r="AV10" s="128">
        <f t="shared" si="23"/>
        <v>1.0526315789473683E-4</v>
      </c>
      <c r="AW10">
        <f t="shared" si="19"/>
        <v>59.446045167387481</v>
      </c>
    </row>
    <row r="11" spans="1:49" ht="13.9" customHeight="1" x14ac:dyDescent="0.3">
      <c r="B11" s="113">
        <f>C11/180+1</f>
        <v>1.6944444444444444</v>
      </c>
      <c r="C11" s="73">
        <v>125</v>
      </c>
      <c r="D11" s="73">
        <v>2.16</v>
      </c>
      <c r="E11" s="73">
        <v>13.2</v>
      </c>
      <c r="F11" s="73">
        <v>10.3</v>
      </c>
      <c r="G11" s="73">
        <v>1520</v>
      </c>
      <c r="H11" s="73">
        <v>2000</v>
      </c>
      <c r="I11" s="78">
        <v>14</v>
      </c>
      <c r="J11" s="2">
        <f>E11*F11</f>
        <v>135.96</v>
      </c>
      <c r="K11" s="1">
        <f>C11</f>
        <v>125</v>
      </c>
      <c r="L11" s="1">
        <f>LN(K11)</f>
        <v>4.8283137373023015</v>
      </c>
      <c r="M11" s="3">
        <f>1/G11/0.000001</f>
        <v>657.89473684210532</v>
      </c>
      <c r="N11" s="3">
        <f>1/H11/0.000001</f>
        <v>500.00000000000006</v>
      </c>
      <c r="O11" s="3">
        <f>M11*60/$W$27</f>
        <v>39473.68421052632</v>
      </c>
      <c r="P11" s="3">
        <f>N11*60/$W$27</f>
        <v>30000.000000000004</v>
      </c>
      <c r="Q11" s="3">
        <f t="shared" si="2"/>
        <v>85.663377192982466</v>
      </c>
      <c r="R11" s="3">
        <f t="shared" si="3"/>
        <v>65.104166666666671</v>
      </c>
      <c r="S11" s="3">
        <f>K11</f>
        <v>125</v>
      </c>
      <c r="T11" s="4">
        <f>J11</f>
        <v>135.96</v>
      </c>
      <c r="U11">
        <f>T11*0.001341022</f>
        <v>0.18232535112000003</v>
      </c>
      <c r="V11" s="127">
        <f>U11/O11*5252</f>
        <v>2.4258509516750081E-2</v>
      </c>
      <c r="W11">
        <f>-V11/2/O11</f>
        <v>-3.072744538788343E-7</v>
      </c>
      <c r="X11">
        <v>0.14000000000000001</v>
      </c>
      <c r="Y11">
        <f>-X11*W11</f>
        <v>4.3018423543036807E-8</v>
      </c>
      <c r="Z11">
        <f>Y11/6.66*2048.5</f>
        <v>1.3231717811998633E-5</v>
      </c>
      <c r="AA11">
        <f>Z11*144</f>
        <v>1.9053673649278033E-3</v>
      </c>
      <c r="AB11" s="97"/>
      <c r="AF11" s="95">
        <f>C11/$AD$32*$AD$27</f>
        <v>3.4722222222222223</v>
      </c>
      <c r="AG11" s="95">
        <f t="shared" si="6"/>
        <v>125</v>
      </c>
      <c r="AH11" s="96">
        <f t="shared" si="7"/>
        <v>40186.817071139434</v>
      </c>
      <c r="AI11" s="96">
        <f>MAX(($AD$35+$AE$35*LN(AG11))/$AD$31,0)</f>
        <v>87.210974546743557</v>
      </c>
      <c r="AJ11" s="96">
        <f t="shared" si="8"/>
        <v>67.079874285654896</v>
      </c>
      <c r="AK11" s="96">
        <f t="shared" si="9"/>
        <v>86.985717685403912</v>
      </c>
      <c r="AM11">
        <f t="shared" si="31"/>
        <v>30910.406070829777</v>
      </c>
      <c r="AN11" s="127">
        <f t="shared" si="11"/>
        <v>0.20058398668919561</v>
      </c>
      <c r="AO11" s="127">
        <f t="shared" si="33"/>
        <v>2.621424573702338E-2</v>
      </c>
      <c r="AP11">
        <f t="shared" si="22"/>
        <v>1.3046191585971313E-6</v>
      </c>
      <c r="AQ11" s="95">
        <f t="shared" si="24"/>
        <v>3.4492824747713272E-2</v>
      </c>
      <c r="AR11" s="127">
        <f t="shared" si="12"/>
        <v>0.10235763443239904</v>
      </c>
      <c r="AS11" s="127">
        <f t="shared" si="13"/>
        <v>1.7391628398770127E-2</v>
      </c>
      <c r="AT11">
        <f t="shared" si="25"/>
        <v>1.1252927806200935E-6</v>
      </c>
      <c r="AU11" s="95">
        <f t="shared" si="32"/>
        <v>3.9989592730882637E-2</v>
      </c>
      <c r="AV11" s="128">
        <f t="shared" si="23"/>
        <v>1.0526315789473683E-4</v>
      </c>
      <c r="AW11">
        <f t="shared" si="19"/>
        <v>55.735294426179998</v>
      </c>
    </row>
    <row r="12" spans="1:49" ht="13.9" customHeight="1" x14ac:dyDescent="0.3">
      <c r="B12" s="113">
        <f t="shared" si="20"/>
        <v>1.8611111111111112</v>
      </c>
      <c r="C12" s="73">
        <v>155</v>
      </c>
      <c r="D12" s="73">
        <v>2.5299999999999998</v>
      </c>
      <c r="E12" s="73">
        <v>12.85</v>
      </c>
      <c r="F12" s="73">
        <v>15</v>
      </c>
      <c r="G12" s="73">
        <v>1364</v>
      </c>
      <c r="H12" s="73">
        <v>1740</v>
      </c>
      <c r="I12" s="78">
        <v>15.8</v>
      </c>
      <c r="J12" s="2">
        <f t="shared" si="26"/>
        <v>192.75</v>
      </c>
      <c r="K12" s="1">
        <f t="shared" si="1"/>
        <v>155</v>
      </c>
      <c r="L12" s="1">
        <f t="shared" si="21"/>
        <v>5.0434251169192468</v>
      </c>
      <c r="M12" s="3">
        <f t="shared" si="14"/>
        <v>733.13782991202345</v>
      </c>
      <c r="N12" s="3">
        <f t="shared" si="14"/>
        <v>574.71264367816093</v>
      </c>
      <c r="O12" s="3">
        <f t="shared" si="15"/>
        <v>43988.269794721404</v>
      </c>
      <c r="P12" s="3">
        <f t="shared" si="16"/>
        <v>34482.758620689652</v>
      </c>
      <c r="Q12" s="3">
        <f t="shared" si="2"/>
        <v>95.460654936461381</v>
      </c>
      <c r="R12" s="3">
        <f t="shared" si="3"/>
        <v>74.83237547892719</v>
      </c>
      <c r="S12" s="3">
        <f t="shared" si="4"/>
        <v>155</v>
      </c>
      <c r="T12" s="4">
        <f t="shared" si="0"/>
        <v>192.75</v>
      </c>
      <c r="U12">
        <f t="shared" si="27"/>
        <v>0.25848199050000004</v>
      </c>
      <c r="V12" s="127">
        <f t="shared" si="17"/>
        <v>3.0861577880676404E-2</v>
      </c>
      <c r="W12">
        <f t="shared" si="18"/>
        <v>-3.5079326857702185E-7</v>
      </c>
      <c r="X12">
        <v>0.14000000000000001</v>
      </c>
      <c r="Y12">
        <f t="shared" si="28"/>
        <v>4.9111057600783063E-8</v>
      </c>
      <c r="Z12">
        <f t="shared" si="29"/>
        <v>1.5105705930210826E-5</v>
      </c>
      <c r="AA12">
        <f t="shared" si="30"/>
        <v>2.1752216539503589E-3</v>
      </c>
      <c r="AB12" s="97"/>
      <c r="AF12" s="95">
        <f>C12/$AD$32*$AD$27</f>
        <v>4.3055555555555554</v>
      </c>
      <c r="AG12" s="95">
        <f t="shared" si="6"/>
        <v>155</v>
      </c>
      <c r="AH12" s="96">
        <f t="shared" si="7"/>
        <v>43239.249799405501</v>
      </c>
      <c r="AI12" s="96">
        <f t="shared" si="10"/>
        <v>93.835177516070971</v>
      </c>
      <c r="AJ12" s="96">
        <f t="shared" si="8"/>
        <v>73.861379962232448</v>
      </c>
      <c r="AK12" s="96">
        <f t="shared" si="9"/>
        <v>93.551931188792182</v>
      </c>
      <c r="AM12">
        <f t="shared" si="31"/>
        <v>34035.323886596707</v>
      </c>
      <c r="AN12" s="127">
        <f t="shared" si="11"/>
        <v>0.23972060902426137</v>
      </c>
      <c r="AO12" s="127">
        <f t="shared" si="33"/>
        <v>2.911735620844955E-2</v>
      </c>
      <c r="AP12">
        <f t="shared" si="22"/>
        <v>1.3468020996446561E-6</v>
      </c>
      <c r="AQ12" s="95">
        <f t="shared" si="24"/>
        <v>3.3412481322885462E-2</v>
      </c>
      <c r="AR12" s="127">
        <f t="shared" si="12"/>
        <v>0.13196579932248606</v>
      </c>
      <c r="AS12" s="127">
        <f t="shared" si="13"/>
        <v>2.0363678052572821E-2</v>
      </c>
      <c r="AT12">
        <f t="shared" si="25"/>
        <v>1.1966202008491623E-6</v>
      </c>
      <c r="AU12" s="95">
        <f t="shared" si="32"/>
        <v>3.7605917038728308E-2</v>
      </c>
      <c r="AV12" s="128">
        <f t="shared" si="23"/>
        <v>1.0526315789473683E-4</v>
      </c>
      <c r="AW12">
        <f t="shared" si="19"/>
        <v>53.989619512496461</v>
      </c>
    </row>
    <row r="13" spans="1:49" ht="13.9" customHeight="1" x14ac:dyDescent="0.3">
      <c r="B13" s="113">
        <f t="shared" si="20"/>
        <v>1.9166666666666665</v>
      </c>
      <c r="C13" s="73">
        <v>165</v>
      </c>
      <c r="D13" s="73">
        <v>2.63</v>
      </c>
      <c r="E13" s="73">
        <v>12.75</v>
      </c>
      <c r="F13" s="73">
        <v>16.399999999999999</v>
      </c>
      <c r="G13" s="73">
        <v>1316</v>
      </c>
      <c r="H13" s="73">
        <v>1680</v>
      </c>
      <c r="I13" s="78">
        <v>17.2</v>
      </c>
      <c r="J13" s="2">
        <f t="shared" si="26"/>
        <v>209.1</v>
      </c>
      <c r="K13" s="1">
        <f t="shared" si="1"/>
        <v>165</v>
      </c>
      <c r="L13" s="1">
        <f t="shared" si="21"/>
        <v>5.1059454739005803</v>
      </c>
      <c r="M13" s="3">
        <f t="shared" si="14"/>
        <v>759.87841945288756</v>
      </c>
      <c r="N13" s="3">
        <f t="shared" si="14"/>
        <v>595.2380952380953</v>
      </c>
      <c r="O13" s="3">
        <f t="shared" si="15"/>
        <v>45592.705167173255</v>
      </c>
      <c r="P13" s="3">
        <f t="shared" si="16"/>
        <v>35714.285714285717</v>
      </c>
      <c r="Q13" s="3">
        <f t="shared" si="2"/>
        <v>98.942502532928074</v>
      </c>
      <c r="R13" s="3">
        <f t="shared" si="3"/>
        <v>77.504960317460331</v>
      </c>
      <c r="S13" s="3">
        <f t="shared" si="4"/>
        <v>165</v>
      </c>
      <c r="T13" s="4">
        <f t="shared" si="0"/>
        <v>209.1</v>
      </c>
      <c r="U13">
        <f t="shared" si="27"/>
        <v>0.2804077002</v>
      </c>
      <c r="V13" s="127">
        <f t="shared" si="17"/>
        <v>3.2301247229145437E-2</v>
      </c>
      <c r="W13">
        <f t="shared" si="18"/>
        <v>-3.5423701127962827E-7</v>
      </c>
      <c r="AB13" s="97"/>
      <c r="AF13" s="95">
        <f>C13/$AD$32*$AD$27</f>
        <v>4.583333333333333</v>
      </c>
      <c r="AG13" s="95">
        <f t="shared" si="6"/>
        <v>165</v>
      </c>
      <c r="AH13" s="96">
        <f t="shared" si="7"/>
        <v>44126.414319351083</v>
      </c>
      <c r="AI13" s="96">
        <f t="shared" si="10"/>
        <v>95.760447741647312</v>
      </c>
      <c r="AJ13" s="96">
        <f t="shared" si="8"/>
        <v>75.832368928625399</v>
      </c>
      <c r="AK13" s="96">
        <f t="shared" si="9"/>
        <v>95.460347252035845</v>
      </c>
      <c r="AM13">
        <f t="shared" si="31"/>
        <v>34943.555602310582</v>
      </c>
      <c r="AN13" s="127">
        <f t="shared" si="11"/>
        <v>0.2517282669713366</v>
      </c>
      <c r="AO13" s="127">
        <f t="shared" si="33"/>
        <v>2.996112143999155E-2</v>
      </c>
      <c r="AP13">
        <f t="shared" si="22"/>
        <v>1.3579676437408819E-6</v>
      </c>
      <c r="AQ13" s="95">
        <f t="shared" si="24"/>
        <v>3.3137755680272003E-2</v>
      </c>
      <c r="AR13" s="127">
        <f t="shared" si="12"/>
        <v>0.14123450569139354</v>
      </c>
      <c r="AS13" s="127">
        <f t="shared" si="13"/>
        <v>2.1227479891661367E-2</v>
      </c>
      <c r="AT13">
        <f t="shared" si="25"/>
        <v>1.2149582105066456E-6</v>
      </c>
      <c r="AU13" s="95">
        <f t="shared" si="32"/>
        <v>3.7038310956584011E-2</v>
      </c>
      <c r="AV13" s="128">
        <f t="shared" si="23"/>
        <v>1.0526315789473683E-4</v>
      </c>
      <c r="AW13">
        <f t="shared" si="19"/>
        <v>53.545703576661204</v>
      </c>
    </row>
    <row r="14" spans="1:49" ht="13.9" customHeight="1" thickBot="1" x14ac:dyDescent="0.35">
      <c r="B14" s="116">
        <f t="shared" si="20"/>
        <v>2</v>
      </c>
      <c r="C14" s="117">
        <v>180</v>
      </c>
      <c r="D14" s="117"/>
      <c r="E14" s="117"/>
      <c r="F14" s="117"/>
      <c r="G14" s="117"/>
      <c r="H14" s="117"/>
      <c r="I14" s="118"/>
      <c r="K14" s="1">
        <f t="shared" si="1"/>
        <v>180</v>
      </c>
      <c r="L14" s="1">
        <f t="shared" si="21"/>
        <v>5.1929568508902104</v>
      </c>
      <c r="O14" s="3">
        <f>AI14*$AD$31</f>
        <v>45361.106669554021</v>
      </c>
      <c r="P14" s="3">
        <f>N14*60/$W$27</f>
        <v>0</v>
      </c>
      <c r="Q14" s="3">
        <f t="shared" si="2"/>
        <v>98.439901626636328</v>
      </c>
      <c r="R14" s="3">
        <f t="shared" si="3"/>
        <v>0</v>
      </c>
      <c r="S14" s="1">
        <f t="shared" si="4"/>
        <v>180</v>
      </c>
      <c r="T14" s="4">
        <f t="shared" si="0"/>
        <v>0</v>
      </c>
      <c r="U14">
        <f>T14*0.001341022</f>
        <v>0</v>
      </c>
      <c r="AB14" s="97"/>
      <c r="AF14" s="95">
        <f>C14/$AD$32*$AD$27</f>
        <v>5</v>
      </c>
      <c r="AG14" s="95">
        <f t="shared" si="6"/>
        <v>180</v>
      </c>
      <c r="AH14" s="96">
        <f t="shared" si="7"/>
        <v>45361.106669554021</v>
      </c>
      <c r="AI14" s="96">
        <f t="shared" si="10"/>
        <v>98.439901626636328</v>
      </c>
      <c r="AJ14" s="96">
        <f t="shared" si="8"/>
        <v>78.575450898685531</v>
      </c>
      <c r="AK14" s="96">
        <f t="shared" si="9"/>
        <v>98.116344715094769</v>
      </c>
      <c r="AM14">
        <f t="shared" si="31"/>
        <v>36207.567774114286</v>
      </c>
      <c r="AN14" s="127">
        <f t="shared" si="11"/>
        <v>0.26891409453189768</v>
      </c>
      <c r="AO14" s="127">
        <f t="shared" si="33"/>
        <v>3.1135413753683283E-2</v>
      </c>
      <c r="AP14">
        <f t="shared" si="22"/>
        <v>1.3727801651973849E-6</v>
      </c>
      <c r="AR14" s="127">
        <f t="shared" si="12"/>
        <v>0.15463125520306809</v>
      </c>
      <c r="AS14" s="127">
        <f t="shared" si="13"/>
        <v>2.2429657727717388E-2</v>
      </c>
      <c r="AT14">
        <f t="shared" si="25"/>
        <v>1.2389486014441944E-6</v>
      </c>
      <c r="AV14" s="128">
        <f t="shared" si="23"/>
        <v>1.0526315789473683E-4</v>
      </c>
      <c r="AW14">
        <f t="shared" si="19"/>
        <v>52.967936718397489</v>
      </c>
    </row>
    <row r="15" spans="1:49" ht="13.9" customHeight="1" x14ac:dyDescent="0.3"/>
    <row r="16" spans="1:49" ht="13.9" customHeight="1" x14ac:dyDescent="0.3">
      <c r="B16" s="120">
        <f t="shared" si="20"/>
        <v>1.05</v>
      </c>
      <c r="C16" s="73">
        <v>9</v>
      </c>
      <c r="D16" s="119"/>
      <c r="E16" s="73">
        <v>13.8</v>
      </c>
      <c r="F16" s="73">
        <v>0.42399999999999999</v>
      </c>
      <c r="G16" s="73">
        <v>6160</v>
      </c>
      <c r="H16" s="119"/>
      <c r="I16" s="119"/>
      <c r="J16" s="2">
        <f>E16*F16</f>
        <v>5.8512000000000004</v>
      </c>
      <c r="K16" s="1">
        <f>C16</f>
        <v>9</v>
      </c>
      <c r="L16" s="1">
        <f>LN(K16)</f>
        <v>2.1972245773362196</v>
      </c>
      <c r="M16" s="3">
        <f>1/G16/0.000001</f>
        <v>162.33766233766235</v>
      </c>
      <c r="N16" s="3"/>
      <c r="O16" s="3">
        <f>M16*60/$W$27</f>
        <v>9740.2597402597403</v>
      </c>
      <c r="P16" s="3"/>
      <c r="Q16" s="3">
        <f t="shared" ref="Q16:Q24" si="34">O16/$W$40*100</f>
        <v>21.137716450216452</v>
      </c>
      <c r="R16" s="3"/>
      <c r="S16" s="3">
        <f>K16</f>
        <v>9</v>
      </c>
      <c r="T16" s="4">
        <f>J16</f>
        <v>5.8512000000000004</v>
      </c>
      <c r="U16">
        <f>T16*0.001341022</f>
        <v>7.8465879264000005E-3</v>
      </c>
      <c r="V16">
        <f>U16/O16*5252</f>
        <v>4.230922058383821E-3</v>
      </c>
      <c r="W16">
        <f>-V16/2/O16</f>
        <v>-2.1718733233036949E-7</v>
      </c>
      <c r="X16">
        <v>0.18</v>
      </c>
      <c r="Y16">
        <f>-X16*W16</f>
        <v>3.9093719819466504E-8</v>
      </c>
      <c r="Z16">
        <f>Y16/6.66*2048.5</f>
        <v>1.2024547304831401E-5</v>
      </c>
      <c r="AA16">
        <f>Z16*144</f>
        <v>1.7315348118957217E-3</v>
      </c>
    </row>
    <row r="17" spans="1:32" ht="13.9" customHeight="1" x14ac:dyDescent="0.3">
      <c r="B17" s="120">
        <f t="shared" si="20"/>
        <v>1.0722222222222222</v>
      </c>
      <c r="C17" s="73">
        <v>13</v>
      </c>
      <c r="D17" s="119"/>
      <c r="E17" s="73">
        <v>13.8</v>
      </c>
      <c r="F17" s="73">
        <v>0.56499999999999995</v>
      </c>
      <c r="G17" s="73">
        <v>5080</v>
      </c>
      <c r="H17" s="119"/>
      <c r="I17" s="119"/>
      <c r="J17" s="2">
        <f t="shared" ref="J17:J24" si="35">E17*F17</f>
        <v>7.7969999999999997</v>
      </c>
      <c r="K17" s="1">
        <f t="shared" ref="K17:K24" si="36">C17</f>
        <v>13</v>
      </c>
      <c r="L17" s="1">
        <f t="shared" ref="L17:L24" si="37">LN(K17)</f>
        <v>2.5649493574615367</v>
      </c>
      <c r="M17" s="3">
        <f t="shared" ref="M17:M24" si="38">1/G17/0.000001</f>
        <v>196.85039370078741</v>
      </c>
      <c r="N17" s="3"/>
      <c r="O17" s="3">
        <f t="shared" ref="O17:O24" si="39">M17*60/$W$27</f>
        <v>11811.023622047245</v>
      </c>
      <c r="P17" s="3"/>
      <c r="Q17" s="3">
        <f t="shared" si="34"/>
        <v>25.631561679790028</v>
      </c>
      <c r="R17" s="3"/>
      <c r="S17" s="3">
        <f t="shared" ref="S17:S24" si="40">K17</f>
        <v>13</v>
      </c>
      <c r="T17" s="4">
        <f t="shared" ref="T17:T24" si="41">J17</f>
        <v>7.7969999999999997</v>
      </c>
      <c r="U17">
        <f t="shared" ref="U17:U24" si="42">T17*0.001341022</f>
        <v>1.0455948534E-2</v>
      </c>
      <c r="V17">
        <f t="shared" ref="V17:V24" si="43">U17/O17*5252</f>
        <v>4.6494396639814237E-3</v>
      </c>
      <c r="W17">
        <f t="shared" ref="W17:W24" si="44">-V17/2/O17</f>
        <v>-1.9682627910854693E-7</v>
      </c>
      <c r="X17">
        <v>0.18</v>
      </c>
      <c r="Y17">
        <f t="shared" ref="Y17:Y24" si="45">-X17*W17</f>
        <v>3.5428730239538448E-8</v>
      </c>
      <c r="Z17">
        <f t="shared" ref="Z17:Z24" si="46">Y17/6.66*2048.5</f>
        <v>1.0897260344698876E-5</v>
      </c>
      <c r="AA17">
        <f t="shared" ref="AA17:AA24" si="47">Z17*144</f>
        <v>1.569205489636638E-3</v>
      </c>
    </row>
    <row r="18" spans="1:32" ht="13.9" customHeight="1" x14ac:dyDescent="0.3">
      <c r="B18" s="120">
        <f t="shared" si="20"/>
        <v>1.1444444444444444</v>
      </c>
      <c r="C18" s="73">
        <v>26</v>
      </c>
      <c r="D18" s="119"/>
      <c r="E18" s="73">
        <v>13.75</v>
      </c>
      <c r="F18" s="73">
        <v>1.32</v>
      </c>
      <c r="G18" s="73">
        <v>3180</v>
      </c>
      <c r="H18" s="119"/>
      <c r="I18" s="119"/>
      <c r="J18" s="2">
        <f t="shared" si="35"/>
        <v>18.150000000000002</v>
      </c>
      <c r="K18" s="1">
        <f t="shared" si="36"/>
        <v>26</v>
      </c>
      <c r="L18" s="1">
        <f t="shared" si="37"/>
        <v>3.2580965380214821</v>
      </c>
      <c r="M18" s="3">
        <f t="shared" si="38"/>
        <v>314.46540880503147</v>
      </c>
      <c r="N18" s="3"/>
      <c r="O18" s="3">
        <f t="shared" si="39"/>
        <v>18867.92452830189</v>
      </c>
      <c r="P18" s="3"/>
      <c r="Q18" s="3">
        <f t="shared" si="34"/>
        <v>40.946016771488473</v>
      </c>
      <c r="R18" s="3"/>
      <c r="S18" s="3">
        <f t="shared" si="40"/>
        <v>26</v>
      </c>
      <c r="T18" s="4">
        <f t="shared" si="41"/>
        <v>18.150000000000002</v>
      </c>
      <c r="U18">
        <f t="shared" si="42"/>
        <v>2.4339549300000006E-2</v>
      </c>
      <c r="V18">
        <f t="shared" si="43"/>
        <v>6.7750595849508004E-3</v>
      </c>
      <c r="W18">
        <f t="shared" si="44"/>
        <v>-1.7953907900119617E-7</v>
      </c>
      <c r="X18">
        <v>0.18</v>
      </c>
      <c r="Y18">
        <f t="shared" si="45"/>
        <v>3.2317034220215307E-8</v>
      </c>
      <c r="Z18">
        <f t="shared" si="46"/>
        <v>9.9401568468635218E-6</v>
      </c>
      <c r="AA18">
        <f t="shared" si="47"/>
        <v>1.4313825859483471E-3</v>
      </c>
    </row>
    <row r="19" spans="1:32" ht="13.9" customHeight="1" x14ac:dyDescent="0.3">
      <c r="B19" s="120">
        <f t="shared" si="20"/>
        <v>1.2</v>
      </c>
      <c r="C19" s="73">
        <v>36</v>
      </c>
      <c r="D19" s="119"/>
      <c r="E19" s="73">
        <v>13.71</v>
      </c>
      <c r="F19" s="73">
        <v>2.08</v>
      </c>
      <c r="G19" s="73">
        <v>2650</v>
      </c>
      <c r="H19" s="119"/>
      <c r="I19" s="119"/>
      <c r="J19" s="2">
        <f t="shared" si="35"/>
        <v>28.516800000000003</v>
      </c>
      <c r="K19" s="1">
        <f t="shared" si="36"/>
        <v>36</v>
      </c>
      <c r="L19" s="1">
        <f t="shared" si="37"/>
        <v>3.5835189384561099</v>
      </c>
      <c r="M19" s="3">
        <f t="shared" si="38"/>
        <v>377.35849056603774</v>
      </c>
      <c r="N19" s="3"/>
      <c r="O19" s="3">
        <f t="shared" si="39"/>
        <v>22641.509433962266</v>
      </c>
      <c r="P19" s="3"/>
      <c r="Q19" s="3">
        <f t="shared" si="34"/>
        <v>49.135220125786169</v>
      </c>
      <c r="R19" s="3"/>
      <c r="S19" s="3">
        <f t="shared" si="40"/>
        <v>36</v>
      </c>
      <c r="T19" s="4">
        <f t="shared" si="41"/>
        <v>28.516800000000003</v>
      </c>
      <c r="U19">
        <f t="shared" si="42"/>
        <v>3.8241656169600007E-2</v>
      </c>
      <c r="V19">
        <f t="shared" si="43"/>
        <v>8.8706620372876483E-3</v>
      </c>
      <c r="W19">
        <f t="shared" si="44"/>
        <v>-1.9589378665676887E-7</v>
      </c>
      <c r="X19">
        <v>0.18</v>
      </c>
      <c r="Y19">
        <f t="shared" si="45"/>
        <v>3.5260881598218394E-8</v>
      </c>
      <c r="Z19">
        <f t="shared" si="46"/>
        <v>1.0845633026118675E-5</v>
      </c>
      <c r="AA19">
        <f t="shared" si="47"/>
        <v>1.5617711557610891E-3</v>
      </c>
    </row>
    <row r="20" spans="1:32" ht="13.9" customHeight="1" x14ac:dyDescent="0.3">
      <c r="B20" s="120">
        <f t="shared" si="20"/>
        <v>1.3111111111111111</v>
      </c>
      <c r="C20" s="73">
        <v>56</v>
      </c>
      <c r="D20" s="119"/>
      <c r="E20" s="73">
        <v>13.6</v>
      </c>
      <c r="F20" s="73">
        <v>3.8</v>
      </c>
      <c r="G20" s="73">
        <v>2070</v>
      </c>
      <c r="H20" s="119"/>
      <c r="I20" s="119"/>
      <c r="J20" s="2">
        <f t="shared" si="35"/>
        <v>51.68</v>
      </c>
      <c r="K20" s="1">
        <f t="shared" si="36"/>
        <v>56</v>
      </c>
      <c r="L20" s="1">
        <f t="shared" si="37"/>
        <v>4.0253516907351496</v>
      </c>
      <c r="M20" s="3">
        <f t="shared" si="38"/>
        <v>483.09178743961354</v>
      </c>
      <c r="N20" s="3"/>
      <c r="O20" s="3">
        <f t="shared" si="39"/>
        <v>28985.507246376812</v>
      </c>
      <c r="P20" s="3"/>
      <c r="Q20" s="3">
        <f t="shared" si="34"/>
        <v>62.902576489533011</v>
      </c>
      <c r="R20" s="3"/>
      <c r="S20" s="3">
        <f t="shared" si="40"/>
        <v>56</v>
      </c>
      <c r="T20" s="4">
        <f t="shared" si="41"/>
        <v>51.68</v>
      </c>
      <c r="U20">
        <f t="shared" si="42"/>
        <v>6.9304016960000006E-2</v>
      </c>
      <c r="V20">
        <f t="shared" si="43"/>
        <v>1.255747204905024E-2</v>
      </c>
      <c r="W20">
        <f t="shared" si="44"/>
        <v>-2.1661639284611662E-7</v>
      </c>
      <c r="X20">
        <v>0.18</v>
      </c>
      <c r="Y20">
        <f t="shared" si="45"/>
        <v>3.8990950712300994E-8</v>
      </c>
      <c r="Z20">
        <f t="shared" si="46"/>
        <v>1.1992937317439727E-5</v>
      </c>
      <c r="AA20">
        <f t="shared" si="47"/>
        <v>1.7269829737113207E-3</v>
      </c>
    </row>
    <row r="21" spans="1:32" ht="13.9" customHeight="1" x14ac:dyDescent="0.3">
      <c r="B21" s="120">
        <f t="shared" si="20"/>
        <v>1.3555555555555556</v>
      </c>
      <c r="C21" s="73">
        <v>64</v>
      </c>
      <c r="D21" s="119"/>
      <c r="E21" s="73">
        <v>13.55</v>
      </c>
      <c r="F21" s="73">
        <v>4.38</v>
      </c>
      <c r="G21" s="73">
        <v>2000</v>
      </c>
      <c r="H21" s="119"/>
      <c r="I21" s="119"/>
      <c r="J21" s="2">
        <f t="shared" si="35"/>
        <v>59.349000000000004</v>
      </c>
      <c r="K21" s="1">
        <f t="shared" si="36"/>
        <v>64</v>
      </c>
      <c r="L21" s="1">
        <f t="shared" si="37"/>
        <v>4.1588830833596715</v>
      </c>
      <c r="M21" s="3">
        <f t="shared" si="38"/>
        <v>500.00000000000006</v>
      </c>
      <c r="N21" s="3"/>
      <c r="O21" s="3">
        <f t="shared" si="39"/>
        <v>30000.000000000004</v>
      </c>
      <c r="P21" s="3"/>
      <c r="Q21" s="3">
        <f t="shared" si="34"/>
        <v>65.104166666666671</v>
      </c>
      <c r="R21" s="3"/>
      <c r="S21" s="3">
        <f t="shared" si="40"/>
        <v>64</v>
      </c>
      <c r="T21" s="4">
        <f t="shared" si="41"/>
        <v>59.349000000000004</v>
      </c>
      <c r="U21">
        <f t="shared" si="42"/>
        <v>7.9588314678000011E-2</v>
      </c>
      <c r="V21">
        <f t="shared" si="43"/>
        <v>1.39332609562952E-2</v>
      </c>
      <c r="W21">
        <f t="shared" si="44"/>
        <v>-2.3222101593825331E-7</v>
      </c>
      <c r="X21">
        <v>0.18</v>
      </c>
      <c r="Y21">
        <f t="shared" si="45"/>
        <v>4.1799782868885597E-8</v>
      </c>
      <c r="Z21">
        <f t="shared" si="46"/>
        <v>1.2856885166203024E-5</v>
      </c>
      <c r="AA21">
        <f t="shared" si="47"/>
        <v>1.8513914639332356E-3</v>
      </c>
    </row>
    <row r="22" spans="1:32" ht="13.9" customHeight="1" x14ac:dyDescent="0.3">
      <c r="B22" s="120">
        <f t="shared" si="20"/>
        <v>1.4944444444444445</v>
      </c>
      <c r="C22" s="73">
        <v>89</v>
      </c>
      <c r="D22" s="119"/>
      <c r="E22" s="73">
        <v>13.42</v>
      </c>
      <c r="F22" s="73">
        <v>6.3</v>
      </c>
      <c r="G22" s="73">
        <v>1760</v>
      </c>
      <c r="H22" s="119"/>
      <c r="I22" s="119"/>
      <c r="J22" s="2">
        <f t="shared" si="35"/>
        <v>84.545999999999992</v>
      </c>
      <c r="K22" s="1">
        <f t="shared" si="36"/>
        <v>89</v>
      </c>
      <c r="L22" s="1">
        <f t="shared" si="37"/>
        <v>4.4886363697321396</v>
      </c>
      <c r="M22" s="3">
        <f t="shared" si="38"/>
        <v>568.18181818181813</v>
      </c>
      <c r="N22" s="3"/>
      <c r="O22" s="3">
        <f t="shared" si="39"/>
        <v>34090.909090909088</v>
      </c>
      <c r="P22" s="3"/>
      <c r="Q22" s="3">
        <f t="shared" si="34"/>
        <v>73.982007575757564</v>
      </c>
      <c r="R22" s="3"/>
      <c r="S22" s="3">
        <f t="shared" si="40"/>
        <v>89</v>
      </c>
      <c r="T22" s="4">
        <f t="shared" si="41"/>
        <v>84.545999999999992</v>
      </c>
      <c r="U22">
        <f t="shared" si="42"/>
        <v>0.11337804601199999</v>
      </c>
      <c r="V22">
        <f t="shared" si="43"/>
        <v>1.7466870597880702E-2</v>
      </c>
      <c r="W22">
        <f t="shared" si="44"/>
        <v>-2.5618076876891696E-7</v>
      </c>
      <c r="X22">
        <v>0.18</v>
      </c>
      <c r="Y22">
        <f t="shared" si="45"/>
        <v>4.611253837840505E-8</v>
      </c>
      <c r="Z22">
        <f t="shared" si="46"/>
        <v>1.4183413643868279E-5</v>
      </c>
      <c r="AA22">
        <f t="shared" si="47"/>
        <v>2.0424115647170323E-3</v>
      </c>
    </row>
    <row r="23" spans="1:32" ht="13.9" customHeight="1" x14ac:dyDescent="0.3">
      <c r="B23" s="120">
        <f t="shared" si="20"/>
        <v>1.7944444444444443</v>
      </c>
      <c r="C23" s="73">
        <v>143</v>
      </c>
      <c r="D23" s="119"/>
      <c r="E23" s="73">
        <v>13.1</v>
      </c>
      <c r="F23" s="73">
        <v>11.7</v>
      </c>
      <c r="G23" s="73">
        <v>1430</v>
      </c>
      <c r="H23" s="119"/>
      <c r="I23" s="119"/>
      <c r="J23" s="2">
        <f t="shared" si="35"/>
        <v>153.26999999999998</v>
      </c>
      <c r="K23" s="1">
        <f t="shared" si="36"/>
        <v>143</v>
      </c>
      <c r="L23" s="1">
        <f t="shared" si="37"/>
        <v>4.962844630259907</v>
      </c>
      <c r="M23" s="3">
        <f t="shared" si="38"/>
        <v>699.30069930069931</v>
      </c>
      <c r="N23" s="3"/>
      <c r="O23" s="3">
        <f t="shared" si="39"/>
        <v>41958.041958041955</v>
      </c>
      <c r="P23" s="3"/>
      <c r="Q23" s="3">
        <f t="shared" si="34"/>
        <v>91.054778554778551</v>
      </c>
      <c r="R23" s="3"/>
      <c r="S23" s="3">
        <f t="shared" si="40"/>
        <v>143</v>
      </c>
      <c r="T23" s="4">
        <f t="shared" si="41"/>
        <v>153.26999999999998</v>
      </c>
      <c r="U23">
        <f t="shared" si="42"/>
        <v>0.20553844193999998</v>
      </c>
      <c r="V23">
        <f t="shared" si="43"/>
        <v>2.5727794880141638E-2</v>
      </c>
      <c r="W23">
        <f t="shared" si="44"/>
        <v>-3.0658955565502124E-7</v>
      </c>
      <c r="X23">
        <v>0.18</v>
      </c>
      <c r="Y23">
        <f t="shared" si="45"/>
        <v>5.5186120017903822E-8</v>
      </c>
      <c r="Z23">
        <f t="shared" si="46"/>
        <v>1.6974289317819214E-5</v>
      </c>
      <c r="AA23">
        <f t="shared" si="47"/>
        <v>2.4442976617659669E-3</v>
      </c>
      <c r="AB23" s="97"/>
      <c r="AC23" s="97"/>
      <c r="AD23" s="97"/>
      <c r="AE23" s="97"/>
      <c r="AF23" s="97"/>
    </row>
    <row r="24" spans="1:32" ht="13.9" customHeight="1" x14ac:dyDescent="0.3">
      <c r="B24" s="120">
        <f t="shared" si="20"/>
        <v>1.9166666666666665</v>
      </c>
      <c r="C24" s="73">
        <v>165</v>
      </c>
      <c r="D24" s="119"/>
      <c r="E24" s="73">
        <v>12.72</v>
      </c>
      <c r="F24" s="73">
        <v>16.86</v>
      </c>
      <c r="G24" s="73">
        <v>1280</v>
      </c>
      <c r="H24" s="119"/>
      <c r="I24" s="119"/>
      <c r="J24" s="2">
        <f t="shared" si="35"/>
        <v>214.45920000000001</v>
      </c>
      <c r="K24" s="1">
        <f t="shared" si="36"/>
        <v>165</v>
      </c>
      <c r="L24" s="1">
        <f t="shared" si="37"/>
        <v>5.1059454739005803</v>
      </c>
      <c r="M24" s="3">
        <f t="shared" si="38"/>
        <v>781.25000000000011</v>
      </c>
      <c r="N24" s="3"/>
      <c r="O24" s="3">
        <f t="shared" si="39"/>
        <v>46875.000000000007</v>
      </c>
      <c r="P24" s="3"/>
      <c r="Q24" s="3">
        <f t="shared" si="34"/>
        <v>101.72526041666667</v>
      </c>
      <c r="R24" s="3"/>
      <c r="S24" s="3">
        <f t="shared" si="40"/>
        <v>165</v>
      </c>
      <c r="T24" s="4">
        <f t="shared" si="41"/>
        <v>214.45920000000001</v>
      </c>
      <c r="U24">
        <f t="shared" si="42"/>
        <v>0.28759450530240005</v>
      </c>
      <c r="V24">
        <f t="shared" si="43"/>
        <v>3.2222855292761705E-2</v>
      </c>
      <c r="W24">
        <f t="shared" si="44"/>
        <v>-3.4371045645612482E-7</v>
      </c>
      <c r="X24">
        <v>0.18</v>
      </c>
      <c r="Y24">
        <f t="shared" si="45"/>
        <v>6.1867882162102469E-8</v>
      </c>
      <c r="Z24">
        <f t="shared" si="46"/>
        <v>1.9029482974334368E-5</v>
      </c>
      <c r="AA24">
        <f t="shared" si="47"/>
        <v>2.7402455483041491E-3</v>
      </c>
    </row>
    <row r="25" spans="1:32" ht="13.9" customHeight="1" x14ac:dyDescent="0.3">
      <c r="B25" s="5"/>
      <c r="C25" s="6"/>
      <c r="D25" s="6"/>
      <c r="E25" s="6"/>
      <c r="F25" s="6"/>
      <c r="G25" s="6"/>
      <c r="H25" s="6"/>
      <c r="I25" s="6"/>
      <c r="J25" s="2"/>
      <c r="M25" s="3"/>
      <c r="N25" s="3"/>
      <c r="O25" s="3"/>
      <c r="P25" s="3"/>
      <c r="Q25" s="3"/>
      <c r="R25" s="3"/>
      <c r="S25" s="3"/>
      <c r="T25" s="4"/>
    </row>
    <row r="26" spans="1:32" ht="13.9" customHeight="1" thickBot="1" x14ac:dyDescent="0.35">
      <c r="B26" s="5"/>
      <c r="C26" s="6"/>
      <c r="D26" s="6"/>
      <c r="E26" s="6"/>
      <c r="F26" s="6"/>
      <c r="G26" s="6"/>
      <c r="H26" s="6"/>
      <c r="I26" s="6"/>
      <c r="J26" s="2"/>
      <c r="M26" s="3"/>
      <c r="N26" s="3"/>
      <c r="O26" s="3"/>
      <c r="P26" s="3"/>
      <c r="Q26" s="3"/>
      <c r="R26" s="3"/>
      <c r="S26" s="3"/>
      <c r="T26" s="3"/>
      <c r="V26" t="s">
        <v>32</v>
      </c>
      <c r="Y26" t="s">
        <v>33</v>
      </c>
      <c r="AB26" s="30"/>
      <c r="AC26" s="5" t="s">
        <v>56</v>
      </c>
      <c r="AD26" s="5"/>
      <c r="AE26" s="5"/>
      <c r="AF26" s="5"/>
    </row>
    <row r="27" spans="1:32" ht="13.9" customHeight="1" x14ac:dyDescent="0.3">
      <c r="A27" s="3" t="s">
        <v>28</v>
      </c>
      <c r="B27" s="11" t="s">
        <v>29</v>
      </c>
      <c r="C27" s="12"/>
      <c r="D27" s="12"/>
      <c r="E27" s="6"/>
      <c r="F27" s="6"/>
      <c r="G27" s="6"/>
      <c r="H27" s="6"/>
      <c r="I27" s="6"/>
      <c r="J27" s="2"/>
      <c r="M27" s="3"/>
      <c r="N27" s="3"/>
      <c r="O27" s="3"/>
      <c r="P27" s="3"/>
      <c r="Q27" s="3"/>
      <c r="R27" s="3"/>
      <c r="S27" s="3"/>
      <c r="T27" s="3"/>
      <c r="V27" s="17" t="s">
        <v>3</v>
      </c>
      <c r="W27" s="18">
        <v>1</v>
      </c>
      <c r="Y27" s="17"/>
      <c r="Z27" s="23" t="s">
        <v>22</v>
      </c>
      <c r="AA27" s="7"/>
      <c r="AB27" s="30"/>
      <c r="AC27" s="62" t="s">
        <v>15</v>
      </c>
      <c r="AD27" s="63">
        <f>W45</f>
        <v>5</v>
      </c>
      <c r="AE27" s="64"/>
      <c r="AF27" s="29"/>
    </row>
    <row r="28" spans="1:32" ht="14.45" x14ac:dyDescent="0.3">
      <c r="A28" s="3"/>
      <c r="B28" s="13" t="s">
        <v>30</v>
      </c>
      <c r="C28" s="14"/>
      <c r="D28" s="14"/>
      <c r="E28" s="6"/>
      <c r="F28" s="6"/>
      <c r="G28" s="6"/>
      <c r="H28" s="6"/>
      <c r="I28" s="6"/>
      <c r="J28" s="2"/>
      <c r="M28" s="3"/>
      <c r="N28" s="3"/>
      <c r="O28" s="3"/>
      <c r="P28" s="3"/>
      <c r="Q28" s="3"/>
      <c r="R28" s="3"/>
      <c r="S28" s="3"/>
      <c r="T28" s="3"/>
      <c r="V28" s="19" t="s">
        <v>4</v>
      </c>
      <c r="W28" s="20">
        <v>4800</v>
      </c>
      <c r="X28" t="s">
        <v>77</v>
      </c>
      <c r="Y28" s="24" t="s">
        <v>16</v>
      </c>
      <c r="Z28" s="25">
        <v>0</v>
      </c>
      <c r="AB28" s="30"/>
      <c r="AC28" s="65" t="s">
        <v>14</v>
      </c>
      <c r="AD28" s="66">
        <f>W44</f>
        <v>0</v>
      </c>
      <c r="AE28" s="45"/>
      <c r="AF28" s="31"/>
    </row>
    <row r="29" spans="1:32" ht="13.9" customHeight="1" thickBot="1" x14ac:dyDescent="0.35">
      <c r="A29" s="3"/>
      <c r="B29" s="15" t="s">
        <v>31</v>
      </c>
      <c r="C29" s="16"/>
      <c r="D29" s="16"/>
      <c r="E29" s="6"/>
      <c r="F29" s="6"/>
      <c r="G29" s="6"/>
      <c r="H29" s="6"/>
      <c r="I29" s="6"/>
      <c r="J29" s="2"/>
      <c r="M29" s="3"/>
      <c r="N29" s="3"/>
      <c r="O29" s="3"/>
      <c r="P29" s="2"/>
      <c r="Q29" s="3"/>
      <c r="R29" s="3"/>
      <c r="S29" s="3"/>
      <c r="T29" s="3"/>
      <c r="V29" s="19" t="s">
        <v>5</v>
      </c>
      <c r="W29" s="20">
        <v>12</v>
      </c>
      <c r="Y29" s="26" t="s">
        <v>17</v>
      </c>
      <c r="Z29" s="27">
        <v>5</v>
      </c>
      <c r="AB29" s="30"/>
      <c r="AC29" s="65" t="s">
        <v>17</v>
      </c>
      <c r="AD29" s="66">
        <f>Z29</f>
        <v>5</v>
      </c>
      <c r="AE29" s="30"/>
      <c r="AF29" s="31"/>
    </row>
    <row r="30" spans="1:32" ht="13.9" customHeight="1" x14ac:dyDescent="0.3">
      <c r="B30" s="5"/>
      <c r="C30" s="6"/>
      <c r="D30" s="6"/>
      <c r="E30" s="6"/>
      <c r="F30" s="6"/>
      <c r="G30" s="6"/>
      <c r="H30" s="6"/>
      <c r="I30" s="6"/>
      <c r="J30" s="2"/>
      <c r="M30" s="3"/>
      <c r="N30" s="3"/>
      <c r="O30" s="3"/>
      <c r="P30" s="3"/>
      <c r="Q30" s="3"/>
      <c r="R30" s="3"/>
      <c r="S30" s="3"/>
      <c r="T30" s="3"/>
      <c r="V30" s="57" t="s">
        <v>69</v>
      </c>
      <c r="W30" s="20">
        <v>3.9899999999999998E-2</v>
      </c>
      <c r="X30" t="s">
        <v>76</v>
      </c>
      <c r="AB30" s="30"/>
      <c r="AC30" s="65" t="s">
        <v>16</v>
      </c>
      <c r="AD30" s="66">
        <f>Z28</f>
        <v>0</v>
      </c>
      <c r="AE30" s="30"/>
      <c r="AF30" s="31"/>
    </row>
    <row r="31" spans="1:32" ht="23.45" x14ac:dyDescent="0.45">
      <c r="B31" s="5"/>
      <c r="C31" s="6"/>
      <c r="D31" s="6"/>
      <c r="E31" s="6"/>
      <c r="F31" s="6"/>
      <c r="G31" s="6"/>
      <c r="H31" s="6"/>
      <c r="I31" s="6"/>
      <c r="J31" s="2"/>
      <c r="M31" s="3"/>
      <c r="N31" s="3"/>
      <c r="O31" s="3"/>
      <c r="P31" s="3"/>
      <c r="Q31" s="3"/>
      <c r="R31" s="3"/>
      <c r="S31" s="3"/>
      <c r="T31" s="3"/>
      <c r="V31" s="57" t="s">
        <v>70</v>
      </c>
      <c r="W31" s="129">
        <v>4.1999999999999996E-6</v>
      </c>
      <c r="X31" t="s">
        <v>75</v>
      </c>
      <c r="AB31" s="94" t="s">
        <v>54</v>
      </c>
      <c r="AC31" s="65" t="s">
        <v>27</v>
      </c>
      <c r="AD31" s="66">
        <f>W40/100</f>
        <v>460.8</v>
      </c>
      <c r="AE31" s="30"/>
      <c r="AF31" s="31"/>
    </row>
    <row r="32" spans="1:32" ht="14.45" x14ac:dyDescent="0.3">
      <c r="B32" s="5"/>
      <c r="C32" s="6"/>
      <c r="D32" s="6"/>
      <c r="E32" s="6"/>
      <c r="F32" s="6"/>
      <c r="G32" s="6"/>
      <c r="H32" s="6"/>
      <c r="I32" s="6"/>
      <c r="J32" s="2"/>
      <c r="M32" s="3"/>
      <c r="N32" s="3"/>
      <c r="O32" s="3"/>
      <c r="P32" s="3"/>
      <c r="Q32" s="3"/>
      <c r="R32" s="3"/>
      <c r="S32" s="3"/>
      <c r="T32" s="3"/>
      <c r="V32" s="57" t="s">
        <v>71</v>
      </c>
      <c r="W32" s="130">
        <f>W28*2*PI()/60</f>
        <v>502.6548245743669</v>
      </c>
      <c r="X32" t="s">
        <v>73</v>
      </c>
      <c r="AC32" s="65" t="s">
        <v>18</v>
      </c>
      <c r="AD32" s="66">
        <f>Y45</f>
        <v>180</v>
      </c>
      <c r="AE32" s="30"/>
      <c r="AF32" s="31"/>
    </row>
    <row r="33" spans="2:48" ht="14.45" x14ac:dyDescent="0.3">
      <c r="B33" s="5"/>
      <c r="C33" s="6"/>
      <c r="D33" s="6"/>
      <c r="E33" s="6"/>
      <c r="F33" s="6"/>
      <c r="G33" s="6"/>
      <c r="H33" s="6"/>
      <c r="I33" s="6"/>
      <c r="J33" s="2"/>
      <c r="M33" s="3"/>
      <c r="N33" s="3"/>
      <c r="O33" s="3"/>
      <c r="P33" s="3"/>
      <c r="Q33" s="3"/>
      <c r="R33" s="3"/>
      <c r="S33" s="3"/>
      <c r="T33" s="3"/>
      <c r="V33" s="57" t="s">
        <v>72</v>
      </c>
      <c r="W33" s="132">
        <f>7/W32</f>
        <v>1.3926057520540842E-2</v>
      </c>
      <c r="X33" t="s">
        <v>74</v>
      </c>
      <c r="AC33" s="65" t="s">
        <v>13</v>
      </c>
      <c r="AD33" s="66">
        <f>Y44</f>
        <v>0</v>
      </c>
      <c r="AE33" s="30"/>
      <c r="AF33" s="31"/>
    </row>
    <row r="34" spans="2:48" thickBot="1" x14ac:dyDescent="0.35">
      <c r="C34" s="6"/>
      <c r="D34" s="6"/>
      <c r="E34" s="6"/>
      <c r="F34" s="6"/>
      <c r="G34" s="6"/>
      <c r="H34" s="6"/>
      <c r="I34" s="6"/>
      <c r="J34" s="2"/>
      <c r="M34" s="3"/>
      <c r="N34" s="3"/>
      <c r="O34" s="3"/>
      <c r="P34" s="3"/>
      <c r="Q34" s="3"/>
      <c r="R34" s="3"/>
      <c r="S34" s="3"/>
      <c r="T34" s="3"/>
      <c r="V34" s="131" t="s">
        <v>79</v>
      </c>
      <c r="W34" s="133">
        <v>4.4999999999999999E-8</v>
      </c>
      <c r="X34" t="s">
        <v>80</v>
      </c>
      <c r="Z34" t="s">
        <v>112</v>
      </c>
      <c r="AC34" s="65" t="s">
        <v>121</v>
      </c>
      <c r="AD34" s="66">
        <f>W53</f>
        <v>0</v>
      </c>
      <c r="AE34" s="67">
        <f>W52</f>
        <v>14097.688046345114</v>
      </c>
      <c r="AF34" s="68">
        <f>W51</f>
        <v>-170.6101401015417</v>
      </c>
    </row>
    <row r="35" spans="2:48" ht="14.45" x14ac:dyDescent="0.3">
      <c r="AC35" s="65" t="s">
        <v>21</v>
      </c>
      <c r="AD35" s="66">
        <f>W55</f>
        <v>-28327.005397586898</v>
      </c>
      <c r="AE35" s="67">
        <f>W54</f>
        <v>14190.01046667831</v>
      </c>
      <c r="AF35" s="31"/>
    </row>
    <row r="36" spans="2:48" thickBot="1" x14ac:dyDescent="0.35">
      <c r="V36" t="s">
        <v>35</v>
      </c>
      <c r="AC36" s="65" t="s">
        <v>122</v>
      </c>
      <c r="AD36" s="66">
        <f>Z54</f>
        <v>-10230.71375195049</v>
      </c>
      <c r="AE36" s="69">
        <f>Z53</f>
        <v>1.0237466617461022</v>
      </c>
      <c r="AF36" s="31"/>
    </row>
    <row r="37" spans="2:48" thickBot="1" x14ac:dyDescent="0.35">
      <c r="C37" s="6"/>
      <c r="D37" s="6"/>
      <c r="E37" s="6"/>
      <c r="F37" s="6"/>
      <c r="G37" s="6"/>
      <c r="H37" s="6"/>
      <c r="I37" s="6"/>
      <c r="J37" s="9"/>
      <c r="K37" s="6"/>
      <c r="L37" s="6"/>
      <c r="M37" s="10"/>
      <c r="N37" s="10"/>
      <c r="O37" s="10"/>
      <c r="P37" s="10"/>
      <c r="Q37" s="10"/>
      <c r="R37" s="10"/>
      <c r="S37" s="10"/>
      <c r="T37" s="10"/>
      <c r="V37" s="34">
        <v>240</v>
      </c>
      <c r="W37" s="35" t="s">
        <v>34</v>
      </c>
      <c r="X37" s="36"/>
      <c r="Y37" s="35"/>
      <c r="Z37" s="35"/>
      <c r="AA37" s="37"/>
      <c r="AC37" s="65" t="s">
        <v>123</v>
      </c>
      <c r="AD37" s="66">
        <f>Z52</f>
        <v>10153.923989583083</v>
      </c>
      <c r="AE37" s="69">
        <f>Z51</f>
        <v>0.96825304239840437</v>
      </c>
      <c r="AF37" s="31"/>
    </row>
    <row r="38" spans="2:48" ht="14.45" x14ac:dyDescent="0.3">
      <c r="C38" s="6"/>
      <c r="D38" s="6"/>
      <c r="E38" s="6"/>
      <c r="F38" s="6"/>
      <c r="G38" s="6"/>
      <c r="H38" s="6"/>
      <c r="I38" s="6"/>
      <c r="J38" s="9"/>
      <c r="K38" s="6"/>
      <c r="L38" s="6"/>
      <c r="M38" s="10"/>
      <c r="N38" s="10"/>
      <c r="O38" s="10"/>
      <c r="P38" s="10"/>
      <c r="Q38" s="10"/>
      <c r="R38" s="10"/>
      <c r="S38" s="10"/>
      <c r="T38" s="10"/>
      <c r="V38" s="8"/>
      <c r="X38" s="8"/>
      <c r="Y38" s="8"/>
      <c r="AC38" s="65" t="s">
        <v>68</v>
      </c>
      <c r="AD38" s="124">
        <f>W61</f>
        <v>0</v>
      </c>
      <c r="AE38" s="124">
        <f>W60</f>
        <v>1.7497144954938875E-7</v>
      </c>
      <c r="AF38" s="139">
        <f>W59</f>
        <v>1.1535982759687281E-11</v>
      </c>
    </row>
    <row r="39" spans="2:48" thickBot="1" x14ac:dyDescent="0.35">
      <c r="C39" s="6"/>
      <c r="D39" s="6"/>
      <c r="E39" s="6"/>
      <c r="F39" s="6"/>
      <c r="G39" s="6"/>
      <c r="H39" s="6"/>
      <c r="I39" s="6"/>
      <c r="J39" s="9"/>
      <c r="K39" s="6"/>
      <c r="L39" s="6"/>
      <c r="M39" s="10"/>
      <c r="N39" s="10"/>
      <c r="O39" s="10"/>
      <c r="P39" s="10"/>
      <c r="Q39" s="10"/>
      <c r="R39" s="10"/>
      <c r="S39" s="10"/>
      <c r="T39" s="10"/>
      <c r="V39" t="s">
        <v>36</v>
      </c>
      <c r="AC39" s="70" t="s">
        <v>86</v>
      </c>
      <c r="AD39" s="125">
        <f>Z61</f>
        <v>0</v>
      </c>
      <c r="AE39" s="125">
        <f>Z60</f>
        <v>-2.2861135714873372E-6</v>
      </c>
      <c r="AF39" s="126">
        <f>Z59</f>
        <v>1.8108928058840401E-10</v>
      </c>
    </row>
    <row r="40" spans="2:48" thickBot="1" x14ac:dyDescent="0.35">
      <c r="B40" t="s">
        <v>55</v>
      </c>
      <c r="C40" s="6"/>
      <c r="D40" s="6"/>
      <c r="E40" s="6"/>
      <c r="F40" s="6"/>
      <c r="G40" s="6"/>
      <c r="H40" s="6"/>
      <c r="I40" s="6"/>
      <c r="J40" s="9"/>
      <c r="K40" s="6"/>
      <c r="L40" s="6"/>
      <c r="M40" s="10"/>
      <c r="N40" s="10"/>
      <c r="O40" s="10"/>
      <c r="P40" s="10"/>
      <c r="Q40" s="10"/>
      <c r="R40" s="10"/>
      <c r="S40" s="10"/>
      <c r="T40" s="10"/>
      <c r="V40" s="38" t="s">
        <v>6</v>
      </c>
      <c r="W40" s="39">
        <f>W28*W29/X40</f>
        <v>46080</v>
      </c>
      <c r="X40" s="40">
        <v>1.25</v>
      </c>
      <c r="Y40" s="35" t="s">
        <v>9</v>
      </c>
      <c r="Z40" s="41"/>
      <c r="AA40">
        <f>V37</f>
        <v>240</v>
      </c>
    </row>
    <row r="41" spans="2:48" ht="14.45" x14ac:dyDescent="0.3">
      <c r="B41" t="s">
        <v>51</v>
      </c>
      <c r="C41" s="6" t="s">
        <v>52</v>
      </c>
      <c r="D41" s="6" t="s">
        <v>53</v>
      </c>
      <c r="E41" s="6"/>
      <c r="F41" s="6"/>
      <c r="G41" s="6"/>
      <c r="H41" s="6"/>
      <c r="I41" s="6"/>
      <c r="J41" s="9"/>
      <c r="K41" s="6"/>
      <c r="L41" s="6"/>
      <c r="M41" s="10"/>
      <c r="N41" s="10"/>
      <c r="O41" s="10"/>
      <c r="P41" s="10"/>
      <c r="Q41" s="10"/>
      <c r="R41" s="10"/>
      <c r="S41" s="10"/>
      <c r="T41" s="10"/>
    </row>
    <row r="42" spans="2:48" thickBot="1" x14ac:dyDescent="0.35">
      <c r="B42" s="73">
        <v>87</v>
      </c>
      <c r="C42" s="6">
        <f>B42/180*(2.4-0.53)+0.53</f>
        <v>1.4338333333333333</v>
      </c>
      <c r="D42" s="88">
        <f>(C42-1)*180</f>
        <v>78.089999999999989</v>
      </c>
      <c r="E42" s="6"/>
      <c r="F42" s="6"/>
      <c r="G42" s="6"/>
      <c r="H42" s="6"/>
      <c r="I42" s="6"/>
      <c r="J42" s="9"/>
      <c r="K42" s="6"/>
      <c r="L42" s="6"/>
      <c r="M42" s="10"/>
      <c r="N42" s="10"/>
      <c r="O42" s="10"/>
      <c r="P42" s="10"/>
      <c r="Q42" s="10"/>
      <c r="R42" s="10"/>
      <c r="S42" s="10"/>
      <c r="T42" s="10"/>
      <c r="V42" t="s">
        <v>37</v>
      </c>
    </row>
    <row r="43" spans="2:48" ht="28.9" x14ac:dyDescent="0.3">
      <c r="B43" s="73">
        <v>90</v>
      </c>
      <c r="C43" s="6">
        <f t="shared" ref="C43:C48" si="48">B43/180*(2.4-0.53)+0.53</f>
        <v>1.4649999999999999</v>
      </c>
      <c r="D43" s="88">
        <f t="shared" ref="D43:D48" si="49">(C43-1)*180</f>
        <v>83.699999999999974</v>
      </c>
      <c r="E43" s="6"/>
      <c r="F43" s="6"/>
      <c r="G43" s="6"/>
      <c r="H43" s="6"/>
      <c r="I43" s="6"/>
      <c r="J43" s="9"/>
      <c r="K43" s="6"/>
      <c r="L43" s="6"/>
      <c r="M43" s="10"/>
      <c r="N43" s="10"/>
      <c r="O43" s="10"/>
      <c r="P43" s="10"/>
      <c r="Q43" s="10"/>
      <c r="R43" s="10"/>
      <c r="S43" s="10"/>
      <c r="T43" s="10"/>
      <c r="V43" s="17"/>
      <c r="W43" s="42" t="s">
        <v>19</v>
      </c>
      <c r="X43" s="28"/>
      <c r="Y43" s="42" t="s">
        <v>20</v>
      </c>
      <c r="Z43" s="29" t="s">
        <v>109</v>
      </c>
    </row>
    <row r="44" spans="2:48" ht="14.45" x14ac:dyDescent="0.3">
      <c r="B44" s="73">
        <v>100</v>
      </c>
      <c r="C44" s="6">
        <f t="shared" si="48"/>
        <v>1.568888888888889</v>
      </c>
      <c r="D44" s="88">
        <f t="shared" si="49"/>
        <v>102.40000000000002</v>
      </c>
      <c r="E44" s="6"/>
      <c r="F44" s="6"/>
      <c r="G44" s="6"/>
      <c r="H44" s="6"/>
      <c r="I44" s="6"/>
      <c r="J44" s="9"/>
      <c r="K44" s="6"/>
      <c r="L44" s="6"/>
      <c r="M44" s="10"/>
      <c r="N44" s="10"/>
      <c r="O44" s="10"/>
      <c r="P44" s="10"/>
      <c r="Q44" s="10"/>
      <c r="R44" s="10"/>
      <c r="S44" s="10"/>
      <c r="T44" s="10"/>
      <c r="V44" s="57" t="s">
        <v>14</v>
      </c>
      <c r="W44" s="58">
        <v>0</v>
      </c>
      <c r="X44" s="45" t="s">
        <v>13</v>
      </c>
      <c r="Y44" s="59">
        <v>0</v>
      </c>
      <c r="Z44" s="89">
        <f>Z54/W40*100</f>
        <v>-22.202069774198112</v>
      </c>
      <c r="AA44" t="s">
        <v>106</v>
      </c>
    </row>
    <row r="45" spans="2:48" ht="14.45" x14ac:dyDescent="0.3">
      <c r="B45" s="73">
        <v>110</v>
      </c>
      <c r="C45" s="6">
        <f t="shared" si="48"/>
        <v>1.6727777777777779</v>
      </c>
      <c r="D45" s="88">
        <f t="shared" si="49"/>
        <v>121.10000000000002</v>
      </c>
      <c r="E45" s="6"/>
      <c r="F45" s="6"/>
      <c r="G45" s="6"/>
      <c r="H45" s="6"/>
      <c r="I45" s="6"/>
      <c r="J45" s="2"/>
      <c r="M45" s="3"/>
      <c r="N45" s="3"/>
      <c r="O45" s="3"/>
      <c r="P45" s="3"/>
      <c r="Q45" s="3"/>
      <c r="R45" s="3"/>
      <c r="S45" s="3"/>
      <c r="T45" s="3"/>
      <c r="V45" s="57" t="s">
        <v>15</v>
      </c>
      <c r="W45" s="58">
        <v>5</v>
      </c>
      <c r="X45" s="45" t="s">
        <v>18</v>
      </c>
      <c r="Y45" s="59">
        <v>180</v>
      </c>
      <c r="Z45" s="60">
        <v>77</v>
      </c>
    </row>
    <row r="46" spans="2:48" x14ac:dyDescent="0.25">
      <c r="B46" s="73">
        <v>114</v>
      </c>
      <c r="C46" s="6">
        <f t="shared" si="48"/>
        <v>1.7143333333333333</v>
      </c>
      <c r="D46" s="88">
        <f t="shared" si="49"/>
        <v>128.57999999999998</v>
      </c>
      <c r="V46" s="19"/>
      <c r="W46" s="30" t="s">
        <v>40</v>
      </c>
      <c r="X46" s="30"/>
      <c r="Y46" s="61"/>
      <c r="Z46" s="89">
        <f>(Z45-Z44)/(W45-W44)</f>
        <v>19.840413954839622</v>
      </c>
      <c r="AG46" s="104"/>
      <c r="AH46" s="104"/>
      <c r="AQ46" s="3"/>
      <c r="AR46" s="3"/>
      <c r="AU46" s="3"/>
      <c r="AV46" s="3"/>
    </row>
    <row r="47" spans="2:48" x14ac:dyDescent="0.25">
      <c r="B47" s="73">
        <v>127.5</v>
      </c>
      <c r="C47" s="6">
        <f t="shared" si="48"/>
        <v>1.8545833333333333</v>
      </c>
      <c r="D47" s="88">
        <f t="shared" si="49"/>
        <v>153.82499999999999</v>
      </c>
      <c r="V47" s="19"/>
      <c r="W47" s="30"/>
      <c r="X47" s="30"/>
      <c r="Y47" s="61"/>
      <c r="Z47" s="89">
        <f>Z45-Z46*(W45-W44)</f>
        <v>-22.202069774198108</v>
      </c>
    </row>
    <row r="48" spans="2:48" ht="15.75" thickBot="1" x14ac:dyDescent="0.3">
      <c r="B48" s="80">
        <v>136.4</v>
      </c>
      <c r="C48" s="6">
        <f t="shared" si="48"/>
        <v>1.9470444444444444</v>
      </c>
      <c r="D48" s="88">
        <f t="shared" si="49"/>
        <v>170.46799999999999</v>
      </c>
      <c r="V48" s="21"/>
      <c r="W48" s="32"/>
      <c r="X48" s="32"/>
      <c r="Y48" s="47"/>
      <c r="Z48" s="48" t="s">
        <v>124</v>
      </c>
    </row>
    <row r="50" spans="22:27" ht="15.75" thickBot="1" x14ac:dyDescent="0.3">
      <c r="V50" t="s">
        <v>38</v>
      </c>
    </row>
    <row r="51" spans="22:27" x14ac:dyDescent="0.25">
      <c r="V51" s="49" t="s">
        <v>121</v>
      </c>
      <c r="W51" s="50">
        <f>INDEX(LINEST($P$4:$P$13,$D$4:$D$13^{1,2},FALSE,FALSE),1)</f>
        <v>-170.6101401015417</v>
      </c>
      <c r="X51" s="28"/>
      <c r="Y51" s="51" t="s">
        <v>123</v>
      </c>
      <c r="Z51" s="52">
        <f>INDEX(LINEST($O$4:$O$13,$P$4:$P$13),1)</f>
        <v>0.96825304239840437</v>
      </c>
    </row>
    <row r="52" spans="22:27" x14ac:dyDescent="0.25">
      <c r="V52" s="43"/>
      <c r="W52" s="54">
        <f>INDEX(LINEST($P$4:$P$13,$D$4:$D$13^{1,2},FALSE,FALSE),2)</f>
        <v>14097.688046345114</v>
      </c>
      <c r="X52" s="30"/>
      <c r="Y52" s="44"/>
      <c r="Z52" s="46">
        <f>INDEX(LINEST($O$4:$O$13,$P$4:$P$13),2)</f>
        <v>10153.923989583083</v>
      </c>
    </row>
    <row r="53" spans="22:27" x14ac:dyDescent="0.25">
      <c r="V53" s="43"/>
      <c r="W53" s="54">
        <f>INDEX(LINEST($P$4:$P$13,$D$4:$D$13^{1,2},FALSE,FALSE),3)</f>
        <v>0</v>
      </c>
      <c r="X53" s="30"/>
      <c r="Y53" s="44" t="s">
        <v>122</v>
      </c>
      <c r="Z53" s="46">
        <f>INDEX(LINEST($P$4:$P$13,$O$4:$O$13),1)</f>
        <v>1.0237466617461022</v>
      </c>
    </row>
    <row r="54" spans="22:27" x14ac:dyDescent="0.25">
      <c r="V54" s="43" t="s">
        <v>21</v>
      </c>
      <c r="W54" s="54">
        <f>INDEX(LINEST($O$6:$O$13,$L$6:$L$13),1)</f>
        <v>14190.01046667831</v>
      </c>
      <c r="X54" s="30"/>
      <c r="Y54" s="44"/>
      <c r="Z54" s="46">
        <f>INDEX(LINEST($P$4:$P$13,$O$4:$O$13),2)</f>
        <v>-10230.71375195049</v>
      </c>
      <c r="AA54" t="s">
        <v>60</v>
      </c>
    </row>
    <row r="55" spans="22:27" x14ac:dyDescent="0.25">
      <c r="V55" s="43"/>
      <c r="W55" s="54">
        <f>INDEX(LINEST($O$6:$O$13,$L$6:$L$13),2)</f>
        <v>-28327.005397586898</v>
      </c>
      <c r="X55" s="30"/>
      <c r="Y55" s="30"/>
      <c r="Z55" s="31"/>
    </row>
    <row r="56" spans="22:27" x14ac:dyDescent="0.25">
      <c r="V56" s="19"/>
      <c r="W56" s="30"/>
      <c r="X56" s="30"/>
      <c r="Y56" s="30"/>
      <c r="Z56" s="31"/>
    </row>
    <row r="57" spans="22:27" ht="15.75" thickBot="1" x14ac:dyDescent="0.3">
      <c r="V57" s="107" t="s">
        <v>62</v>
      </c>
      <c r="W57" s="108">
        <f>EXP((0-$AD$35)/$AE$35)</f>
        <v>7.361501228839896</v>
      </c>
      <c r="X57" s="32"/>
      <c r="Y57" s="32"/>
      <c r="Z57" s="33"/>
      <c r="AA57" t="s">
        <v>65</v>
      </c>
    </row>
    <row r="58" spans="22:27" ht="15.75" thickBot="1" x14ac:dyDescent="0.3"/>
    <row r="59" spans="22:27" x14ac:dyDescent="0.25">
      <c r="V59" s="49" t="s">
        <v>87</v>
      </c>
      <c r="W59" s="121">
        <f>INDEX(LINEST($V$4:$V$13,$O$4:$O$13^{1,2},FALSE,FALSE),1)</f>
        <v>1.1535982759687281E-11</v>
      </c>
      <c r="Y59" s="49" t="s">
        <v>86</v>
      </c>
      <c r="Z59" s="121">
        <f>INDEX(LINEST($U$4:$U$13,$O$4:$O$13^{1,2},FALSE,FALSE),1)</f>
        <v>1.8108928058840401E-10</v>
      </c>
    </row>
    <row r="60" spans="22:27" x14ac:dyDescent="0.25">
      <c r="V60" s="43"/>
      <c r="W60" s="122">
        <f>INDEX(LINEST($V$4:$V$13,$O$4:$O$13^{1,2},FALSE,FALSE),2)</f>
        <v>1.7497144954938875E-7</v>
      </c>
      <c r="Y60" s="43"/>
      <c r="Z60" s="122">
        <f>INDEX(LINEST($U$4:$U$13,$O$4:$O$13^{1,2},FALSE,FALSE),2)</f>
        <v>-2.2861135714873372E-6</v>
      </c>
    </row>
    <row r="61" spans="22:27" ht="15.75" thickBot="1" x14ac:dyDescent="0.3">
      <c r="V61" s="55"/>
      <c r="W61" s="123">
        <f>INDEX(LINEST($V$4:$V$13,$O$4:$O$13^{1,2},FALSE,FALSE),3)</f>
        <v>0</v>
      </c>
      <c r="Y61" s="55"/>
      <c r="Z61" s="123">
        <f>INDEX(LINEST($U$4:$U$13,$O$4:$O$13^{1,2},FALSE,FALSE),3)</f>
        <v>0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9"/>
  <sheetViews>
    <sheetView workbookViewId="0">
      <pane ySplit="3" topLeftCell="A4" activePane="bottomLeft" state="frozen"/>
      <selection pane="bottomLeft" activeCell="I2" sqref="I2"/>
    </sheetView>
  </sheetViews>
  <sheetFormatPr defaultRowHeight="15" x14ac:dyDescent="0.25"/>
  <cols>
    <col min="2" max="2" width="7.140625" bestFit="1" customWidth="1"/>
    <col min="3" max="3" width="6.85546875" style="1" customWidth="1"/>
    <col min="4" max="4" width="6.42578125" style="1" customWidth="1"/>
    <col min="5" max="5" width="5.7109375" style="1" bestFit="1" customWidth="1"/>
    <col min="6" max="6" width="4.7109375" style="1" customWidth="1"/>
    <col min="7" max="7" width="5" style="1" bestFit="1" customWidth="1"/>
    <col min="8" max="8" width="6.42578125" style="1" bestFit="1" customWidth="1"/>
    <col min="9" max="9" width="5.42578125" style="1" customWidth="1"/>
    <col min="10" max="10" width="7.140625" style="1" customWidth="1"/>
    <col min="11" max="11" width="5.140625" style="1" customWidth="1"/>
    <col min="12" max="12" width="6.7109375" style="1" customWidth="1"/>
    <col min="13" max="13" width="4.7109375" style="1" customWidth="1"/>
    <col min="14" max="14" width="7.28515625" style="1" bestFit="1" customWidth="1"/>
    <col min="15" max="16" width="6.28515625" style="1" customWidth="1"/>
    <col min="17" max="17" width="4.28515625" style="1" customWidth="1"/>
    <col min="18" max="18" width="7.7109375" style="1" customWidth="1"/>
    <col min="19" max="19" width="8" style="1" customWidth="1"/>
    <col min="20" max="20" width="6.28515625" style="1" customWidth="1"/>
    <col min="21" max="21" width="8.140625" style="1" bestFit="1" customWidth="1"/>
    <col min="22" max="23" width="6.140625" customWidth="1"/>
    <col min="24" max="24" width="5.85546875" customWidth="1"/>
    <col min="26" max="26" width="9.85546875" bestFit="1" customWidth="1"/>
    <col min="27" max="27" width="10.7109375" customWidth="1"/>
    <col min="28" max="28" width="6.5703125" bestFit="1" customWidth="1"/>
    <col min="29" max="30" width="9.7109375" customWidth="1"/>
    <col min="31" max="31" width="7.85546875" customWidth="1"/>
    <col min="32" max="32" width="10" customWidth="1"/>
    <col min="33" max="33" width="11.5703125" customWidth="1"/>
    <col min="34" max="34" width="11.140625" customWidth="1"/>
    <col min="36" max="36" width="9.7109375" customWidth="1"/>
  </cols>
  <sheetData>
    <row r="1" spans="1:32" ht="57.6" x14ac:dyDescent="0.3">
      <c r="A1" t="s">
        <v>39</v>
      </c>
      <c r="B1" s="74" t="s">
        <v>50</v>
      </c>
      <c r="C1" s="75" t="s">
        <v>0</v>
      </c>
      <c r="D1" s="75" t="s">
        <v>1</v>
      </c>
      <c r="E1" s="75" t="s">
        <v>10</v>
      </c>
      <c r="F1" s="75" t="s">
        <v>11</v>
      </c>
      <c r="G1" s="75" t="s">
        <v>23</v>
      </c>
      <c r="H1" s="75" t="s">
        <v>110</v>
      </c>
      <c r="I1" s="76" t="s">
        <v>2</v>
      </c>
      <c r="J1" s="4" t="s">
        <v>12</v>
      </c>
      <c r="K1" s="4" t="s">
        <v>7</v>
      </c>
      <c r="L1" s="4" t="s">
        <v>24</v>
      </c>
      <c r="M1" s="4" t="s">
        <v>115</v>
      </c>
      <c r="N1" s="4" t="s">
        <v>25</v>
      </c>
      <c r="O1" s="4" t="s">
        <v>111</v>
      </c>
      <c r="P1" s="4" t="s">
        <v>26</v>
      </c>
      <c r="Q1" s="4" t="s">
        <v>100</v>
      </c>
      <c r="R1" s="4" t="s">
        <v>113</v>
      </c>
      <c r="S1" s="4" t="s">
        <v>7</v>
      </c>
      <c r="T1" s="4" t="s">
        <v>114</v>
      </c>
      <c r="U1" s="4" t="s">
        <v>8</v>
      </c>
      <c r="V1" s="4" t="s">
        <v>125</v>
      </c>
      <c r="W1" s="4" t="s">
        <v>126</v>
      </c>
      <c r="X1" s="4" t="str">
        <f t="shared" ref="X1:X9" si="0">J1</f>
        <v>Charger Pwr, W</v>
      </c>
      <c r="Y1" s="4" t="s">
        <v>45</v>
      </c>
      <c r="Z1" s="4" t="s">
        <v>46</v>
      </c>
      <c r="AA1" s="4" t="s">
        <v>47</v>
      </c>
      <c r="AB1" s="4" t="s">
        <v>48</v>
      </c>
      <c r="AC1" s="4" t="s">
        <v>118</v>
      </c>
      <c r="AD1" s="4" t="s">
        <v>119</v>
      </c>
      <c r="AE1" s="4" t="s">
        <v>120</v>
      </c>
      <c r="AF1" s="4" t="s">
        <v>58</v>
      </c>
    </row>
    <row r="2" spans="1:32" ht="14.45" x14ac:dyDescent="0.3">
      <c r="B2" s="98">
        <f>C2/180+1</f>
        <v>1.2611111111111111</v>
      </c>
      <c r="C2" s="99">
        <v>47</v>
      </c>
      <c r="D2" s="99"/>
      <c r="E2" s="99">
        <v>12</v>
      </c>
      <c r="F2" s="99">
        <v>0.43</v>
      </c>
      <c r="G2" s="99">
        <v>4980</v>
      </c>
      <c r="H2" s="101">
        <v>1E+16</v>
      </c>
      <c r="I2" s="100"/>
      <c r="J2" s="2">
        <f>E2*F2</f>
        <v>5.16</v>
      </c>
      <c r="K2" s="1">
        <f>C2</f>
        <v>47</v>
      </c>
      <c r="L2" s="3">
        <f t="shared" ref="L2:M9" si="1">1/G2/0.000001</f>
        <v>200.80321285140565</v>
      </c>
      <c r="M2" s="3">
        <f t="shared" si="1"/>
        <v>1E-10</v>
      </c>
      <c r="N2" s="3">
        <f t="shared" ref="N2:O9" si="2">L2*60/$AA$16</f>
        <v>6024.0963855421696</v>
      </c>
      <c r="O2" s="3">
        <f t="shared" si="2"/>
        <v>3E-9</v>
      </c>
      <c r="P2" s="3">
        <f t="shared" ref="P2:Q9" si="3">N2/$AA$24*100</f>
        <v>27.192101740294518</v>
      </c>
      <c r="Q2" s="3">
        <f t="shared" si="3"/>
        <v>1.3541666666666668E-11</v>
      </c>
      <c r="R2" s="3">
        <f t="shared" ref="R2:R9" si="4">O2*$AD$35+$AD$36</f>
        <v>4180.4182204543986</v>
      </c>
      <c r="S2" s="3">
        <f t="shared" ref="S2:S9" si="5">K2</f>
        <v>47</v>
      </c>
      <c r="T2" s="3">
        <f t="shared" ref="T2:T9" si="6">R2/$AA$24*100</f>
        <v>18.869943356217771</v>
      </c>
      <c r="U2" s="3">
        <f t="shared" ref="U2:U9" si="7">$AA$38*LN(C2)+$AA$39</f>
        <v>464.32038932937508</v>
      </c>
      <c r="V2" s="3">
        <f t="shared" ref="V2:V9" si="8">D2*D2*$AA$35+D2*$AA$36+$AA$37</f>
        <v>0</v>
      </c>
      <c r="W2" s="3">
        <f t="shared" ref="W2:W9" si="9">V2/$AA$24*100</f>
        <v>0</v>
      </c>
      <c r="X2" s="4">
        <f t="shared" si="0"/>
        <v>5.16</v>
      </c>
      <c r="Y2">
        <f>X2*0.001341022</f>
        <v>6.9196735200000008E-3</v>
      </c>
      <c r="Z2">
        <f>Y2/N2*5252</f>
        <v>6.0327928042886395E-3</v>
      </c>
      <c r="AA2">
        <f>-Z2/2/N2</f>
        <v>-5.0072180275595703E-7</v>
      </c>
      <c r="AB2" s="4"/>
      <c r="AC2" s="4"/>
      <c r="AD2" s="4"/>
      <c r="AE2" s="4"/>
      <c r="AF2" s="97">
        <f t="shared" ref="AF2:AF9" si="10">(N2-$AH$29)/$AI$29</f>
        <v>49.951845286752039</v>
      </c>
    </row>
    <row r="3" spans="1:32" ht="15" customHeight="1" x14ac:dyDescent="0.3">
      <c r="B3" s="77">
        <v>1.4338333333333333</v>
      </c>
      <c r="C3" s="73">
        <v>78.089999999999989</v>
      </c>
      <c r="D3" s="73">
        <v>0.5</v>
      </c>
      <c r="E3" s="73">
        <v>12</v>
      </c>
      <c r="F3" s="73">
        <v>0.97</v>
      </c>
      <c r="G3" s="73">
        <v>3840</v>
      </c>
      <c r="H3" s="73">
        <v>9150</v>
      </c>
      <c r="I3" s="78">
        <v>3.2</v>
      </c>
      <c r="J3" s="2">
        <f>E3*F3</f>
        <v>11.64</v>
      </c>
      <c r="K3" s="1">
        <f t="shared" ref="K3:K9" si="11">C3</f>
        <v>78.089999999999989</v>
      </c>
      <c r="L3" s="3">
        <f t="shared" si="1"/>
        <v>260.41666666666669</v>
      </c>
      <c r="M3" s="3">
        <f t="shared" si="1"/>
        <v>109.2896174863388</v>
      </c>
      <c r="N3" s="3">
        <f t="shared" si="2"/>
        <v>7812.5000000000009</v>
      </c>
      <c r="O3" s="3">
        <f t="shared" si="2"/>
        <v>3278.688524590164</v>
      </c>
      <c r="P3" s="3">
        <f t="shared" si="3"/>
        <v>35.26475694444445</v>
      </c>
      <c r="Q3" s="3">
        <f t="shared" si="3"/>
        <v>14.799635701275045</v>
      </c>
      <c r="R3" s="3">
        <f t="shared" si="4"/>
        <v>7656.5024245703744</v>
      </c>
      <c r="S3" s="3">
        <f t="shared" si="5"/>
        <v>78.089999999999989</v>
      </c>
      <c r="T3" s="3">
        <f t="shared" si="6"/>
        <v>34.560601222019052</v>
      </c>
      <c r="U3" s="3">
        <f t="shared" si="7"/>
        <v>525.54976935129287</v>
      </c>
      <c r="V3" s="3">
        <f t="shared" si="8"/>
        <v>3494.6201834301496</v>
      </c>
      <c r="W3" s="3">
        <f t="shared" si="9"/>
        <v>15.774327216872205</v>
      </c>
      <c r="X3" s="4">
        <f t="shared" si="0"/>
        <v>11.64</v>
      </c>
      <c r="Y3">
        <f>X3*0.001341022</f>
        <v>1.5609496080000002E-2</v>
      </c>
      <c r="Z3">
        <f>Y3/N3*5252</f>
        <v>1.0493577396756479E-2</v>
      </c>
      <c r="AA3">
        <f>-Z3/2/N3</f>
        <v>-6.715889533924146E-7</v>
      </c>
      <c r="AF3" s="97">
        <f t="shared" si="10"/>
        <v>64.781299356256554</v>
      </c>
    </row>
    <row r="4" spans="1:32" ht="13.9" customHeight="1" x14ac:dyDescent="0.3">
      <c r="B4" s="77">
        <v>1.4649999999999999</v>
      </c>
      <c r="C4" s="73">
        <v>83.699999999999974</v>
      </c>
      <c r="D4" s="73">
        <v>0.74199999999999999</v>
      </c>
      <c r="E4" s="73">
        <v>12</v>
      </c>
      <c r="F4" s="73">
        <v>1.51</v>
      </c>
      <c r="G4" s="73">
        <v>3180</v>
      </c>
      <c r="H4" s="73">
        <v>6060</v>
      </c>
      <c r="I4" s="78">
        <v>4.5999999999999996</v>
      </c>
      <c r="J4" s="2">
        <f t="shared" ref="J4:J9" si="12">E4*F4</f>
        <v>18.12</v>
      </c>
      <c r="K4" s="1">
        <f t="shared" si="11"/>
        <v>83.699999999999974</v>
      </c>
      <c r="L4" s="3">
        <f t="shared" si="1"/>
        <v>314.46540880503147</v>
      </c>
      <c r="M4" s="3">
        <f t="shared" si="1"/>
        <v>165.01650165016503</v>
      </c>
      <c r="N4" s="3">
        <f t="shared" si="2"/>
        <v>9433.962264150945</v>
      </c>
      <c r="O4" s="3">
        <f t="shared" si="2"/>
        <v>4950.4950495049507</v>
      </c>
      <c r="P4" s="3">
        <f t="shared" si="3"/>
        <v>42.58385744234802</v>
      </c>
      <c r="Q4" s="3">
        <f t="shared" si="3"/>
        <v>22.345984598459847</v>
      </c>
      <c r="R4" s="3">
        <f t="shared" si="4"/>
        <v>9428.9612019182605</v>
      </c>
      <c r="S4" s="3">
        <f t="shared" si="5"/>
        <v>83.699999999999974</v>
      </c>
      <c r="T4" s="3">
        <f t="shared" si="6"/>
        <v>42.561283203103258</v>
      </c>
      <c r="U4" s="3">
        <f t="shared" si="7"/>
        <v>533.91649836277281</v>
      </c>
      <c r="V4" s="3">
        <f t="shared" si="8"/>
        <v>5100.5484588755035</v>
      </c>
      <c r="W4" s="3">
        <f t="shared" si="9"/>
        <v>23.02330901575748</v>
      </c>
      <c r="X4" s="4">
        <f t="shared" si="0"/>
        <v>18.12</v>
      </c>
      <c r="Y4">
        <f t="shared" ref="Y4:Y9" si="13">X4*0.001341022</f>
        <v>2.4299318640000005E-2</v>
      </c>
      <c r="Z4">
        <f t="shared" ref="Z4:Z9" si="14">Y4/N4*5252</f>
        <v>1.3527722278711681E-2</v>
      </c>
      <c r="AA4">
        <f t="shared" ref="AA4:AA9" si="15">-Z4/2/N4</f>
        <v>-7.1696928077171894E-7</v>
      </c>
      <c r="AB4">
        <v>0.18</v>
      </c>
      <c r="AC4">
        <f>-AB4*AA4</f>
        <v>1.2905447053890941E-7</v>
      </c>
      <c r="AD4">
        <f>AC4/6.66*2048.5</f>
        <v>3.9694907342185574E-5</v>
      </c>
      <c r="AE4">
        <f>AD4*144</f>
        <v>5.716066657274723E-3</v>
      </c>
      <c r="AF4" s="97">
        <f t="shared" si="10"/>
        <v>78.22647469434753</v>
      </c>
    </row>
    <row r="5" spans="1:32" ht="13.9" customHeight="1" x14ac:dyDescent="0.3">
      <c r="B5" s="77">
        <v>1.568888888888889</v>
      </c>
      <c r="C5" s="73">
        <v>102.40000000000002</v>
      </c>
      <c r="D5" s="73">
        <v>1.17</v>
      </c>
      <c r="E5" s="73">
        <v>12</v>
      </c>
      <c r="F5" s="73">
        <v>3</v>
      </c>
      <c r="G5" s="73">
        <v>2450</v>
      </c>
      <c r="H5" s="73">
        <v>3840</v>
      </c>
      <c r="I5" s="78">
        <v>7.4</v>
      </c>
      <c r="J5" s="2">
        <f t="shared" si="12"/>
        <v>36</v>
      </c>
      <c r="K5" s="1">
        <f t="shared" si="11"/>
        <v>102.40000000000002</v>
      </c>
      <c r="L5" s="3">
        <f t="shared" si="1"/>
        <v>408.16326530612247</v>
      </c>
      <c r="M5" s="3">
        <f t="shared" si="1"/>
        <v>260.41666666666669</v>
      </c>
      <c r="N5" s="3">
        <f t="shared" si="2"/>
        <v>12244.897959183674</v>
      </c>
      <c r="O5" s="3">
        <f t="shared" si="2"/>
        <v>7812.5000000000009</v>
      </c>
      <c r="P5" s="3">
        <f t="shared" si="3"/>
        <v>55.272108843537424</v>
      </c>
      <c r="Q5" s="3">
        <f t="shared" si="3"/>
        <v>35.26475694444445</v>
      </c>
      <c r="R5" s="3">
        <f t="shared" si="4"/>
        <v>12463.275113078895</v>
      </c>
      <c r="S5" s="3">
        <f t="shared" si="5"/>
        <v>102.40000000000002</v>
      </c>
      <c r="T5" s="3">
        <f t="shared" si="6"/>
        <v>56.257839052092237</v>
      </c>
      <c r="U5" s="3">
        <f t="shared" si="7"/>
        <v>558.23482705024071</v>
      </c>
      <c r="V5" s="3">
        <f t="shared" si="8"/>
        <v>7804.2947828053293</v>
      </c>
      <c r="W5" s="3">
        <f t="shared" si="9"/>
        <v>35.227719505718504</v>
      </c>
      <c r="X5" s="4">
        <f t="shared" si="0"/>
        <v>36</v>
      </c>
      <c r="Y5">
        <f t="shared" si="13"/>
        <v>4.8276792000000006E-2</v>
      </c>
      <c r="Z5">
        <f t="shared" si="14"/>
        <v>2.070655977936E-2</v>
      </c>
      <c r="AA5">
        <f t="shared" si="15"/>
        <v>-8.4551785765719992E-7</v>
      </c>
      <c r="AB5">
        <v>0.18</v>
      </c>
      <c r="AC5">
        <f>-AB5*AA5</f>
        <v>1.5219321437829598E-7</v>
      </c>
      <c r="AD5">
        <f>AC5/6.66*2048.5</f>
        <v>4.6811981930020919E-5</v>
      </c>
      <c r="AE5">
        <f>AD5*144</f>
        <v>6.7409253979230123E-3</v>
      </c>
      <c r="AF5" s="97">
        <f t="shared" si="10"/>
        <v>101.53477123592863</v>
      </c>
    </row>
    <row r="6" spans="1:32" ht="13.9" customHeight="1" x14ac:dyDescent="0.3">
      <c r="B6" s="77">
        <v>1.6727777777777779</v>
      </c>
      <c r="C6" s="73">
        <v>121.10000000000002</v>
      </c>
      <c r="D6" s="73">
        <v>1.52</v>
      </c>
      <c r="E6" s="73">
        <v>12</v>
      </c>
      <c r="F6" s="73">
        <v>4.5999999999999996</v>
      </c>
      <c r="G6" s="73">
        <v>2000</v>
      </c>
      <c r="H6" s="73">
        <v>2980</v>
      </c>
      <c r="I6" s="78">
        <v>9.4</v>
      </c>
      <c r="J6" s="2">
        <f t="shared" si="12"/>
        <v>55.199999999999996</v>
      </c>
      <c r="K6" s="1">
        <f t="shared" si="11"/>
        <v>121.10000000000002</v>
      </c>
      <c r="L6" s="3">
        <f t="shared" si="1"/>
        <v>500.00000000000006</v>
      </c>
      <c r="M6" s="3">
        <f t="shared" si="1"/>
        <v>335.57046979865771</v>
      </c>
      <c r="N6" s="3">
        <f t="shared" si="2"/>
        <v>15000.000000000002</v>
      </c>
      <c r="O6" s="3">
        <f t="shared" si="2"/>
        <v>10067.114093959732</v>
      </c>
      <c r="P6" s="3">
        <f t="shared" si="3"/>
        <v>67.708333333333343</v>
      </c>
      <c r="Q6" s="3">
        <f t="shared" si="3"/>
        <v>45.44183445190157</v>
      </c>
      <c r="R6" s="3">
        <f t="shared" si="4"/>
        <v>14853.629786790238</v>
      </c>
      <c r="S6" s="3">
        <f t="shared" si="5"/>
        <v>121.10000000000002</v>
      </c>
      <c r="T6" s="3">
        <f t="shared" si="6"/>
        <v>67.047634454261498</v>
      </c>
      <c r="U6" s="3">
        <f t="shared" si="7"/>
        <v>578.46273469155688</v>
      </c>
      <c r="V6" s="3">
        <f t="shared" si="8"/>
        <v>9885.6944218814369</v>
      </c>
      <c r="W6" s="3">
        <f t="shared" si="9"/>
        <v>44.622926209881491</v>
      </c>
      <c r="X6" s="4">
        <f t="shared" si="0"/>
        <v>55.199999999999996</v>
      </c>
      <c r="Y6">
        <f t="shared" si="13"/>
        <v>7.4024414400000002E-2</v>
      </c>
      <c r="Z6">
        <f t="shared" si="14"/>
        <v>2.5918414961919996E-2</v>
      </c>
      <c r="AA6">
        <f t="shared" si="15"/>
        <v>-8.6394716539733309E-7</v>
      </c>
      <c r="AB6">
        <v>0.14000000000000001</v>
      </c>
      <c r="AC6">
        <f>-AB6*AA6</f>
        <v>1.2095260315562663E-7</v>
      </c>
      <c r="AD6">
        <f>AC6/6.66*2048.5</f>
        <v>3.7202914048693865E-5</v>
      </c>
      <c r="AE6">
        <f>AD6*144</f>
        <v>5.3572196230119162E-3</v>
      </c>
      <c r="AF6" s="97">
        <f t="shared" si="10"/>
        <v>124.38009476401257</v>
      </c>
    </row>
    <row r="7" spans="1:32" ht="13.9" customHeight="1" x14ac:dyDescent="0.3">
      <c r="B7" s="77">
        <v>1.7143333333333333</v>
      </c>
      <c r="C7" s="73">
        <v>128.57999999999998</v>
      </c>
      <c r="D7" s="73">
        <v>1.7</v>
      </c>
      <c r="E7" s="73">
        <v>12</v>
      </c>
      <c r="F7" s="73">
        <v>5.4</v>
      </c>
      <c r="G7" s="73">
        <v>1930</v>
      </c>
      <c r="H7" s="73">
        <v>2760</v>
      </c>
      <c r="I7" s="78">
        <v>10.4</v>
      </c>
      <c r="J7" s="2">
        <f t="shared" si="12"/>
        <v>64.800000000000011</v>
      </c>
      <c r="K7" s="1">
        <f t="shared" si="11"/>
        <v>128.57999999999998</v>
      </c>
      <c r="L7" s="3">
        <f t="shared" si="1"/>
        <v>518.13471502590676</v>
      </c>
      <c r="M7" s="3">
        <f t="shared" si="1"/>
        <v>362.31884057971018</v>
      </c>
      <c r="N7" s="3">
        <f t="shared" si="2"/>
        <v>15544.041450777202</v>
      </c>
      <c r="O7" s="3">
        <f t="shared" si="2"/>
        <v>10869.565217391306</v>
      </c>
      <c r="P7" s="3">
        <f t="shared" si="3"/>
        <v>70.164075993091544</v>
      </c>
      <c r="Q7" s="3">
        <f t="shared" si="3"/>
        <v>49.064009661835762</v>
      </c>
      <c r="R7" s="3">
        <f t="shared" si="4"/>
        <v>15704.393027585378</v>
      </c>
      <c r="S7" s="3">
        <f t="shared" si="5"/>
        <v>128.57999999999998</v>
      </c>
      <c r="T7" s="3">
        <f t="shared" si="6"/>
        <v>70.887885193961779</v>
      </c>
      <c r="U7" s="3">
        <f t="shared" si="7"/>
        <v>585.69073547434391</v>
      </c>
      <c r="V7" s="3">
        <f t="shared" si="8"/>
        <v>10910.72055031222</v>
      </c>
      <c r="W7" s="3">
        <f t="shared" si="9"/>
        <v>49.249780261825997</v>
      </c>
      <c r="X7" s="4">
        <f t="shared" si="0"/>
        <v>64.800000000000011</v>
      </c>
      <c r="Y7">
        <f t="shared" si="13"/>
        <v>8.6898225600000017E-2</v>
      </c>
      <c r="Z7">
        <f t="shared" si="14"/>
        <v>2.9361056601427207E-2</v>
      </c>
      <c r="AA7">
        <f t="shared" si="15"/>
        <v>-9.4444732067924179E-7</v>
      </c>
      <c r="AB7">
        <v>0.12</v>
      </c>
      <c r="AC7">
        <f>-AB7*AA7</f>
        <v>1.1333367848150901E-7</v>
      </c>
      <c r="AD7">
        <f>AC7/6.66*2048.5</f>
        <v>3.4859465520926602E-5</v>
      </c>
      <c r="AE7">
        <f>AD7*144</f>
        <v>5.0197630350134305E-3</v>
      </c>
      <c r="AF7" s="97">
        <f t="shared" si="10"/>
        <v>128.89128991089385</v>
      </c>
    </row>
    <row r="8" spans="1:32" ht="13.9" customHeight="1" x14ac:dyDescent="0.3">
      <c r="B8" s="77">
        <v>1.8545833333333333</v>
      </c>
      <c r="C8" s="73">
        <v>153.82499999999999</v>
      </c>
      <c r="D8" s="73">
        <v>2.2000000000000002</v>
      </c>
      <c r="E8" s="73">
        <v>12</v>
      </c>
      <c r="F8" s="73">
        <v>8.6999999999999993</v>
      </c>
      <c r="G8" s="73">
        <v>1610</v>
      </c>
      <c r="H8" s="73">
        <v>2180</v>
      </c>
      <c r="I8" s="78">
        <v>13</v>
      </c>
      <c r="J8" s="2">
        <f t="shared" si="12"/>
        <v>104.39999999999999</v>
      </c>
      <c r="K8" s="1">
        <f t="shared" si="11"/>
        <v>153.82499999999999</v>
      </c>
      <c r="L8" s="3">
        <f t="shared" si="1"/>
        <v>621.11801242236027</v>
      </c>
      <c r="M8" s="3">
        <f t="shared" si="1"/>
        <v>458.71559633027528</v>
      </c>
      <c r="N8" s="3">
        <f t="shared" si="2"/>
        <v>18633.540372670806</v>
      </c>
      <c r="O8" s="3">
        <f t="shared" si="2"/>
        <v>13761.467889908257</v>
      </c>
      <c r="P8" s="3">
        <f t="shared" si="3"/>
        <v>84.10973084886129</v>
      </c>
      <c r="Q8" s="3">
        <f t="shared" si="3"/>
        <v>62.117737003058117</v>
      </c>
      <c r="R8" s="3">
        <f t="shared" si="4"/>
        <v>18770.404673520155</v>
      </c>
      <c r="S8" s="3">
        <f t="shared" si="5"/>
        <v>153.82499999999999</v>
      </c>
      <c r="T8" s="3">
        <f t="shared" si="6"/>
        <v>84.727521095750703</v>
      </c>
      <c r="U8" s="3">
        <f t="shared" si="7"/>
        <v>607.30966665297819</v>
      </c>
      <c r="V8" s="3">
        <f t="shared" si="8"/>
        <v>13596.184005950465</v>
      </c>
      <c r="W8" s="3">
        <f t="shared" si="9"/>
        <v>61.371663915748634</v>
      </c>
      <c r="X8" s="4">
        <f t="shared" si="0"/>
        <v>104.39999999999999</v>
      </c>
      <c r="Y8">
        <f t="shared" si="13"/>
        <v>0.14000269679999999</v>
      </c>
      <c r="Z8">
        <f t="shared" si="14"/>
        <v>3.9460786779523201E-2</v>
      </c>
      <c r="AA8">
        <f t="shared" si="15"/>
        <v>-1.0588644452505392E-6</v>
      </c>
      <c r="AF8" s="97">
        <f t="shared" si="10"/>
        <v>154.50943448945659</v>
      </c>
    </row>
    <row r="9" spans="1:32" ht="13.9" customHeight="1" thickBot="1" x14ac:dyDescent="0.35">
      <c r="B9" s="79">
        <v>1.9470444444444444</v>
      </c>
      <c r="C9" s="80">
        <v>170.46799999999999</v>
      </c>
      <c r="D9" s="80">
        <v>2.71</v>
      </c>
      <c r="E9" s="80">
        <v>12</v>
      </c>
      <c r="F9" s="80">
        <v>13</v>
      </c>
      <c r="G9" s="80">
        <v>1408</v>
      </c>
      <c r="H9" s="80">
        <v>1880</v>
      </c>
      <c r="I9" s="81">
        <v>15</v>
      </c>
      <c r="J9" s="2">
        <f t="shared" si="12"/>
        <v>156</v>
      </c>
      <c r="K9" s="1">
        <f t="shared" si="11"/>
        <v>170.46799999999999</v>
      </c>
      <c r="L9" s="3">
        <f t="shared" si="1"/>
        <v>710.22727272727275</v>
      </c>
      <c r="M9" s="3">
        <f t="shared" si="1"/>
        <v>531.91489361702133</v>
      </c>
      <c r="N9" s="3">
        <f t="shared" si="2"/>
        <v>21306.818181818184</v>
      </c>
      <c r="O9" s="3">
        <f t="shared" si="2"/>
        <v>15957.44680851064</v>
      </c>
      <c r="P9" s="3">
        <f t="shared" si="3"/>
        <v>96.176609848484858</v>
      </c>
      <c r="Q9" s="3">
        <f t="shared" si="3"/>
        <v>72.030141843971634</v>
      </c>
      <c r="R9" s="3">
        <f t="shared" si="4"/>
        <v>21098.594001137539</v>
      </c>
      <c r="S9" s="3">
        <f t="shared" si="5"/>
        <v>170.46799999999999</v>
      </c>
      <c r="T9" s="3">
        <f t="shared" si="6"/>
        <v>95.236709032912501</v>
      </c>
      <c r="U9" s="3">
        <f t="shared" si="7"/>
        <v>619.69894848212812</v>
      </c>
      <c r="V9" s="3">
        <f t="shared" si="8"/>
        <v>16090.182242180526</v>
      </c>
      <c r="W9" s="3">
        <f t="shared" si="9"/>
        <v>72.629294843175998</v>
      </c>
      <c r="X9" s="4">
        <f t="shared" si="0"/>
        <v>156</v>
      </c>
      <c r="Y9">
        <f t="shared" si="13"/>
        <v>0.20919943200000002</v>
      </c>
      <c r="Z9">
        <f t="shared" si="14"/>
        <v>5.1566376898150398E-2</v>
      </c>
      <c r="AA9">
        <f t="shared" si="15"/>
        <v>-1.2100909778765959E-6</v>
      </c>
      <c r="AF9" s="97">
        <f t="shared" si="10"/>
        <v>176.67627097160877</v>
      </c>
    </row>
    <row r="10" spans="1:32" ht="13.9" customHeight="1" x14ac:dyDescent="0.3">
      <c r="N10" s="1">
        <v>9.34</v>
      </c>
      <c r="AB10" t="s">
        <v>49</v>
      </c>
      <c r="AC10">
        <f>AVERAGE(AC4:AC7)</f>
        <v>1.2888349163858527E-7</v>
      </c>
      <c r="AD10">
        <f>AVERAGE(AD4:AD7)</f>
        <v>3.9642317210456738E-5</v>
      </c>
      <c r="AE10">
        <f>AVERAGE(AE4:AE7)</f>
        <v>5.7084936783057703E-3</v>
      </c>
      <c r="AF10" s="97"/>
    </row>
    <row r="11" spans="1:32" ht="13.9" customHeight="1" x14ac:dyDescent="0.3">
      <c r="V11" s="3">
        <f>D11*D11*$AA$35+D11*$AA$36+$AA$37</f>
        <v>0</v>
      </c>
      <c r="W11" s="3"/>
    </row>
    <row r="12" spans="1:32" ht="13.9" customHeight="1" x14ac:dyDescent="0.3"/>
    <row r="13" spans="1:32" ht="13.9" customHeight="1" x14ac:dyDescent="0.3"/>
    <row r="14" spans="1:32" ht="13.9" customHeight="1" x14ac:dyDescent="0.3">
      <c r="B14" s="5"/>
      <c r="C14" s="6"/>
      <c r="D14" s="6"/>
      <c r="E14" s="6"/>
      <c r="F14" s="6"/>
      <c r="G14" s="6"/>
      <c r="H14" s="6"/>
      <c r="I14" s="6"/>
      <c r="J14" s="2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spans="1:32" ht="13.9" customHeight="1" thickBot="1" x14ac:dyDescent="0.35">
      <c r="B15" s="5"/>
      <c r="C15" s="6"/>
      <c r="D15" s="6"/>
      <c r="E15" s="6"/>
      <c r="F15" s="6"/>
      <c r="G15" s="6"/>
      <c r="H15" s="6"/>
      <c r="I15" s="6"/>
      <c r="J15" s="2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Z15" t="s">
        <v>32</v>
      </c>
      <c r="AC15" t="s">
        <v>33</v>
      </c>
      <c r="AF15" s="30"/>
    </row>
    <row r="16" spans="1:32" ht="13.9" customHeight="1" x14ac:dyDescent="0.3">
      <c r="A16" s="3" t="s">
        <v>28</v>
      </c>
      <c r="B16" s="11" t="s">
        <v>29</v>
      </c>
      <c r="C16" s="12"/>
      <c r="D16" s="12"/>
      <c r="E16" s="6"/>
      <c r="F16" s="6"/>
      <c r="G16" s="6"/>
      <c r="H16" s="6"/>
      <c r="I16" s="6"/>
      <c r="J16" s="2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Z16" s="17" t="s">
        <v>3</v>
      </c>
      <c r="AA16" s="18">
        <v>2</v>
      </c>
      <c r="AC16" s="17"/>
      <c r="AD16" s="23" t="s">
        <v>22</v>
      </c>
      <c r="AE16" s="7"/>
      <c r="AF16" s="30"/>
    </row>
    <row r="17" spans="1:36" ht="14.45" x14ac:dyDescent="0.3">
      <c r="A17" s="3"/>
      <c r="B17" s="13" t="s">
        <v>30</v>
      </c>
      <c r="C17" s="14"/>
      <c r="D17" s="14"/>
      <c r="E17" s="6"/>
      <c r="F17" s="6"/>
      <c r="G17" s="6"/>
      <c r="H17" s="6"/>
      <c r="I17" s="6"/>
      <c r="J17" s="2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Z17" s="19" t="s">
        <v>4</v>
      </c>
      <c r="AA17" s="20">
        <v>4800</v>
      </c>
      <c r="AC17" s="24" t="s">
        <v>16</v>
      </c>
      <c r="AD17" s="25">
        <v>0</v>
      </c>
      <c r="AF17" s="30"/>
    </row>
    <row r="18" spans="1:36" ht="13.9" customHeight="1" thickBot="1" x14ac:dyDescent="0.35">
      <c r="A18" s="3"/>
      <c r="B18" s="15" t="s">
        <v>31</v>
      </c>
      <c r="C18" s="16"/>
      <c r="D18" s="16"/>
      <c r="E18" s="6"/>
      <c r="F18" s="6"/>
      <c r="G18" s="6"/>
      <c r="H18" s="6"/>
      <c r="I18" s="6"/>
      <c r="J18" s="2"/>
      <c r="L18" s="3"/>
      <c r="M18" s="3"/>
      <c r="N18" s="3"/>
      <c r="O18" s="2"/>
      <c r="P18" s="3"/>
      <c r="Q18" s="3"/>
      <c r="R18" s="3"/>
      <c r="S18" s="3"/>
      <c r="X18" s="3"/>
      <c r="Z18" s="21" t="s">
        <v>5</v>
      </c>
      <c r="AA18" s="22">
        <v>12</v>
      </c>
      <c r="AC18" s="26" t="s">
        <v>17</v>
      </c>
      <c r="AD18" s="27">
        <v>5</v>
      </c>
      <c r="AF18" s="30"/>
    </row>
    <row r="19" spans="1:36" ht="13.9" customHeight="1" x14ac:dyDescent="0.3">
      <c r="B19" s="5"/>
      <c r="C19" s="6"/>
      <c r="D19" s="6"/>
      <c r="E19" s="6"/>
      <c r="F19" s="6"/>
      <c r="G19" s="6"/>
      <c r="H19" s="6"/>
      <c r="I19" s="6"/>
      <c r="J19" s="2"/>
      <c r="L19" s="3"/>
      <c r="M19" s="3"/>
      <c r="N19" s="3"/>
      <c r="O19" s="3"/>
      <c r="P19" s="3"/>
      <c r="Q19" s="3"/>
      <c r="R19" s="3"/>
      <c r="S19" s="3"/>
      <c r="X19" s="3"/>
      <c r="AF19" s="30"/>
    </row>
    <row r="20" spans="1:36" ht="24" thickBot="1" x14ac:dyDescent="0.5">
      <c r="B20" s="5"/>
      <c r="C20" s="6"/>
      <c r="D20" s="6"/>
      <c r="E20" s="6"/>
      <c r="F20" s="6"/>
      <c r="G20" s="6"/>
      <c r="H20" s="6"/>
      <c r="I20" s="6"/>
      <c r="J20" s="2"/>
      <c r="L20" s="3"/>
      <c r="M20" s="3"/>
      <c r="N20" s="3"/>
      <c r="O20" s="3"/>
      <c r="P20" s="3"/>
      <c r="Q20" s="3"/>
      <c r="R20" s="3"/>
      <c r="S20" s="3"/>
      <c r="X20" s="3"/>
      <c r="Z20" t="s">
        <v>35</v>
      </c>
      <c r="AF20" s="94" t="s">
        <v>54</v>
      </c>
      <c r="AG20" s="5" t="s">
        <v>56</v>
      </c>
      <c r="AH20" s="5"/>
      <c r="AI20" s="5"/>
    </row>
    <row r="21" spans="1:36" thickBot="1" x14ac:dyDescent="0.35">
      <c r="B21" s="5"/>
      <c r="C21" s="6"/>
      <c r="D21" s="6"/>
      <c r="E21" s="6"/>
      <c r="F21" s="6"/>
      <c r="G21" s="6"/>
      <c r="H21" s="6"/>
      <c r="I21" s="6"/>
      <c r="J21" s="2"/>
      <c r="L21" s="3"/>
      <c r="M21" s="3"/>
      <c r="N21" s="3"/>
      <c r="O21" s="3"/>
      <c r="P21" s="3"/>
      <c r="Q21" s="3"/>
      <c r="R21" s="3"/>
      <c r="S21" s="3"/>
      <c r="T21" s="3"/>
      <c r="V21" s="3"/>
      <c r="W21" s="3"/>
      <c r="X21" s="3"/>
      <c r="Z21" s="34">
        <v>210</v>
      </c>
      <c r="AA21" s="35" t="s">
        <v>34</v>
      </c>
      <c r="AB21" s="36"/>
      <c r="AC21" s="35"/>
      <c r="AD21" s="35"/>
      <c r="AE21" s="37"/>
      <c r="AG21" s="62" t="s">
        <v>15</v>
      </c>
      <c r="AH21" s="63">
        <f>AA29</f>
        <v>5</v>
      </c>
      <c r="AI21" s="64"/>
      <c r="AJ21" s="29"/>
    </row>
    <row r="22" spans="1:36" ht="14.45" x14ac:dyDescent="0.3">
      <c r="B22" s="5"/>
      <c r="C22" s="6"/>
      <c r="D22" s="6"/>
      <c r="E22" s="6"/>
      <c r="F22" s="6"/>
      <c r="G22" s="6"/>
      <c r="H22" s="6"/>
      <c r="I22" s="6"/>
      <c r="J22" s="2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Z22" s="8"/>
      <c r="AB22" s="8"/>
      <c r="AC22" s="8"/>
      <c r="AG22" s="65" t="s">
        <v>14</v>
      </c>
      <c r="AH22" s="66">
        <f>AA28</f>
        <v>0</v>
      </c>
      <c r="AI22" s="45"/>
      <c r="AJ22" s="31"/>
    </row>
    <row r="23" spans="1:36" thickBot="1" x14ac:dyDescent="0.35">
      <c r="C23" s="6"/>
      <c r="D23" s="6"/>
      <c r="E23" s="6"/>
      <c r="F23" s="6"/>
      <c r="G23" s="6"/>
      <c r="H23" s="6"/>
      <c r="I23" s="6"/>
      <c r="J23" s="2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Z23" t="s">
        <v>36</v>
      </c>
      <c r="AG23" s="65" t="s">
        <v>17</v>
      </c>
      <c r="AH23" s="66">
        <f>AD18</f>
        <v>5</v>
      </c>
      <c r="AI23" s="30"/>
      <c r="AJ23" s="31"/>
    </row>
    <row r="24" spans="1:36" thickBot="1" x14ac:dyDescent="0.35">
      <c r="Z24" s="38" t="s">
        <v>6</v>
      </c>
      <c r="AA24" s="39">
        <f>AA17*AA18/AB24</f>
        <v>22153.846153846152</v>
      </c>
      <c r="AB24" s="40">
        <v>2.6</v>
      </c>
      <c r="AC24" s="35" t="s">
        <v>9</v>
      </c>
      <c r="AD24" s="41"/>
      <c r="AG24" s="65" t="s">
        <v>16</v>
      </c>
      <c r="AH24" s="66">
        <f>AD17</f>
        <v>0</v>
      </c>
      <c r="AI24" s="30"/>
      <c r="AJ24" s="31"/>
    </row>
    <row r="25" spans="1:36" ht="14.45" x14ac:dyDescent="0.3">
      <c r="AG25" s="65" t="s">
        <v>27</v>
      </c>
      <c r="AH25" s="66">
        <f>AA24/100</f>
        <v>221.53846153846152</v>
      </c>
      <c r="AI25" s="30"/>
      <c r="AJ25" s="31"/>
    </row>
    <row r="26" spans="1:36" thickBot="1" x14ac:dyDescent="0.35">
      <c r="C26" s="6"/>
      <c r="D26" s="6"/>
      <c r="E26" s="6"/>
      <c r="F26" s="6"/>
      <c r="G26" s="6"/>
      <c r="H26" s="6"/>
      <c r="I26" s="6"/>
      <c r="J26" s="9"/>
      <c r="K26" s="6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Z26" t="s">
        <v>37</v>
      </c>
      <c r="AG26" s="65" t="s">
        <v>18</v>
      </c>
      <c r="AH26" s="66">
        <f>AC29</f>
        <v>180</v>
      </c>
      <c r="AI26" s="30"/>
      <c r="AJ26" s="31"/>
    </row>
    <row r="27" spans="1:36" ht="28.9" x14ac:dyDescent="0.3">
      <c r="C27" s="6"/>
      <c r="D27" s="6"/>
      <c r="E27" s="6"/>
      <c r="F27" s="6"/>
      <c r="G27" s="6"/>
      <c r="H27" s="6"/>
      <c r="I27" s="6"/>
      <c r="J27" s="9"/>
      <c r="K27" s="6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Z27" s="17"/>
      <c r="AA27" s="42" t="s">
        <v>19</v>
      </c>
      <c r="AB27" s="28"/>
      <c r="AC27" s="42" t="s">
        <v>20</v>
      </c>
      <c r="AD27" s="29" t="s">
        <v>109</v>
      </c>
      <c r="AG27" s="65" t="s">
        <v>13</v>
      </c>
      <c r="AH27" s="66">
        <f>AC28</f>
        <v>0</v>
      </c>
      <c r="AI27" s="30"/>
      <c r="AJ27" s="31"/>
    </row>
    <row r="28" spans="1:36" ht="14.45" x14ac:dyDescent="0.3">
      <c r="C28" s="6"/>
      <c r="D28" s="6"/>
      <c r="E28" s="6"/>
      <c r="F28" s="6"/>
      <c r="G28" s="6"/>
      <c r="H28" s="6"/>
      <c r="I28" s="6"/>
      <c r="J28" s="9"/>
      <c r="K28" s="6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Z28" s="57" t="s">
        <v>14</v>
      </c>
      <c r="AA28" s="58">
        <v>0</v>
      </c>
      <c r="AB28" s="45" t="s">
        <v>13</v>
      </c>
      <c r="AC28" s="59">
        <v>0</v>
      </c>
      <c r="AD28" s="89">
        <f>AD38/AA24*100</f>
        <v>-17.719588605194325</v>
      </c>
      <c r="AE28" t="s">
        <v>106</v>
      </c>
      <c r="AG28" s="65" t="s">
        <v>121</v>
      </c>
      <c r="AH28" s="66">
        <f>AA37</f>
        <v>0</v>
      </c>
      <c r="AI28" s="67">
        <f>AA36</f>
        <v>7227.227639740272</v>
      </c>
      <c r="AJ28" s="68">
        <f>AA35</f>
        <v>-475.97454575994487</v>
      </c>
    </row>
    <row r="29" spans="1:36" ht="14.45" x14ac:dyDescent="0.3">
      <c r="B29" t="s">
        <v>55</v>
      </c>
      <c r="C29" s="6"/>
      <c r="D29" s="6"/>
      <c r="E29" s="6"/>
      <c r="F29" s="6"/>
      <c r="G29" s="6"/>
      <c r="H29" s="6"/>
      <c r="I29" s="6"/>
      <c r="J29" s="9"/>
      <c r="K29" s="6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Z29" s="57" t="s">
        <v>15</v>
      </c>
      <c r="AA29" s="58">
        <v>5</v>
      </c>
      <c r="AB29" s="45" t="s">
        <v>18</v>
      </c>
      <c r="AC29" s="59">
        <v>180</v>
      </c>
      <c r="AD29" s="60">
        <v>77</v>
      </c>
      <c r="AG29" s="65" t="s">
        <v>59</v>
      </c>
      <c r="AH29" s="66">
        <f>AA39</f>
        <v>0</v>
      </c>
      <c r="AI29" s="67">
        <f>AA38</f>
        <v>120.59807502526535</v>
      </c>
      <c r="AJ29" s="31"/>
    </row>
    <row r="30" spans="1:36" ht="14.45" x14ac:dyDescent="0.3">
      <c r="B30" t="s">
        <v>51</v>
      </c>
      <c r="C30" s="6" t="s">
        <v>52</v>
      </c>
      <c r="D30" s="6" t="s">
        <v>53</v>
      </c>
      <c r="E30" s="6"/>
      <c r="F30" s="6"/>
      <c r="G30" s="6"/>
      <c r="H30" s="6"/>
      <c r="I30" s="6"/>
      <c r="J30" s="9"/>
      <c r="K30" s="6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Z30" s="19"/>
      <c r="AA30" s="30" t="s">
        <v>40</v>
      </c>
      <c r="AB30" s="30"/>
      <c r="AC30" s="61"/>
      <c r="AD30" s="89">
        <f>(AD29-AD28)/(AA29-AA28)</f>
        <v>18.943917721038865</v>
      </c>
      <c r="AG30" s="65" t="s">
        <v>124</v>
      </c>
      <c r="AH30" s="91">
        <f>AD31</f>
        <v>-17.719588605194332</v>
      </c>
      <c r="AI30" s="92">
        <f>AD30</f>
        <v>18.943917721038865</v>
      </c>
      <c r="AJ30" s="31"/>
    </row>
    <row r="31" spans="1:36" x14ac:dyDescent="0.25">
      <c r="B31" s="73">
        <v>87</v>
      </c>
      <c r="C31" s="6">
        <f>B31/180*(2.4-0.53)+0.53</f>
        <v>1.4338333333333333</v>
      </c>
      <c r="D31" s="88">
        <f>(C31-1)*180</f>
        <v>78.089999999999989</v>
      </c>
      <c r="E31" s="6"/>
      <c r="F31" s="6"/>
      <c r="G31" s="6"/>
      <c r="H31" s="6"/>
      <c r="I31" s="6"/>
      <c r="J31" s="9"/>
      <c r="K31" s="6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Z31" s="19"/>
      <c r="AA31" s="30"/>
      <c r="AB31" s="30"/>
      <c r="AC31" s="61"/>
      <c r="AD31" s="89">
        <f>AD29-AD30*(AA29-AA28)</f>
        <v>-17.719588605194332</v>
      </c>
      <c r="AG31" s="65" t="s">
        <v>122</v>
      </c>
      <c r="AH31" s="66">
        <f>AD38</f>
        <v>-3925.570398689204</v>
      </c>
      <c r="AI31" s="69">
        <f>AD37</f>
        <v>0.94199104022164515</v>
      </c>
      <c r="AJ31" s="31"/>
    </row>
    <row r="32" spans="1:36" ht="15.75" thickBot="1" x14ac:dyDescent="0.3">
      <c r="B32" s="73">
        <v>90</v>
      </c>
      <c r="C32" s="6">
        <f t="shared" ref="C32:C37" si="16">B32/180*(2.4-0.53)+0.53</f>
        <v>1.4649999999999999</v>
      </c>
      <c r="D32" s="88">
        <f t="shared" ref="D32:D37" si="17">(C32-1)*180</f>
        <v>83.699999999999974</v>
      </c>
      <c r="E32" s="6"/>
      <c r="F32" s="6"/>
      <c r="G32" s="6"/>
      <c r="H32" s="6"/>
      <c r="I32" s="6"/>
      <c r="J32" s="9"/>
      <c r="K32" s="6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Z32" s="21"/>
      <c r="AA32" s="32"/>
      <c r="AB32" s="32"/>
      <c r="AC32" s="47"/>
      <c r="AD32" s="48" t="s">
        <v>124</v>
      </c>
      <c r="AG32" s="70" t="s">
        <v>123</v>
      </c>
      <c r="AH32" s="71">
        <f>AD36</f>
        <v>4180.4182204512181</v>
      </c>
      <c r="AI32" s="72">
        <f>AD35</f>
        <v>1.0602056822563426</v>
      </c>
      <c r="AJ32" s="33"/>
    </row>
    <row r="33" spans="2:40" x14ac:dyDescent="0.25">
      <c r="B33" s="73">
        <v>100</v>
      </c>
      <c r="C33" s="6">
        <f t="shared" si="16"/>
        <v>1.568888888888889</v>
      </c>
      <c r="D33" s="88">
        <f t="shared" si="17"/>
        <v>102.40000000000002</v>
      </c>
      <c r="E33" s="6"/>
      <c r="F33" s="6"/>
      <c r="G33" s="6"/>
      <c r="H33" s="6"/>
      <c r="I33" s="6"/>
      <c r="J33" s="9"/>
      <c r="K33" s="6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</row>
    <row r="34" spans="2:40" ht="15.75" thickBot="1" x14ac:dyDescent="0.3">
      <c r="B34" s="73">
        <v>110</v>
      </c>
      <c r="C34" s="6">
        <f t="shared" si="16"/>
        <v>1.6727777777777779</v>
      </c>
      <c r="D34" s="88">
        <f t="shared" si="17"/>
        <v>121.10000000000002</v>
      </c>
      <c r="E34" s="6"/>
      <c r="F34" s="6"/>
      <c r="G34" s="6"/>
      <c r="H34" s="6"/>
      <c r="I34" s="6"/>
      <c r="J34" s="2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Z34" t="s">
        <v>38</v>
      </c>
    </row>
    <row r="35" spans="2:40" x14ac:dyDescent="0.25">
      <c r="B35" s="73">
        <v>114</v>
      </c>
      <c r="C35" s="6">
        <f t="shared" si="16"/>
        <v>1.7143333333333333</v>
      </c>
      <c r="D35" s="88">
        <f t="shared" si="17"/>
        <v>128.57999999999998</v>
      </c>
      <c r="Z35" s="49" t="s">
        <v>121</v>
      </c>
      <c r="AA35" s="50">
        <f>INDEX(LINEST($O$3:$O$9,$D$3:$D$9^{1,2},FALSE,FALSE),1)</f>
        <v>-475.97454575994487</v>
      </c>
      <c r="AB35" s="28"/>
      <c r="AC35" s="51" t="s">
        <v>123</v>
      </c>
      <c r="AD35" s="52">
        <f>INDEX(LINEST($N$3:$N$9,$O$3:$O$9),1)</f>
        <v>1.0602056822563426</v>
      </c>
      <c r="AG35" s="104"/>
      <c r="AM35" s="3"/>
      <c r="AN35" s="3"/>
    </row>
    <row r="36" spans="2:40" x14ac:dyDescent="0.25">
      <c r="B36" s="73">
        <v>127.5</v>
      </c>
      <c r="C36" s="6">
        <f t="shared" si="16"/>
        <v>1.8545833333333333</v>
      </c>
      <c r="D36" s="88">
        <f t="shared" si="17"/>
        <v>153.82499999999999</v>
      </c>
      <c r="Z36" s="43"/>
      <c r="AA36" s="53">
        <f>INDEX(LINEST($O$3:$O$9,$D$3:$D$9^{1,2},FALSE,FALSE),2)</f>
        <v>7227.227639740272</v>
      </c>
      <c r="AB36" s="30"/>
      <c r="AC36" s="44"/>
      <c r="AD36" s="46">
        <f>INDEX(LINEST($N$3:$N$9,$O$3:$O$9),2)</f>
        <v>4180.4182204512181</v>
      </c>
    </row>
    <row r="37" spans="2:40" ht="15.75" thickBot="1" x14ac:dyDescent="0.3">
      <c r="B37" s="80">
        <v>136.4</v>
      </c>
      <c r="C37" s="6">
        <f t="shared" si="16"/>
        <v>1.9470444444444444</v>
      </c>
      <c r="D37" s="88">
        <f t="shared" si="17"/>
        <v>170.46799999999999</v>
      </c>
      <c r="Z37" s="43"/>
      <c r="AA37" s="44">
        <f>INDEX(LINEST($O$3:$O$9,$D$3:$D$9^{1,2},FALSE,FALSE),3)</f>
        <v>0</v>
      </c>
      <c r="AB37" s="30"/>
      <c r="AC37" s="44" t="s">
        <v>122</v>
      </c>
      <c r="AD37" s="46">
        <f>INDEX(LINEST($O$3:$O$9,$N$3:$N$9),1)</f>
        <v>0.94199104022164515</v>
      </c>
    </row>
    <row r="38" spans="2:40" x14ac:dyDescent="0.25">
      <c r="Z38" s="43" t="s">
        <v>59</v>
      </c>
      <c r="AA38" s="54">
        <f>INDEX(LINEST($R$3:$R$9,$K$3:$K$9,FALSE),1)</f>
        <v>120.59807502526535</v>
      </c>
      <c r="AB38" s="30"/>
      <c r="AC38" s="44"/>
      <c r="AD38" s="46">
        <f>INDEX(LINEST($O$3:$O$9,$N$3:$N$9),2)</f>
        <v>-3925.570398689204</v>
      </c>
      <c r="AE38" t="s">
        <v>60</v>
      </c>
    </row>
    <row r="39" spans="2:40" ht="15.75" thickBot="1" x14ac:dyDescent="0.3">
      <c r="Z39" s="55"/>
      <c r="AA39" s="102">
        <f>INDEX(LINEST($R$3:$R$9,$K$3:$K$9,FALSE),2)</f>
        <v>0</v>
      </c>
      <c r="AB39" s="32"/>
      <c r="AC39" s="32"/>
      <c r="AD39" s="33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6"/>
  <sheetViews>
    <sheetView workbookViewId="0">
      <pane ySplit="2" topLeftCell="A3" activePane="bottomLeft" state="frozen"/>
      <selection pane="bottomLeft" activeCell="U6" sqref="U6"/>
    </sheetView>
  </sheetViews>
  <sheetFormatPr defaultRowHeight="15" x14ac:dyDescent="0.25"/>
  <cols>
    <col min="2" max="2" width="6" customWidth="1"/>
    <col min="3" max="3" width="6.85546875" style="1" customWidth="1"/>
    <col min="4" max="4" width="6.42578125" style="1" customWidth="1"/>
    <col min="5" max="5" width="6.28515625" style="1" customWidth="1"/>
    <col min="6" max="6" width="4.7109375" style="1" customWidth="1"/>
    <col min="7" max="7" width="5" style="1" bestFit="1" customWidth="1"/>
    <col min="8" max="8" width="6.42578125" style="1" bestFit="1" customWidth="1"/>
    <col min="9" max="9" width="5.42578125" style="1" customWidth="1"/>
    <col min="10" max="10" width="7.140625" style="1" customWidth="1"/>
    <col min="11" max="11" width="5.140625" style="1" customWidth="1"/>
    <col min="12" max="12" width="7.28515625" style="1" bestFit="1" customWidth="1"/>
    <col min="13" max="13" width="4.28515625" style="1" customWidth="1"/>
    <col min="14" max="14" width="7.28515625" style="1" bestFit="1" customWidth="1"/>
    <col min="15" max="16" width="6.28515625" style="1" customWidth="1"/>
    <col min="17" max="17" width="10.5703125" style="1" customWidth="1"/>
    <col min="18" max="19" width="7.7109375" style="1" customWidth="1"/>
    <col min="20" max="20" width="6.28515625" style="1" customWidth="1"/>
    <col min="21" max="21" width="8.140625" style="1" bestFit="1" customWidth="1"/>
    <col min="22" max="24" width="6.140625" customWidth="1"/>
    <col min="26" max="26" width="9.85546875" bestFit="1" customWidth="1"/>
    <col min="27" max="27" width="10.7109375" customWidth="1"/>
    <col min="28" max="28" width="6.5703125" bestFit="1" customWidth="1"/>
    <col min="29" max="29" width="9.7109375" customWidth="1"/>
    <col min="30" max="30" width="8.5703125" bestFit="1" customWidth="1"/>
    <col min="31" max="31" width="7.85546875" customWidth="1"/>
    <col min="32" max="32" width="10" customWidth="1"/>
    <col min="33" max="33" width="11.5703125" customWidth="1"/>
    <col min="34" max="34" width="11.140625" customWidth="1"/>
    <col min="36" max="36" width="9.7109375" customWidth="1"/>
  </cols>
  <sheetData>
    <row r="1" spans="1:39" ht="58.15" thickBot="1" x14ac:dyDescent="0.35">
      <c r="A1" t="s">
        <v>39</v>
      </c>
      <c r="B1" s="82" t="s">
        <v>52</v>
      </c>
      <c r="C1" s="83" t="s">
        <v>0</v>
      </c>
      <c r="D1" s="83" t="s">
        <v>1</v>
      </c>
      <c r="E1" s="83" t="s">
        <v>10</v>
      </c>
      <c r="F1" s="83" t="s">
        <v>11</v>
      </c>
      <c r="G1" s="83" t="s">
        <v>23</v>
      </c>
      <c r="H1" s="83" t="s">
        <v>110</v>
      </c>
      <c r="I1" s="84" t="s">
        <v>2</v>
      </c>
      <c r="J1" s="4" t="s">
        <v>12</v>
      </c>
      <c r="K1" s="4" t="s">
        <v>7</v>
      </c>
      <c r="L1" s="4" t="s">
        <v>24</v>
      </c>
      <c r="M1" s="4" t="s">
        <v>115</v>
      </c>
      <c r="N1" s="4" t="s">
        <v>25</v>
      </c>
      <c r="O1" s="4" t="s">
        <v>111</v>
      </c>
      <c r="P1" s="4" t="s">
        <v>26</v>
      </c>
      <c r="Q1" s="4" t="s">
        <v>127</v>
      </c>
      <c r="R1" s="4" t="s">
        <v>113</v>
      </c>
      <c r="S1" s="4" t="s">
        <v>7</v>
      </c>
      <c r="T1" s="4" t="s">
        <v>114</v>
      </c>
      <c r="U1" s="4" t="s">
        <v>8</v>
      </c>
      <c r="V1" s="4" t="s">
        <v>125</v>
      </c>
      <c r="W1" s="4" t="s">
        <v>126</v>
      </c>
      <c r="X1" s="4" t="str">
        <f t="shared" ref="X1:X9" si="0">J1</f>
        <v>Charger Pwr, W</v>
      </c>
    </row>
    <row r="2" spans="1:39" thickBot="1" x14ac:dyDescent="0.35">
      <c r="B2" s="74">
        <f>C2/180+1</f>
        <v>1</v>
      </c>
      <c r="C2" s="85"/>
      <c r="D2" s="85"/>
      <c r="E2" s="85">
        <v>12.15</v>
      </c>
      <c r="F2" s="85"/>
      <c r="G2" s="85"/>
      <c r="H2" s="103">
        <v>100000000</v>
      </c>
      <c r="I2" s="86">
        <v>2.88</v>
      </c>
      <c r="J2" s="2">
        <f t="shared" ref="J2:J8" si="1">E2*F2</f>
        <v>0</v>
      </c>
      <c r="K2" s="1">
        <f t="shared" ref="K2:K9" si="2">C2</f>
        <v>0</v>
      </c>
      <c r="L2" s="3" t="e">
        <f t="shared" ref="L2:M9" si="3">1/G2/0.000001</f>
        <v>#DIV/0!</v>
      </c>
      <c r="M2" s="3">
        <f t="shared" si="3"/>
        <v>0.01</v>
      </c>
      <c r="N2" s="3" t="e">
        <f t="shared" ref="N2:O9" si="4">L2*60/$AA$13</f>
        <v>#DIV/0!</v>
      </c>
      <c r="O2" s="3">
        <f t="shared" si="4"/>
        <v>0.3</v>
      </c>
      <c r="P2" s="3" t="e">
        <f t="shared" ref="P2:Q9" si="5">N2/$AA$21*100</f>
        <v>#DIV/0!</v>
      </c>
      <c r="Q2" s="3">
        <f t="shared" si="5"/>
        <v>1.3541666666666667E-3</v>
      </c>
      <c r="R2" s="3">
        <f t="shared" ref="R2:R9" si="6">O2*$AD$32+$AD$33</f>
        <v>4180.7362821558954</v>
      </c>
      <c r="S2" s="3">
        <f t="shared" ref="S2:S9" si="7">K2</f>
        <v>0</v>
      </c>
      <c r="T2" s="3">
        <f t="shared" ref="T2:T9" si="8">R2/$AA$21*100</f>
        <v>18.87137905139814</v>
      </c>
      <c r="U2" s="3" t="e">
        <f t="shared" ref="U2:U9" si="9">$AA$35*LN(C2)+$AA$36</f>
        <v>#REF!</v>
      </c>
      <c r="V2" s="3">
        <f t="shared" ref="V2:V9" si="10">D2*D2*$AA$32+D2*$AA$33+$AA$34</f>
        <v>0</v>
      </c>
      <c r="W2" s="3">
        <f t="shared" ref="W2:W9" si="11">V2/$AA$21*100</f>
        <v>0</v>
      </c>
      <c r="X2" s="4">
        <f t="shared" si="0"/>
        <v>0</v>
      </c>
    </row>
    <row r="3" spans="1:39" ht="14.45" x14ac:dyDescent="0.3">
      <c r="B3" s="74">
        <v>1.1637222222222223</v>
      </c>
      <c r="C3" s="85">
        <v>29.47000000000002</v>
      </c>
      <c r="D3" s="85">
        <v>0.54</v>
      </c>
      <c r="E3" s="85">
        <v>12.15</v>
      </c>
      <c r="F3" s="85">
        <v>1.56</v>
      </c>
      <c r="G3" s="85">
        <v>3810.7961637948006</v>
      </c>
      <c r="H3" s="85">
        <v>8615</v>
      </c>
      <c r="I3" s="86">
        <v>2.88</v>
      </c>
      <c r="J3" s="2">
        <f t="shared" si="1"/>
        <v>18.954000000000001</v>
      </c>
      <c r="K3" s="1">
        <f>C3</f>
        <v>29.47000000000002</v>
      </c>
      <c r="L3" s="3">
        <f t="shared" si="3"/>
        <v>262.41235611095965</v>
      </c>
      <c r="M3" s="3">
        <f t="shared" si="3"/>
        <v>116.07661056297157</v>
      </c>
      <c r="N3" s="3">
        <f>L3*60/$AA$13</f>
        <v>7872.3706833287897</v>
      </c>
      <c r="O3" s="3">
        <f>M3*60/$AA$13</f>
        <v>3482.2983168891469</v>
      </c>
      <c r="P3" s="3">
        <f>N3/$AA$21*100</f>
        <v>35.535006556692458</v>
      </c>
      <c r="Q3" s="3">
        <f>O3/$AA$21*100</f>
        <v>15.7187076804024</v>
      </c>
      <c r="R3" s="3">
        <f>O3*$AD$32+$AD$33</f>
        <v>7872.3706833287897</v>
      </c>
      <c r="S3" s="3">
        <f t="shared" si="7"/>
        <v>29.47000000000002</v>
      </c>
      <c r="T3" s="3">
        <f>R3/$AA$21*100</f>
        <v>35.535006556692458</v>
      </c>
      <c r="U3" s="3" t="e">
        <f t="shared" si="9"/>
        <v>#REF!</v>
      </c>
      <c r="V3" s="3">
        <f t="shared" si="10"/>
        <v>3895.0045670565864</v>
      </c>
      <c r="W3" s="3">
        <f t="shared" si="11"/>
        <v>17.581617837408203</v>
      </c>
      <c r="X3" s="4">
        <f t="shared" si="0"/>
        <v>18.954000000000001</v>
      </c>
    </row>
    <row r="4" spans="1:39" ht="13.9" customHeight="1" x14ac:dyDescent="0.3">
      <c r="B4" s="77">
        <v>1.2052777777777779</v>
      </c>
      <c r="C4" s="73">
        <v>36.950000000000017</v>
      </c>
      <c r="D4" s="73">
        <v>0.68</v>
      </c>
      <c r="E4" s="73">
        <v>12.14</v>
      </c>
      <c r="F4" s="73">
        <v>1.9</v>
      </c>
      <c r="G4" s="73">
        <v>3247.7925769058029</v>
      </c>
      <c r="H4" s="73">
        <v>6290</v>
      </c>
      <c r="I4" s="78">
        <v>4.0199999999999996</v>
      </c>
      <c r="J4" s="2">
        <f t="shared" si="1"/>
        <v>23.065999999999999</v>
      </c>
      <c r="K4" s="1">
        <f t="shared" si="2"/>
        <v>36.950000000000017</v>
      </c>
      <c r="L4" s="3">
        <f t="shared" si="3"/>
        <v>307.90143653592179</v>
      </c>
      <c r="M4" s="3">
        <f t="shared" si="3"/>
        <v>158.98251192368841</v>
      </c>
      <c r="N4" s="3">
        <f t="shared" si="4"/>
        <v>9237.0430960776539</v>
      </c>
      <c r="O4" s="3">
        <f t="shared" si="4"/>
        <v>4769.4753577106521</v>
      </c>
      <c r="P4" s="3">
        <f t="shared" si="5"/>
        <v>41.694986197572746</v>
      </c>
      <c r="Q4" s="3">
        <f t="shared" si="5"/>
        <v>21.528881822999473</v>
      </c>
      <c r="R4" s="3">
        <f t="shared" si="6"/>
        <v>9237.0430960776539</v>
      </c>
      <c r="S4" s="3">
        <f t="shared" si="7"/>
        <v>36.950000000000017</v>
      </c>
      <c r="T4" s="3">
        <f t="shared" si="8"/>
        <v>41.694986197572746</v>
      </c>
      <c r="U4" s="3" t="e">
        <f t="shared" si="9"/>
        <v>#REF!</v>
      </c>
      <c r="V4" s="3">
        <f t="shared" si="10"/>
        <v>4863.4075129077601</v>
      </c>
      <c r="W4" s="3">
        <f t="shared" si="11"/>
        <v>21.952881134653087</v>
      </c>
      <c r="X4" s="4">
        <f t="shared" si="0"/>
        <v>23.065999999999999</v>
      </c>
    </row>
    <row r="5" spans="1:39" ht="13.9" customHeight="1" x14ac:dyDescent="0.3">
      <c r="B5" s="77">
        <v>1.3299444444444444</v>
      </c>
      <c r="C5" s="73">
        <v>59.389999999999986</v>
      </c>
      <c r="D5" s="73">
        <v>1.18</v>
      </c>
      <c r="E5" s="73">
        <v>12.07</v>
      </c>
      <c r="F5" s="73">
        <v>3.66</v>
      </c>
      <c r="G5" s="73">
        <v>2314.9259570838622</v>
      </c>
      <c r="H5" s="73">
        <v>3623</v>
      </c>
      <c r="I5" s="78">
        <v>7.4</v>
      </c>
      <c r="J5" s="2">
        <f t="shared" si="1"/>
        <v>44.176200000000001</v>
      </c>
      <c r="K5" s="1">
        <f t="shared" si="2"/>
        <v>59.389999999999986</v>
      </c>
      <c r="L5" s="3">
        <f t="shared" si="3"/>
        <v>431.97925918101981</v>
      </c>
      <c r="M5" s="3">
        <f t="shared" si="3"/>
        <v>276.01435274634281</v>
      </c>
      <c r="N5" s="3">
        <f t="shared" si="4"/>
        <v>12959.377775430594</v>
      </c>
      <c r="O5" s="3">
        <f t="shared" si="4"/>
        <v>8280.4305823902851</v>
      </c>
      <c r="P5" s="3">
        <f t="shared" si="5"/>
        <v>58.497191347429769</v>
      </c>
      <c r="Q5" s="3">
        <f t="shared" si="5"/>
        <v>37.376943601067261</v>
      </c>
      <c r="R5" s="3">
        <f t="shared" si="6"/>
        <v>12959.377775430594</v>
      </c>
      <c r="S5" s="3">
        <f t="shared" si="7"/>
        <v>59.389999999999986</v>
      </c>
      <c r="T5" s="3">
        <f t="shared" si="8"/>
        <v>58.497191347429769</v>
      </c>
      <c r="U5" s="3" t="e">
        <f t="shared" si="9"/>
        <v>#REF!</v>
      </c>
      <c r="V5" s="3">
        <f t="shared" si="10"/>
        <v>8182.7859228288407</v>
      </c>
      <c r="W5" s="3">
        <f t="shared" si="11"/>
        <v>36.936186457213523</v>
      </c>
      <c r="X5" s="4">
        <f t="shared" si="0"/>
        <v>44.176200000000001</v>
      </c>
    </row>
    <row r="6" spans="1:39" ht="13.9" customHeight="1" x14ac:dyDescent="0.3">
      <c r="B6" s="77">
        <v>1.4442222222222223</v>
      </c>
      <c r="C6" s="73">
        <v>79.960000000000008</v>
      </c>
      <c r="D6" s="73">
        <v>1.57</v>
      </c>
      <c r="E6" s="73">
        <v>11.96</v>
      </c>
      <c r="F6" s="73">
        <v>6.51</v>
      </c>
      <c r="G6" s="73">
        <v>1890.4108937169444</v>
      </c>
      <c r="H6" s="73">
        <v>2721</v>
      </c>
      <c r="I6" s="78">
        <v>9.5</v>
      </c>
      <c r="J6" s="2">
        <f t="shared" si="1"/>
        <v>77.8596</v>
      </c>
      <c r="K6" s="1">
        <f t="shared" si="2"/>
        <v>79.960000000000008</v>
      </c>
      <c r="L6" s="3">
        <f t="shared" si="3"/>
        <v>528.98552548741941</v>
      </c>
      <c r="M6" s="3">
        <f t="shared" si="3"/>
        <v>367.51194413818456</v>
      </c>
      <c r="N6" s="3">
        <f t="shared" si="4"/>
        <v>15869.565764622583</v>
      </c>
      <c r="O6" s="3">
        <f t="shared" si="4"/>
        <v>11025.358324145536</v>
      </c>
      <c r="P6" s="3">
        <f t="shared" si="5"/>
        <v>71.633456576421381</v>
      </c>
      <c r="Q6" s="3">
        <f t="shared" si="5"/>
        <v>49.76724243537916</v>
      </c>
      <c r="R6" s="3">
        <f t="shared" si="6"/>
        <v>15869.565764622583</v>
      </c>
      <c r="S6" s="3">
        <f t="shared" si="7"/>
        <v>79.960000000000008</v>
      </c>
      <c r="T6" s="3">
        <f t="shared" si="8"/>
        <v>71.633456576421381</v>
      </c>
      <c r="U6" s="3" t="e">
        <f t="shared" si="9"/>
        <v>#REF!</v>
      </c>
      <c r="V6" s="3">
        <f t="shared" si="10"/>
        <v>10620.908743264474</v>
      </c>
      <c r="W6" s="3">
        <f t="shared" si="11"/>
        <v>47.941601966124367</v>
      </c>
      <c r="X6" s="4">
        <f t="shared" si="0"/>
        <v>77.8596</v>
      </c>
    </row>
    <row r="7" spans="1:39" ht="13.9" customHeight="1" x14ac:dyDescent="0.3">
      <c r="B7" s="77">
        <v>1.5169444444444444</v>
      </c>
      <c r="C7" s="73">
        <v>93.05</v>
      </c>
      <c r="D7" s="73">
        <v>1.88</v>
      </c>
      <c r="E7" s="73">
        <v>11.86</v>
      </c>
      <c r="F7" s="73">
        <v>8.49</v>
      </c>
      <c r="G7" s="73">
        <v>1735.553038041201</v>
      </c>
      <c r="H7" s="73">
        <v>2427</v>
      </c>
      <c r="I7" s="78">
        <v>10.5</v>
      </c>
      <c r="J7" s="2">
        <f t="shared" si="1"/>
        <v>100.6914</v>
      </c>
      <c r="K7" s="1">
        <f t="shared" si="2"/>
        <v>93.05</v>
      </c>
      <c r="L7" s="3">
        <f t="shared" si="3"/>
        <v>576.18521478815251</v>
      </c>
      <c r="M7" s="3">
        <f t="shared" si="3"/>
        <v>412.03131437989288</v>
      </c>
      <c r="N7" s="3">
        <f t="shared" si="4"/>
        <v>17285.556443644575</v>
      </c>
      <c r="O7" s="3">
        <f t="shared" si="4"/>
        <v>12360.939431396786</v>
      </c>
      <c r="P7" s="3">
        <f t="shared" si="5"/>
        <v>78.025081169228997</v>
      </c>
      <c r="Q7" s="3">
        <f t="shared" si="5"/>
        <v>55.795907155610493</v>
      </c>
      <c r="R7" s="3">
        <f t="shared" si="6"/>
        <v>17285.556443644575</v>
      </c>
      <c r="S7" s="3">
        <f t="shared" si="7"/>
        <v>93.05</v>
      </c>
      <c r="T7" s="3">
        <f t="shared" si="8"/>
        <v>78.025081169228997</v>
      </c>
      <c r="U7" s="3" t="e">
        <f t="shared" si="9"/>
        <v>#REF!</v>
      </c>
      <c r="V7" s="3">
        <f t="shared" si="10"/>
        <v>12464.506405406451</v>
      </c>
      <c r="W7" s="3">
        <f t="shared" si="11"/>
        <v>56.263396968848568</v>
      </c>
      <c r="X7" s="4">
        <f t="shared" si="0"/>
        <v>100.6914</v>
      </c>
    </row>
    <row r="8" spans="1:39" ht="13.9" customHeight="1" x14ac:dyDescent="0.3">
      <c r="B8" s="77">
        <v>1.6208333333333333</v>
      </c>
      <c r="C8" s="73">
        <v>111.75</v>
      </c>
      <c r="D8" s="73">
        <v>2.2400000000000002</v>
      </c>
      <c r="E8" s="73">
        <v>11.55</v>
      </c>
      <c r="F8" s="73">
        <v>13.48</v>
      </c>
      <c r="G8" s="73">
        <v>1544.1739275824405</v>
      </c>
      <c r="H8" s="73">
        <v>2086</v>
      </c>
      <c r="I8" s="78">
        <v>12.4</v>
      </c>
      <c r="J8" s="2">
        <f t="shared" si="1"/>
        <v>155.69400000000002</v>
      </c>
      <c r="K8" s="1">
        <f t="shared" si="2"/>
        <v>111.75</v>
      </c>
      <c r="L8" s="3">
        <f t="shared" si="3"/>
        <v>647.59544384070819</v>
      </c>
      <c r="M8" s="3">
        <f t="shared" si="3"/>
        <v>479.38638542665387</v>
      </c>
      <c r="N8" s="3">
        <f t="shared" si="4"/>
        <v>19427.863315221246</v>
      </c>
      <c r="O8" s="3">
        <f t="shared" si="4"/>
        <v>14381.591562799616</v>
      </c>
      <c r="P8" s="3">
        <f t="shared" si="5"/>
        <v>87.695216353429245</v>
      </c>
      <c r="Q8" s="3">
        <f t="shared" si="5"/>
        <v>64.916906359859382</v>
      </c>
      <c r="R8" s="3">
        <f t="shared" si="6"/>
        <v>19427.863315221246</v>
      </c>
      <c r="S8" s="3">
        <f t="shared" si="7"/>
        <v>111.75</v>
      </c>
      <c r="T8" s="3">
        <f t="shared" si="8"/>
        <v>87.695216353429245</v>
      </c>
      <c r="U8" s="3" t="e">
        <f t="shared" si="9"/>
        <v>#REF!</v>
      </c>
      <c r="V8" s="3">
        <f t="shared" si="10"/>
        <v>14500.533861250387</v>
      </c>
      <c r="W8" s="3">
        <f t="shared" si="11"/>
        <v>65.453798679255229</v>
      </c>
      <c r="X8" s="4">
        <f t="shared" si="0"/>
        <v>155.69400000000002</v>
      </c>
    </row>
    <row r="9" spans="1:39" ht="13.9" customHeight="1" thickBot="1" x14ac:dyDescent="0.35">
      <c r="B9" s="79">
        <v>1.7766666666666666</v>
      </c>
      <c r="C9" s="80">
        <v>139.79999999999998</v>
      </c>
      <c r="D9" s="80">
        <v>2.68</v>
      </c>
      <c r="E9" s="80"/>
      <c r="F9" s="80"/>
      <c r="G9" s="80">
        <v>1361.8412878381814</v>
      </c>
      <c r="H9" s="80">
        <v>1782</v>
      </c>
      <c r="I9" s="81">
        <v>14.4</v>
      </c>
      <c r="J9" s="2"/>
      <c r="K9" s="1">
        <f t="shared" si="2"/>
        <v>139.79999999999998</v>
      </c>
      <c r="L9" s="3">
        <f t="shared" si="3"/>
        <v>734.29995766057527</v>
      </c>
      <c r="M9" s="3">
        <f t="shared" si="3"/>
        <v>561.16722783389457</v>
      </c>
      <c r="N9" s="3">
        <f t="shared" si="4"/>
        <v>22028.998729817256</v>
      </c>
      <c r="O9" s="3">
        <f t="shared" si="4"/>
        <v>16835.016835016839</v>
      </c>
      <c r="P9" s="3">
        <f t="shared" si="5"/>
        <v>99.436452599869568</v>
      </c>
      <c r="Q9" s="3">
        <f t="shared" si="5"/>
        <v>75.991395435839905</v>
      </c>
      <c r="R9" s="3">
        <f t="shared" si="6"/>
        <v>22028.99872981726</v>
      </c>
      <c r="S9" s="3">
        <f t="shared" si="7"/>
        <v>139.79999999999998</v>
      </c>
      <c r="T9" s="3">
        <f t="shared" si="8"/>
        <v>99.436452599869583</v>
      </c>
      <c r="U9" s="3" t="e">
        <f t="shared" si="9"/>
        <v>#REF!</v>
      </c>
      <c r="V9" s="3">
        <f t="shared" si="10"/>
        <v>16835.887969335286</v>
      </c>
      <c r="W9" s="3">
        <f t="shared" si="11"/>
        <v>75.995327639360681</v>
      </c>
      <c r="X9" s="4">
        <f t="shared" si="0"/>
        <v>0</v>
      </c>
    </row>
    <row r="10" spans="1:39" ht="13.9" customHeight="1" x14ac:dyDescent="0.3"/>
    <row r="11" spans="1:39" ht="13.9" customHeight="1" x14ac:dyDescent="0.3">
      <c r="B11" s="5"/>
      <c r="C11" s="6"/>
      <c r="D11" s="6"/>
      <c r="E11" s="6"/>
      <c r="F11" s="6"/>
      <c r="G11" s="6"/>
      <c r="H11" s="6"/>
      <c r="I11" s="6"/>
      <c r="J11" s="2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spans="1:39" ht="13.9" customHeight="1" thickBot="1" x14ac:dyDescent="0.35">
      <c r="B12" s="5"/>
      <c r="C12" s="6"/>
      <c r="D12" s="6"/>
      <c r="E12" s="6"/>
      <c r="F12" s="6"/>
      <c r="G12" s="6"/>
      <c r="H12" s="6"/>
      <c r="I12" s="6"/>
      <c r="J12" s="2"/>
      <c r="L12" s="3"/>
      <c r="M12" s="3"/>
      <c r="N12" s="3" t="s">
        <v>41</v>
      </c>
      <c r="O12" s="3" t="s">
        <v>42</v>
      </c>
      <c r="P12" s="3" t="s">
        <v>43</v>
      </c>
      <c r="Q12" s="3"/>
      <c r="R12" s="3"/>
      <c r="S12" s="3"/>
      <c r="T12" s="3"/>
      <c r="U12" s="3"/>
      <c r="V12" s="3"/>
      <c r="W12" s="3"/>
      <c r="X12" s="3"/>
      <c r="Z12" t="s">
        <v>32</v>
      </c>
      <c r="AC12" t="s">
        <v>33</v>
      </c>
      <c r="AF12" s="30"/>
      <c r="AG12" s="30"/>
      <c r="AH12" s="30"/>
      <c r="AI12" s="30"/>
      <c r="AJ12" s="30"/>
      <c r="AK12" s="30"/>
      <c r="AL12" s="30"/>
      <c r="AM12" s="30"/>
    </row>
    <row r="13" spans="1:39" ht="13.9" customHeight="1" x14ac:dyDescent="0.3">
      <c r="A13" s="3" t="s">
        <v>28</v>
      </c>
      <c r="B13" s="11" t="s">
        <v>29</v>
      </c>
      <c r="C13" s="12"/>
      <c r="D13" s="12"/>
      <c r="E13" s="6"/>
      <c r="F13" s="6"/>
      <c r="G13" s="6"/>
      <c r="H13" s="6"/>
      <c r="I13" s="6"/>
      <c r="J13" s="2"/>
      <c r="L13" s="3"/>
      <c r="M13" s="3"/>
      <c r="N13" s="3">
        <v>3482.2983168891469</v>
      </c>
      <c r="O13" s="3">
        <f>N13*CalArduinoHiTec!$AD$35+CalArduinoHiTec!$AD$36</f>
        <v>7872.3706833287897</v>
      </c>
      <c r="P13" s="3">
        <f t="shared" ref="P13:P19" si="12">O13/60*$AA$13</f>
        <v>262.41235611095965</v>
      </c>
      <c r="Q13" s="3">
        <f>1/P13/0.000001</f>
        <v>3810.7961637948006</v>
      </c>
      <c r="R13" s="3"/>
      <c r="S13" s="3"/>
      <c r="T13" s="3"/>
      <c r="U13" s="3"/>
      <c r="V13" s="3"/>
      <c r="W13" s="3"/>
      <c r="X13" s="3"/>
      <c r="Z13" s="17" t="s">
        <v>3</v>
      </c>
      <c r="AA13" s="18">
        <v>2</v>
      </c>
      <c r="AC13" s="17"/>
      <c r="AD13" s="23" t="s">
        <v>22</v>
      </c>
      <c r="AE13" s="7"/>
      <c r="AF13" s="30"/>
      <c r="AG13" s="30"/>
      <c r="AH13" s="30"/>
      <c r="AI13" s="30"/>
      <c r="AJ13" s="30"/>
      <c r="AK13" s="30"/>
      <c r="AL13" s="30"/>
      <c r="AM13" s="30"/>
    </row>
    <row r="14" spans="1:39" ht="14.45" x14ac:dyDescent="0.3">
      <c r="A14" s="3"/>
      <c r="B14" s="13" t="s">
        <v>30</v>
      </c>
      <c r="C14" s="14"/>
      <c r="D14" s="14"/>
      <c r="E14" s="6"/>
      <c r="F14" s="6"/>
      <c r="G14" s="6"/>
      <c r="H14" s="6"/>
      <c r="I14" s="6"/>
      <c r="J14" s="2"/>
      <c r="L14" s="3"/>
      <c r="M14" s="3"/>
      <c r="N14" s="3">
        <v>4769.4753577106521</v>
      </c>
      <c r="O14" s="3">
        <f>N14*CalArduinoHiTec!$AD$35+CalArduinoHiTec!$AD$36</f>
        <v>9237.0430960776539</v>
      </c>
      <c r="P14" s="3">
        <f t="shared" si="12"/>
        <v>307.90143653592179</v>
      </c>
      <c r="Q14" s="3">
        <f t="shared" ref="Q14:Q19" si="13">1/P14/0.000001</f>
        <v>3247.7925769058029</v>
      </c>
      <c r="R14" s="3"/>
      <c r="S14" s="3"/>
      <c r="T14" s="3"/>
      <c r="U14" s="3"/>
      <c r="V14" s="3"/>
      <c r="W14" s="3"/>
      <c r="X14" s="3"/>
      <c r="Z14" s="19" t="s">
        <v>4</v>
      </c>
      <c r="AA14" s="20">
        <v>4800</v>
      </c>
      <c r="AC14" s="24" t="s">
        <v>16</v>
      </c>
      <c r="AD14" s="25">
        <v>0</v>
      </c>
      <c r="AF14" s="30"/>
      <c r="AG14" s="30"/>
      <c r="AH14" s="30"/>
      <c r="AI14" s="30"/>
      <c r="AJ14" s="30"/>
      <c r="AK14" s="30"/>
      <c r="AL14" s="30"/>
      <c r="AM14" s="30"/>
    </row>
    <row r="15" spans="1:39" ht="13.9" customHeight="1" thickBot="1" x14ac:dyDescent="0.35">
      <c r="A15" s="3"/>
      <c r="B15" s="15" t="s">
        <v>31</v>
      </c>
      <c r="C15" s="16"/>
      <c r="D15" s="16"/>
      <c r="E15" s="6"/>
      <c r="F15" s="6"/>
      <c r="G15" s="6"/>
      <c r="H15" s="6"/>
      <c r="I15" s="6"/>
      <c r="J15" s="2"/>
      <c r="L15" s="3"/>
      <c r="M15" s="3"/>
      <c r="N15" s="3">
        <v>8280.4305823902851</v>
      </c>
      <c r="O15" s="3">
        <f>N15*CalArduinoHiTec!$AD$35+CalArduinoHiTec!$AD$36</f>
        <v>12959.377775430594</v>
      </c>
      <c r="P15" s="3">
        <f t="shared" si="12"/>
        <v>431.97925918101981</v>
      </c>
      <c r="Q15" s="3">
        <f t="shared" si="13"/>
        <v>2314.9259570838622</v>
      </c>
      <c r="R15" s="3"/>
      <c r="S15" s="3"/>
      <c r="X15" s="3"/>
      <c r="Z15" s="21" t="s">
        <v>5</v>
      </c>
      <c r="AA15" s="22">
        <v>12</v>
      </c>
      <c r="AC15" s="26" t="s">
        <v>17</v>
      </c>
      <c r="AD15" s="27">
        <v>5</v>
      </c>
      <c r="AF15" s="30"/>
      <c r="AG15" s="30"/>
      <c r="AH15" s="93"/>
      <c r="AI15" s="93"/>
      <c r="AJ15" s="30"/>
      <c r="AK15" s="30"/>
      <c r="AL15" s="30"/>
      <c r="AM15" s="30"/>
    </row>
    <row r="16" spans="1:39" ht="13.9" customHeight="1" x14ac:dyDescent="0.3">
      <c r="B16" s="5"/>
      <c r="C16" s="6"/>
      <c r="D16" s="6"/>
      <c r="E16" s="6"/>
      <c r="F16" s="6"/>
      <c r="G16" s="6"/>
      <c r="H16" s="6"/>
      <c r="I16" s="6"/>
      <c r="J16" s="2"/>
      <c r="L16" s="3"/>
      <c r="M16" s="3"/>
      <c r="N16" s="3">
        <v>11025.358324145536</v>
      </c>
      <c r="O16" s="3">
        <f>N16*CalArduinoHiTec!$AD$35+CalArduinoHiTec!$AD$36</f>
        <v>15869.565764622583</v>
      </c>
      <c r="P16" s="3">
        <f t="shared" si="12"/>
        <v>528.98552548741941</v>
      </c>
      <c r="Q16" s="3">
        <f t="shared" si="13"/>
        <v>1890.4108937169444</v>
      </c>
      <c r="R16" s="3"/>
      <c r="S16" s="3"/>
      <c r="X16" s="3"/>
      <c r="AF16" s="30"/>
      <c r="AG16" s="30"/>
      <c r="AH16" s="30"/>
      <c r="AI16" s="30"/>
      <c r="AJ16" s="30"/>
      <c r="AK16" s="30"/>
      <c r="AL16" s="30"/>
      <c r="AM16" s="30"/>
    </row>
    <row r="17" spans="2:40" ht="24" thickBot="1" x14ac:dyDescent="0.5">
      <c r="B17" s="5"/>
      <c r="C17" s="6"/>
      <c r="D17" s="6"/>
      <c r="E17" s="6"/>
      <c r="F17" s="6"/>
      <c r="G17" s="6"/>
      <c r="H17" s="6"/>
      <c r="I17" s="6"/>
      <c r="J17" s="2"/>
      <c r="L17" s="3"/>
      <c r="M17" s="3"/>
      <c r="N17" s="3">
        <v>12360.939431396786</v>
      </c>
      <c r="O17" s="3">
        <f>N17*CalArduinoHiTec!$AD$35+CalArduinoHiTec!$AD$36</f>
        <v>17285.556443644575</v>
      </c>
      <c r="P17" s="3">
        <f t="shared" si="12"/>
        <v>576.18521478815251</v>
      </c>
      <c r="Q17" s="3">
        <f t="shared" si="13"/>
        <v>1735.553038041201</v>
      </c>
      <c r="R17" s="3"/>
      <c r="S17" s="3"/>
      <c r="X17" s="3"/>
      <c r="Z17" t="s">
        <v>35</v>
      </c>
      <c r="AF17" s="94" t="s">
        <v>54</v>
      </c>
      <c r="AG17" s="5" t="s">
        <v>57</v>
      </c>
      <c r="AH17" s="5"/>
      <c r="AI17" s="5"/>
    </row>
    <row r="18" spans="2:40" thickBot="1" x14ac:dyDescent="0.35">
      <c r="B18" s="5"/>
      <c r="C18" s="6"/>
      <c r="D18" s="6"/>
      <c r="E18" s="6"/>
      <c r="F18" s="6"/>
      <c r="G18" s="6"/>
      <c r="H18" s="6"/>
      <c r="I18" s="6"/>
      <c r="J18" s="2"/>
      <c r="L18" s="3"/>
      <c r="M18" s="3"/>
      <c r="N18" s="3">
        <v>14381.591562799616</v>
      </c>
      <c r="O18" s="3">
        <f>N18*CalArduinoHiTec!$AD$35+CalArduinoHiTec!$AD$36</f>
        <v>19427.863315221246</v>
      </c>
      <c r="P18" s="3">
        <f t="shared" si="12"/>
        <v>647.59544384070819</v>
      </c>
      <c r="Q18" s="3">
        <f t="shared" si="13"/>
        <v>1544.1739275824405</v>
      </c>
      <c r="R18" s="3"/>
      <c r="S18" s="3"/>
      <c r="T18" s="3"/>
      <c r="V18" s="3"/>
      <c r="W18" s="3"/>
      <c r="X18" s="3"/>
      <c r="Z18" s="34">
        <v>210</v>
      </c>
      <c r="AA18" s="35" t="s">
        <v>34</v>
      </c>
      <c r="AB18" s="36"/>
      <c r="AC18" s="35"/>
      <c r="AD18" s="35"/>
      <c r="AE18" s="37"/>
      <c r="AG18" s="62" t="s">
        <v>15</v>
      </c>
      <c r="AH18" s="87">
        <f>AA26</f>
        <v>3.3</v>
      </c>
      <c r="AI18" s="64"/>
      <c r="AJ18" s="29"/>
    </row>
    <row r="19" spans="2:40" ht="14.45" x14ac:dyDescent="0.3">
      <c r="B19" s="5"/>
      <c r="C19" s="6"/>
      <c r="D19" s="6"/>
      <c r="E19" s="6"/>
      <c r="F19" s="6"/>
      <c r="G19" s="6"/>
      <c r="H19" s="6"/>
      <c r="I19" s="6"/>
      <c r="J19" s="2"/>
      <c r="L19" s="3"/>
      <c r="M19" s="3"/>
      <c r="N19" s="3">
        <v>16835.016835016839</v>
      </c>
      <c r="O19" s="3">
        <f>N19*CalArduinoHiTec!$AD$35+CalArduinoHiTec!$AD$36</f>
        <v>22028.99872981726</v>
      </c>
      <c r="P19" s="3">
        <f t="shared" si="12"/>
        <v>734.29995766057539</v>
      </c>
      <c r="Q19" s="3">
        <f t="shared" si="13"/>
        <v>1361.8412878381814</v>
      </c>
      <c r="R19" s="3"/>
      <c r="S19" s="3"/>
      <c r="T19" s="3"/>
      <c r="U19" s="3"/>
      <c r="V19" s="3"/>
      <c r="W19" s="3"/>
      <c r="X19" s="3"/>
      <c r="Z19" s="8"/>
      <c r="AB19" s="8"/>
      <c r="AC19" s="8"/>
      <c r="AG19" s="65" t="s">
        <v>14</v>
      </c>
      <c r="AH19" s="66">
        <f>AA25</f>
        <v>0</v>
      </c>
      <c r="AI19" s="45"/>
      <c r="AJ19" s="31"/>
    </row>
    <row r="20" spans="2:40" thickBot="1" x14ac:dyDescent="0.35">
      <c r="C20" s="6"/>
      <c r="D20" s="6"/>
      <c r="E20" s="6"/>
      <c r="F20" s="6"/>
      <c r="G20" s="6"/>
      <c r="H20" s="6"/>
      <c r="I20" s="6"/>
      <c r="J20" s="2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Z20" t="s">
        <v>36</v>
      </c>
      <c r="AG20" s="65" t="s">
        <v>17</v>
      </c>
      <c r="AH20" s="66">
        <f>AD15</f>
        <v>5</v>
      </c>
      <c r="AI20" s="30"/>
      <c r="AJ20" s="31"/>
    </row>
    <row r="21" spans="2:40" thickBot="1" x14ac:dyDescent="0.35">
      <c r="Z21" s="38" t="s">
        <v>6</v>
      </c>
      <c r="AA21" s="39">
        <f>AA14*AA15/AB21</f>
        <v>22153.846153846152</v>
      </c>
      <c r="AB21" s="40">
        <v>2.6</v>
      </c>
      <c r="AC21" s="35" t="s">
        <v>9</v>
      </c>
      <c r="AD21" s="41"/>
      <c r="AE21" s="8"/>
      <c r="AG21" s="65" t="s">
        <v>16</v>
      </c>
      <c r="AH21" s="66">
        <f>AD14</f>
        <v>0</v>
      </c>
      <c r="AI21" s="30"/>
      <c r="AJ21" s="31"/>
    </row>
    <row r="22" spans="2:40" ht="14.45" x14ac:dyDescent="0.3">
      <c r="AE22" s="8"/>
      <c r="AG22" s="65" t="s">
        <v>27</v>
      </c>
      <c r="AH22" s="90">
        <f>AA21/100</f>
        <v>221.53846153846152</v>
      </c>
      <c r="AI22" s="30"/>
      <c r="AJ22" s="31"/>
    </row>
    <row r="23" spans="2:40" thickBot="1" x14ac:dyDescent="0.35">
      <c r="C23" s="6"/>
      <c r="D23" s="6"/>
      <c r="E23" s="6"/>
      <c r="F23" s="6"/>
      <c r="G23" s="6"/>
      <c r="H23" s="6"/>
      <c r="I23" s="6"/>
      <c r="J23" s="9"/>
      <c r="K23" s="6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Z23" t="s">
        <v>37</v>
      </c>
      <c r="AG23" s="65" t="s">
        <v>18</v>
      </c>
      <c r="AH23" s="66">
        <f>AC26</f>
        <v>180</v>
      </c>
      <c r="AI23" s="30"/>
      <c r="AJ23" s="31"/>
      <c r="AN23" s="3"/>
    </row>
    <row r="24" spans="2:40" ht="28.9" x14ac:dyDescent="0.3">
      <c r="C24" s="6"/>
      <c r="D24" s="6"/>
      <c r="E24" s="6"/>
      <c r="F24" s="6"/>
      <c r="G24" s="6"/>
      <c r="H24" s="6"/>
      <c r="I24" s="6"/>
      <c r="J24" s="9"/>
      <c r="K24" s="6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Z24" s="17"/>
      <c r="AA24" s="42" t="s">
        <v>19</v>
      </c>
      <c r="AB24" s="28"/>
      <c r="AC24" s="42" t="s">
        <v>20</v>
      </c>
      <c r="AD24" s="29" t="s">
        <v>109</v>
      </c>
      <c r="AG24" s="65" t="s">
        <v>13</v>
      </c>
      <c r="AH24" s="66">
        <f>AC25</f>
        <v>0</v>
      </c>
      <c r="AI24" s="30"/>
      <c r="AJ24" s="31"/>
    </row>
    <row r="25" spans="2:40" ht="14.45" x14ac:dyDescent="0.3">
      <c r="C25" s="6"/>
      <c r="D25" s="6"/>
      <c r="E25" s="6"/>
      <c r="F25" s="6"/>
      <c r="G25" s="6"/>
      <c r="H25" s="6"/>
      <c r="I25" s="6"/>
      <c r="J25" s="9"/>
      <c r="K25" s="6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Z25" s="57" t="s">
        <v>14</v>
      </c>
      <c r="AA25" s="58">
        <v>0</v>
      </c>
      <c r="AB25" s="45" t="s">
        <v>13</v>
      </c>
      <c r="AC25" s="59">
        <v>0</v>
      </c>
      <c r="AD25" s="89">
        <f>AD35/AA21*100</f>
        <v>-17.719588605194325</v>
      </c>
      <c r="AE25" t="s">
        <v>106</v>
      </c>
      <c r="AG25" s="65" t="s">
        <v>121</v>
      </c>
      <c r="AH25" s="66">
        <f>AA34</f>
        <v>0</v>
      </c>
      <c r="AI25" s="67">
        <f>AA33</f>
        <v>7447.8773934613846</v>
      </c>
      <c r="AJ25" s="68">
        <f>AA32</f>
        <v>-435.01106108560197</v>
      </c>
    </row>
    <row r="26" spans="2:40" ht="14.45" x14ac:dyDescent="0.3">
      <c r="B26" t="s">
        <v>55</v>
      </c>
      <c r="C26" s="6"/>
      <c r="D26" s="6"/>
      <c r="E26" s="6"/>
      <c r="F26" s="6"/>
      <c r="G26" s="6"/>
      <c r="H26" s="6"/>
      <c r="I26" s="6"/>
      <c r="J26" s="9"/>
      <c r="K26" s="6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Z26" s="57" t="s">
        <v>15</v>
      </c>
      <c r="AA26" s="58">
        <v>3.3</v>
      </c>
      <c r="AB26" s="45" t="s">
        <v>18</v>
      </c>
      <c r="AC26" s="59">
        <v>180</v>
      </c>
      <c r="AD26" s="60">
        <v>77</v>
      </c>
      <c r="AG26" s="65" t="s">
        <v>21</v>
      </c>
      <c r="AH26" s="66" t="e">
        <f>AA36</f>
        <v>#REF!</v>
      </c>
      <c r="AI26" s="67" t="e">
        <f>AA35</f>
        <v>#REF!</v>
      </c>
      <c r="AJ26" s="31"/>
    </row>
    <row r="27" spans="2:40" thickBot="1" x14ac:dyDescent="0.35">
      <c r="B27" t="s">
        <v>51</v>
      </c>
      <c r="C27" s="6" t="s">
        <v>52</v>
      </c>
      <c r="D27" s="6" t="s">
        <v>53</v>
      </c>
      <c r="E27" s="6"/>
      <c r="F27" s="6"/>
      <c r="G27" s="6"/>
      <c r="H27" s="6"/>
      <c r="I27" s="6"/>
      <c r="J27" s="9"/>
      <c r="K27" s="6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Z27" s="19"/>
      <c r="AA27" s="30" t="s">
        <v>40</v>
      </c>
      <c r="AB27" s="30"/>
      <c r="AC27" s="61"/>
      <c r="AD27" s="89">
        <f>(AD26-AD25)/(AA26-AA25)</f>
        <v>28.702905637937679</v>
      </c>
      <c r="AG27" s="65" t="s">
        <v>124</v>
      </c>
      <c r="AH27" s="91">
        <f>AD28</f>
        <v>-17.719588605194332</v>
      </c>
      <c r="AI27" s="92">
        <f>AD27</f>
        <v>28.702905637937679</v>
      </c>
      <c r="AJ27" s="31"/>
    </row>
    <row r="28" spans="2:40" ht="14.45" x14ac:dyDescent="0.3">
      <c r="B28" s="85">
        <v>61</v>
      </c>
      <c r="C28" s="6">
        <f>B28/180*(2.4-0.53)+0.53</f>
        <v>1.1637222222222223</v>
      </c>
      <c r="D28" s="88">
        <f>(C28-1)*180</f>
        <v>29.47000000000002</v>
      </c>
      <c r="E28" s="6"/>
      <c r="F28" s="6"/>
      <c r="G28" s="6"/>
      <c r="H28" s="6"/>
      <c r="I28" s="6"/>
      <c r="J28" s="9"/>
      <c r="K28" s="6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Z28" s="19"/>
      <c r="AA28" s="30"/>
      <c r="AB28" s="30"/>
      <c r="AC28" s="61"/>
      <c r="AD28" s="89">
        <f>AD26-AD27*(AA26-AA25)</f>
        <v>-17.719588605194332</v>
      </c>
      <c r="AG28" s="65" t="s">
        <v>122</v>
      </c>
      <c r="AH28" s="66">
        <f>AD35</f>
        <v>-3925.570398689204</v>
      </c>
      <c r="AI28" s="69">
        <f>AD34</f>
        <v>0.94199104022164515</v>
      </c>
      <c r="AJ28" s="31"/>
    </row>
    <row r="29" spans="2:40" ht="15.75" thickBot="1" x14ac:dyDescent="0.3">
      <c r="B29" s="73">
        <v>65</v>
      </c>
      <c r="C29" s="6">
        <f t="shared" ref="C29:C34" si="14">B29/180*(2.4-0.53)+0.53</f>
        <v>1.2052777777777779</v>
      </c>
      <c r="D29" s="88">
        <f t="shared" ref="D29:D34" si="15">(C29-1)*180</f>
        <v>36.950000000000017</v>
      </c>
      <c r="E29" s="6"/>
      <c r="F29" s="6"/>
      <c r="G29" s="6"/>
      <c r="H29" s="6"/>
      <c r="I29" s="6"/>
      <c r="J29" s="9"/>
      <c r="K29" s="6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Z29" s="21"/>
      <c r="AA29" s="32"/>
      <c r="AB29" s="32"/>
      <c r="AC29" s="47"/>
      <c r="AD29" s="48" t="s">
        <v>124</v>
      </c>
      <c r="AG29" s="70" t="s">
        <v>123</v>
      </c>
      <c r="AH29" s="71">
        <f>AD33</f>
        <v>4180.4182204512181</v>
      </c>
      <c r="AI29" s="72">
        <f>AD32</f>
        <v>1.0602056822563426</v>
      </c>
      <c r="AJ29" s="33"/>
    </row>
    <row r="30" spans="2:40" x14ac:dyDescent="0.25">
      <c r="B30" s="73">
        <v>77</v>
      </c>
      <c r="C30" s="6">
        <f t="shared" si="14"/>
        <v>1.3299444444444444</v>
      </c>
      <c r="D30" s="88">
        <f t="shared" si="15"/>
        <v>59.389999999999986</v>
      </c>
      <c r="E30" s="6"/>
      <c r="F30" s="6"/>
      <c r="G30" s="6"/>
      <c r="H30" s="6"/>
      <c r="I30" s="6"/>
      <c r="J30" s="9"/>
      <c r="K30" s="6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</row>
    <row r="31" spans="2:40" ht="15.75" thickBot="1" x14ac:dyDescent="0.3">
      <c r="B31" s="73">
        <v>88</v>
      </c>
      <c r="C31" s="6">
        <f t="shared" si="14"/>
        <v>1.4442222222222223</v>
      </c>
      <c r="D31" s="88">
        <f t="shared" si="15"/>
        <v>79.960000000000008</v>
      </c>
      <c r="E31" s="6"/>
      <c r="F31" s="6"/>
      <c r="G31" s="6"/>
      <c r="H31" s="6"/>
      <c r="I31" s="6"/>
      <c r="J31" s="2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Z31" t="s">
        <v>38</v>
      </c>
      <c r="AB31" t="s">
        <v>44</v>
      </c>
    </row>
    <row r="32" spans="2:40" x14ac:dyDescent="0.25">
      <c r="B32" s="73">
        <v>95</v>
      </c>
      <c r="C32" s="6">
        <f t="shared" si="14"/>
        <v>1.5169444444444444</v>
      </c>
      <c r="D32" s="88">
        <f t="shared" si="15"/>
        <v>93.05</v>
      </c>
      <c r="Z32" s="49" t="s">
        <v>121</v>
      </c>
      <c r="AA32" s="50">
        <f>INDEX(LINEST($O$2:$O$9,$D$2:$D$9^{1,2},FALSE,FALSE),1)</f>
        <v>-435.01106108560197</v>
      </c>
      <c r="AB32" s="28"/>
      <c r="AC32" s="51" t="s">
        <v>123</v>
      </c>
      <c r="AD32" s="52">
        <f>CalArduinoHiTec!AD35</f>
        <v>1.0602056822563426</v>
      </c>
    </row>
    <row r="33" spans="2:39" x14ac:dyDescent="0.25">
      <c r="B33" s="73">
        <v>105</v>
      </c>
      <c r="C33" s="6">
        <f t="shared" si="14"/>
        <v>1.6208333333333333</v>
      </c>
      <c r="D33" s="88">
        <f t="shared" si="15"/>
        <v>111.75</v>
      </c>
      <c r="Z33" s="43"/>
      <c r="AA33" s="53">
        <f>INDEX(LINEST($O$2:$O$9,$D$2:$D$9^{1,2},FALSE,FALSE),2)</f>
        <v>7447.8773934613846</v>
      </c>
      <c r="AB33" s="30"/>
      <c r="AC33" s="44"/>
      <c r="AD33" s="46">
        <f>CalArduinoHiTec!AD36</f>
        <v>4180.4182204512181</v>
      </c>
      <c r="AL33" s="3"/>
      <c r="AM33" s="3"/>
    </row>
    <row r="34" spans="2:39" ht="15.75" thickBot="1" x14ac:dyDescent="0.3">
      <c r="B34" s="80">
        <v>120</v>
      </c>
      <c r="C34" s="6">
        <f t="shared" si="14"/>
        <v>1.7766666666666666</v>
      </c>
      <c r="D34" s="88">
        <f t="shared" si="15"/>
        <v>139.79999999999998</v>
      </c>
      <c r="Z34" s="43"/>
      <c r="AA34" s="44">
        <f>INDEX(LINEST($O$2:$O$9,$D$2:$D$9^{1,2},FALSE,FALSE),3)</f>
        <v>0</v>
      </c>
      <c r="AB34" s="30"/>
      <c r="AC34" s="44" t="s">
        <v>122</v>
      </c>
      <c r="AD34" s="46">
        <f>CalArduinoHiTec!AD37</f>
        <v>0.94199104022164515</v>
      </c>
      <c r="AK34" s="3"/>
    </row>
    <row r="35" spans="2:39" x14ac:dyDescent="0.25">
      <c r="Z35" s="43" t="s">
        <v>21</v>
      </c>
      <c r="AA35" s="54" t="e">
        <f>INDEX(LINEST($R$2:$R$9,#REF!),1)</f>
        <v>#REF!</v>
      </c>
      <c r="AB35" s="30"/>
      <c r="AC35" s="44"/>
      <c r="AD35" s="46">
        <f>CalArduinoHiTec!AD38</f>
        <v>-3925.570398689204</v>
      </c>
    </row>
    <row r="36" spans="2:39" ht="15.75" thickBot="1" x14ac:dyDescent="0.3">
      <c r="Z36" s="55"/>
      <c r="AA36" s="56" t="e">
        <f>INDEX(LINEST($R$2:$R$9,#REF!),2)</f>
        <v>#REF!</v>
      </c>
      <c r="AB36" s="32"/>
      <c r="AC36" s="32"/>
      <c r="AD36" s="33"/>
      <c r="AI36" s="3"/>
      <c r="AJ36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Ard1_Turn1_ESC1_G1b_T1a</vt:lpstr>
      <vt:lpstr>CalPhotonTurnigy</vt:lpstr>
      <vt:lpstr>TauPhotonTurnigy</vt:lpstr>
      <vt:lpstr>CalArduinoTurnigy</vt:lpstr>
      <vt:lpstr>CalArduinoHiTec</vt:lpstr>
      <vt:lpstr>CalPhotonHiTec</vt:lpstr>
    </vt:vector>
  </TitlesOfParts>
  <Company>GE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Gutz</dc:creator>
  <cp:lastModifiedBy>Gutz</cp:lastModifiedBy>
  <dcterms:created xsi:type="dcterms:W3CDTF">2016-09-13T12:10:02Z</dcterms:created>
  <dcterms:modified xsi:type="dcterms:W3CDTF">2016-12-07T20:24:24Z</dcterms:modified>
</cp:coreProperties>
</file>