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4355" windowHeight="9780"/>
  </bookViews>
  <sheets>
    <sheet name="MatlabTuning" sheetId="2" r:id="rId1"/>
    <sheet name="Retune 20161102" sheetId="1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G33" i="2" l="1"/>
  <c r="F33" i="2"/>
  <c r="E33" i="2"/>
  <c r="D33" i="2"/>
  <c r="C33" i="2"/>
  <c r="B33" i="2"/>
  <c r="G32" i="2"/>
  <c r="F32" i="2"/>
  <c r="E32" i="2"/>
  <c r="D32" i="2"/>
  <c r="C32" i="2"/>
  <c r="B32" i="2"/>
  <c r="G31" i="2"/>
  <c r="F31" i="2"/>
  <c r="E31" i="2"/>
  <c r="D31" i="2"/>
  <c r="C31" i="2"/>
  <c r="B31" i="2"/>
  <c r="P11" i="2"/>
  <c r="I11" i="2"/>
  <c r="H11" i="2"/>
  <c r="O11" i="2" s="1"/>
  <c r="D11" i="2"/>
  <c r="P10" i="2"/>
  <c r="I10" i="2"/>
  <c r="O10" i="2" s="1"/>
  <c r="H10" i="2"/>
  <c r="Q10" i="2" s="1"/>
  <c r="D10" i="2"/>
  <c r="Q9" i="2"/>
  <c r="P9" i="2"/>
  <c r="I9" i="2"/>
  <c r="O9" i="2" s="1"/>
  <c r="H9" i="2"/>
  <c r="D9" i="2"/>
  <c r="P8" i="2"/>
  <c r="I8" i="2"/>
  <c r="O8" i="2" s="1"/>
  <c r="H8" i="2"/>
  <c r="Q8" i="2" s="1"/>
  <c r="D8" i="2"/>
  <c r="P7" i="2"/>
  <c r="I7" i="2"/>
  <c r="O7" i="2" s="1"/>
  <c r="H7" i="2"/>
  <c r="Q7" i="2" s="1"/>
  <c r="D7" i="2"/>
  <c r="P6" i="2"/>
  <c r="I6" i="2"/>
  <c r="O6" i="2" s="1"/>
  <c r="H6" i="2"/>
  <c r="Q6" i="2" s="1"/>
  <c r="D6" i="2"/>
  <c r="P5" i="2"/>
  <c r="I5" i="2"/>
  <c r="O5" i="2" s="1"/>
  <c r="H5" i="2"/>
  <c r="Q5" i="2" s="1"/>
  <c r="D5" i="2"/>
  <c r="Q4" i="2"/>
  <c r="P4" i="2"/>
  <c r="O4" i="2"/>
  <c r="I4" i="2"/>
  <c r="H4" i="2"/>
  <c r="D4" i="2"/>
  <c r="P3" i="2"/>
  <c r="I3" i="2"/>
  <c r="O3" i="2" s="1"/>
  <c r="H3" i="2"/>
  <c r="Q3" i="2" s="1"/>
  <c r="D3" i="2"/>
  <c r="P2" i="2"/>
  <c r="I2" i="2"/>
  <c r="O2" i="2" s="1"/>
  <c r="H2" i="2"/>
  <c r="Q2" i="2" s="1"/>
  <c r="D2" i="2"/>
  <c r="G33" i="1"/>
  <c r="F33" i="1"/>
  <c r="E33" i="1"/>
  <c r="D33" i="1"/>
  <c r="C33" i="1"/>
  <c r="B33" i="1"/>
  <c r="G32" i="1"/>
  <c r="F32" i="1"/>
  <c r="E32" i="1"/>
  <c r="D32" i="1"/>
  <c r="C32" i="1"/>
  <c r="B32" i="1"/>
  <c r="G31" i="1"/>
  <c r="F31" i="1"/>
  <c r="E31" i="1"/>
  <c r="D31" i="1"/>
  <c r="C31" i="1"/>
  <c r="B31" i="1"/>
  <c r="P11" i="1"/>
  <c r="P10" i="1"/>
  <c r="P9" i="1"/>
  <c r="P8" i="1"/>
  <c r="P7" i="1"/>
  <c r="O7" i="1"/>
  <c r="P6" i="1"/>
  <c r="O6" i="1"/>
  <c r="P5" i="1"/>
  <c r="O5" i="1"/>
  <c r="P4" i="1"/>
  <c r="O4" i="1"/>
  <c r="P3" i="1"/>
  <c r="O3" i="1"/>
  <c r="P2" i="1"/>
  <c r="O2" i="1"/>
  <c r="Q11" i="2" l="1"/>
</calcChain>
</file>

<file path=xl/sharedStrings.xml><?xml version="1.0" encoding="utf-8"?>
<sst xmlns="http://schemas.openxmlformats.org/spreadsheetml/2006/main" count="78" uniqueCount="43">
  <si>
    <t>throttle, deg</t>
  </si>
  <si>
    <t>pcnf, %</t>
  </si>
  <si>
    <t>pcng, %</t>
  </si>
  <si>
    <t>ngrpm</t>
  </si>
  <si>
    <t>TauF, s</t>
  </si>
  <si>
    <t>trise90, s</t>
  </si>
  <si>
    <t>tsettle2, s</t>
  </si>
  <si>
    <t>LG, r/s</t>
  </si>
  <si>
    <t>TLD, s</t>
  </si>
  <si>
    <t>GM, dB</t>
  </si>
  <si>
    <t>wp, r/s</t>
  </si>
  <si>
    <t>PM, deg</t>
  </si>
  <si>
    <t>wc, r/s</t>
  </si>
  <si>
    <t>BW45, r/s</t>
  </si>
  <si>
    <t>Design tld, s</t>
  </si>
  <si>
    <t>Design LG, r/s</t>
  </si>
  <si>
    <t>from  calibration20161019.xlsx</t>
  </si>
  <si>
    <t>Entries for potESC.ino Arduino</t>
  </si>
  <si>
    <t>POT_MAX</t>
  </si>
  <si>
    <t>POT_MIN</t>
  </si>
  <si>
    <t>F2V_MAX</t>
  </si>
  <si>
    <t>F2V_MIN</t>
  </si>
  <si>
    <t>RPM_P</t>
  </si>
  <si>
    <t>THTL_MAX</t>
  </si>
  <si>
    <t>THTL_MIN</t>
  </si>
  <si>
    <t>P_V4_NF</t>
  </si>
  <si>
    <t>P_LT_NG</t>
  </si>
  <si>
    <t>P_NG_NF</t>
  </si>
  <si>
    <t>P_NF_NG</t>
  </si>
  <si>
    <t>P_NG_QG</t>
  </si>
  <si>
    <t>TauT, s</t>
  </si>
  <si>
    <t>Control tld</t>
  </si>
  <si>
    <t>Control LG</t>
  </si>
  <si>
    <t>P_NF_QF</t>
  </si>
  <si>
    <t>x</t>
  </si>
  <si>
    <t>yLG</t>
  </si>
  <si>
    <t>yTLD</t>
  </si>
  <si>
    <t>NT, %</t>
  </si>
  <si>
    <t>TAUT, s</t>
  </si>
  <si>
    <t>Ki, deg/s/%</t>
  </si>
  <si>
    <t>Kp, deg/%</t>
  </si>
  <si>
    <t>dNdT, %/deg</t>
  </si>
  <si>
    <t>Nf,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</si>
</sst>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ESC Design Results</a:t>
            </a:r>
          </a:p>
        </c:rich>
      </c:tx>
      <c:layout>
        <c:manualLayout>
          <c:xMode val="edge"/>
          <c:yMode val="edge"/>
          <c:x val="0.1344138303619665"/>
          <c:y val="4.347826086956521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421627807058964"/>
          <c:y val="5.3635360797291642E-2"/>
          <c:w val="0.83246425639258625"/>
          <c:h val="0.82534215831716684"/>
        </c:manualLayout>
      </c:layout>
      <c:scatterChart>
        <c:scatterStyle val="lineMarker"/>
        <c:varyColors val="0"/>
        <c:ser>
          <c:idx val="1"/>
          <c:order val="1"/>
          <c:tx>
            <c:strRef>
              <c:f>MatlabTuning!$O$1</c:f>
              <c:strCache>
                <c:ptCount val="1"/>
                <c:pt idx="0">
                  <c:v>Design tld, s</c:v>
                </c:pt>
              </c:strCache>
            </c:strRef>
          </c:tx>
          <c:xVal>
            <c:numRef>
              <c:f>MatlabTuning!$B$2:$B$11</c:f>
              <c:numCache>
                <c:formatCode>General</c:formatCode>
                <c:ptCount val="10"/>
                <c:pt idx="0">
                  <c:v>16</c:v>
                </c:pt>
                <c:pt idx="1">
                  <c:v>27</c:v>
                </c:pt>
                <c:pt idx="2">
                  <c:v>35</c:v>
                </c:pt>
                <c:pt idx="3">
                  <c:v>44</c:v>
                </c:pt>
                <c:pt idx="4">
                  <c:v>51</c:v>
                </c:pt>
                <c:pt idx="5">
                  <c:v>57</c:v>
                </c:pt>
                <c:pt idx="6">
                  <c:v>63</c:v>
                </c:pt>
                <c:pt idx="7">
                  <c:v>68</c:v>
                </c:pt>
                <c:pt idx="8">
                  <c:v>73</c:v>
                </c:pt>
                <c:pt idx="9">
                  <c:v>79</c:v>
                </c:pt>
              </c:numCache>
            </c:numRef>
          </c:xVal>
          <c:yVal>
            <c:numRef>
              <c:f>MatlabTuning!$O$2:$O$11</c:f>
              <c:numCache>
                <c:formatCode>0.000</c:formatCode>
                <c:ptCount val="10"/>
                <c:pt idx="0">
                  <c:v>0.40547142159257449</c:v>
                </c:pt>
                <c:pt idx="1">
                  <c:v>0.39263803680981602</c:v>
                </c:pt>
                <c:pt idx="2">
                  <c:v>0.42142857142857149</c:v>
                </c:pt>
                <c:pt idx="3">
                  <c:v>0.33087027914614126</c:v>
                </c:pt>
                <c:pt idx="4">
                  <c:v>0.32151898734177214</c:v>
                </c:pt>
                <c:pt idx="5">
                  <c:v>0.39007891770011283</c:v>
                </c:pt>
                <c:pt idx="6">
                  <c:v>0.39305816135084432</c:v>
                </c:pt>
                <c:pt idx="7">
                  <c:v>0.39206349206349206</c:v>
                </c:pt>
                <c:pt idx="8">
                  <c:v>0.40411801953711413</c:v>
                </c:pt>
                <c:pt idx="9">
                  <c:v>0.33195876288659798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493376"/>
        <c:axId val="417494912"/>
      </c:scatterChart>
      <c:scatterChart>
        <c:scatterStyle val="lineMarker"/>
        <c:varyColors val="0"/>
        <c:ser>
          <c:idx val="0"/>
          <c:order val="0"/>
          <c:tx>
            <c:strRef>
              <c:f>MatlabTuning!$N$1</c:f>
              <c:strCache>
                <c:ptCount val="1"/>
                <c:pt idx="0">
                  <c:v>BW45, r/s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MatlabTuning!$B$2:$B$11</c:f>
              <c:numCache>
                <c:formatCode>General</c:formatCode>
                <c:ptCount val="10"/>
                <c:pt idx="0">
                  <c:v>16</c:v>
                </c:pt>
                <c:pt idx="1">
                  <c:v>27</c:v>
                </c:pt>
                <c:pt idx="2">
                  <c:v>35</c:v>
                </c:pt>
                <c:pt idx="3">
                  <c:v>44</c:v>
                </c:pt>
                <c:pt idx="4">
                  <c:v>51</c:v>
                </c:pt>
                <c:pt idx="5">
                  <c:v>57</c:v>
                </c:pt>
                <c:pt idx="6">
                  <c:v>63</c:v>
                </c:pt>
                <c:pt idx="7">
                  <c:v>68</c:v>
                </c:pt>
                <c:pt idx="8">
                  <c:v>73</c:v>
                </c:pt>
                <c:pt idx="9">
                  <c:v>79</c:v>
                </c:pt>
              </c:numCache>
            </c:numRef>
          </c:xVal>
          <c:yVal>
            <c:numRef>
              <c:f>MatlabTuning!$N$2:$N$11</c:f>
              <c:numCache>
                <c:formatCode>General</c:formatCode>
                <c:ptCount val="10"/>
                <c:pt idx="6">
                  <c:v>5.4</c:v>
                </c:pt>
                <c:pt idx="7">
                  <c:v>5.7</c:v>
                </c:pt>
                <c:pt idx="8">
                  <c:v>5.4</c:v>
                </c:pt>
                <c:pt idx="9">
                  <c:v>5.3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MatlabTuning!$Q$1</c:f>
              <c:strCache>
                <c:ptCount val="1"/>
                <c:pt idx="0">
                  <c:v>Design LG, r/s</c:v>
                </c:pt>
              </c:strCache>
            </c:strRef>
          </c:tx>
          <c:xVal>
            <c:numRef>
              <c:f>MatlabTuning!$B$2:$B$11</c:f>
              <c:numCache>
                <c:formatCode>General</c:formatCode>
                <c:ptCount val="10"/>
                <c:pt idx="0">
                  <c:v>16</c:v>
                </c:pt>
                <c:pt idx="1">
                  <c:v>27</c:v>
                </c:pt>
                <c:pt idx="2">
                  <c:v>35</c:v>
                </c:pt>
                <c:pt idx="3">
                  <c:v>44</c:v>
                </c:pt>
                <c:pt idx="4">
                  <c:v>51</c:v>
                </c:pt>
                <c:pt idx="5">
                  <c:v>57</c:v>
                </c:pt>
                <c:pt idx="6">
                  <c:v>63</c:v>
                </c:pt>
                <c:pt idx="7">
                  <c:v>68</c:v>
                </c:pt>
                <c:pt idx="8">
                  <c:v>73</c:v>
                </c:pt>
                <c:pt idx="9">
                  <c:v>79</c:v>
                </c:pt>
              </c:numCache>
            </c:numRef>
          </c:xVal>
          <c:yVal>
            <c:numRef>
              <c:f>MatlabTuning!$Q$2:$Q$11</c:f>
              <c:numCache>
                <c:formatCode>0.00</c:formatCode>
                <c:ptCount val="10"/>
                <c:pt idx="0">
                  <c:v>2.5219039999999997</c:v>
                </c:pt>
                <c:pt idx="1">
                  <c:v>2.8687999999999998</c:v>
                </c:pt>
                <c:pt idx="2">
                  <c:v>2.8728000000000002</c:v>
                </c:pt>
                <c:pt idx="3">
                  <c:v>3.1241699999999999</c:v>
                </c:pt>
                <c:pt idx="4">
                  <c:v>3.1995000000000005</c:v>
                </c:pt>
                <c:pt idx="5">
                  <c:v>3.0335399999999999</c:v>
                </c:pt>
                <c:pt idx="6">
                  <c:v>2.9848000000000003</c:v>
                </c:pt>
                <c:pt idx="7">
                  <c:v>2.9861999999999997</c:v>
                </c:pt>
                <c:pt idx="8">
                  <c:v>2.8813364999999997</c:v>
                </c:pt>
                <c:pt idx="9">
                  <c:v>3.3174000000000001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502336"/>
        <c:axId val="417496448"/>
      </c:scatterChart>
      <c:valAx>
        <c:axId val="41749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7494912"/>
        <c:crosses val="autoZero"/>
        <c:crossBetween val="midCat"/>
      </c:valAx>
      <c:valAx>
        <c:axId val="417494912"/>
        <c:scaling>
          <c:orientation val="minMax"/>
          <c:max val="0.60000000000000009"/>
          <c:min val="0.2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17493376"/>
        <c:crosses val="autoZero"/>
        <c:crossBetween val="midCat"/>
      </c:valAx>
      <c:valAx>
        <c:axId val="417496448"/>
        <c:scaling>
          <c:orientation val="minMax"/>
          <c:max val="4"/>
          <c:min val="2"/>
        </c:scaling>
        <c:delete val="0"/>
        <c:axPos val="r"/>
        <c:numFmt formatCode="General" sourceLinked="1"/>
        <c:majorTickMark val="out"/>
        <c:minorTickMark val="none"/>
        <c:tickLblPos val="nextTo"/>
        <c:crossAx val="417502336"/>
        <c:crosses val="max"/>
        <c:crossBetween val="midCat"/>
      </c:valAx>
      <c:valAx>
        <c:axId val="41750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74964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686311293746315"/>
          <c:y val="0.19948153219977938"/>
          <c:w val="0.25560582277296373"/>
          <c:h val="0.3160124006238350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ESC Gain Schedules</a:t>
            </a:r>
          </a:p>
        </c:rich>
      </c:tx>
      <c:layout>
        <c:manualLayout>
          <c:xMode val="edge"/>
          <c:yMode val="edge"/>
          <c:x val="8.9471747555056422E-2"/>
          <c:y val="7.246376811594203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8760359746376374E-2"/>
          <c:y val="5.3635360797291642E-2"/>
          <c:w val="0.8185656189248629"/>
          <c:h val="0.80502795846171404"/>
        </c:manualLayout>
      </c:layout>
      <c:scatterChart>
        <c:scatterStyle val="lineMarker"/>
        <c:varyColors val="0"/>
        <c:ser>
          <c:idx val="1"/>
          <c:order val="0"/>
          <c:tx>
            <c:strRef>
              <c:f>MatlabTuning!$O$1</c:f>
              <c:strCache>
                <c:ptCount val="1"/>
                <c:pt idx="0">
                  <c:v>Design tld, s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MatlabTuning!$B$2:$B$11</c:f>
              <c:numCache>
                <c:formatCode>General</c:formatCode>
                <c:ptCount val="10"/>
                <c:pt idx="0">
                  <c:v>16</c:v>
                </c:pt>
                <c:pt idx="1">
                  <c:v>27</c:v>
                </c:pt>
                <c:pt idx="2">
                  <c:v>35</c:v>
                </c:pt>
                <c:pt idx="3">
                  <c:v>44</c:v>
                </c:pt>
                <c:pt idx="4">
                  <c:v>51</c:v>
                </c:pt>
                <c:pt idx="5">
                  <c:v>57</c:v>
                </c:pt>
                <c:pt idx="6">
                  <c:v>63</c:v>
                </c:pt>
                <c:pt idx="7">
                  <c:v>68</c:v>
                </c:pt>
                <c:pt idx="8">
                  <c:v>73</c:v>
                </c:pt>
                <c:pt idx="9">
                  <c:v>79</c:v>
                </c:pt>
              </c:numCache>
            </c:numRef>
          </c:xVal>
          <c:yVal>
            <c:numRef>
              <c:f>MatlabTuning!$O$2:$O$11</c:f>
              <c:numCache>
                <c:formatCode>0.000</c:formatCode>
                <c:ptCount val="10"/>
                <c:pt idx="0">
                  <c:v>0.40547142159257449</c:v>
                </c:pt>
                <c:pt idx="1">
                  <c:v>0.39263803680981602</c:v>
                </c:pt>
                <c:pt idx="2">
                  <c:v>0.42142857142857149</c:v>
                </c:pt>
                <c:pt idx="3">
                  <c:v>0.33087027914614126</c:v>
                </c:pt>
                <c:pt idx="4">
                  <c:v>0.32151898734177214</c:v>
                </c:pt>
                <c:pt idx="5">
                  <c:v>0.39007891770011283</c:v>
                </c:pt>
                <c:pt idx="6">
                  <c:v>0.39305816135084432</c:v>
                </c:pt>
                <c:pt idx="7">
                  <c:v>0.39206349206349206</c:v>
                </c:pt>
                <c:pt idx="8">
                  <c:v>0.40411801953711413</c:v>
                </c:pt>
                <c:pt idx="9">
                  <c:v>0.33195876288659798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MatlabTuning!$K$29</c:f>
              <c:strCache>
                <c:ptCount val="1"/>
                <c:pt idx="0">
                  <c:v>Control tld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MatlabTuning!$J$30:$J$35</c:f>
              <c:numCache>
                <c:formatCode>General</c:formatCode>
                <c:ptCount val="6"/>
                <c:pt idx="0">
                  <c:v>0</c:v>
                </c:pt>
                <c:pt idx="1">
                  <c:v>16</c:v>
                </c:pt>
                <c:pt idx="2">
                  <c:v>35</c:v>
                </c:pt>
                <c:pt idx="3">
                  <c:v>50</c:v>
                </c:pt>
                <c:pt idx="4">
                  <c:v>79</c:v>
                </c:pt>
                <c:pt idx="5">
                  <c:v>100</c:v>
                </c:pt>
              </c:numCache>
            </c:numRef>
          </c:xVal>
          <c:yVal>
            <c:numRef>
              <c:f>MatlabTuning!$K$30:$K$35</c:f>
              <c:numCache>
                <c:formatCode>General</c:formatCode>
                <c:ptCount val="6"/>
                <c:pt idx="0">
                  <c:v>0.36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0.36</c:v>
                </c:pt>
                <c:pt idx="5">
                  <c:v>0.36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374848"/>
        <c:axId val="445376768"/>
      </c:scatterChart>
      <c:scatterChart>
        <c:scatterStyle val="lineMarker"/>
        <c:varyColors val="0"/>
        <c:ser>
          <c:idx val="2"/>
          <c:order val="1"/>
          <c:tx>
            <c:strRef>
              <c:f>MatlabTuning!$Q$1</c:f>
              <c:strCache>
                <c:ptCount val="1"/>
                <c:pt idx="0">
                  <c:v>Design LG, r/s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</a:ln>
            </c:spPr>
          </c:marker>
          <c:xVal>
            <c:numRef>
              <c:f>MatlabTuning!$B$2:$B$11</c:f>
              <c:numCache>
                <c:formatCode>General</c:formatCode>
                <c:ptCount val="10"/>
                <c:pt idx="0">
                  <c:v>16</c:v>
                </c:pt>
                <c:pt idx="1">
                  <c:v>27</c:v>
                </c:pt>
                <c:pt idx="2">
                  <c:v>35</c:v>
                </c:pt>
                <c:pt idx="3">
                  <c:v>44</c:v>
                </c:pt>
                <c:pt idx="4">
                  <c:v>51</c:v>
                </c:pt>
                <c:pt idx="5">
                  <c:v>57</c:v>
                </c:pt>
                <c:pt idx="6">
                  <c:v>63</c:v>
                </c:pt>
                <c:pt idx="7">
                  <c:v>68</c:v>
                </c:pt>
                <c:pt idx="8">
                  <c:v>73</c:v>
                </c:pt>
                <c:pt idx="9">
                  <c:v>79</c:v>
                </c:pt>
              </c:numCache>
            </c:numRef>
          </c:xVal>
          <c:yVal>
            <c:numRef>
              <c:f>MatlabTuning!$Q$2:$Q$11</c:f>
              <c:numCache>
                <c:formatCode>0.00</c:formatCode>
                <c:ptCount val="10"/>
                <c:pt idx="0">
                  <c:v>2.5219039999999997</c:v>
                </c:pt>
                <c:pt idx="1">
                  <c:v>2.8687999999999998</c:v>
                </c:pt>
                <c:pt idx="2">
                  <c:v>2.8728000000000002</c:v>
                </c:pt>
                <c:pt idx="3">
                  <c:v>3.1241699999999999</c:v>
                </c:pt>
                <c:pt idx="4">
                  <c:v>3.1995000000000005</c:v>
                </c:pt>
                <c:pt idx="5">
                  <c:v>3.0335399999999999</c:v>
                </c:pt>
                <c:pt idx="6">
                  <c:v>2.9848000000000003</c:v>
                </c:pt>
                <c:pt idx="7">
                  <c:v>2.9861999999999997</c:v>
                </c:pt>
                <c:pt idx="8">
                  <c:v>2.8813364999999997</c:v>
                </c:pt>
                <c:pt idx="9">
                  <c:v>3.3174000000000001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MatlabTuning!$L$29</c:f>
              <c:strCache>
                <c:ptCount val="1"/>
                <c:pt idx="0">
                  <c:v>Control LG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MatlabTuning!$J$30:$J$35</c:f>
              <c:numCache>
                <c:formatCode>General</c:formatCode>
                <c:ptCount val="6"/>
                <c:pt idx="0">
                  <c:v>0</c:v>
                </c:pt>
                <c:pt idx="1">
                  <c:v>16</c:v>
                </c:pt>
                <c:pt idx="2">
                  <c:v>35</c:v>
                </c:pt>
                <c:pt idx="3">
                  <c:v>50</c:v>
                </c:pt>
                <c:pt idx="4">
                  <c:v>79</c:v>
                </c:pt>
                <c:pt idx="5">
                  <c:v>100</c:v>
                </c:pt>
              </c:numCache>
            </c:numRef>
          </c:xVal>
          <c:yVal>
            <c:numRef>
              <c:f>MatlabTuning!$L$30:$L$35</c:f>
              <c:numCache>
                <c:formatCode>General</c:formatCode>
                <c:ptCount val="6"/>
                <c:pt idx="0">
                  <c:v>2.5</c:v>
                </c:pt>
                <c:pt idx="1">
                  <c:v>2.5</c:v>
                </c:pt>
                <c:pt idx="2">
                  <c:v>3</c:v>
                </c:pt>
                <c:pt idx="3">
                  <c:v>3.1</c:v>
                </c:pt>
                <c:pt idx="4">
                  <c:v>2.8</c:v>
                </c:pt>
                <c:pt idx="5">
                  <c:v>2.8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57152"/>
        <c:axId val="489455616"/>
      </c:scatterChart>
      <c:valAx>
        <c:axId val="44537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Nf,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5376768"/>
        <c:crosses val="autoZero"/>
        <c:crossBetween val="midCat"/>
      </c:valAx>
      <c:valAx>
        <c:axId val="445376768"/>
        <c:scaling>
          <c:orientation val="minMax"/>
          <c:max val="0.60000000000000009"/>
          <c:min val="0.2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45374848"/>
        <c:crosses val="autoZero"/>
        <c:crossBetween val="midCat"/>
        <c:majorUnit val="0.2"/>
      </c:valAx>
      <c:valAx>
        <c:axId val="489455616"/>
        <c:scaling>
          <c:orientation val="minMax"/>
          <c:max val="4"/>
          <c:min val="0"/>
        </c:scaling>
        <c:delete val="0"/>
        <c:axPos val="r"/>
        <c:numFmt formatCode="0.00" sourceLinked="1"/>
        <c:majorTickMark val="out"/>
        <c:minorTickMark val="none"/>
        <c:tickLblPos val="nextTo"/>
        <c:crossAx val="489457152"/>
        <c:crosses val="max"/>
        <c:crossBetween val="midCat"/>
        <c:majorUnit val="2"/>
      </c:valAx>
      <c:valAx>
        <c:axId val="489457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9455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32326429212557"/>
          <c:y val="8.3739967286697872E-2"/>
          <c:w val="0.23251019878592971"/>
          <c:h val="0.2334862490014835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Scheduled Gains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0716907261592301"/>
          <c:y val="5.1400554097404488E-2"/>
          <c:w val="0.58013473315835518"/>
          <c:h val="0.79926290463692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'Retune 20161102'!$O$1</c:f>
              <c:strCache>
                <c:ptCount val="1"/>
                <c:pt idx="0">
                  <c:v>Design tld, 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'Retune 20161102'!$E$2:$E$11</c:f>
              <c:numCache>
                <c:formatCode>General</c:formatCode>
                <c:ptCount val="10"/>
                <c:pt idx="0">
                  <c:v>0.35</c:v>
                </c:pt>
                <c:pt idx="1">
                  <c:v>0.3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</c:numCache>
            </c:numRef>
          </c:xVal>
          <c:yVal>
            <c:numRef>
              <c:f>'Retune 20161102'!$O$2:$O$11</c:f>
              <c:numCache>
                <c:formatCode>0.000</c:formatCode>
                <c:ptCount val="10"/>
                <c:pt idx="0">
                  <c:v>0.48799999999999999</c:v>
                </c:pt>
                <c:pt idx="1">
                  <c:v>0.42599999999999999</c:v>
                </c:pt>
                <c:pt idx="2">
                  <c:v>0.315</c:v>
                </c:pt>
                <c:pt idx="3">
                  <c:v>0.20399999999999999</c:v>
                </c:pt>
                <c:pt idx="4">
                  <c:v>0.16</c:v>
                </c:pt>
                <c:pt idx="5">
                  <c:v>0.14099999999999999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'Retune 20161102'!$K$29</c:f>
              <c:strCache>
                <c:ptCount val="1"/>
                <c:pt idx="0">
                  <c:v>Control tld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dPt>
            <c:idx val="5"/>
            <c:bubble3D val="0"/>
          </c:dPt>
          <c:xVal>
            <c:numRef>
              <c:f>'Retune 20161102'!$J$30:$J$35</c:f>
              <c:numCache>
                <c:formatCode>General</c:formatCode>
                <c:ptCount val="6"/>
                <c:pt idx="0">
                  <c:v>0</c:v>
                </c:pt>
                <c:pt idx="1">
                  <c:v>0.02</c:v>
                </c:pt>
                <c:pt idx="2">
                  <c:v>0.1</c:v>
                </c:pt>
                <c:pt idx="3">
                  <c:v>0.2</c:v>
                </c:pt>
                <c:pt idx="4">
                  <c:v>0.35</c:v>
                </c:pt>
                <c:pt idx="5">
                  <c:v>0.5</c:v>
                </c:pt>
              </c:numCache>
            </c:numRef>
          </c:xVal>
          <c:yVal>
            <c:numRef>
              <c:f>'Retune 20161102'!$K$30:$K$35</c:f>
              <c:numCache>
                <c:formatCode>General</c:formatCode>
                <c:ptCount val="6"/>
                <c:pt idx="0">
                  <c:v>0.14099999999999999</c:v>
                </c:pt>
                <c:pt idx="1">
                  <c:v>0.14099999999999999</c:v>
                </c:pt>
                <c:pt idx="2">
                  <c:v>0.2</c:v>
                </c:pt>
                <c:pt idx="3">
                  <c:v>0.31</c:v>
                </c:pt>
                <c:pt idx="4">
                  <c:v>0.48799999999999999</c:v>
                </c:pt>
                <c:pt idx="5">
                  <c:v>0.48799999999999999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635008"/>
        <c:axId val="444645376"/>
      </c:scatterChart>
      <c:scatterChart>
        <c:scatterStyle val="lineMarker"/>
        <c:varyColors val="0"/>
        <c:ser>
          <c:idx val="1"/>
          <c:order val="1"/>
          <c:tx>
            <c:strRef>
              <c:f>'Retune 20161102'!$P$1</c:f>
              <c:strCache>
                <c:ptCount val="1"/>
                <c:pt idx="0">
                  <c:v>Design LG, r/s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'Retune 20161102'!$E$2:$E$11</c:f>
              <c:numCache>
                <c:formatCode>General</c:formatCode>
                <c:ptCount val="10"/>
                <c:pt idx="0">
                  <c:v>0.35</c:v>
                </c:pt>
                <c:pt idx="1">
                  <c:v>0.3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</c:numCache>
            </c:numRef>
          </c:xVal>
          <c:yVal>
            <c:numRef>
              <c:f>'Retune 20161102'!$P$2:$P$11</c:f>
              <c:numCache>
                <c:formatCode>0.00</c:formatCode>
                <c:ptCount val="10"/>
                <c:pt idx="0">
                  <c:v>3.44</c:v>
                </c:pt>
                <c:pt idx="1">
                  <c:v>3.52</c:v>
                </c:pt>
                <c:pt idx="2">
                  <c:v>3.53</c:v>
                </c:pt>
                <c:pt idx="3">
                  <c:v>4.28</c:v>
                </c:pt>
                <c:pt idx="4">
                  <c:v>4.88</c:v>
                </c:pt>
                <c:pt idx="5">
                  <c:v>5.61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'Retune 20161102'!$L$29</c:f>
              <c:strCache>
                <c:ptCount val="1"/>
                <c:pt idx="0">
                  <c:v>Control LG</c:v>
                </c:pt>
              </c:strCache>
            </c:strRef>
          </c:tx>
          <c:spPr>
            <a:ln w="254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'Retune 20161102'!$J$30:$J$35</c:f>
              <c:numCache>
                <c:formatCode>General</c:formatCode>
                <c:ptCount val="6"/>
                <c:pt idx="0">
                  <c:v>0</c:v>
                </c:pt>
                <c:pt idx="1">
                  <c:v>0.02</c:v>
                </c:pt>
                <c:pt idx="2">
                  <c:v>0.1</c:v>
                </c:pt>
                <c:pt idx="3">
                  <c:v>0.2</c:v>
                </c:pt>
                <c:pt idx="4">
                  <c:v>0.35</c:v>
                </c:pt>
                <c:pt idx="5">
                  <c:v>0.5</c:v>
                </c:pt>
              </c:numCache>
            </c:numRef>
          </c:xVal>
          <c:yVal>
            <c:numRef>
              <c:f>'Retune 20161102'!$L$30:$L$35</c:f>
              <c:numCache>
                <c:formatCode>General</c:formatCode>
                <c:ptCount val="6"/>
                <c:pt idx="0">
                  <c:v>5.6</c:v>
                </c:pt>
                <c:pt idx="1">
                  <c:v>5.6</c:v>
                </c:pt>
                <c:pt idx="2">
                  <c:v>4.28</c:v>
                </c:pt>
                <c:pt idx="3">
                  <c:v>3.5</c:v>
                </c:pt>
                <c:pt idx="4">
                  <c:v>3.4</c:v>
                </c:pt>
                <c:pt idx="5">
                  <c:v>3.4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649472"/>
        <c:axId val="444647296"/>
      </c:scatterChart>
      <c:valAx>
        <c:axId val="44463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TauT, 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4645376"/>
        <c:crosses val="autoZero"/>
        <c:crossBetween val="midCat"/>
      </c:valAx>
      <c:valAx>
        <c:axId val="444645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TLD,</a:t>
                </a:r>
                <a:r>
                  <a:rPr lang="en-US" baseline="0"/>
                  <a:t> s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444635008"/>
        <c:crosses val="autoZero"/>
        <c:crossBetween val="midCat"/>
      </c:valAx>
      <c:valAx>
        <c:axId val="4446472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LG, r/s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444649472"/>
        <c:crosses val="max"/>
        <c:crossBetween val="midCat"/>
      </c:valAx>
      <c:valAx>
        <c:axId val="444649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46472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256867891513546"/>
          <c:y val="5.0158209390492862E-2"/>
          <c:w val="0.23909798775153107"/>
          <c:h val="0.228387284922717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'Retune 20161102'!$K$39</c:f>
              <c:strCache>
                <c:ptCount val="1"/>
                <c:pt idx="0">
                  <c:v>TAUT, s</c:v>
                </c:pt>
              </c:strCache>
            </c:strRef>
          </c:tx>
          <c:spPr>
            <a:ln w="19050">
              <a:noFill/>
            </a:ln>
          </c:spPr>
          <c:trendline>
            <c:trendlineType val="power"/>
            <c:dispRSqr val="0"/>
            <c:dispEq val="1"/>
            <c:trendlineLbl>
              <c:layout>
                <c:manualLayout>
                  <c:x val="0.10876749781277341"/>
                  <c:y val="-0.21264617964421115"/>
                </c:manualLayout>
              </c:layout>
              <c:numFmt formatCode="General" sourceLinked="0"/>
            </c:trendlineLbl>
          </c:trendline>
          <c:xVal>
            <c:numRef>
              <c:f>'Retune 20161102'!$J$40:$J$43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'Retune 20161102'!$K$40:$K$43</c:f>
              <c:numCache>
                <c:formatCode>General</c:formatCode>
                <c:ptCount val="4"/>
                <c:pt idx="0">
                  <c:v>0.35</c:v>
                </c:pt>
                <c:pt idx="1">
                  <c:v>0.28999999999999998</c:v>
                </c:pt>
                <c:pt idx="2">
                  <c:v>7.0000000000000007E-2</c:v>
                </c:pt>
                <c:pt idx="3">
                  <c:v>0.02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006592"/>
        <c:axId val="445008128"/>
      </c:scatterChart>
      <c:valAx>
        <c:axId val="44500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5008128"/>
        <c:crosses val="autoZero"/>
        <c:crossBetween val="midCat"/>
      </c:valAx>
      <c:valAx>
        <c:axId val="445008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5006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384810</xdr:colOff>
      <xdr:row>12</xdr:row>
      <xdr:rowOff>90487</xdr:rowOff>
    </xdr:from>
    <xdr:to>
      <xdr:col>18</xdr:col>
      <xdr:colOff>171450</xdr:colOff>
      <xdr:row>26</xdr:row>
      <xdr:rowOff>159067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259080</xdr:colOff>
      <xdr:row>33</xdr:row>
      <xdr:rowOff>137160</xdr:rowOff>
    </xdr:from>
    <xdr:to>
      <xdr:col>7</xdr:col>
      <xdr:colOff>754380</xdr:colOff>
      <xdr:row>48</xdr:row>
      <xdr:rowOff>22860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</xdr:colOff>
      <xdr:row>33</xdr:row>
      <xdr:rowOff>185737</xdr:rowOff>
    </xdr:from>
    <xdr:to>
      <xdr:col>7</xdr:col>
      <xdr:colOff>471487</xdr:colOff>
      <xdr:row>48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242887</xdr:colOff>
      <xdr:row>26</xdr:row>
      <xdr:rowOff>80962</xdr:rowOff>
    </xdr:from>
    <xdr:to>
      <xdr:col>18</xdr:col>
      <xdr:colOff>338137</xdr:colOff>
      <xdr:row>40</xdr:row>
      <xdr:rowOff>157162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_OL_P_T_461_var_06_1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_OL_P_T_461_var_06_1ms"/>
      <sheetName val="20_06_1ms"/>
      <sheetName val="25_06_1ms"/>
      <sheetName val="36_06_1ms"/>
      <sheetName val="45_06_1ms"/>
      <sheetName val="50_06_1ms"/>
      <sheetName val="52_06_1ms"/>
      <sheetName val="55_06_1ms"/>
      <sheetName val="63_06_1ms"/>
      <sheetName val="summary"/>
      <sheetName val="BareT25_03_1ms"/>
      <sheetName val="compare"/>
      <sheetName val="MatlabTuning (2)"/>
      <sheetName val="MatlabTu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O1" t="str">
            <v>Design tld, s</v>
          </cell>
          <cell r="P1" t="str">
            <v>Design LG, r/s</v>
          </cell>
        </row>
        <row r="2">
          <cell r="E2">
            <v>0.35</v>
          </cell>
          <cell r="O2">
            <v>0.48799999999999999</v>
          </cell>
          <cell r="P2">
            <v>3.44</v>
          </cell>
        </row>
        <row r="3">
          <cell r="E3">
            <v>0.3</v>
          </cell>
          <cell r="O3">
            <v>0.42599999999999999</v>
          </cell>
          <cell r="P3">
            <v>3.52</v>
          </cell>
        </row>
        <row r="4">
          <cell r="E4">
            <v>0.2</v>
          </cell>
          <cell r="O4">
            <v>0.315</v>
          </cell>
          <cell r="P4">
            <v>3.53</v>
          </cell>
        </row>
        <row r="5">
          <cell r="E5">
            <v>0.1</v>
          </cell>
          <cell r="O5">
            <v>0.20399999999999999</v>
          </cell>
          <cell r="P5">
            <v>4.28</v>
          </cell>
        </row>
        <row r="6">
          <cell r="E6">
            <v>0.05</v>
          </cell>
          <cell r="O6">
            <v>0.16</v>
          </cell>
          <cell r="P6">
            <v>4.88</v>
          </cell>
        </row>
        <row r="7">
          <cell r="E7">
            <v>0.02</v>
          </cell>
          <cell r="O7">
            <v>0.14099999999999999</v>
          </cell>
          <cell r="P7">
            <v>5.61</v>
          </cell>
        </row>
        <row r="8">
          <cell r="P8">
            <v>0</v>
          </cell>
        </row>
        <row r="9">
          <cell r="P9">
            <v>0</v>
          </cell>
        </row>
        <row r="10">
          <cell r="P10">
            <v>0</v>
          </cell>
        </row>
        <row r="11">
          <cell r="P11">
            <v>0</v>
          </cell>
        </row>
        <row r="29">
          <cell r="K29" t="str">
            <v>Control tld</v>
          </cell>
          <cell r="L29" t="str">
            <v>Control LG</v>
          </cell>
        </row>
        <row r="30">
          <cell r="J30">
            <v>0</v>
          </cell>
          <cell r="K30">
            <v>0.14099999999999999</v>
          </cell>
          <cell r="L30">
            <v>5.6</v>
          </cell>
        </row>
        <row r="31">
          <cell r="J31">
            <v>0.02</v>
          </cell>
          <cell r="K31">
            <v>0.14099999999999999</v>
          </cell>
          <cell r="L31">
            <v>5.6</v>
          </cell>
        </row>
        <row r="32">
          <cell r="J32">
            <v>0.1</v>
          </cell>
          <cell r="K32">
            <v>0.2</v>
          </cell>
          <cell r="L32">
            <v>4.28</v>
          </cell>
        </row>
        <row r="33">
          <cell r="J33">
            <v>0.2</v>
          </cell>
          <cell r="K33">
            <v>0.31</v>
          </cell>
          <cell r="L33">
            <v>3.5</v>
          </cell>
        </row>
        <row r="34">
          <cell r="J34">
            <v>0.35</v>
          </cell>
          <cell r="K34">
            <v>0.48799999999999999</v>
          </cell>
          <cell r="L34">
            <v>3.4</v>
          </cell>
        </row>
        <row r="35">
          <cell r="J35">
            <v>0.5</v>
          </cell>
          <cell r="K35">
            <v>0.48799999999999999</v>
          </cell>
          <cell r="L35">
            <v>3.4</v>
          </cell>
        </row>
        <row r="39">
          <cell r="K39" t="str">
            <v>TAUT, s</v>
          </cell>
        </row>
        <row r="40">
          <cell r="J40">
            <v>10</v>
          </cell>
          <cell r="K40">
            <v>0.35</v>
          </cell>
        </row>
        <row r="41">
          <cell r="J41">
            <v>30</v>
          </cell>
          <cell r="K41">
            <v>0.28999999999999998</v>
          </cell>
        </row>
        <row r="42">
          <cell r="J42">
            <v>40</v>
          </cell>
          <cell r="K42">
            <v>7.0000000000000007E-2</v>
          </cell>
        </row>
        <row r="43">
          <cell r="J43">
            <v>60</v>
          </cell>
          <cell r="K43">
            <v>0.02</v>
          </cell>
        </row>
      </sheetData>
      <sheetData sheetId="13">
        <row r="1">
          <cell r="N1" t="str">
            <v>BW45, r/s</v>
          </cell>
          <cell r="O1" t="str">
            <v>Design tld, s</v>
          </cell>
          <cell r="Q1" t="str">
            <v>Design LG, r/s</v>
          </cell>
        </row>
        <row r="2">
          <cell r="B2">
            <v>16</v>
          </cell>
          <cell r="O2">
            <v>0.40547142159257449</v>
          </cell>
          <cell r="Q2">
            <v>2.5219039999999997</v>
          </cell>
        </row>
        <row r="3">
          <cell r="B3">
            <v>27</v>
          </cell>
          <cell r="O3">
            <v>0.39263803680981602</v>
          </cell>
          <cell r="Q3">
            <v>2.8687999999999998</v>
          </cell>
        </row>
        <row r="4">
          <cell r="B4">
            <v>35</v>
          </cell>
          <cell r="O4">
            <v>0.42142857142857149</v>
          </cell>
          <cell r="Q4">
            <v>2.8728000000000002</v>
          </cell>
        </row>
        <row r="5">
          <cell r="B5">
            <v>44</v>
          </cell>
          <cell r="O5">
            <v>0.33087027914614126</v>
          </cell>
          <cell r="Q5">
            <v>3.1241699999999999</v>
          </cell>
        </row>
        <row r="6">
          <cell r="B6">
            <v>51</v>
          </cell>
          <cell r="O6">
            <v>0.32151898734177214</v>
          </cell>
          <cell r="Q6">
            <v>3.1995000000000005</v>
          </cell>
        </row>
        <row r="7">
          <cell r="B7">
            <v>57</v>
          </cell>
          <cell r="O7">
            <v>0.39007891770011283</v>
          </cell>
          <cell r="Q7">
            <v>3.0335399999999999</v>
          </cell>
        </row>
        <row r="8">
          <cell r="B8">
            <v>63</v>
          </cell>
          <cell r="N8">
            <v>5.4</v>
          </cell>
          <cell r="O8">
            <v>0.39305816135084432</v>
          </cell>
          <cell r="Q8">
            <v>2.9848000000000003</v>
          </cell>
        </row>
        <row r="9">
          <cell r="B9">
            <v>68</v>
          </cell>
          <cell r="N9">
            <v>5.7</v>
          </cell>
          <cell r="O9">
            <v>0.39206349206349206</v>
          </cell>
          <cell r="Q9">
            <v>2.9861999999999997</v>
          </cell>
        </row>
        <row r="10">
          <cell r="B10">
            <v>73</v>
          </cell>
          <cell r="N10">
            <v>5.4</v>
          </cell>
          <cell r="O10">
            <v>0.40411801953711413</v>
          </cell>
          <cell r="Q10">
            <v>2.8813364999999997</v>
          </cell>
        </row>
        <row r="11">
          <cell r="B11">
            <v>79</v>
          </cell>
          <cell r="N11">
            <v>5.3</v>
          </cell>
          <cell r="O11">
            <v>0.33195876288659798</v>
          </cell>
          <cell r="Q11">
            <v>3.3174000000000001</v>
          </cell>
        </row>
        <row r="29">
          <cell r="K29" t="str">
            <v>Control tld</v>
          </cell>
          <cell r="L29" t="str">
            <v>Control LG</v>
          </cell>
        </row>
        <row r="30">
          <cell r="J30">
            <v>0</v>
          </cell>
          <cell r="K30">
            <v>0.36</v>
          </cell>
          <cell r="L30">
            <v>2.5</v>
          </cell>
        </row>
        <row r="31">
          <cell r="J31">
            <v>16</v>
          </cell>
          <cell r="K31">
            <v>0.36</v>
          </cell>
          <cell r="L31">
            <v>2.5</v>
          </cell>
        </row>
        <row r="32">
          <cell r="J32">
            <v>35</v>
          </cell>
          <cell r="K32">
            <v>0.36</v>
          </cell>
          <cell r="L32">
            <v>3</v>
          </cell>
        </row>
        <row r="33">
          <cell r="J33">
            <v>50</v>
          </cell>
          <cell r="K33">
            <v>0.36</v>
          </cell>
          <cell r="L33">
            <v>3.1</v>
          </cell>
        </row>
        <row r="34">
          <cell r="J34">
            <v>79</v>
          </cell>
          <cell r="K34">
            <v>0.36</v>
          </cell>
          <cell r="L34">
            <v>2.8</v>
          </cell>
        </row>
        <row r="35">
          <cell r="J35">
            <v>100</v>
          </cell>
          <cell r="K35">
            <v>0.36</v>
          </cell>
          <cell r="L35">
            <v>2.8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S37"/>
  <sheetViews>
    <sheetView tabSelected="1" workbookViewId="0">
      <selection activeCell="G25" sqref="G25"/>
    </sheetView>
  </sheetViews>
  <sheetFormatPr defaultColWidth="9.140625" defaultRowHeight="15" x14ac:dyDescent="0.25"/>
  <cols>
    <col min="1" max="1" width="12.140625" style="1" bestFit="1" customWidth="1"/>
    <col min="2" max="2" width="7.42578125" style="1" bestFit="1" customWidth="1"/>
    <col min="3" max="3" width="7.7109375" style="1" bestFit="1" customWidth="1"/>
    <col min="4" max="4" width="7" style="1" bestFit="1" customWidth="1"/>
    <col min="5" max="5" width="8.85546875" style="1" bestFit="1" customWidth="1"/>
    <col min="6" max="6" width="9.7109375" style="1" bestFit="1" customWidth="1"/>
    <col min="7" max="7" width="11.140625" style="1" bestFit="1" customWidth="1"/>
    <col min="8" max="8" width="11.7109375" style="1" bestFit="1" customWidth="1"/>
    <col min="9" max="9" width="12.85546875" style="1" bestFit="1" customWidth="1"/>
    <col min="10" max="10" width="7.140625" style="1" bestFit="1" customWidth="1"/>
    <col min="11" max="11" width="9.28515625" style="1" customWidth="1"/>
    <col min="12" max="12" width="9.140625" style="1" customWidth="1"/>
    <col min="13" max="13" width="9.42578125" style="1" bestFit="1" customWidth="1"/>
    <col min="14" max="15" width="11.28515625" style="1" bestFit="1" customWidth="1"/>
    <col min="16" max="16" width="12" style="1" bestFit="1" customWidth="1"/>
    <col min="17" max="17" width="12.28515625" style="1" bestFit="1" customWidth="1"/>
    <col min="18" max="18" width="13.7109375" style="1" bestFit="1" customWidth="1"/>
    <col min="19" max="16384" width="9.140625" style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39</v>
      </c>
      <c r="I1" s="1" t="s">
        <v>40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41</v>
      </c>
      <c r="Q1" s="1" t="s">
        <v>15</v>
      </c>
    </row>
    <row r="2" spans="1:19" x14ac:dyDescent="0.25">
      <c r="A2" s="2">
        <v>25</v>
      </c>
      <c r="B2" s="2">
        <v>16</v>
      </c>
      <c r="C2" s="2">
        <v>37</v>
      </c>
      <c r="D2" s="1">
        <f>C2*$B$22</f>
        <v>17049.600000000002</v>
      </c>
      <c r="E2" s="2">
        <v>6.5000000000000002E-2</v>
      </c>
      <c r="F2" s="2">
        <v>0.4</v>
      </c>
      <c r="G2" s="2">
        <v>1.5</v>
      </c>
      <c r="H2" s="3">
        <f>1.232*2.3*0.89</f>
        <v>2.5219039999999997</v>
      </c>
      <c r="I2" s="3">
        <f>1.232*0.83</f>
        <v>1.0225599999999999</v>
      </c>
      <c r="J2" s="4">
        <v>12</v>
      </c>
      <c r="K2" s="4">
        <v>6.6</v>
      </c>
      <c r="L2" s="4">
        <v>74</v>
      </c>
      <c r="M2" s="4">
        <v>1.4</v>
      </c>
      <c r="N2" s="2"/>
      <c r="O2" s="5">
        <f>I2/H2</f>
        <v>0.40547142159257449</v>
      </c>
      <c r="P2" s="5">
        <f>$C$26/$A2/$B$22</f>
        <v>1.2317717418991589</v>
      </c>
      <c r="Q2" s="6">
        <f>H2</f>
        <v>2.5219039999999997</v>
      </c>
      <c r="R2" s="5"/>
      <c r="S2" s="6"/>
    </row>
    <row r="3" spans="1:19" x14ac:dyDescent="0.25">
      <c r="A3" s="2">
        <v>35</v>
      </c>
      <c r="B3" s="2">
        <v>27</v>
      </c>
      <c r="C3" s="2">
        <v>48</v>
      </c>
      <c r="D3" s="1">
        <f t="shared" ref="D3:D11" si="0">C3*$B$22</f>
        <v>22118.400000000001</v>
      </c>
      <c r="E3" s="2">
        <v>5.3999999999999999E-2</v>
      </c>
      <c r="F3" s="2">
        <v>0.3</v>
      </c>
      <c r="G3" s="2">
        <v>1.5</v>
      </c>
      <c r="H3" s="3">
        <f>0.88*3.26</f>
        <v>2.8687999999999998</v>
      </c>
      <c r="I3" s="3">
        <f>0.88*1.28</f>
        <v>1.1264000000000001</v>
      </c>
      <c r="J3" s="4">
        <v>13</v>
      </c>
      <c r="K3" s="4">
        <v>7.3</v>
      </c>
      <c r="L3" s="4">
        <v>76</v>
      </c>
      <c r="M3" s="4">
        <v>1.4</v>
      </c>
      <c r="N3" s="4"/>
      <c r="O3" s="5">
        <f t="shared" ref="O3:O11" si="1">I3/H3</f>
        <v>0.39263803680981602</v>
      </c>
      <c r="P3" s="5">
        <f t="shared" ref="P3:P11" si="2">$C$26/$A3/$B$22</f>
        <v>0.87983695849939914</v>
      </c>
      <c r="Q3" s="6">
        <f t="shared" ref="Q3:Q11" si="3">H3</f>
        <v>2.8687999999999998</v>
      </c>
      <c r="R3" s="5"/>
      <c r="S3" s="6"/>
    </row>
    <row r="4" spans="1:19" x14ac:dyDescent="0.25">
      <c r="A4" s="2">
        <v>45</v>
      </c>
      <c r="B4" s="2">
        <v>35</v>
      </c>
      <c r="C4" s="2">
        <v>56</v>
      </c>
      <c r="D4" s="1">
        <f t="shared" si="0"/>
        <v>25804.799999999999</v>
      </c>
      <c r="E4" s="2">
        <v>4.7E-2</v>
      </c>
      <c r="F4" s="2">
        <v>0.27</v>
      </c>
      <c r="G4" s="2">
        <v>1.5</v>
      </c>
      <c r="H4" s="3">
        <f>0.684*4.2</f>
        <v>2.8728000000000002</v>
      </c>
      <c r="I4" s="3">
        <f>0.684*1.77</f>
        <v>1.2106800000000002</v>
      </c>
      <c r="J4" s="4">
        <v>14</v>
      </c>
      <c r="K4" s="4">
        <v>7.3</v>
      </c>
      <c r="L4" s="4">
        <v>78</v>
      </c>
      <c r="M4" s="4">
        <v>1.3</v>
      </c>
      <c r="N4" s="4"/>
      <c r="O4" s="5">
        <f t="shared" si="1"/>
        <v>0.42142857142857149</v>
      </c>
      <c r="P4" s="5">
        <f t="shared" si="2"/>
        <v>0.68431763438842164</v>
      </c>
      <c r="Q4" s="6">
        <f t="shared" si="3"/>
        <v>2.8728000000000002</v>
      </c>
      <c r="R4" s="5"/>
      <c r="S4" s="6"/>
    </row>
    <row r="5" spans="1:19" x14ac:dyDescent="0.25">
      <c r="A5" s="2">
        <v>60</v>
      </c>
      <c r="B5" s="2">
        <v>44</v>
      </c>
      <c r="C5" s="2">
        <v>65</v>
      </c>
      <c r="D5" s="1">
        <f t="shared" si="0"/>
        <v>29952</v>
      </c>
      <c r="E5" s="2">
        <v>4.2000000000000003E-2</v>
      </c>
      <c r="F5" s="2">
        <v>0.3</v>
      </c>
      <c r="G5" s="2">
        <v>1.5</v>
      </c>
      <c r="H5" s="3">
        <f>0.513*6.09</f>
        <v>3.1241699999999999</v>
      </c>
      <c r="I5" s="3">
        <f>0.513*2.015</f>
        <v>1.033695</v>
      </c>
      <c r="J5" s="4">
        <v>13</v>
      </c>
      <c r="K5" s="4">
        <v>7.2</v>
      </c>
      <c r="L5" s="4">
        <v>74</v>
      </c>
      <c r="M5" s="4">
        <v>1.6</v>
      </c>
      <c r="N5" s="4"/>
      <c r="O5" s="5">
        <f t="shared" si="1"/>
        <v>0.33087027914614126</v>
      </c>
      <c r="P5" s="5">
        <f t="shared" si="2"/>
        <v>0.51323822579131617</v>
      </c>
      <c r="Q5" s="6">
        <f t="shared" si="3"/>
        <v>3.1241699999999999</v>
      </c>
      <c r="R5" s="5"/>
      <c r="S5" s="6"/>
    </row>
    <row r="6" spans="1:19" x14ac:dyDescent="0.25">
      <c r="A6" s="2">
        <v>76</v>
      </c>
      <c r="B6" s="2">
        <v>51</v>
      </c>
      <c r="C6" s="2">
        <v>72</v>
      </c>
      <c r="D6" s="1">
        <f t="shared" si="0"/>
        <v>33177.599999999999</v>
      </c>
      <c r="E6" s="2">
        <v>3.7999999999999999E-2</v>
      </c>
      <c r="F6" s="2">
        <v>0.25</v>
      </c>
      <c r="G6" s="2">
        <v>1.5</v>
      </c>
      <c r="H6" s="3">
        <f>0.405*7.9</f>
        <v>3.1995000000000005</v>
      </c>
      <c r="I6" s="3">
        <f>0.405*2.54</f>
        <v>1.0287000000000002</v>
      </c>
      <c r="J6" s="4">
        <v>14.4</v>
      </c>
      <c r="K6" s="4">
        <v>8.2100000000000009</v>
      </c>
      <c r="L6" s="4">
        <v>77</v>
      </c>
      <c r="M6" s="4">
        <v>1.53</v>
      </c>
      <c r="N6" s="2"/>
      <c r="O6" s="5">
        <f t="shared" si="1"/>
        <v>0.32151898734177214</v>
      </c>
      <c r="P6" s="5">
        <f t="shared" si="2"/>
        <v>0.4051880729931443</v>
      </c>
      <c r="Q6" s="6">
        <f t="shared" si="3"/>
        <v>3.1995000000000005</v>
      </c>
      <c r="R6" s="5"/>
      <c r="S6" s="6"/>
    </row>
    <row r="7" spans="1:19" x14ac:dyDescent="0.25">
      <c r="A7" s="2">
        <v>90</v>
      </c>
      <c r="B7" s="2">
        <v>57</v>
      </c>
      <c r="C7" s="2">
        <v>77</v>
      </c>
      <c r="D7" s="1">
        <f t="shared" si="0"/>
        <v>35481.599999999999</v>
      </c>
      <c r="E7" s="2">
        <v>3.5999999999999997E-2</v>
      </c>
      <c r="F7" s="2">
        <v>0.27</v>
      </c>
      <c r="G7" s="2">
        <v>1.5</v>
      </c>
      <c r="H7" s="3">
        <f>0.342*8.87</f>
        <v>3.0335399999999999</v>
      </c>
      <c r="I7" s="3">
        <f>0.342*3.46</f>
        <v>1.1833200000000001</v>
      </c>
      <c r="J7" s="4">
        <v>14</v>
      </c>
      <c r="K7" s="4">
        <v>7.6</v>
      </c>
      <c r="L7" s="4">
        <v>77</v>
      </c>
      <c r="M7" s="4">
        <v>1.4</v>
      </c>
      <c r="N7" s="4"/>
      <c r="O7" s="5">
        <f t="shared" si="1"/>
        <v>0.39007891770011283</v>
      </c>
      <c r="P7" s="5">
        <f t="shared" si="2"/>
        <v>0.34215881719421082</v>
      </c>
      <c r="Q7" s="6">
        <f t="shared" si="3"/>
        <v>3.0335399999999999</v>
      </c>
      <c r="R7" s="5"/>
      <c r="S7" s="6"/>
    </row>
    <row r="8" spans="1:19" x14ac:dyDescent="0.25">
      <c r="A8" s="2">
        <v>110</v>
      </c>
      <c r="B8" s="2">
        <v>63</v>
      </c>
      <c r="C8" s="2">
        <v>83</v>
      </c>
      <c r="D8" s="1">
        <f t="shared" si="0"/>
        <v>38246.400000000001</v>
      </c>
      <c r="E8" s="2">
        <v>3.3000000000000002E-2</v>
      </c>
      <c r="F8" s="2">
        <v>0.27</v>
      </c>
      <c r="G8" s="2">
        <v>1.5</v>
      </c>
      <c r="H8" s="3">
        <f>0.28*10.66</f>
        <v>2.9848000000000003</v>
      </c>
      <c r="I8" s="3">
        <f>0.28*4.19</f>
        <v>1.1732000000000002</v>
      </c>
      <c r="J8" s="4">
        <v>14</v>
      </c>
      <c r="K8" s="4">
        <v>7.6</v>
      </c>
      <c r="L8" s="4">
        <v>77</v>
      </c>
      <c r="M8" s="4">
        <v>1.4</v>
      </c>
      <c r="N8" s="4">
        <v>5.4</v>
      </c>
      <c r="O8" s="5">
        <f t="shared" si="1"/>
        <v>0.39305816135084432</v>
      </c>
      <c r="P8" s="5">
        <f t="shared" si="2"/>
        <v>0.27994812315889972</v>
      </c>
      <c r="Q8" s="6">
        <f t="shared" si="3"/>
        <v>2.9848000000000003</v>
      </c>
      <c r="R8" s="5"/>
      <c r="S8" s="6"/>
    </row>
    <row r="9" spans="1:19" x14ac:dyDescent="0.25">
      <c r="A9" s="2">
        <v>130</v>
      </c>
      <c r="B9" s="2">
        <v>68</v>
      </c>
      <c r="C9" s="2">
        <v>88</v>
      </c>
      <c r="D9" s="1">
        <f t="shared" si="0"/>
        <v>40550.400000000001</v>
      </c>
      <c r="E9" s="2">
        <v>3.1600000000000003E-2</v>
      </c>
      <c r="F9" s="2">
        <v>0.27</v>
      </c>
      <c r="G9" s="2">
        <v>1.5</v>
      </c>
      <c r="H9" s="3">
        <f>0.237*12.6</f>
        <v>2.9861999999999997</v>
      </c>
      <c r="I9" s="3">
        <f>0.237*4.94</f>
        <v>1.1707799999999999</v>
      </c>
      <c r="J9" s="4">
        <v>14</v>
      </c>
      <c r="K9" s="4">
        <v>7.7</v>
      </c>
      <c r="L9" s="4">
        <v>77</v>
      </c>
      <c r="M9" s="4">
        <v>1.4</v>
      </c>
      <c r="N9" s="4">
        <v>5.7</v>
      </c>
      <c r="O9" s="5">
        <f t="shared" si="1"/>
        <v>0.39206349206349206</v>
      </c>
      <c r="P9" s="5">
        <f t="shared" si="2"/>
        <v>0.23687918113445364</v>
      </c>
      <c r="Q9" s="6">
        <f t="shared" si="3"/>
        <v>2.9861999999999997</v>
      </c>
      <c r="R9" s="5"/>
      <c r="S9" s="6"/>
    </row>
    <row r="10" spans="1:19" x14ac:dyDescent="0.25">
      <c r="A10" s="2">
        <v>150</v>
      </c>
      <c r="B10" s="2">
        <v>73</v>
      </c>
      <c r="C10" s="2">
        <v>93</v>
      </c>
      <c r="D10" s="1">
        <f t="shared" si="0"/>
        <v>42854.400000000001</v>
      </c>
      <c r="E10" s="2">
        <v>3.0200000000000001E-2</v>
      </c>
      <c r="F10" s="2">
        <v>0.27</v>
      </c>
      <c r="G10" s="2">
        <v>1.5</v>
      </c>
      <c r="H10" s="3">
        <f>0.205*0.97*14.49</f>
        <v>2.8813364999999997</v>
      </c>
      <c r="I10" s="3">
        <f>0.205*5.68</f>
        <v>1.1643999999999999</v>
      </c>
      <c r="J10" s="4">
        <v>14</v>
      </c>
      <c r="K10" s="4">
        <v>7.7</v>
      </c>
      <c r="L10" s="4">
        <v>77</v>
      </c>
      <c r="M10" s="4">
        <v>1.4</v>
      </c>
      <c r="N10" s="4">
        <v>5.4</v>
      </c>
      <c r="O10" s="5">
        <f t="shared" si="1"/>
        <v>0.40411801953711413</v>
      </c>
      <c r="P10" s="5">
        <f t="shared" si="2"/>
        <v>0.20529529031652646</v>
      </c>
      <c r="Q10" s="6">
        <f t="shared" si="3"/>
        <v>2.8813364999999997</v>
      </c>
      <c r="R10" s="5"/>
      <c r="S10" s="6"/>
    </row>
    <row r="11" spans="1:19" x14ac:dyDescent="0.25">
      <c r="A11" s="2">
        <v>180</v>
      </c>
      <c r="B11" s="2">
        <v>79</v>
      </c>
      <c r="C11" s="2">
        <v>98</v>
      </c>
      <c r="D11" s="1">
        <f t="shared" si="0"/>
        <v>45158.400000000001</v>
      </c>
      <c r="E11" s="2">
        <v>2.9000000000000001E-2</v>
      </c>
      <c r="F11" s="2">
        <v>0.27</v>
      </c>
      <c r="G11" s="2">
        <v>1.5</v>
      </c>
      <c r="H11" s="3">
        <f>0.171*19.4</f>
        <v>3.3174000000000001</v>
      </c>
      <c r="I11" s="3">
        <f>0.171*6.44</f>
        <v>1.1012400000000002</v>
      </c>
      <c r="J11" s="4">
        <v>14</v>
      </c>
      <c r="K11" s="4">
        <v>7.7</v>
      </c>
      <c r="L11" s="4">
        <v>77</v>
      </c>
      <c r="M11" s="4">
        <v>1.4</v>
      </c>
      <c r="N11" s="4">
        <v>5.3</v>
      </c>
      <c r="O11" s="5">
        <f t="shared" si="1"/>
        <v>0.33195876288659798</v>
      </c>
      <c r="P11" s="5">
        <f t="shared" si="2"/>
        <v>0.17107940859710541</v>
      </c>
      <c r="Q11" s="6">
        <f t="shared" si="3"/>
        <v>3.3174000000000001</v>
      </c>
      <c r="R11" s="5"/>
      <c r="S11" s="6"/>
    </row>
    <row r="16" spans="1:19" x14ac:dyDescent="0.25">
      <c r="B16" s="1" t="s">
        <v>16</v>
      </c>
    </row>
    <row r="17" spans="1:12" x14ac:dyDescent="0.25">
      <c r="B17" s="1" t="s">
        <v>17</v>
      </c>
    </row>
    <row r="18" spans="1:12" x14ac:dyDescent="0.25">
      <c r="A18" s="7" t="s">
        <v>18</v>
      </c>
      <c r="B18" s="7">
        <v>5</v>
      </c>
      <c r="C18" s="7"/>
      <c r="D18" s="7"/>
    </row>
    <row r="19" spans="1:12" x14ac:dyDescent="0.25">
      <c r="A19" s="7" t="s">
        <v>19</v>
      </c>
      <c r="B19" s="7">
        <v>0</v>
      </c>
      <c r="C19" s="7"/>
      <c r="D19" s="7"/>
    </row>
    <row r="20" spans="1:12" x14ac:dyDescent="0.25">
      <c r="A20" s="7" t="s">
        <v>20</v>
      </c>
      <c r="B20" s="7">
        <v>5</v>
      </c>
      <c r="C20" s="7"/>
      <c r="D20" s="7"/>
    </row>
    <row r="21" spans="1:12" x14ac:dyDescent="0.25">
      <c r="A21" s="7" t="s">
        <v>21</v>
      </c>
      <c r="B21" s="7">
        <v>0</v>
      </c>
      <c r="C21" s="7"/>
      <c r="D21" s="7"/>
    </row>
    <row r="22" spans="1:12" x14ac:dyDescent="0.25">
      <c r="A22" s="7" t="s">
        <v>22</v>
      </c>
      <c r="B22" s="7">
        <v>460.8</v>
      </c>
      <c r="C22" s="7"/>
      <c r="D22" s="7"/>
    </row>
    <row r="23" spans="1:12" x14ac:dyDescent="0.25">
      <c r="A23" s="7" t="s">
        <v>23</v>
      </c>
      <c r="B23" s="7">
        <v>180</v>
      </c>
      <c r="C23" s="7"/>
      <c r="D23" s="7"/>
    </row>
    <row r="24" spans="1:12" x14ac:dyDescent="0.25">
      <c r="A24" s="7" t="s">
        <v>24</v>
      </c>
      <c r="B24" s="7">
        <v>0</v>
      </c>
      <c r="C24" s="7"/>
      <c r="D24" s="7"/>
    </row>
    <row r="25" spans="1:12" x14ac:dyDescent="0.25">
      <c r="A25" s="7" t="s">
        <v>25</v>
      </c>
      <c r="B25" s="7">
        <v>0</v>
      </c>
      <c r="C25" s="7">
        <v>14542.70476789044</v>
      </c>
      <c r="D25" s="7">
        <v>-351.19080582654192</v>
      </c>
    </row>
    <row r="26" spans="1:12" x14ac:dyDescent="0.25">
      <c r="A26" s="7" t="s">
        <v>26</v>
      </c>
      <c r="B26" s="7">
        <v>-28327.005397586898</v>
      </c>
      <c r="C26" s="7">
        <v>14190.01046667831</v>
      </c>
      <c r="D26" s="7"/>
    </row>
    <row r="27" spans="1:12" x14ac:dyDescent="0.25">
      <c r="A27" s="7" t="s">
        <v>27</v>
      </c>
      <c r="B27" s="7">
        <v>-10376.43880319349</v>
      </c>
      <c r="C27" s="7">
        <v>1.0267549592501404</v>
      </c>
      <c r="D27" s="7"/>
    </row>
    <row r="28" spans="1:12" x14ac:dyDescent="0.25">
      <c r="A28" s="7" t="s">
        <v>28</v>
      </c>
      <c r="B28" s="7">
        <v>10255.704306193587</v>
      </c>
      <c r="C28" s="7">
        <v>0.96594425611798695</v>
      </c>
      <c r="D28" s="7"/>
    </row>
    <row r="29" spans="1:12" x14ac:dyDescent="0.25">
      <c r="A29" s="7" t="s">
        <v>29</v>
      </c>
      <c r="B29" s="7">
        <v>0</v>
      </c>
      <c r="C29" s="7">
        <v>1.7497144954938875E-7</v>
      </c>
      <c r="D29" s="7">
        <v>1.1535982759687281E-11</v>
      </c>
      <c r="I29" s="1" t="s">
        <v>30</v>
      </c>
      <c r="J29" s="1" t="s">
        <v>42</v>
      </c>
      <c r="K29" s="1" t="s">
        <v>31</v>
      </c>
      <c r="L29" s="1" t="s">
        <v>32</v>
      </c>
    </row>
    <row r="30" spans="1:12" x14ac:dyDescent="0.25">
      <c r="A30" s="7" t="s">
        <v>33</v>
      </c>
      <c r="B30" s="7">
        <v>6.0309482069359523E-3</v>
      </c>
      <c r="C30" s="7">
        <v>-2.7846014809314311E-7</v>
      </c>
      <c r="D30" s="7">
        <v>1.3528398887809465E-11</v>
      </c>
      <c r="J30" s="1">
        <v>0</v>
      </c>
      <c r="K30" s="1">
        <v>0.36</v>
      </c>
      <c r="L30" s="1">
        <v>2.5</v>
      </c>
    </row>
    <row r="31" spans="1:12" x14ac:dyDescent="0.25">
      <c r="A31" s="7" t="s">
        <v>34</v>
      </c>
      <c r="B31" s="7">
        <f>J30</f>
        <v>0</v>
      </c>
      <c r="C31" s="7">
        <f>J31</f>
        <v>16</v>
      </c>
      <c r="D31" s="7">
        <f>J32</f>
        <v>35</v>
      </c>
      <c r="E31" s="7">
        <f>J33</f>
        <v>50</v>
      </c>
      <c r="F31" s="7">
        <f>J34</f>
        <v>79</v>
      </c>
      <c r="G31" s="7">
        <f>J35</f>
        <v>100</v>
      </c>
      <c r="J31" s="1">
        <v>16</v>
      </c>
      <c r="K31" s="1">
        <v>0.36</v>
      </c>
      <c r="L31" s="1">
        <v>2.5</v>
      </c>
    </row>
    <row r="32" spans="1:12" x14ac:dyDescent="0.25">
      <c r="A32" s="7" t="s">
        <v>35</v>
      </c>
      <c r="B32" s="7">
        <f>L30</f>
        <v>2.5</v>
      </c>
      <c r="C32" s="7">
        <f>L31</f>
        <v>2.5</v>
      </c>
      <c r="D32" s="7">
        <f>L32</f>
        <v>3</v>
      </c>
      <c r="E32" s="7">
        <f>L33</f>
        <v>3.1</v>
      </c>
      <c r="F32" s="7">
        <f>L34</f>
        <v>2.8</v>
      </c>
      <c r="G32" s="7">
        <f>L35</f>
        <v>2.8</v>
      </c>
      <c r="J32" s="1">
        <v>35</v>
      </c>
      <c r="K32" s="1">
        <v>0.36</v>
      </c>
      <c r="L32" s="1">
        <v>3</v>
      </c>
    </row>
    <row r="33" spans="1:12" x14ac:dyDescent="0.25">
      <c r="A33" s="7" t="s">
        <v>36</v>
      </c>
      <c r="B33" s="7">
        <f>K30</f>
        <v>0.36</v>
      </c>
      <c r="C33" s="7">
        <f>K31</f>
        <v>0.36</v>
      </c>
      <c r="D33" s="7">
        <f>K32</f>
        <v>0.36</v>
      </c>
      <c r="E33" s="7">
        <f>K33</f>
        <v>0.36</v>
      </c>
      <c r="F33" s="7">
        <f>K34</f>
        <v>0.36</v>
      </c>
      <c r="G33" s="7">
        <f>K35</f>
        <v>0.36</v>
      </c>
      <c r="J33" s="1">
        <v>50</v>
      </c>
      <c r="K33" s="1">
        <v>0.36</v>
      </c>
      <c r="L33" s="1">
        <v>3.1</v>
      </c>
    </row>
    <row r="34" spans="1:12" x14ac:dyDescent="0.25">
      <c r="J34" s="1">
        <v>79</v>
      </c>
      <c r="K34" s="1">
        <v>0.36</v>
      </c>
      <c r="L34" s="1">
        <v>2.8</v>
      </c>
    </row>
    <row r="35" spans="1:12" x14ac:dyDescent="0.25">
      <c r="J35" s="1">
        <v>100</v>
      </c>
      <c r="K35" s="1">
        <v>0.36</v>
      </c>
      <c r="L35" s="1">
        <v>2.8</v>
      </c>
    </row>
    <row r="36" spans="1:12" x14ac:dyDescent="0.25">
      <c r="A36" s="8"/>
      <c r="B36" s="8"/>
      <c r="C36" s="8"/>
      <c r="D36" s="8"/>
      <c r="E36" s="8"/>
      <c r="F36" s="8"/>
      <c r="G36" s="8"/>
    </row>
    <row r="37" spans="1:12" x14ac:dyDescent="0.25">
      <c r="A37" s="8"/>
      <c r="B37" s="8"/>
      <c r="C37" s="8"/>
      <c r="D37" s="8"/>
      <c r="E37" s="8"/>
      <c r="F37" s="8"/>
      <c r="G37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R45"/>
  <sheetViews>
    <sheetView topLeftCell="A19" workbookViewId="0">
      <selection activeCell="J47" sqref="J47"/>
    </sheetView>
  </sheetViews>
  <sheetFormatPr defaultColWidth="9.140625" defaultRowHeight="15" x14ac:dyDescent="0.25"/>
  <cols>
    <col min="1" max="1" width="12.140625" style="1" bestFit="1" customWidth="1"/>
    <col min="2" max="2" width="7.42578125" style="1" bestFit="1" customWidth="1"/>
    <col min="3" max="3" width="7.7109375" style="1" bestFit="1" customWidth="1"/>
    <col min="4" max="4" width="7" style="1" bestFit="1" customWidth="1"/>
    <col min="5" max="5" width="8.85546875" style="1" bestFit="1" customWidth="1"/>
    <col min="6" max="6" width="9.7109375" style="1" bestFit="1" customWidth="1"/>
    <col min="7" max="7" width="11.140625" style="1" bestFit="1" customWidth="1"/>
    <col min="8" max="8" width="11.7109375" style="1" bestFit="1" customWidth="1"/>
    <col min="9" max="9" width="12.85546875" style="1" bestFit="1" customWidth="1"/>
    <col min="10" max="10" width="7.140625" style="1" bestFit="1" customWidth="1"/>
    <col min="11" max="11" width="9.28515625" style="1" customWidth="1"/>
    <col min="12" max="12" width="9.140625" style="1" customWidth="1"/>
    <col min="13" max="13" width="9.42578125" style="1" bestFit="1" customWidth="1"/>
    <col min="14" max="15" width="11.28515625" style="1" bestFit="1" customWidth="1"/>
    <col min="16" max="16" width="12.28515625" style="1" bestFit="1" customWidth="1"/>
    <col min="17" max="17" width="13.7109375" style="1" bestFit="1" customWidth="1"/>
    <col min="18" max="16384" width="9.140625" style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8" x14ac:dyDescent="0.25">
      <c r="A2" s="2"/>
      <c r="B2" s="2"/>
      <c r="C2" s="2"/>
      <c r="E2" s="2">
        <v>0.35</v>
      </c>
      <c r="F2" s="2">
        <v>0.33</v>
      </c>
      <c r="G2" s="2">
        <v>2</v>
      </c>
      <c r="H2" s="3">
        <v>3.44</v>
      </c>
      <c r="I2" s="3">
        <v>0.48799999999999999</v>
      </c>
      <c r="J2" s="4">
        <v>15.3</v>
      </c>
      <c r="K2" s="4">
        <v>14.4</v>
      </c>
      <c r="L2" s="4">
        <v>65.400000000000006</v>
      </c>
      <c r="M2" s="4">
        <v>4.04</v>
      </c>
      <c r="N2" s="2">
        <v>4.8</v>
      </c>
      <c r="O2" s="5">
        <f>I2</f>
        <v>0.48799999999999999</v>
      </c>
      <c r="P2" s="6">
        <f>H2</f>
        <v>3.44</v>
      </c>
      <c r="Q2" s="5"/>
      <c r="R2" s="6"/>
    </row>
    <row r="3" spans="1:18" x14ac:dyDescent="0.25">
      <c r="A3" s="2"/>
      <c r="B3" s="2"/>
      <c r="C3" s="2"/>
      <c r="E3" s="2">
        <v>0.3</v>
      </c>
      <c r="F3" s="2">
        <v>0.315</v>
      </c>
      <c r="G3" s="2">
        <v>2</v>
      </c>
      <c r="H3" s="3">
        <v>3.52</v>
      </c>
      <c r="I3" s="3">
        <v>0.42599999999999999</v>
      </c>
      <c r="J3" s="4">
        <v>15.1</v>
      </c>
      <c r="K3" s="4">
        <v>14.6</v>
      </c>
      <c r="L3" s="4">
        <v>65.900000000000006</v>
      </c>
      <c r="M3" s="4">
        <v>4.0999999999999996</v>
      </c>
      <c r="N3" s="4">
        <v>5</v>
      </c>
      <c r="O3" s="5">
        <f t="shared" ref="O3:O7" si="0">I3</f>
        <v>0.42599999999999999</v>
      </c>
      <c r="P3" s="6">
        <f t="shared" ref="P3:P11" si="1">H3</f>
        <v>3.52</v>
      </c>
      <c r="Q3" s="5"/>
      <c r="R3" s="6"/>
    </row>
    <row r="4" spans="1:18" x14ac:dyDescent="0.25">
      <c r="A4" s="2"/>
      <c r="B4" s="2"/>
      <c r="C4" s="2"/>
      <c r="E4" s="2">
        <v>0.2</v>
      </c>
      <c r="F4" s="2">
        <v>0.31</v>
      </c>
      <c r="G4" s="2">
        <v>2</v>
      </c>
      <c r="H4" s="3">
        <v>3.53</v>
      </c>
      <c r="I4" s="3">
        <v>0.315</v>
      </c>
      <c r="J4" s="4"/>
      <c r="K4" s="4"/>
      <c r="L4" s="4"/>
      <c r="M4" s="4"/>
      <c r="N4" s="4"/>
      <c r="O4" s="5">
        <f t="shared" si="0"/>
        <v>0.315</v>
      </c>
      <c r="P4" s="6">
        <f t="shared" si="1"/>
        <v>3.53</v>
      </c>
      <c r="Q4" s="5"/>
      <c r="R4" s="6"/>
    </row>
    <row r="5" spans="1:18" x14ac:dyDescent="0.25">
      <c r="A5" s="2"/>
      <c r="B5" s="2"/>
      <c r="C5" s="2"/>
      <c r="E5" s="2">
        <v>0.1</v>
      </c>
      <c r="F5" s="2">
        <v>0.23</v>
      </c>
      <c r="G5" s="2">
        <v>2</v>
      </c>
      <c r="H5" s="3">
        <v>4.28</v>
      </c>
      <c r="I5" s="3">
        <v>0.20399999999999999</v>
      </c>
      <c r="J5" s="4">
        <v>13.8</v>
      </c>
      <c r="K5" s="4">
        <v>17.2</v>
      </c>
      <c r="L5" s="4">
        <v>70</v>
      </c>
      <c r="M5" s="4">
        <v>4.8</v>
      </c>
      <c r="N5" s="4">
        <v>7</v>
      </c>
      <c r="O5" s="5">
        <f t="shared" si="0"/>
        <v>0.20399999999999999</v>
      </c>
      <c r="P5" s="6">
        <f t="shared" si="1"/>
        <v>4.28</v>
      </c>
      <c r="Q5" s="5"/>
      <c r="R5" s="6"/>
    </row>
    <row r="6" spans="1:18" x14ac:dyDescent="0.25">
      <c r="A6" s="2"/>
      <c r="B6" s="2"/>
      <c r="C6" s="2"/>
      <c r="E6" s="2">
        <v>0.05</v>
      </c>
      <c r="F6" s="2">
        <v>0.17</v>
      </c>
      <c r="G6" s="2">
        <v>2</v>
      </c>
      <c r="H6" s="3">
        <v>4.88</v>
      </c>
      <c r="I6" s="3">
        <v>0.16</v>
      </c>
      <c r="J6" s="4">
        <v>13.7</v>
      </c>
      <c r="K6" s="4">
        <v>20.8</v>
      </c>
      <c r="L6" s="4">
        <v>72.599999999999994</v>
      </c>
      <c r="M6" s="4">
        <v>5.4</v>
      </c>
      <c r="N6" s="2">
        <v>9</v>
      </c>
      <c r="O6" s="5">
        <f t="shared" si="0"/>
        <v>0.16</v>
      </c>
      <c r="P6" s="6">
        <f t="shared" si="1"/>
        <v>4.88</v>
      </c>
      <c r="Q6" s="5"/>
      <c r="R6" s="6"/>
    </row>
    <row r="7" spans="1:18" x14ac:dyDescent="0.25">
      <c r="A7" s="2"/>
      <c r="B7" s="2"/>
      <c r="C7" s="2"/>
      <c r="E7" s="2">
        <v>0.02</v>
      </c>
      <c r="F7" s="2">
        <v>0.12</v>
      </c>
      <c r="G7" s="2">
        <v>2</v>
      </c>
      <c r="H7" s="3">
        <v>5.61</v>
      </c>
      <c r="I7" s="3">
        <v>0.14099999999999999</v>
      </c>
      <c r="J7" s="4">
        <v>14.4</v>
      </c>
      <c r="K7" s="4">
        <v>27.4</v>
      </c>
      <c r="L7" s="4">
        <v>75.599999999999994</v>
      </c>
      <c r="M7" s="4">
        <v>6.2</v>
      </c>
      <c r="N7" s="4">
        <v>12.5</v>
      </c>
      <c r="O7" s="5">
        <f t="shared" si="0"/>
        <v>0.14099999999999999</v>
      </c>
      <c r="P7" s="6">
        <f t="shared" si="1"/>
        <v>5.61</v>
      </c>
      <c r="Q7" s="5"/>
      <c r="R7" s="6"/>
    </row>
    <row r="8" spans="1:18" x14ac:dyDescent="0.25">
      <c r="A8" s="2"/>
      <c r="B8" s="2"/>
      <c r="C8" s="2"/>
      <c r="E8" s="2"/>
      <c r="F8" s="2"/>
      <c r="G8" s="2"/>
      <c r="H8" s="3"/>
      <c r="I8" s="3"/>
      <c r="J8" s="4"/>
      <c r="K8" s="4"/>
      <c r="L8" s="4"/>
      <c r="M8" s="4"/>
      <c r="N8" s="4"/>
      <c r="O8" s="5"/>
      <c r="P8" s="6">
        <f t="shared" si="1"/>
        <v>0</v>
      </c>
      <c r="Q8" s="5"/>
      <c r="R8" s="6"/>
    </row>
    <row r="9" spans="1:18" x14ac:dyDescent="0.25">
      <c r="A9" s="2"/>
      <c r="B9" s="2"/>
      <c r="C9" s="2"/>
      <c r="E9" s="2"/>
      <c r="F9" s="2"/>
      <c r="G9" s="2"/>
      <c r="H9" s="3"/>
      <c r="I9" s="3"/>
      <c r="J9" s="4"/>
      <c r="K9" s="4"/>
      <c r="L9" s="4"/>
      <c r="M9" s="4"/>
      <c r="N9" s="4"/>
      <c r="O9" s="5"/>
      <c r="P9" s="6">
        <f t="shared" si="1"/>
        <v>0</v>
      </c>
      <c r="Q9" s="5"/>
      <c r="R9" s="6"/>
    </row>
    <row r="10" spans="1:18" x14ac:dyDescent="0.25">
      <c r="A10" s="2"/>
      <c r="B10" s="2"/>
      <c r="C10" s="2"/>
      <c r="E10" s="2"/>
      <c r="F10" s="2"/>
      <c r="G10" s="2"/>
      <c r="H10" s="3"/>
      <c r="I10" s="3"/>
      <c r="J10" s="4"/>
      <c r="K10" s="4"/>
      <c r="L10" s="4"/>
      <c r="M10" s="4"/>
      <c r="N10" s="4"/>
      <c r="O10" s="5"/>
      <c r="P10" s="6">
        <f t="shared" si="1"/>
        <v>0</v>
      </c>
      <c r="Q10" s="5"/>
      <c r="R10" s="6"/>
    </row>
    <row r="11" spans="1:18" x14ac:dyDescent="0.25">
      <c r="A11" s="2"/>
      <c r="B11" s="2"/>
      <c r="C11" s="2"/>
      <c r="E11" s="2"/>
      <c r="F11" s="2"/>
      <c r="G11" s="2"/>
      <c r="H11" s="3"/>
      <c r="I11" s="3"/>
      <c r="J11" s="4"/>
      <c r="K11" s="4"/>
      <c r="L11" s="4"/>
      <c r="M11" s="4"/>
      <c r="N11" s="4"/>
      <c r="O11" s="5"/>
      <c r="P11" s="6">
        <f t="shared" si="1"/>
        <v>0</v>
      </c>
      <c r="Q11" s="5"/>
      <c r="R11" s="6"/>
    </row>
    <row r="16" spans="1:18" x14ac:dyDescent="0.25">
      <c r="B16" s="1" t="s">
        <v>16</v>
      </c>
    </row>
    <row r="17" spans="1:12" x14ac:dyDescent="0.25">
      <c r="B17" s="1" t="s">
        <v>17</v>
      </c>
    </row>
    <row r="18" spans="1:12" x14ac:dyDescent="0.25">
      <c r="A18" s="7" t="s">
        <v>18</v>
      </c>
      <c r="B18" s="7">
        <v>5</v>
      </c>
      <c r="C18" s="7"/>
      <c r="D18" s="7"/>
    </row>
    <row r="19" spans="1:12" x14ac:dyDescent="0.25">
      <c r="A19" s="7" t="s">
        <v>19</v>
      </c>
      <c r="B19" s="7">
        <v>0</v>
      </c>
      <c r="C19" s="7"/>
      <c r="D19" s="7"/>
    </row>
    <row r="20" spans="1:12" x14ac:dyDescent="0.25">
      <c r="A20" s="7" t="s">
        <v>20</v>
      </c>
      <c r="B20" s="7">
        <v>5</v>
      </c>
      <c r="C20" s="7"/>
      <c r="D20" s="7"/>
    </row>
    <row r="21" spans="1:12" x14ac:dyDescent="0.25">
      <c r="A21" s="7" t="s">
        <v>21</v>
      </c>
      <c r="B21" s="7">
        <v>0</v>
      </c>
      <c r="C21" s="7"/>
      <c r="D21" s="7"/>
    </row>
    <row r="22" spans="1:12" x14ac:dyDescent="0.25">
      <c r="A22" s="7" t="s">
        <v>22</v>
      </c>
      <c r="B22" s="7">
        <v>460.8</v>
      </c>
      <c r="C22" s="7"/>
      <c r="D22" s="7"/>
    </row>
    <row r="23" spans="1:12" x14ac:dyDescent="0.25">
      <c r="A23" s="7" t="s">
        <v>23</v>
      </c>
      <c r="B23" s="7">
        <v>180</v>
      </c>
      <c r="C23" s="7"/>
      <c r="D23" s="7"/>
    </row>
    <row r="24" spans="1:12" x14ac:dyDescent="0.25">
      <c r="A24" s="7" t="s">
        <v>24</v>
      </c>
      <c r="B24" s="7">
        <v>0</v>
      </c>
      <c r="C24" s="7"/>
      <c r="D24" s="7"/>
    </row>
    <row r="25" spans="1:12" x14ac:dyDescent="0.25">
      <c r="A25" s="7" t="s">
        <v>25</v>
      </c>
      <c r="B25" s="7">
        <v>0</v>
      </c>
      <c r="C25" s="7">
        <v>14542.70476789044</v>
      </c>
      <c r="D25" s="7">
        <v>-351.19080582654192</v>
      </c>
    </row>
    <row r="26" spans="1:12" x14ac:dyDescent="0.25">
      <c r="A26" s="7" t="s">
        <v>26</v>
      </c>
      <c r="B26" s="7">
        <v>-28327.005397586898</v>
      </c>
      <c r="C26" s="7">
        <v>14190.01046667831</v>
      </c>
      <c r="D26" s="7"/>
    </row>
    <row r="27" spans="1:12" x14ac:dyDescent="0.25">
      <c r="A27" s="7" t="s">
        <v>27</v>
      </c>
      <c r="B27" s="7">
        <v>-10376.43880319349</v>
      </c>
      <c r="C27" s="7">
        <v>1.0267549592501404</v>
      </c>
      <c r="D27" s="7"/>
    </row>
    <row r="28" spans="1:12" x14ac:dyDescent="0.25">
      <c r="A28" s="7" t="s">
        <v>28</v>
      </c>
      <c r="B28" s="7">
        <v>10255.704306193587</v>
      </c>
      <c r="C28" s="7">
        <v>0.96594425611798695</v>
      </c>
      <c r="D28" s="7"/>
    </row>
    <row r="29" spans="1:12" x14ac:dyDescent="0.25">
      <c r="A29" s="7" t="s">
        <v>29</v>
      </c>
      <c r="B29" s="7">
        <v>0</v>
      </c>
      <c r="C29" s="7">
        <v>1.7497144954938875E-7</v>
      </c>
      <c r="D29" s="7">
        <v>1.1535982759687281E-11</v>
      </c>
      <c r="J29" s="1" t="s">
        <v>30</v>
      </c>
      <c r="K29" s="1" t="s">
        <v>31</v>
      </c>
      <c r="L29" s="1" t="s">
        <v>32</v>
      </c>
    </row>
    <row r="30" spans="1:12" x14ac:dyDescent="0.25">
      <c r="A30" s="7" t="s">
        <v>33</v>
      </c>
      <c r="B30" s="7">
        <v>6.0309482069359523E-3</v>
      </c>
      <c r="C30" s="7">
        <v>-2.7846014809314311E-7</v>
      </c>
      <c r="D30" s="7">
        <v>1.3528398887809465E-11</v>
      </c>
      <c r="J30" s="1">
        <v>0</v>
      </c>
      <c r="K30" s="1">
        <v>0.14099999999999999</v>
      </c>
      <c r="L30" s="1">
        <v>5.6</v>
      </c>
    </row>
    <row r="31" spans="1:12" x14ac:dyDescent="0.25">
      <c r="A31" s="7" t="s">
        <v>34</v>
      </c>
      <c r="B31" s="7">
        <f>J30</f>
        <v>0</v>
      </c>
      <c r="C31" s="7">
        <f>J31</f>
        <v>0.02</v>
      </c>
      <c r="D31" s="7">
        <f>J32</f>
        <v>0.1</v>
      </c>
      <c r="E31" s="7">
        <f>J33</f>
        <v>0.2</v>
      </c>
      <c r="F31" s="7">
        <f>J34</f>
        <v>0.35</v>
      </c>
      <c r="G31" s="7">
        <f>J35</f>
        <v>0.5</v>
      </c>
      <c r="J31" s="1">
        <v>0.02</v>
      </c>
      <c r="K31" s="1">
        <v>0.14099999999999999</v>
      </c>
      <c r="L31" s="1">
        <v>5.6</v>
      </c>
    </row>
    <row r="32" spans="1:12" x14ac:dyDescent="0.25">
      <c r="A32" s="7" t="s">
        <v>35</v>
      </c>
      <c r="B32" s="7">
        <f>L30</f>
        <v>5.6</v>
      </c>
      <c r="C32" s="7">
        <f>L31</f>
        <v>5.6</v>
      </c>
      <c r="D32" s="7">
        <f>L32</f>
        <v>4.28</v>
      </c>
      <c r="E32" s="7">
        <f>L33</f>
        <v>3.5</v>
      </c>
      <c r="F32" s="7">
        <f>L34</f>
        <v>3.4</v>
      </c>
      <c r="G32" s="7">
        <f>L35</f>
        <v>3.4</v>
      </c>
      <c r="J32" s="1">
        <v>0.1</v>
      </c>
      <c r="K32" s="1">
        <v>0.2</v>
      </c>
      <c r="L32" s="1">
        <v>4.28</v>
      </c>
    </row>
    <row r="33" spans="1:12" x14ac:dyDescent="0.25">
      <c r="A33" s="7" t="s">
        <v>36</v>
      </c>
      <c r="B33" s="7">
        <f>K30</f>
        <v>0.14099999999999999</v>
      </c>
      <c r="C33" s="7">
        <f>K31</f>
        <v>0.14099999999999999</v>
      </c>
      <c r="D33" s="7">
        <f>K32</f>
        <v>0.2</v>
      </c>
      <c r="E33" s="7">
        <f>K33</f>
        <v>0.31</v>
      </c>
      <c r="F33" s="7">
        <f>K34</f>
        <v>0.48799999999999999</v>
      </c>
      <c r="G33" s="7">
        <f>K35</f>
        <v>0.48799999999999999</v>
      </c>
      <c r="J33" s="1">
        <v>0.2</v>
      </c>
      <c r="K33" s="1">
        <v>0.31</v>
      </c>
      <c r="L33" s="1">
        <v>3.5</v>
      </c>
    </row>
    <row r="34" spans="1:12" x14ac:dyDescent="0.25">
      <c r="J34" s="1">
        <v>0.35</v>
      </c>
      <c r="K34" s="1">
        <v>0.48799999999999999</v>
      </c>
      <c r="L34" s="1">
        <v>3.4</v>
      </c>
    </row>
    <row r="35" spans="1:12" x14ac:dyDescent="0.25">
      <c r="J35" s="1">
        <v>0.5</v>
      </c>
      <c r="K35" s="1">
        <v>0.48799999999999999</v>
      </c>
      <c r="L35" s="1">
        <v>3.4</v>
      </c>
    </row>
    <row r="36" spans="1:12" x14ac:dyDescent="0.25">
      <c r="A36" s="8"/>
      <c r="B36" s="8"/>
      <c r="C36" s="8"/>
      <c r="D36" s="8"/>
      <c r="E36" s="8"/>
      <c r="F36" s="8"/>
      <c r="G36" s="8"/>
    </row>
    <row r="37" spans="1:12" x14ac:dyDescent="0.25">
      <c r="A37" s="8"/>
      <c r="B37" s="8"/>
      <c r="C37" s="8"/>
      <c r="D37" s="8"/>
      <c r="E37" s="8"/>
      <c r="F37" s="8"/>
      <c r="G37" s="8"/>
    </row>
    <row r="39" spans="1:12" x14ac:dyDescent="0.25">
      <c r="J39" s="1" t="s">
        <v>37</v>
      </c>
      <c r="K39" s="1" t="s">
        <v>38</v>
      </c>
    </row>
    <row r="40" spans="1:12" x14ac:dyDescent="0.25">
      <c r="J40" s="1">
        <v>10</v>
      </c>
      <c r="K40" s="1">
        <v>0.35</v>
      </c>
    </row>
    <row r="41" spans="1:12" x14ac:dyDescent="0.25">
      <c r="J41" s="1">
        <v>30</v>
      </c>
      <c r="K41" s="1">
        <v>0.28999999999999998</v>
      </c>
    </row>
    <row r="42" spans="1:12" x14ac:dyDescent="0.25">
      <c r="J42" s="1">
        <v>40</v>
      </c>
      <c r="K42" s="1">
        <v>7.0000000000000007E-2</v>
      </c>
    </row>
    <row r="43" spans="1:12" x14ac:dyDescent="0.25">
      <c r="J43" s="1">
        <v>60</v>
      </c>
      <c r="K43" s="1">
        <v>0.02</v>
      </c>
    </row>
    <row r="44" spans="1:12" x14ac:dyDescent="0.25">
      <c r="J44" s="1">
        <v>70</v>
      </c>
      <c r="K44" s="1">
        <v>0.02</v>
      </c>
    </row>
    <row r="45" spans="1:12" x14ac:dyDescent="0.25">
      <c r="J45" s="1">
        <v>100</v>
      </c>
      <c r="K45" s="1">
        <v>0.02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MatlabTuning</vt:lpstr>
      <vt:lpstr>Retune 20161102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210023782</dc:creator>
  <cp:lastModifiedBy>210023782</cp:lastModifiedBy>
  <dcterms:created xsi:type="dcterms:W3CDTF">2016-11-03T13:24:34Z</dcterms:created>
  <dcterms:modified xsi:type="dcterms:W3CDTF">2016-11-03T13:26:21Z</dcterms:modified>
</cp:coreProperties>
</file>