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1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2.xml" ContentType="application/vnd.openxmlformats-officedocument.drawing+xml"/>
  <Override PartName="/xl/charts/chart7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970" windowHeight="8400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CalPhotonTurnigy" sheetId="4" r:id="rId8"/>
    <sheet name="TauPhotonTurnigy" sheetId="5" r:id="rId9"/>
    <sheet name="CalArduinoTurnigy" sheetId="3" r:id="rId10"/>
    <sheet name="CalArduinoHiTec" sheetId="1" r:id="rId11"/>
    <sheet name="CalPhotonHiTec" sheetId="2" r:id="rId12"/>
  </sheets>
  <definedNames>
    <definedName name="Meas_TauT__s" localSheetId="2">Ard0_Turn0_ESC0_G0b_T0a!$K$37:$K$42</definedName>
    <definedName name="Meas_TauT__s" localSheetId="3">Ard1_Turn1x_ESC1_G1b_T1a!$K$39:$K$44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Ard4_Turn4_ESC4_G4b_T4a!$K$39:$K$44</definedName>
    <definedName name="Meas_TauT__s">#REF!</definedName>
    <definedName name="MeasNt" localSheetId="2">Ard0_Turn0_ESC0_G0b_T0a!$I$37:$I$42</definedName>
    <definedName name="MeasNt" localSheetId="3">Ard1_Turn1x_ESC1_G1b_T1a!$I$39:$I$44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Ard4_Turn4_ESC4_G4b_T4a!$I$39:$I$44</definedName>
    <definedName name="MeasNt">#REF!</definedName>
    <definedName name="MeasTauT" localSheetId="2">Ard0_Turn0_ESC0_G0b_T0a!$K$37:$K$42</definedName>
    <definedName name="MeasTauT" localSheetId="3">Ard1_Turn1x_ESC1_G1b_T1a!$K$39:$K$44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Ard4_Turn4_ESC4_G4b_T4a!$K$39:$K$44</definedName>
    <definedName name="MeasTauT">#REF!</definedName>
    <definedName name="Nt" localSheetId="2">Ard0_Turn0_ESC0_G0b_T0a!$I$37:$I$42</definedName>
    <definedName name="Nt" localSheetId="3">Ard1_Turn1x_ESC1_G1b_T1a!$I$39:$I$44</definedName>
    <definedName name="Nt" localSheetId="4">Ard2_Turn2_ESC2_G2b_T2a!$I$38:$I$43</definedName>
    <definedName name="Nt" localSheetId="5">Ard3_Turn3_ESC3_G3b_T3a!$I$39:$I$44</definedName>
    <definedName name="Nt" localSheetId="6">Ard4_Turn4_ESC4_G4b_T4a!$I$39:$I$44</definedName>
    <definedName name="Nt">#REF!</definedName>
  </definedNames>
  <calcPr calcId="145621"/>
</workbook>
</file>

<file path=xl/calcChain.xml><?xml version="1.0" encoding="utf-8"?>
<calcChain xmlns="http://schemas.openxmlformats.org/spreadsheetml/2006/main">
  <c r="R13" i="15" l="1"/>
  <c r="AC14" i="15"/>
  <c r="AD14" i="15" s="1"/>
  <c r="AD13" i="15"/>
  <c r="AC13" i="15"/>
  <c r="AC12" i="15"/>
  <c r="AD12" i="15" s="1"/>
  <c r="AD11" i="15"/>
  <c r="AC11" i="15"/>
  <c r="AC10" i="15"/>
  <c r="AD10" i="15" s="1"/>
  <c r="AD9" i="15"/>
  <c r="AC9" i="15"/>
  <c r="AC8" i="15"/>
  <c r="AD8" i="15" s="1"/>
  <c r="AD7" i="15"/>
  <c r="AC7" i="15"/>
  <c r="AC6" i="15"/>
  <c r="AD6" i="15" s="1"/>
  <c r="AD5" i="15"/>
  <c r="AC5" i="15"/>
  <c r="AC4" i="15"/>
  <c r="AD4" i="15" s="1"/>
  <c r="AD3" i="15"/>
  <c r="AD2" i="15" s="1"/>
  <c r="AC3" i="15"/>
  <c r="AC2" i="15"/>
  <c r="X10" i="15"/>
  <c r="X8" i="15"/>
  <c r="Z3" i="15"/>
  <c r="AE69" i="15" s="1"/>
  <c r="AA3" i="15"/>
  <c r="Z4" i="15"/>
  <c r="AE70" i="15" s="1"/>
  <c r="AA4" i="15"/>
  <c r="AF70" i="15" s="1"/>
  <c r="Z5" i="15"/>
  <c r="AE71" i="15" s="1"/>
  <c r="AA5" i="15"/>
  <c r="AF71" i="15" s="1"/>
  <c r="Z6" i="15"/>
  <c r="AE72" i="15" s="1"/>
  <c r="AA6" i="15"/>
  <c r="AF72" i="15" s="1"/>
  <c r="Z7" i="15"/>
  <c r="AE73" i="15" s="1"/>
  <c r="AA7" i="15"/>
  <c r="Z8" i="15"/>
  <c r="AE74" i="15" s="1"/>
  <c r="AA8" i="15"/>
  <c r="AF74" i="15" s="1"/>
  <c r="Z9" i="15"/>
  <c r="AE75" i="15" s="1"/>
  <c r="AA9" i="15"/>
  <c r="AF75" i="15" s="1"/>
  <c r="Z10" i="15"/>
  <c r="AE76" i="15" s="1"/>
  <c r="AA10" i="15"/>
  <c r="AF76" i="15" s="1"/>
  <c r="Z11" i="15"/>
  <c r="AE77" i="15" s="1"/>
  <c r="AA11" i="15"/>
  <c r="Z12" i="15"/>
  <c r="AE78" i="15" s="1"/>
  <c r="AA12" i="15"/>
  <c r="AF78" i="15" s="1"/>
  <c r="Z13" i="15"/>
  <c r="AE79" i="15" s="1"/>
  <c r="AA13" i="15"/>
  <c r="AF79" i="15" s="1"/>
  <c r="Z14" i="15"/>
  <c r="AE80" i="15" s="1"/>
  <c r="AA14" i="15"/>
  <c r="AF80" i="15" s="1"/>
  <c r="AA2" i="15"/>
  <c r="AF68" i="15" s="1"/>
  <c r="Z2" i="15"/>
  <c r="AE68" i="15" s="1"/>
  <c r="U3" i="15"/>
  <c r="AE56" i="15" s="1"/>
  <c r="V3" i="15"/>
  <c r="AF56" i="15" s="1"/>
  <c r="U4" i="15"/>
  <c r="AE57" i="15" s="1"/>
  <c r="V4" i="15"/>
  <c r="AF57" i="15" s="1"/>
  <c r="U5" i="15"/>
  <c r="AE58" i="15" s="1"/>
  <c r="V5" i="15"/>
  <c r="AF58" i="15" s="1"/>
  <c r="U6" i="15"/>
  <c r="AE59" i="15" s="1"/>
  <c r="V6" i="15"/>
  <c r="U7" i="15"/>
  <c r="AE60" i="15" s="1"/>
  <c r="V7" i="15"/>
  <c r="AF60" i="15" s="1"/>
  <c r="U8" i="15"/>
  <c r="AE61" i="15" s="1"/>
  <c r="V8" i="15"/>
  <c r="AF61" i="15" s="1"/>
  <c r="U9" i="15"/>
  <c r="AE62" i="15" s="1"/>
  <c r="V9" i="15"/>
  <c r="AF62" i="15" s="1"/>
  <c r="U10" i="15"/>
  <c r="AE63" i="15" s="1"/>
  <c r="V10" i="15"/>
  <c r="U11" i="15"/>
  <c r="AE64" i="15" s="1"/>
  <c r="V11" i="15"/>
  <c r="AF64" i="15" s="1"/>
  <c r="U12" i="15"/>
  <c r="AE65" i="15" s="1"/>
  <c r="V12" i="15"/>
  <c r="AF65" i="15" s="1"/>
  <c r="U13" i="15"/>
  <c r="AE66" i="15" s="1"/>
  <c r="V13" i="15"/>
  <c r="AF66" i="15" s="1"/>
  <c r="U14" i="15"/>
  <c r="AE67" i="15" s="1"/>
  <c r="V14" i="15"/>
  <c r="V2" i="15"/>
  <c r="AF55" i="15" s="1"/>
  <c r="U2" i="15"/>
  <c r="AE55" i="15" s="1"/>
  <c r="P3" i="15"/>
  <c r="AE44" i="15" s="1"/>
  <c r="Q3" i="15"/>
  <c r="AF44" i="15" s="1"/>
  <c r="P4" i="15"/>
  <c r="AE45" i="15" s="1"/>
  <c r="Q4" i="15"/>
  <c r="AF45" i="15" s="1"/>
  <c r="P5" i="15"/>
  <c r="AE46" i="15" s="1"/>
  <c r="Q5" i="15"/>
  <c r="P6" i="15"/>
  <c r="AE47" i="15" s="1"/>
  <c r="Q6" i="15"/>
  <c r="AF47" i="15" s="1"/>
  <c r="P7" i="15"/>
  <c r="AE48" i="15" s="1"/>
  <c r="Q7" i="15"/>
  <c r="AF48" i="15" s="1"/>
  <c r="P8" i="15"/>
  <c r="AE49" i="15" s="1"/>
  <c r="Q8" i="15"/>
  <c r="AF49" i="15" s="1"/>
  <c r="P9" i="15"/>
  <c r="AE50" i="15" s="1"/>
  <c r="Q9" i="15"/>
  <c r="P10" i="15"/>
  <c r="AE51" i="15" s="1"/>
  <c r="Q10" i="15"/>
  <c r="AF51" i="15" s="1"/>
  <c r="P11" i="15"/>
  <c r="AE52" i="15" s="1"/>
  <c r="Q11" i="15"/>
  <c r="AF52" i="15" s="1"/>
  <c r="P12" i="15"/>
  <c r="AE53" i="15" s="1"/>
  <c r="Q12" i="15"/>
  <c r="AF53" i="15" s="1"/>
  <c r="P13" i="15"/>
  <c r="AE54" i="15" s="1"/>
  <c r="Q13" i="15"/>
  <c r="AF54" i="15" s="1"/>
  <c r="Q2" i="15"/>
  <c r="AF43" i="15" s="1"/>
  <c r="P2" i="15"/>
  <c r="AE43" i="15" s="1"/>
  <c r="K3" i="15"/>
  <c r="AE31" i="15" s="1"/>
  <c r="L3" i="15"/>
  <c r="AF31" i="15" s="1"/>
  <c r="K4" i="15"/>
  <c r="AE32" i="15" s="1"/>
  <c r="L4" i="15"/>
  <c r="AF32" i="15" s="1"/>
  <c r="K5" i="15"/>
  <c r="AE33" i="15" s="1"/>
  <c r="L5" i="15"/>
  <c r="K6" i="15"/>
  <c r="AE34" i="15" s="1"/>
  <c r="L6" i="15"/>
  <c r="AF34" i="15" s="1"/>
  <c r="K7" i="15"/>
  <c r="AE35" i="15" s="1"/>
  <c r="L7" i="15"/>
  <c r="AF35" i="15" s="1"/>
  <c r="K8" i="15"/>
  <c r="AE36" i="15" s="1"/>
  <c r="L8" i="15"/>
  <c r="AF36" i="15" s="1"/>
  <c r="K9" i="15"/>
  <c r="AE37" i="15" s="1"/>
  <c r="L9" i="15"/>
  <c r="K10" i="15"/>
  <c r="AE38" i="15" s="1"/>
  <c r="L10" i="15"/>
  <c r="AF38" i="15" s="1"/>
  <c r="K11" i="15"/>
  <c r="AE39" i="15" s="1"/>
  <c r="L11" i="15"/>
  <c r="AF39" i="15" s="1"/>
  <c r="K12" i="15"/>
  <c r="AE40" i="15" s="1"/>
  <c r="L12" i="15"/>
  <c r="AF40" i="15" s="1"/>
  <c r="K13" i="15"/>
  <c r="AE41" i="15" s="1"/>
  <c r="L13" i="15"/>
  <c r="K14" i="15"/>
  <c r="AE42" i="15" s="1"/>
  <c r="L14" i="15"/>
  <c r="AF42" i="15" s="1"/>
  <c r="L2" i="15"/>
  <c r="AF30" i="15" s="1"/>
  <c r="K2" i="15"/>
  <c r="AE30" i="15" s="1"/>
  <c r="G12" i="15"/>
  <c r="AF29" i="15" s="1"/>
  <c r="G11" i="15"/>
  <c r="AF28" i="15" s="1"/>
  <c r="G10" i="15"/>
  <c r="AF27" i="15" s="1"/>
  <c r="G9" i="15"/>
  <c r="AF26" i="15" s="1"/>
  <c r="G8" i="15"/>
  <c r="AF25" i="15" s="1"/>
  <c r="G7" i="15"/>
  <c r="AF24" i="15" s="1"/>
  <c r="G6" i="15"/>
  <c r="AF23" i="15" s="1"/>
  <c r="G5" i="15"/>
  <c r="AF22" i="15" s="1"/>
  <c r="G4" i="15"/>
  <c r="AF21" i="15" s="1"/>
  <c r="G3" i="15"/>
  <c r="AF20" i="15" s="1"/>
  <c r="G2" i="15"/>
  <c r="AF19" i="15" s="1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F2" i="15"/>
  <c r="AE19" i="15" s="1"/>
  <c r="B18" i="15"/>
  <c r="AF18" i="15" s="1"/>
  <c r="B17" i="15"/>
  <c r="AF17" i="15" s="1"/>
  <c r="B16" i="15"/>
  <c r="AF16" i="15" s="1"/>
  <c r="B15" i="15"/>
  <c r="AF15" i="15" s="1"/>
  <c r="B14" i="15"/>
  <c r="AF14" i="15" s="1"/>
  <c r="B13" i="15"/>
  <c r="AF13" i="15" s="1"/>
  <c r="B12" i="15"/>
  <c r="AF12" i="15" s="1"/>
  <c r="B11" i="15"/>
  <c r="AF11" i="15" s="1"/>
  <c r="B10" i="15"/>
  <c r="AF10" i="15" s="1"/>
  <c r="B9" i="15"/>
  <c r="AF9" i="15" s="1"/>
  <c r="B8" i="15"/>
  <c r="AF8" i="15" s="1"/>
  <c r="B7" i="15"/>
  <c r="AF7" i="15" s="1"/>
  <c r="B6" i="15"/>
  <c r="AF6" i="15" s="1"/>
  <c r="B5" i="15"/>
  <c r="AF5" i="15" s="1"/>
  <c r="B4" i="15"/>
  <c r="AF4" i="15" s="1"/>
  <c r="B3" i="15"/>
  <c r="AF3" i="15" s="1"/>
  <c r="B2" i="15"/>
  <c r="AF2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2" i="15"/>
  <c r="AE2" i="15" s="1"/>
  <c r="D2" i="10"/>
  <c r="D2" i="9"/>
  <c r="D2" i="8"/>
  <c r="Q42" i="10"/>
  <c r="R42" i="13"/>
  <c r="Q42" i="13"/>
  <c r="AT5" i="14"/>
  <c r="AU5" i="14" s="1"/>
  <c r="Z12" i="14"/>
  <c r="X4" i="15" l="1"/>
  <c r="X12" i="15"/>
  <c r="X2" i="15"/>
  <c r="X6" i="15"/>
  <c r="X14" i="15"/>
  <c r="X3" i="15"/>
  <c r="Y3" i="15" s="1"/>
  <c r="Y2" i="15" s="1"/>
  <c r="X5" i="15"/>
  <c r="Y5" i="15" s="1"/>
  <c r="X7" i="15"/>
  <c r="X9" i="15"/>
  <c r="Y9" i="15" s="1"/>
  <c r="X11" i="15"/>
  <c r="Y11" i="15" s="1"/>
  <c r="X13" i="15"/>
  <c r="Y13" i="15" s="1"/>
  <c r="S5" i="15"/>
  <c r="S9" i="15"/>
  <c r="S3" i="15"/>
  <c r="S7" i="15"/>
  <c r="S11" i="15"/>
  <c r="S13" i="15"/>
  <c r="S2" i="15"/>
  <c r="S4" i="15"/>
  <c r="S6" i="15"/>
  <c r="T6" i="15" s="1"/>
  <c r="S8" i="15"/>
  <c r="S10" i="15"/>
  <c r="S12" i="15"/>
  <c r="I9" i="15"/>
  <c r="N5" i="15"/>
  <c r="N7" i="15"/>
  <c r="N9" i="15"/>
  <c r="N11" i="15"/>
  <c r="N13" i="15"/>
  <c r="I3" i="15"/>
  <c r="I11" i="15"/>
  <c r="N3" i="15"/>
  <c r="I5" i="15"/>
  <c r="N2" i="15"/>
  <c r="N4" i="15"/>
  <c r="N6" i="15"/>
  <c r="O6" i="15" s="1"/>
  <c r="N8" i="15"/>
  <c r="N10" i="15"/>
  <c r="N12" i="15"/>
  <c r="N14" i="15"/>
  <c r="O14" i="15" s="1"/>
  <c r="I7" i="15"/>
  <c r="D4" i="15"/>
  <c r="D16" i="15"/>
  <c r="I2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2" i="15"/>
  <c r="D15" i="15"/>
  <c r="D11" i="15"/>
  <c r="D7" i="15"/>
  <c r="D3" i="15"/>
  <c r="E3" i="15" s="1"/>
  <c r="E2" i="15" s="1"/>
  <c r="D18" i="15"/>
  <c r="D14" i="15"/>
  <c r="D10" i="15"/>
  <c r="D6" i="15"/>
  <c r="M10" i="15"/>
  <c r="M6" i="15"/>
  <c r="R12" i="15"/>
  <c r="R8" i="15"/>
  <c r="R4" i="15"/>
  <c r="W11" i="15"/>
  <c r="W7" i="15"/>
  <c r="W3" i="15"/>
  <c r="W2" i="15" s="1"/>
  <c r="AB12" i="15"/>
  <c r="AB8" i="15"/>
  <c r="AB4" i="15"/>
  <c r="M14" i="15"/>
  <c r="M13" i="15" s="1"/>
  <c r="M11" i="15"/>
  <c r="M9" i="15"/>
  <c r="M7" i="15"/>
  <c r="M5" i="15"/>
  <c r="M3" i="15"/>
  <c r="M2" i="15" s="1"/>
  <c r="R11" i="15"/>
  <c r="R9" i="15"/>
  <c r="R7" i="15"/>
  <c r="R6" i="15"/>
  <c r="R3" i="15"/>
  <c r="R2" i="15" s="1"/>
  <c r="W14" i="15"/>
  <c r="W12" i="15"/>
  <c r="W10" i="15"/>
  <c r="W8" i="15"/>
  <c r="W6" i="15"/>
  <c r="W4" i="15"/>
  <c r="AB13" i="15"/>
  <c r="AB11" i="15"/>
  <c r="AB9" i="15"/>
  <c r="AB7" i="15"/>
  <c r="AB5" i="15"/>
  <c r="AB3" i="15"/>
  <c r="AB2" i="15" s="1"/>
  <c r="AF41" i="15"/>
  <c r="AF37" i="15"/>
  <c r="AF33" i="15"/>
  <c r="AF50" i="15"/>
  <c r="AF46" i="15"/>
  <c r="AF67" i="15"/>
  <c r="AF63" i="15"/>
  <c r="AF59" i="15"/>
  <c r="AF77" i="15"/>
  <c r="AF73" i="15"/>
  <c r="AF69" i="15"/>
  <c r="M8" i="15"/>
  <c r="R10" i="15"/>
  <c r="AB14" i="15"/>
  <c r="H7" i="15"/>
  <c r="H11" i="15"/>
  <c r="M4" i="15"/>
  <c r="M12" i="15"/>
  <c r="R5" i="15"/>
  <c r="W5" i="15"/>
  <c r="W9" i="15"/>
  <c r="AB6" i="15"/>
  <c r="AB10" i="15"/>
  <c r="W13" i="15"/>
  <c r="H3" i="15"/>
  <c r="H2" i="15" s="1"/>
  <c r="H6" i="15"/>
  <c r="C3" i="15"/>
  <c r="C2" i="15" s="1"/>
  <c r="C7" i="15"/>
  <c r="C11" i="15"/>
  <c r="C15" i="15"/>
  <c r="H10" i="15"/>
  <c r="C4" i="15"/>
  <c r="C8" i="15"/>
  <c r="C12" i="15"/>
  <c r="C16" i="15"/>
  <c r="H4" i="15"/>
  <c r="H8" i="15"/>
  <c r="C6" i="15"/>
  <c r="C9" i="15"/>
  <c r="C14" i="15"/>
  <c r="C18" i="15"/>
  <c r="H5" i="15"/>
  <c r="H9" i="15"/>
  <c r="C10" i="15"/>
  <c r="C17" i="15"/>
  <c r="C13" i="15"/>
  <c r="C5" i="15"/>
  <c r="H12" i="15"/>
  <c r="Y12" i="15" l="1"/>
  <c r="J3" i="15"/>
  <c r="J2" i="15" s="1"/>
  <c r="Y7" i="15"/>
  <c r="O10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T3" i="15"/>
  <c r="T2" i="15" s="1"/>
  <c r="J10" i="15"/>
  <c r="T9" i="15"/>
  <c r="T11" i="15"/>
  <c r="J6" i="15"/>
  <c r="O12" i="15"/>
  <c r="O4" i="15"/>
  <c r="O9" i="15"/>
  <c r="T12" i="15"/>
  <c r="T4" i="15"/>
  <c r="T7" i="15"/>
  <c r="O8" i="15"/>
  <c r="O13" i="15"/>
  <c r="O5" i="15"/>
  <c r="E18" i="15"/>
  <c r="E15" i="15"/>
  <c r="E13" i="15"/>
  <c r="J12" i="15"/>
  <c r="J4" i="15"/>
  <c r="O3" i="15"/>
  <c r="O2" i="15" s="1"/>
  <c r="O11" i="15"/>
  <c r="J11" i="15"/>
  <c r="E16" i="15"/>
  <c r="J5" i="15"/>
  <c r="E14" i="15"/>
  <c r="E11" i="15"/>
  <c r="E8" i="15"/>
  <c r="E4" i="15"/>
  <c r="E6" i="15"/>
  <c r="E17" i="15"/>
  <c r="J9" i="15"/>
  <c r="V55" i="14" l="1"/>
  <c r="U55" i="14"/>
  <c r="T55" i="14"/>
  <c r="S55" i="14"/>
  <c r="R55" i="14"/>
  <c r="Q55" i="14"/>
  <c r="V54" i="14"/>
  <c r="U54" i="14"/>
  <c r="T54" i="14"/>
  <c r="S54" i="14"/>
  <c r="R54" i="14"/>
  <c r="Q54" i="14"/>
  <c r="J54" i="14"/>
  <c r="R49" i="14" s="1"/>
  <c r="J53" i="14"/>
  <c r="S49" i="14" s="1"/>
  <c r="J52" i="14"/>
  <c r="T49" i="14" s="1"/>
  <c r="V51" i="14"/>
  <c r="U51" i="14"/>
  <c r="T51" i="14"/>
  <c r="S51" i="14"/>
  <c r="R51" i="14"/>
  <c r="Q51" i="14"/>
  <c r="V50" i="14"/>
  <c r="U50" i="14"/>
  <c r="T50" i="14"/>
  <c r="S50" i="14"/>
  <c r="R50" i="14"/>
  <c r="Q50" i="14"/>
  <c r="J50" i="14"/>
  <c r="E48" i="14"/>
  <c r="I43" i="14"/>
  <c r="I38" i="14"/>
  <c r="J51" i="14" s="1"/>
  <c r="U49" i="14" s="1"/>
  <c r="Q35" i="14"/>
  <c r="Q33" i="14"/>
  <c r="Q32" i="14"/>
  <c r="C32" i="14"/>
  <c r="Q31" i="14"/>
  <c r="Q30" i="14"/>
  <c r="C30" i="14"/>
  <c r="C31" i="14" s="1"/>
  <c r="Q29" i="14"/>
  <c r="R11" i="14" s="1"/>
  <c r="J29" i="14"/>
  <c r="J28" i="14"/>
  <c r="J30" i="14" s="1"/>
  <c r="J31" i="14" s="1"/>
  <c r="J27" i="14"/>
  <c r="Q26" i="14"/>
  <c r="Q25" i="14"/>
  <c r="Q24" i="14"/>
  <c r="Q23" i="14"/>
  <c r="Q22" i="14"/>
  <c r="AH11" i="14" s="1"/>
  <c r="AI11" i="14" s="1"/>
  <c r="AV12" i="14"/>
  <c r="O12" i="14"/>
  <c r="Q12" i="14" s="1"/>
  <c r="AE12" i="14" s="1"/>
  <c r="N12" i="14"/>
  <c r="P12" i="14" s="1"/>
  <c r="R12" i="14" s="1"/>
  <c r="L12" i="14"/>
  <c r="T12" i="14" s="1"/>
  <c r="K12" i="14"/>
  <c r="U12" i="14" s="1"/>
  <c r="C12" i="14"/>
  <c r="AV11" i="14"/>
  <c r="O11" i="14"/>
  <c r="Q11" i="14" s="1"/>
  <c r="AE11" i="14" s="1"/>
  <c r="N11" i="14"/>
  <c r="P11" i="14" s="1"/>
  <c r="L11" i="14"/>
  <c r="K11" i="14"/>
  <c r="U11" i="14" s="1"/>
  <c r="C11" i="14"/>
  <c r="AV10" i="14"/>
  <c r="U10" i="14"/>
  <c r="O10" i="14"/>
  <c r="Q10" i="14" s="1"/>
  <c r="N10" i="14"/>
  <c r="P10" i="14" s="1"/>
  <c r="R10" i="14" s="1"/>
  <c r="L10" i="14"/>
  <c r="M10" i="14" s="1"/>
  <c r="K10" i="14"/>
  <c r="C10" i="14"/>
  <c r="AV9" i="14"/>
  <c r="O9" i="14"/>
  <c r="Q9" i="14" s="1"/>
  <c r="AE9" i="14" s="1"/>
  <c r="N9" i="14"/>
  <c r="P9" i="14" s="1"/>
  <c r="L9" i="14"/>
  <c r="K9" i="14"/>
  <c r="U9" i="14" s="1"/>
  <c r="C9" i="14"/>
  <c r="AV8" i="14"/>
  <c r="T8" i="14"/>
  <c r="O8" i="14"/>
  <c r="Q8" i="14" s="1"/>
  <c r="N8" i="14"/>
  <c r="P8" i="14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L7" i="14"/>
  <c r="K7" i="14"/>
  <c r="U7" i="14" s="1"/>
  <c r="C7" i="14"/>
  <c r="AV6" i="14"/>
  <c r="Q6" i="14"/>
  <c r="P6" i="14"/>
  <c r="R6" i="14" s="1"/>
  <c r="O6" i="14"/>
  <c r="N6" i="14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L5" i="14"/>
  <c r="K5" i="14"/>
  <c r="U5" i="14" s="1"/>
  <c r="C5" i="14"/>
  <c r="AV4" i="14"/>
  <c r="P4" i="14"/>
  <c r="O4" i="14"/>
  <c r="Q4" i="14" s="1"/>
  <c r="N4" i="14"/>
  <c r="L4" i="14"/>
  <c r="M4" i="14" s="1"/>
  <c r="K4" i="14"/>
  <c r="U4" i="14" s="1"/>
  <c r="C4" i="14"/>
  <c r="AV3" i="14"/>
  <c r="U3" i="14"/>
  <c r="Q3" i="14"/>
  <c r="O3" i="14"/>
  <c r="N3" i="14"/>
  <c r="P3" i="14" s="1"/>
  <c r="M3" i="14"/>
  <c r="L3" i="14"/>
  <c r="T3" i="14" s="1"/>
  <c r="K3" i="14"/>
  <c r="C3" i="14"/>
  <c r="AV2" i="14"/>
  <c r="AE2" i="14"/>
  <c r="O2" i="14"/>
  <c r="N2" i="14"/>
  <c r="P2" i="14" s="1"/>
  <c r="R2" i="14" s="1"/>
  <c r="K2" i="14"/>
  <c r="U2" i="14" s="1"/>
  <c r="W2" i="14" s="1"/>
  <c r="AV1" i="14"/>
  <c r="U1" i="14"/>
  <c r="W3" i="14" l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2" i="14"/>
  <c r="R39" i="14"/>
  <c r="Q42" i="14"/>
  <c r="Q39" i="14"/>
  <c r="S39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2" i="14"/>
  <c r="W12" i="14"/>
  <c r="X12" i="14" s="1"/>
  <c r="S3" i="14"/>
  <c r="AE3" i="14"/>
  <c r="V4" i="14"/>
  <c r="Q41" i="14"/>
  <c r="R4" i="14"/>
  <c r="R41" i="14"/>
  <c r="W5" i="14"/>
  <c r="X5" i="14" s="1"/>
  <c r="V7" i="14"/>
  <c r="V8" i="14"/>
  <c r="W11" i="14"/>
  <c r="X11" i="14" s="1"/>
  <c r="Y11" i="14" s="1"/>
  <c r="S12" i="14"/>
  <c r="V2" i="14"/>
  <c r="R3" i="14"/>
  <c r="S4" i="14"/>
  <c r="M7" i="14"/>
  <c r="T7" i="14"/>
  <c r="V9" i="14"/>
  <c r="W6" i="14"/>
  <c r="X6" i="14" s="1"/>
  <c r="W10" i="14"/>
  <c r="X10" i="14" s="1"/>
  <c r="Y10" i="14" s="1"/>
  <c r="J32" i="14"/>
  <c r="J33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2" i="14"/>
  <c r="AH12" i="14"/>
  <c r="AI12" i="14" s="1"/>
  <c r="J55" i="14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C6" i="13"/>
  <c r="S41" i="13"/>
  <c r="Q41" i="13"/>
  <c r="R41" i="13"/>
  <c r="A19" i="4"/>
  <c r="Y8" i="14" l="1"/>
  <c r="Y5" i="14"/>
  <c r="R40" i="14"/>
  <c r="J40" i="14"/>
  <c r="J43" i="14"/>
  <c r="Q40" i="14"/>
  <c r="J39" i="14"/>
  <c r="Y6" i="14"/>
  <c r="J42" i="14"/>
  <c r="Y12" i="14"/>
  <c r="Y9" i="14"/>
  <c r="Y7" i="14"/>
  <c r="J34" i="14"/>
  <c r="Q34" i="14"/>
  <c r="J41" i="14"/>
  <c r="J38" i="14"/>
  <c r="Y4" i="1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T6" i="4"/>
  <c r="K46" i="14" l="1"/>
  <c r="L46" i="14"/>
  <c r="L40" i="14"/>
  <c r="M40" i="14" s="1"/>
  <c r="AK11" i="14"/>
  <c r="AL11" i="14" s="1"/>
  <c r="AM11" i="14" s="1"/>
  <c r="AJ10" i="14"/>
  <c r="AJ8" i="14"/>
  <c r="AJ6" i="14"/>
  <c r="AJ5" i="14"/>
  <c r="AK12" i="14"/>
  <c r="AL12" i="14" s="1"/>
  <c r="AM12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2" i="14"/>
  <c r="AJ4" i="14"/>
  <c r="X59" i="4"/>
  <c r="X58" i="4"/>
  <c r="X57" i="4"/>
  <c r="AO9" i="14" l="1"/>
  <c r="AN9" i="14" s="1"/>
  <c r="AO3" i="14"/>
  <c r="AO8" i="14"/>
  <c r="AN8" i="14" s="1"/>
  <c r="AO4" i="14"/>
  <c r="AN4" i="14" s="1"/>
  <c r="AO11" i="14"/>
  <c r="AN11" i="14" s="1"/>
  <c r="AO10" i="14"/>
  <c r="AN10" i="14" s="1"/>
  <c r="AO12" i="14"/>
  <c r="AN12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2" i="14"/>
  <c r="AS12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AC14" i="13" s="1"/>
  <c r="AD14" i="13" s="1"/>
  <c r="Q33" i="13"/>
  <c r="Q32" i="13"/>
  <c r="AH12" i="13" s="1"/>
  <c r="AI12" i="13" s="1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P14" i="13"/>
  <c r="O14" i="13"/>
  <c r="Q14" i="13" s="1"/>
  <c r="AE14" i="13" s="1"/>
  <c r="N14" i="13"/>
  <c r="L14" i="13"/>
  <c r="M14" i="13" s="1"/>
  <c r="K14" i="13"/>
  <c r="U14" i="13" s="1"/>
  <c r="C14" i="13"/>
  <c r="O12" i="13"/>
  <c r="Q12" i="13" s="1"/>
  <c r="N12" i="13"/>
  <c r="P12" i="13" s="1"/>
  <c r="L12" i="13"/>
  <c r="T12" i="13" s="1"/>
  <c r="K12" i="13"/>
  <c r="U12" i="13" s="1"/>
  <c r="C12" i="13"/>
  <c r="O11" i="13"/>
  <c r="Q11" i="13" s="1"/>
  <c r="AE11" i="13" s="1"/>
  <c r="N11" i="13"/>
  <c r="P11" i="13" s="1"/>
  <c r="L11" i="13"/>
  <c r="M11" i="13" s="1"/>
  <c r="K11" i="13"/>
  <c r="U11" i="13" s="1"/>
  <c r="C11" i="13"/>
  <c r="T10" i="13"/>
  <c r="O10" i="13"/>
  <c r="Q10" i="13" s="1"/>
  <c r="N10" i="13"/>
  <c r="P10" i="13" s="1"/>
  <c r="R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3"/>
  <c r="T9" i="13" s="1"/>
  <c r="K9" i="13"/>
  <c r="U9" i="13" s="1"/>
  <c r="C9" i="13"/>
  <c r="O8" i="13"/>
  <c r="Q8" i="13" s="1"/>
  <c r="N8" i="13"/>
  <c r="P8" i="13" s="1"/>
  <c r="L8" i="13"/>
  <c r="T8" i="13" s="1"/>
  <c r="K8" i="13"/>
  <c r="U8" i="13" s="1"/>
  <c r="C8" i="13"/>
  <c r="O7" i="13"/>
  <c r="Q7" i="13" s="1"/>
  <c r="AE7" i="13" s="1"/>
  <c r="N7" i="13"/>
  <c r="P7" i="13" s="1"/>
  <c r="L7" i="13"/>
  <c r="M7" i="13" s="1"/>
  <c r="K7" i="13"/>
  <c r="U7" i="13" s="1"/>
  <c r="C7" i="13"/>
  <c r="O6" i="13"/>
  <c r="Q6" i="13" s="1"/>
  <c r="N6" i="13"/>
  <c r="P6" i="13" s="1"/>
  <c r="L6" i="13"/>
  <c r="T6" i="13" s="1"/>
  <c r="K6" i="13"/>
  <c r="U6" i="13" s="1"/>
  <c r="C6" i="13"/>
  <c r="O5" i="13"/>
  <c r="Q5" i="13" s="1"/>
  <c r="AE5" i="13" s="1"/>
  <c r="N5" i="13"/>
  <c r="P5" i="13" s="1"/>
  <c r="L5" i="13"/>
  <c r="T5" i="13" s="1"/>
  <c r="K5" i="13"/>
  <c r="U5" i="13" s="1"/>
  <c r="C5" i="13"/>
  <c r="O4" i="13"/>
  <c r="Q4" i="13" s="1"/>
  <c r="N4" i="13"/>
  <c r="P4" i="13" s="1"/>
  <c r="L4" i="13"/>
  <c r="T4" i="13" s="1"/>
  <c r="K4" i="13"/>
  <c r="U4" i="13" s="1"/>
  <c r="C4" i="13"/>
  <c r="O3" i="13"/>
  <c r="Q3" i="13" s="1"/>
  <c r="AE3" i="13" s="1"/>
  <c r="N3" i="13"/>
  <c r="P3" i="13" s="1"/>
  <c r="R3" i="13" s="1"/>
  <c r="L3" i="13"/>
  <c r="T3" i="13" s="1"/>
  <c r="K3" i="13"/>
  <c r="U3" i="13" s="1"/>
  <c r="C3" i="13"/>
  <c r="AE2" i="13"/>
  <c r="O2" i="13"/>
  <c r="N2" i="13"/>
  <c r="P2" i="13" s="1"/>
  <c r="R2" i="13" s="1"/>
  <c r="K2" i="13"/>
  <c r="U2" i="13" s="1"/>
  <c r="U1" i="13"/>
  <c r="T2" i="14" l="1"/>
  <c r="M2" i="14"/>
  <c r="AK2" i="14"/>
  <c r="AL2" i="14" s="1"/>
  <c r="AM2" i="14" s="1"/>
  <c r="AJ2" i="14"/>
  <c r="AO2" i="14" s="1"/>
  <c r="AH13" i="13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AG6" i="4"/>
  <c r="AH6" i="4" s="1"/>
  <c r="N6" i="4"/>
  <c r="P6" i="4" s="1"/>
  <c r="M6" i="4"/>
  <c r="O6" i="4" s="1"/>
  <c r="K6" i="4"/>
  <c r="S6" i="4" s="1"/>
  <c r="J6" i="4"/>
  <c r="T6" i="4" s="1"/>
  <c r="C6" i="4"/>
  <c r="Q36" i="13" l="1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K48" i="13" s="1"/>
  <c r="J40" i="13"/>
  <c r="J43" i="13"/>
  <c r="J44" i="13"/>
  <c r="J42" i="13"/>
  <c r="Y7" i="13"/>
  <c r="L42" i="13"/>
  <c r="M42" i="13" s="1"/>
  <c r="Z10" i="13"/>
  <c r="Z6" i="13"/>
  <c r="Z8" i="13"/>
  <c r="Z11" i="13"/>
  <c r="Z7" i="13"/>
  <c r="Z12" i="13"/>
  <c r="Z9" i="13"/>
  <c r="Z5" i="13"/>
  <c r="Z3" i="13"/>
  <c r="Z4" i="13"/>
  <c r="Z2" i="13"/>
  <c r="L6" i="4"/>
  <c r="Y6" i="4"/>
  <c r="Q6" i="4"/>
  <c r="R6" i="4"/>
  <c r="AD13" i="13" l="1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Z6" i="4"/>
  <c r="AB6" i="4"/>
  <c r="AW16" i="4"/>
  <c r="N16" i="4"/>
  <c r="P16" i="4" s="1"/>
  <c r="AD16" i="4" s="1"/>
  <c r="M16" i="4"/>
  <c r="O16" i="4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K11" i="4"/>
  <c r="S11" i="4" s="1"/>
  <c r="J11" i="4"/>
  <c r="T11" i="4" s="1"/>
  <c r="C11" i="4"/>
  <c r="AR13" i="13" l="1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AJ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AC6" i="4"/>
  <c r="AE6" i="4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O10" i="10"/>
  <c r="Q10" i="10" s="1"/>
  <c r="N10" i="10"/>
  <c r="P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O2" i="10"/>
  <c r="N2" i="10"/>
  <c r="P2" i="10" s="1"/>
  <c r="L2" i="10"/>
  <c r="K2" i="10"/>
  <c r="U2" i="10" s="1"/>
  <c r="C2" i="10"/>
  <c r="U1" i="10"/>
  <c r="AT13" i="13" l="1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L13" i="9"/>
  <c r="T13" i="9" s="1"/>
  <c r="K13" i="9"/>
  <c r="U13" i="9" s="1"/>
  <c r="C13" i="9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O9" i="9"/>
  <c r="Q9" i="9" s="1"/>
  <c r="N9" i="9"/>
  <c r="P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Z9" i="9" l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6" i="9" l="1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AH3" i="8" l="1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J3" i="4"/>
  <c r="AW4" i="4"/>
  <c r="N4" i="4"/>
  <c r="P4" i="4" s="1"/>
  <c r="AD4" i="4" s="1"/>
  <c r="M4" i="4"/>
  <c r="O4" i="4" s="1"/>
  <c r="K4" i="4"/>
  <c r="S4" i="4" s="1"/>
  <c r="J4" i="4"/>
  <c r="T4" i="4" s="1"/>
  <c r="C4" i="4"/>
  <c r="AJ29" i="4"/>
  <c r="Z18" i="4" l="1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W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K19" i="4"/>
  <c r="S19" i="4" s="1"/>
  <c r="J19" i="4"/>
  <c r="T19" i="4" s="1"/>
  <c r="C19" i="4"/>
  <c r="AW17" i="4"/>
  <c r="N17" i="4"/>
  <c r="P17" i="4" s="1"/>
  <c r="M17" i="4"/>
  <c r="O17" i="4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K10" i="4"/>
  <c r="L10" i="4" s="1"/>
  <c r="J10" i="4"/>
  <c r="T10" i="4" s="1"/>
  <c r="C10" i="4"/>
  <c r="AW9" i="4"/>
  <c r="N9" i="4"/>
  <c r="P9" i="4" s="1"/>
  <c r="AD9" i="4" s="1"/>
  <c r="M9" i="4"/>
  <c r="O9" i="4" s="1"/>
  <c r="K9" i="4"/>
  <c r="L9" i="4" s="1"/>
  <c r="J9" i="4"/>
  <c r="T9" i="4" s="1"/>
  <c r="C9" i="4"/>
  <c r="AW8" i="4"/>
  <c r="N8" i="4"/>
  <c r="P8" i="4" s="1"/>
  <c r="AD8" i="4" s="1"/>
  <c r="M8" i="4"/>
  <c r="O8" i="4" s="1"/>
  <c r="K8" i="4"/>
  <c r="L8" i="4" s="1"/>
  <c r="J8" i="4"/>
  <c r="T8" i="4" s="1"/>
  <c r="C8" i="4"/>
  <c r="AW7" i="4"/>
  <c r="N7" i="4"/>
  <c r="P7" i="4" s="1"/>
  <c r="M7" i="4"/>
  <c r="O7" i="4" s="1"/>
  <c r="K7" i="4"/>
  <c r="S7" i="4" s="1"/>
  <c r="J7" i="4"/>
  <c r="T7" i="4" s="1"/>
  <c r="C7" i="4"/>
  <c r="AW5" i="4"/>
  <c r="N5" i="4"/>
  <c r="P5" i="4" s="1"/>
  <c r="M5" i="4"/>
  <c r="O5" i="4" s="1"/>
  <c r="K5" i="4"/>
  <c r="L5" i="4" s="1"/>
  <c r="J5" i="4"/>
  <c r="T5" i="4" s="1"/>
  <c r="C5" i="4"/>
  <c r="T3" i="4"/>
  <c r="T2" i="4"/>
  <c r="K2" i="4"/>
  <c r="L2" i="4" s="1"/>
  <c r="C2" i="4"/>
  <c r="T1" i="4"/>
  <c r="AD7" i="4" l="1"/>
  <c r="AG33" i="4"/>
  <c r="AE33" i="4"/>
  <c r="AF33" i="4"/>
  <c r="V6" i="4"/>
  <c r="W6" i="4" s="1"/>
  <c r="U6" i="4"/>
  <c r="AA6" i="4" s="1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C3" i="4" s="1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AN16" i="4" l="1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F6" i="1" l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14" i="4" l="1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Z12" i="4" l="1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14" i="4" l="1"/>
  <c r="AT16" i="4"/>
  <c r="AT17" i="4"/>
  <c r="AT18" i="4"/>
  <c r="AT15" i="4"/>
  <c r="AT11" i="4"/>
  <c r="AT12" i="4"/>
  <c r="AT5" i="4"/>
  <c r="AT10" i="4"/>
  <c r="AT13" i="4"/>
  <c r="AT9" i="4"/>
  <c r="AT8" i="4"/>
  <c r="AT19" i="4"/>
  <c r="AT7" i="4"/>
  <c r="J46" i="14"/>
  <c r="AP11" i="14" s="1"/>
  <c r="AQ11" i="14" s="1"/>
  <c r="AP9" i="14" l="1"/>
  <c r="AQ9" i="14" s="1"/>
  <c r="AP3" i="14"/>
  <c r="AQ3" i="14" s="1"/>
  <c r="AP8" i="14"/>
  <c r="AQ8" i="14" s="1"/>
  <c r="AP7" i="14"/>
  <c r="AQ7" i="14" s="1"/>
  <c r="AP6" i="14"/>
  <c r="AQ6" i="14" s="1"/>
  <c r="AP12" i="14"/>
  <c r="AQ12" i="14" s="1"/>
  <c r="AP4" i="14"/>
  <c r="AQ4" i="14" s="1"/>
  <c r="AP10" i="14"/>
  <c r="AQ10" i="14" s="1"/>
  <c r="AP5" i="14"/>
  <c r="AQ5" i="14" s="1"/>
  <c r="AF12" i="14"/>
  <c r="AC12" i="14"/>
  <c r="AD12" i="14" s="1"/>
  <c r="Z8" i="14"/>
  <c r="AC8" i="14" s="1"/>
  <c r="Z6" i="14"/>
  <c r="AA6" i="14" s="1"/>
  <c r="AB6" i="14" s="1"/>
  <c r="Z5" i="14"/>
  <c r="AC5" i="14" s="1"/>
  <c r="Z9" i="14"/>
  <c r="AA9" i="14" s="1"/>
  <c r="AB9" i="14" s="1"/>
  <c r="AA12" i="14"/>
  <c r="AB12" i="14"/>
  <c r="Z7" i="14"/>
  <c r="AA7" i="14" s="1"/>
  <c r="AB7" i="14" s="1"/>
  <c r="Q36" i="14"/>
  <c r="Z4" i="14" s="1"/>
  <c r="Z11" i="14"/>
  <c r="AA11" i="14" s="1"/>
  <c r="AB11" i="14" s="1"/>
  <c r="AF8" i="14" l="1"/>
  <c r="AD8" i="14"/>
  <c r="AC4" i="14"/>
  <c r="AA4" i="14"/>
  <c r="AB4" i="14" s="1"/>
  <c r="AF5" i="14"/>
  <c r="AD5" i="14"/>
  <c r="AC9" i="14"/>
  <c r="AC11" i="14"/>
  <c r="Z10" i="14"/>
  <c r="AA5" i="14"/>
  <c r="AB5" i="14" s="1"/>
  <c r="Z3" i="14"/>
  <c r="AA8" i="14"/>
  <c r="AB8" i="14" s="1"/>
  <c r="Z2" i="14"/>
  <c r="AC7" i="14"/>
  <c r="AC6" i="14"/>
  <c r="AF7" i="14" l="1"/>
  <c r="AD7" i="14"/>
  <c r="AD11" i="14"/>
  <c r="AF11" i="14"/>
  <c r="Q44" i="14" s="1"/>
  <c r="AG11" i="14"/>
  <c r="Q43" i="14" s="1"/>
  <c r="AD6" i="14"/>
  <c r="AF6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0" i="14" l="1"/>
  <c r="AD10" i="14"/>
  <c r="AF3" i="14"/>
  <c r="AD3" i="14"/>
  <c r="AF2" i="14"/>
  <c r="AD2" i="14"/>
  <c r="AT11" i="14"/>
  <c r="AU11" i="14" s="1"/>
  <c r="AT8" i="14"/>
  <c r="AU8" i="14" s="1"/>
  <c r="AT7" i="14"/>
  <c r="AU7" i="14" s="1"/>
  <c r="AT12" i="14"/>
  <c r="AU12" i="14" s="1"/>
  <c r="AT10" i="14"/>
  <c r="AU10" i="14" s="1"/>
  <c r="AT6" i="14"/>
  <c r="AU6" i="14" s="1"/>
  <c r="AT9" i="14"/>
  <c r="AU9" i="14" s="1"/>
</calcChain>
</file>

<file path=xl/sharedStrings.xml><?xml version="1.0" encoding="utf-8"?>
<sst xmlns="http://schemas.openxmlformats.org/spreadsheetml/2006/main" count="1604" uniqueCount="338">
  <si>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</si>
  <si>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</si>
  <si>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</si>
  <si>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</si>
  <si>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</si>
  <si>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</si>
  <si>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</si>
  <si>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</si>
  <si>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</si>
  <si>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</si>
  <si>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</si>
  <si>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</si>
  <si>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</si>
  <si>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</si>
  <si>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</si>
  <si>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</si>
  <si>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</si>
  <si>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</si>
  <si>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</si>
  <si>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</si>
  <si>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</si>
  <si>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</si>
  <si>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</si>
  <si>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</si>
  <si>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</si>
  <si>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</si>
  <si>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</si>
  <si>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</si>
  <si>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</si>
  <si>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</si>
  <si>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</si>
  <si>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</si>
  <si>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</si>
  <si>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</si>
  <si>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</si>
  <si>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</si>
  <si>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</si>
  <si>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</si>
  <si>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</si>
  <si>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</si>
  <si>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</si>
  <si>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</si>
  <si>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</si>
  <si>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</si>
  <si>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</si>
  <si>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</si>
  <si>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</si>
  <si>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</si>
  <si>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</si>
  <si>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</si>
  <si>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</si>
  <si>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</si>
  <si>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</si>
  <si>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</si>
  <si>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</si>
  <si>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</si>
  <si>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</si>
  <si>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</si>
  <si>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</si>
  <si>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</si>
  <si>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</si>
  <si>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</si>
  <si>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</si>
  <si>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</si>
  <si>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</si>
  <si>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</si>
  <si>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</si>
  <si>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</si>
  <si>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</si>
  <si>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</si>
  <si>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</si>
  <si>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</si>
  <si>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</si>
  <si>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</si>
  <si>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</si>
  <si>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</si>
  <si>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</si>
  <si>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</si>
  <si>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</si>
  <si>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</si>
  <si>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</si>
  <si>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</si>
  <si>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</si>
  <si>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</si>
  <si>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</si>
  <si>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</si>
  <si>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</si>
  <si>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</si>
  <si>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</si>
  <si>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</si>
  <si>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</si>
  <si>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</si>
  <si>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</si>
  <si>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</si>
  <si>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</si>
  <si>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</si>
  <si>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</si>
  <si>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</si>
  <si>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</si>
  <si>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</si>
  <si>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</si>
  <si>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</si>
  <si>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</si>
  <si>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</si>
  <si>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</si>
  <si>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</si>
  <si>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</si>
  <si>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</si>
  <si>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</si>
  <si>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</si>
  <si>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</si>
  <si>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</si>
  <si>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</si>
  <si>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</si>
  <si>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</si>
  <si>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</si>
  <si>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</si>
  <si>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</si>
  <si>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</si>
  <si>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</si>
  <si>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</si>
  <si>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</si>
  <si>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</si>
  <si>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</si>
  <si>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</si>
  <si>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</si>
  <si>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</si>
  <si>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</si>
  <si>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</si>
  <si>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</si>
  <si>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</si>
  <si>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</si>
  <si>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</si>
  <si>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</si>
  <si>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</si>
  <si>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</si>
  <si>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</si>
  <si>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</si>
  <si>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</si>
  <si>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</si>
  <si>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</si>
  <si>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</si>
  <si>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</si>
  <si>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</si>
  <si>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</si>
  <si>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</si>
  <si>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</si>
  <si>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</si>
  <si>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</si>
  <si>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</si>
  <si>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</si>
  <si>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</si>
  <si>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</si>
  <si>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</si>
  <si>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</si>
  <si>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</si>
  <si>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</si>
  <si>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</si>
  <si>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</si>
  <si>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</si>
  <si>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</si>
  <si>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</si>
  <si>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</si>
  <si>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</si>
  <si>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</si>
  <si>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</si>
  <si>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</si>
  <si>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</si>
  <si>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</si>
  <si>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</si>
  <si>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</si>
  <si>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</si>
  <si>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</si>
  <si>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</si>
  <si>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</si>
  <si>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</si>
  <si>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</si>
  <si>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</si>
  <si>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</si>
  <si>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</si>
  <si>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</si>
  <si>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</si>
  <si>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</si>
  <si>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</si>
  <si>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</si>
  <si>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</si>
  <si>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</si>
  <si>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</si>
  <si>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</si>
  <si>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</si>
  <si>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</si>
  <si>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</si>
  <si>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</si>
  <si>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</si>
  <si>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</si>
  <si>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</si>
  <si>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</si>
  <si>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</si>
  <si>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</si>
  <si>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</si>
  <si>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</si>
  <si>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</si>
  <si>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</si>
  <si>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</si>
  <si>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</si>
  <si>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</si>
  <si>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</si>
  <si>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</si>
  <si>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</si>
  <si>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</si>
  <si>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</si>
  <si>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</si>
  <si>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</si>
  <si>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</si>
  <si>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</si>
  <si>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</si>
  <si>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</si>
  <si>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</si>
  <si>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</si>
  <si>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</si>
  <si>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</si>
  <si>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</si>
  <si>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</si>
  <si>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</si>
  <si>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</si>
  <si>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</si>
  <si>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</si>
  <si>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</si>
  <si>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</si>
  <si>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</si>
  <si>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</si>
  <si>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</si>
  <si>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</si>
  <si>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</si>
  <si>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</si>
  <si>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</si>
  <si>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</si>
  <si>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</si>
  <si>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</si>
  <si>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</si>
  <si>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</si>
  <si>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</si>
  <si>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</si>
  <si>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</si>
  <si>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</si>
  <si>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</si>
  <si>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</si>
  <si>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</si>
  <si>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</si>
  <si>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</si>
  <si>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</si>
  <si>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</si>
  <si>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</si>
  <si>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</si>
  <si>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</si>
  <si>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</si>
  <si>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</si>
  <si>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</si>
  <si>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</si>
  <si>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</si>
  <si>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</si>
  <si>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</si>
  <si>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</si>
  <si>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</si>
  <si>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</si>
  <si>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</si>
  <si>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</si>
  <si>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</si>
  <si>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</si>
  <si>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</si>
  <si>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</si>
  <si>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</si>
  <si>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</si>
  <si>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</si>
  <si>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</si>
  <si>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</si>
  <si>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</si>
  <si>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</si>
  <si>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</si>
  <si>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</si>
  <si>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</si>
  <si>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</si>
  <si>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</si>
  <si>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</si>
  <si>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</si>
  <si>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</si>
  <si>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</si>
  <si>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</si>
  <si>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</si>
  <si>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</si>
  <si>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</si>
  <si>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</si>
  <si>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</si>
  <si>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</si>
  <si>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</si>
  <si>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</si>
  <si>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</si>
  <si>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</si>
  <si>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</si>
  <si>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</si>
  <si>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</si>
  <si>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</si>
  <si>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</si>
  <si>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</si>
  <si>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</si>
  <si>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</si>
  <si>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</si>
  <si>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</si>
  <si>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</si>
  <si>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</si>
  <si>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</si>
  <si>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</si>
  <si>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</si>
  <si>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</si>
  <si>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</si>
  <si>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</si>
  <si>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</si>
  <si>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</si>
  <si>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</si>
  <si>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</si>
  <si>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</si>
  <si>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</si>
  <si>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</si>
  <si>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</si>
  <si>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</si>
  <si>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</si>
  <si>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NGE_P</t>
  </si>
  <si>
    <t>P_LTALL_NG</t>
  </si>
  <si>
    <t>read off NG_ALL plot</t>
  </si>
  <si>
    <t>GE_P</t>
  </si>
  <si>
    <t>NGE_A0</t>
  </si>
  <si>
    <t>GE_A0</t>
  </si>
  <si>
    <t>NGE_A1</t>
  </si>
  <si>
    <t>GE_A1</t>
  </si>
  <si>
    <t>NGE_A3</t>
  </si>
  <si>
    <t>GE_A2</t>
  </si>
  <si>
    <t>NGE_A2</t>
  </si>
  <si>
    <t>GE_A3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</si>
</sst>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0" fillId="12" borderId="0" xfId="0" applyFill="1" applyAlignment="1">
      <alignment horizontal="center"/>
    </xf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4.7267545206626211</c:v>
                </c:pt>
                <c:pt idx="18" formatCode="0.00">
                  <c:v>8</c:v>
                </c:pt>
                <c:pt idx="19" formatCode="0.00">
                  <c:v>13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89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165</c:v>
                </c:pt>
                <c:pt idx="28" formatCode="0.00">
                  <c:v>5.3666866770453732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70</c:v>
                </c:pt>
                <c:pt idx="37" formatCode="0.00">
                  <c:v>79</c:v>
                </c:pt>
                <c:pt idx="38" formatCode="0.00">
                  <c:v>84</c:v>
                </c:pt>
                <c:pt idx="39" formatCode="0.00">
                  <c:v>121</c:v>
                </c:pt>
                <c:pt idx="40" formatCode="0.00">
                  <c:v>175</c:v>
                </c:pt>
                <c:pt idx="41" formatCode="0.00">
                  <c:v>7.9498949935886039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9.0648738664970399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28</c:v>
                </c:pt>
                <c:pt idx="71" formatCode="0.00">
                  <c:v>34</c:v>
                </c:pt>
                <c:pt idx="72" formatCode="0.00">
                  <c:v>51</c:v>
                </c:pt>
                <c:pt idx="73" formatCode="0.00">
                  <c:v>76</c:v>
                </c:pt>
                <c:pt idx="74" formatCode="0.00">
                  <c:v>91</c:v>
                </c:pt>
                <c:pt idx="75" formatCode="0.00">
                  <c:v>100</c:v>
                </c:pt>
                <c:pt idx="76" formatCode="0.00">
                  <c:v>106</c:v>
                </c:pt>
                <c:pt idx="77" formatCode="0.00">
                  <c:v>132</c:v>
                </c:pt>
                <c:pt idx="78" formatCode="0.00">
                  <c:v>178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8955.2238805970155</c:v>
                </c:pt>
                <c:pt idx="19">
                  <c:v>12987.012987012988</c:v>
                </c:pt>
                <c:pt idx="20">
                  <c:v>18404.907975460123</c:v>
                </c:pt>
                <c:pt idx="21">
                  <c:v>22388.059701492537</c:v>
                </c:pt>
                <c:pt idx="22">
                  <c:v>27906.976744186049</c:v>
                </c:pt>
                <c:pt idx="23">
                  <c:v>29702.970297029704</c:v>
                </c:pt>
                <c:pt idx="24">
                  <c:v>33898.305084745763</c:v>
                </c:pt>
                <c:pt idx="25">
                  <c:v>39473.68421052632</c:v>
                </c:pt>
                <c:pt idx="26">
                  <c:v>43988.269794721404</c:v>
                </c:pt>
                <c:pt idx="27">
                  <c:v>45592.705167173255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28037.383177570096</c:v>
                </c:pt>
                <c:pt idx="37">
                  <c:v>29702.970297029704</c:v>
                </c:pt>
                <c:pt idx="38">
                  <c:v>30456.852791878177</c:v>
                </c:pt>
                <c:pt idx="39">
                  <c:v>36363.636363636368</c:v>
                </c:pt>
                <c:pt idx="40">
                  <c:v>44117.647058823532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10600.706713780919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34285.71428571429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15915.119363395226</c:v>
                </c:pt>
                <c:pt idx="71">
                  <c:v>17910.447761194031</c:v>
                </c:pt>
                <c:pt idx="72">
                  <c:v>22900.763358778626</c:v>
                </c:pt>
                <c:pt idx="73">
                  <c:v>28571.428571428572</c:v>
                </c:pt>
                <c:pt idx="74">
                  <c:v>32085.561497326202</c:v>
                </c:pt>
                <c:pt idx="75">
                  <c:v>32608.695652173916</c:v>
                </c:pt>
                <c:pt idx="76">
                  <c:v>35087.719298245618</c:v>
                </c:pt>
                <c:pt idx="77">
                  <c:v>40000</c:v>
                </c:pt>
                <c:pt idx="78">
                  <c:v>44117.647058823532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8656"/>
        <c:axId val="202629120"/>
      </c:scatterChart>
      <c:valAx>
        <c:axId val="1969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29120"/>
        <c:crosses val="autoZero"/>
        <c:crossBetween val="midCat"/>
      </c:valAx>
      <c:valAx>
        <c:axId val="20262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69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Ard0_Turn0_ESC0_G0b_T0a!$K$37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Ard0_Turn0_ESC0_G0b_T0a!$K$39:$K$42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Ard0_Turn0_ESC0_G0b_T0a!$AN$6:$AN$12</c:f>
              <c:numCache>
                <c:formatCode>0.0</c:formatCode>
                <c:ptCount val="7"/>
                <c:pt idx="0">
                  <c:v>30.855886990871326</c:v>
                </c:pt>
                <c:pt idx="1">
                  <c:v>42.722307686278647</c:v>
                </c:pt>
                <c:pt idx="2">
                  <c:v>47.37158384358515</c:v>
                </c:pt>
                <c:pt idx="3">
                  <c:v>56.395261205401241</c:v>
                </c:pt>
                <c:pt idx="4">
                  <c:v>65.690510407563735</c:v>
                </c:pt>
                <c:pt idx="5">
                  <c:v>71.577019403037127</c:v>
                </c:pt>
                <c:pt idx="6">
                  <c:v>73.287884929659583</c:v>
                </c:pt>
              </c:numCache>
            </c:numRef>
          </c:xVal>
          <c:yVal>
            <c:numRef>
              <c:f>Ard0_Turn0_ESC0_G0b_T0a!$AU$6:$AU$12</c:f>
              <c:numCache>
                <c:formatCode>0.000</c:formatCode>
                <c:ptCount val="7"/>
                <c:pt idx="0">
                  <c:v>0.361944103728569</c:v>
                </c:pt>
                <c:pt idx="1">
                  <c:v>0.22482050452805705</c:v>
                </c:pt>
                <c:pt idx="2">
                  <c:v>0.1986028358740195</c:v>
                </c:pt>
                <c:pt idx="3">
                  <c:v>0.15441264943041313</c:v>
                </c:pt>
                <c:pt idx="4">
                  <c:v>0.1171940411355894</c:v>
                </c:pt>
                <c:pt idx="5">
                  <c:v>9.7000000000000017E-2</c:v>
                </c:pt>
                <c:pt idx="6">
                  <c:v>8.9570567158647918E-2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0400"/>
        <c:axId val="100392320"/>
      </c:scatterChart>
      <c:valAx>
        <c:axId val="1003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92320"/>
        <c:crosses val="autoZero"/>
        <c:crossBetween val="midCat"/>
      </c:valAx>
      <c:valAx>
        <c:axId val="100392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03904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Ard0_Turn0_ESC0_G0b_T0a!$K$37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Ard0_Turn0_ESC0_G0b_T0a!$K$39:$K$42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Ard0_Turn0_ESC0_G0b_T0a!$AN$6:$AN$12</c:f>
              <c:numCache>
                <c:formatCode>0.0</c:formatCode>
                <c:ptCount val="7"/>
                <c:pt idx="0">
                  <c:v>30.855886990871326</c:v>
                </c:pt>
                <c:pt idx="1">
                  <c:v>42.722307686278647</c:v>
                </c:pt>
                <c:pt idx="2">
                  <c:v>47.37158384358515</c:v>
                </c:pt>
                <c:pt idx="3">
                  <c:v>56.395261205401241</c:v>
                </c:pt>
                <c:pt idx="4">
                  <c:v>65.690510407563735</c:v>
                </c:pt>
                <c:pt idx="5">
                  <c:v>71.577019403037127</c:v>
                </c:pt>
                <c:pt idx="6">
                  <c:v>73.287884929659583</c:v>
                </c:pt>
              </c:numCache>
            </c:numRef>
          </c:xVal>
          <c:yVal>
            <c:numRef>
              <c:f>Ard0_Turn0_ESC0_G0b_T0a!$AU$6:$AU$12</c:f>
              <c:numCache>
                <c:formatCode>0.000</c:formatCode>
                <c:ptCount val="7"/>
                <c:pt idx="0">
                  <c:v>0.361944103728569</c:v>
                </c:pt>
                <c:pt idx="1">
                  <c:v>0.22482050452805705</c:v>
                </c:pt>
                <c:pt idx="2">
                  <c:v>0.1986028358740195</c:v>
                </c:pt>
                <c:pt idx="3">
                  <c:v>0.15441264943041313</c:v>
                </c:pt>
                <c:pt idx="4">
                  <c:v>0.1171940411355894</c:v>
                </c:pt>
                <c:pt idx="5">
                  <c:v>9.7000000000000017E-2</c:v>
                </c:pt>
                <c:pt idx="6">
                  <c:v>8.9570567158647918E-2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Ard0_Turn0_ESC0_G0b_T0a!$AN$4:$AN$12</c:f>
              <c:numCache>
                <c:formatCode>0.0</c:formatCode>
                <c:ptCount val="9"/>
                <c:pt idx="0">
                  <c:v>3.7536904880785551</c:v>
                </c:pt>
                <c:pt idx="1">
                  <c:v>21.648345989903273</c:v>
                </c:pt>
                <c:pt idx="2">
                  <c:v>30.855886990871326</c:v>
                </c:pt>
                <c:pt idx="3">
                  <c:v>42.722307686278647</c:v>
                </c:pt>
                <c:pt idx="4">
                  <c:v>47.37158384358515</c:v>
                </c:pt>
                <c:pt idx="5">
                  <c:v>56.395261205401241</c:v>
                </c:pt>
                <c:pt idx="6">
                  <c:v>65.690510407563735</c:v>
                </c:pt>
                <c:pt idx="7">
                  <c:v>71.577019403037127</c:v>
                </c:pt>
                <c:pt idx="8">
                  <c:v>73.287884929659583</c:v>
                </c:pt>
              </c:numCache>
            </c:numRef>
          </c:xVal>
          <c:yVal>
            <c:numRef>
              <c:f>Ard0_Turn0_ESC0_G0b_T0a!$AS$4:$AS$12</c:f>
              <c:numCache>
                <c:formatCode>0.000</c:formatCode>
                <c:ptCount val="9"/>
                <c:pt idx="0">
                  <c:v>0.13209570075499</c:v>
                </c:pt>
                <c:pt idx="1">
                  <c:v>6.9109624302452807E-2</c:v>
                </c:pt>
                <c:pt idx="2">
                  <c:v>5.5494386102637981E-2</c:v>
                </c:pt>
                <c:pt idx="3">
                  <c:v>4.425742384527083E-2</c:v>
                </c:pt>
                <c:pt idx="4">
                  <c:v>4.1004339710714537E-2</c:v>
                </c:pt>
                <c:pt idx="5">
                  <c:v>3.5884934166620794E-2</c:v>
                </c:pt>
                <c:pt idx="6">
                  <c:v>3.1795753393188221E-2</c:v>
                </c:pt>
                <c:pt idx="7">
                  <c:v>2.965567931061663E-2</c:v>
                </c:pt>
                <c:pt idx="8">
                  <c:v>2.9086679789474098E-2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0512"/>
        <c:axId val="101522432"/>
      </c:scatterChart>
      <c:valAx>
        <c:axId val="1015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22432"/>
        <c:crosses val="autoZero"/>
        <c:crossBetween val="midCat"/>
      </c:valAx>
      <c:valAx>
        <c:axId val="1015224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15205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9360.3744149765989</c:v>
                </c:pt>
                <c:pt idx="4">
                  <c:v>13239.187996469551</c:v>
                </c:pt>
                <c:pt idx="5">
                  <c:v>18867.92452830189</c:v>
                </c:pt>
                <c:pt idx="6">
                  <c:v>21052.631578947367</c:v>
                </c:pt>
                <c:pt idx="7">
                  <c:v>25000</c:v>
                </c:pt>
                <c:pt idx="8">
                  <c:v>30000.000000000004</c:v>
                </c:pt>
                <c:pt idx="9">
                  <c:v>34482.758620689652</c:v>
                </c:pt>
                <c:pt idx="10">
                  <c:v>35714.285714285717</c:v>
                </c:pt>
              </c:numCache>
            </c:numRef>
          </c:xVal>
          <c:yVal>
            <c:numRef>
              <c:f>Ard0_Turn0_ESC0_G0b_T0a!$AV$2:$AV$12</c:f>
              <c:numCache>
                <c:formatCode>General</c:formatCode>
                <c:ptCount val="11"/>
                <c:pt idx="0">
                  <c:v>3.2000000000000002E-3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0.66800000000000004</c:v>
                </c:pt>
                <c:pt idx="4">
                  <c:v>0.98599999999999999</c:v>
                </c:pt>
                <c:pt idx="5">
                  <c:v>1.375</c:v>
                </c:pt>
                <c:pt idx="6">
                  <c:v>1.49</c:v>
                </c:pt>
                <c:pt idx="7">
                  <c:v>1.81</c:v>
                </c:pt>
                <c:pt idx="8">
                  <c:v>2.16</c:v>
                </c:pt>
                <c:pt idx="9">
                  <c:v>2.5299999999999998</c:v>
                </c:pt>
                <c:pt idx="10">
                  <c:v>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1648"/>
        <c:axId val="101533184"/>
      </c:scatterChart>
      <c:valAx>
        <c:axId val="1015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3184"/>
        <c:crosses val="autoZero"/>
        <c:crossBetween val="midCat"/>
      </c:valAx>
      <c:valAx>
        <c:axId val="1015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46240"/>
        <c:axId val="101552512"/>
      </c:scatterChart>
      <c:valAx>
        <c:axId val="1015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52512"/>
        <c:crosses val="autoZero"/>
        <c:crossBetween val="midCat"/>
      </c:valAx>
      <c:valAx>
        <c:axId val="101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608"/>
        <c:axId val="101574528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8624"/>
        <c:axId val="101576704"/>
      </c:scatterChart>
      <c:valAx>
        <c:axId val="1015726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74528"/>
        <c:crossesAt val="-40"/>
        <c:crossBetween val="midCat"/>
        <c:majorUnit val="20"/>
      </c:valAx>
      <c:valAx>
        <c:axId val="1015745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72608"/>
        <c:crosses val="autoZero"/>
        <c:crossBetween val="midCat"/>
      </c:valAx>
      <c:valAx>
        <c:axId val="1015767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578624"/>
        <c:crosses val="max"/>
        <c:crossBetween val="midCat"/>
        <c:majorUnit val="40"/>
      </c:valAx>
      <c:valAx>
        <c:axId val="1015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57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3120"/>
        <c:axId val="101659392"/>
      </c:scatterChart>
      <c:valAx>
        <c:axId val="1016531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659392"/>
        <c:crosses val="autoZero"/>
        <c:crossBetween val="midCat"/>
      </c:valAx>
      <c:valAx>
        <c:axId val="10165939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8080"/>
        <c:axId val="101680256"/>
      </c:scatterChart>
      <c:valAx>
        <c:axId val="1016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680256"/>
        <c:crosses val="autoZero"/>
        <c:crossBetween val="midCat"/>
      </c:valAx>
      <c:valAx>
        <c:axId val="101680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167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9216"/>
        <c:axId val="101691392"/>
      </c:scatterChart>
      <c:valAx>
        <c:axId val="1016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691392"/>
        <c:crosses val="autoZero"/>
        <c:crossBetween val="midCat"/>
      </c:valAx>
      <c:valAx>
        <c:axId val="1016913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1689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0320"/>
        <c:axId val="102042240"/>
      </c:scatterChart>
      <c:valAx>
        <c:axId val="1020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2240"/>
        <c:crosses val="autoZero"/>
        <c:crossBetween val="midCat"/>
      </c:valAx>
      <c:valAx>
        <c:axId val="10204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4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3488"/>
        <c:axId val="102065664"/>
      </c:scatterChart>
      <c:valAx>
        <c:axId val="1020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65664"/>
        <c:crosses val="autoZero"/>
        <c:crossBetween val="midCat"/>
      </c:valAx>
      <c:valAx>
        <c:axId val="1020656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0634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Approx'!$C$1</c:f>
              <c:strCache>
                <c:ptCount val="1"/>
                <c:pt idx="0">
                  <c:v>G_P</c:v>
                </c:pt>
              </c:strCache>
            </c:strRef>
          </c:tx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Approx'!$C$2:$C$18</c:f>
              <c:numCache>
                <c:formatCode>0</c:formatCode>
                <c:ptCount val="17"/>
                <c:pt idx="0">
                  <c:v>1683.2891657203099</c:v>
                </c:pt>
                <c:pt idx="1">
                  <c:v>1683.2891657203099</c:v>
                </c:pt>
                <c:pt idx="2">
                  <c:v>543.85359116022119</c:v>
                </c:pt>
                <c:pt idx="3">
                  <c:v>812.00787401574837</c:v>
                </c:pt>
                <c:pt idx="4">
                  <c:v>502.92100584201165</c:v>
                </c:pt>
                <c:pt idx="5">
                  <c:v>286.23945895129719</c:v>
                </c:pt>
                <c:pt idx="6">
                  <c:v>324.39947478180295</c:v>
                </c:pt>
                <c:pt idx="7">
                  <c:v>161.9271327902442</c:v>
                </c:pt>
                <c:pt idx="8">
                  <c:v>167.11229946524054</c:v>
                </c:pt>
                <c:pt idx="9">
                  <c:v>209.14668153931976</c:v>
                </c:pt>
                <c:pt idx="10">
                  <c:v>62.744004461795903</c:v>
                </c:pt>
                <c:pt idx="11">
                  <c:v>292.20779220779224</c:v>
                </c:pt>
                <c:pt idx="12">
                  <c:v>213.48514499199445</c:v>
                </c:pt>
                <c:pt idx="13">
                  <c:v>291.46021568056022</c:v>
                </c:pt>
                <c:pt idx="14">
                  <c:v>189.12529550827384</c:v>
                </c:pt>
                <c:pt idx="15">
                  <c:v>91.827364554637327</c:v>
                </c:pt>
                <c:pt idx="16">
                  <c:v>101.46103896103939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 Approx'!$E$1</c:f>
              <c:strCache>
                <c:ptCount val="1"/>
                <c:pt idx="0">
                  <c:v>GE_P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4.7267545206626211</c:v>
                </c:pt>
                <c:pt idx="1">
                  <c:v>8</c:v>
                </c:pt>
                <c:pt idx="2">
                  <c:v>13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2735.8852054108302</c:v>
                </c:pt>
                <c:pt idx="1">
                  <c:v>2735.8852054108302</c:v>
                </c:pt>
                <c:pt idx="2">
                  <c:v>806.35782128319443</c:v>
                </c:pt>
                <c:pt idx="3">
                  <c:v>451.49124903726124</c:v>
                </c:pt>
                <c:pt idx="4">
                  <c:v>398.31517260324142</c:v>
                </c:pt>
                <c:pt idx="5">
                  <c:v>290.46931803650068</c:v>
                </c:pt>
                <c:pt idx="6">
                  <c:v>179.59935528436546</c:v>
                </c:pt>
                <c:pt idx="7">
                  <c:v>167.81339150864238</c:v>
                </c:pt>
                <c:pt idx="8">
                  <c:v>154.87164238279325</c:v>
                </c:pt>
                <c:pt idx="9">
                  <c:v>150.48618613983612</c:v>
                </c:pt>
                <c:pt idx="10">
                  <c:v>160.44353724518515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2848.1229083612657</c:v>
                </c:pt>
                <c:pt idx="1">
                  <c:v>2848.1229083612657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129.20453077221222</c:v>
                </c:pt>
                <c:pt idx="9">
                  <c:v>185.06523549551196</c:v>
                </c:pt>
                <c:pt idx="10">
                  <c:v>150.7764989696945</c:v>
                </c:pt>
                <c:pt idx="11">
                  <c:v>143.59279065161414</c:v>
                </c:pt>
                <c:pt idx="12">
                  <c:v>143.59279065161414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7.9498949935886039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2069.8503613693651</c:v>
                </c:pt>
                <c:pt idx="1">
                  <c:v>2069.8503613693651</c:v>
                </c:pt>
                <c:pt idx="2">
                  <c:v>36.936260326762749</c:v>
                </c:pt>
                <c:pt idx="3">
                  <c:v>516.75753784172389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7.7922077922080639</c:v>
                </c:pt>
                <c:pt idx="10">
                  <c:v>183.42151675484976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9.0648738664970399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34</c:v>
                </c:pt>
                <c:pt idx="6">
                  <c:v>51</c:v>
                </c:pt>
                <c:pt idx="7">
                  <c:v>76</c:v>
                </c:pt>
                <c:pt idx="8">
                  <c:v>91</c:v>
                </c:pt>
                <c:pt idx="9">
                  <c:v>100</c:v>
                </c:pt>
                <c:pt idx="10">
                  <c:v>106</c:v>
                </c:pt>
                <c:pt idx="11">
                  <c:v>132</c:v>
                </c:pt>
                <c:pt idx="12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4101.2871456297744</c:v>
                </c:pt>
                <c:pt idx="1">
                  <c:v>4101.2871456297744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882.08798358440526</c:v>
                </c:pt>
                <c:pt idx="5">
                  <c:v>332.5547329664675</c:v>
                </c:pt>
                <c:pt idx="6">
                  <c:v>293.54797632850557</c:v>
                </c:pt>
                <c:pt idx="7">
                  <c:v>226.82660850599785</c:v>
                </c:pt>
                <c:pt idx="8">
                  <c:v>234.27552839317528</c:v>
                </c:pt>
                <c:pt idx="9">
                  <c:v>58.126017205301551</c:v>
                </c:pt>
                <c:pt idx="10">
                  <c:v>413.17060767861705</c:v>
                </c:pt>
                <c:pt idx="11">
                  <c:v>188.93387314439931</c:v>
                </c:pt>
                <c:pt idx="12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2640"/>
        <c:axId val="228306944"/>
      </c:scatterChart>
      <c:valAx>
        <c:axId val="22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306944"/>
        <c:crosses val="autoZero"/>
        <c:crossBetween val="midCat"/>
      </c:valAx>
      <c:valAx>
        <c:axId val="22830694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707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5392"/>
        <c:axId val="102077568"/>
      </c:scatterChart>
      <c:valAx>
        <c:axId val="1020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77568"/>
        <c:crosses val="autoZero"/>
        <c:crossBetween val="midCat"/>
      </c:valAx>
      <c:valAx>
        <c:axId val="1020775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0753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6528"/>
        <c:axId val="102088064"/>
      </c:scatterChart>
      <c:valAx>
        <c:axId val="1020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8064"/>
        <c:crosses val="autoZero"/>
        <c:crossBetween val="midCat"/>
      </c:valAx>
      <c:valAx>
        <c:axId val="102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6432"/>
        <c:axId val="102148352"/>
      </c:scatterChart>
      <c:valAx>
        <c:axId val="1021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48352"/>
        <c:crosses val="autoZero"/>
        <c:crossBetween val="midCat"/>
      </c:valAx>
      <c:valAx>
        <c:axId val="102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0256"/>
        <c:axId val="10216243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6528"/>
        <c:axId val="102164352"/>
      </c:scatterChart>
      <c:valAx>
        <c:axId val="102160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62432"/>
        <c:crossesAt val="-40"/>
        <c:crossBetween val="midCat"/>
        <c:majorUnit val="20"/>
      </c:valAx>
      <c:valAx>
        <c:axId val="102162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60256"/>
        <c:crosses val="autoZero"/>
        <c:crossBetween val="midCat"/>
      </c:valAx>
      <c:valAx>
        <c:axId val="1021643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166528"/>
        <c:crosses val="max"/>
        <c:crossBetween val="midCat"/>
        <c:majorUnit val="40"/>
      </c:valAx>
      <c:valAx>
        <c:axId val="1021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9216"/>
        <c:axId val="102251136"/>
      </c:scatterChart>
      <c:valAx>
        <c:axId val="1022492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2251136"/>
        <c:crosses val="autoZero"/>
        <c:crossBetween val="midCat"/>
      </c:valAx>
      <c:valAx>
        <c:axId val="1022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22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9312"/>
        <c:axId val="102271232"/>
      </c:scatterChart>
      <c:valAx>
        <c:axId val="1022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271232"/>
        <c:crosses val="autoZero"/>
        <c:crossBetween val="midCat"/>
      </c:valAx>
      <c:valAx>
        <c:axId val="102271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2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0192"/>
        <c:axId val="102282368"/>
      </c:scatterChart>
      <c:valAx>
        <c:axId val="1022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2282368"/>
        <c:crosses val="autoZero"/>
        <c:crossBetween val="midCat"/>
      </c:valAx>
      <c:valAx>
        <c:axId val="1022823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228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9520"/>
        <c:axId val="102498304"/>
      </c:scatterChart>
      <c:valAx>
        <c:axId val="1022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498304"/>
        <c:crosses val="autoZero"/>
        <c:crossBetween val="midCat"/>
      </c:valAx>
      <c:valAx>
        <c:axId val="1024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9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1360"/>
        <c:axId val="102513280"/>
      </c:scatterChart>
      <c:valAx>
        <c:axId val="1025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13280"/>
        <c:crosses val="autoZero"/>
        <c:crossBetween val="midCat"/>
      </c:valAx>
      <c:valAx>
        <c:axId val="1025132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5113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3264"/>
        <c:axId val="102525184"/>
      </c:scatterChart>
      <c:valAx>
        <c:axId val="1025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525184"/>
        <c:crosses val="autoZero"/>
        <c:crossBetween val="midCat"/>
      </c:valAx>
      <c:valAx>
        <c:axId val="102525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5232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73024"/>
        <c:axId val="228691968"/>
      </c:scatterChart>
      <c:valAx>
        <c:axId val="2286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1968"/>
        <c:crosses val="autoZero"/>
        <c:crossBetween val="midCat"/>
      </c:valAx>
      <c:valAx>
        <c:axId val="228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7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8624"/>
        <c:axId val="102544896"/>
      </c:scatterChart>
      <c:valAx>
        <c:axId val="1025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544896"/>
        <c:crosses val="autoZero"/>
        <c:crossBetween val="midCat"/>
      </c:valAx>
      <c:valAx>
        <c:axId val="102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5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8720"/>
        <c:axId val="10264064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4736"/>
        <c:axId val="102642816"/>
      </c:scatterChart>
      <c:valAx>
        <c:axId val="102638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40640"/>
        <c:crossesAt val="-40"/>
        <c:crossBetween val="midCat"/>
        <c:majorUnit val="20"/>
      </c:valAx>
      <c:valAx>
        <c:axId val="1026406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38720"/>
        <c:crosses val="autoZero"/>
        <c:crossBetween val="midCat"/>
      </c:valAx>
      <c:valAx>
        <c:axId val="1026428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44736"/>
        <c:crosses val="max"/>
        <c:crossBetween val="midCat"/>
        <c:majorUnit val="40"/>
      </c:valAx>
      <c:valAx>
        <c:axId val="10264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8048"/>
        <c:axId val="102659968"/>
      </c:scatterChart>
      <c:valAx>
        <c:axId val="1026580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2659968"/>
        <c:crosses val="autoZero"/>
        <c:crossBetween val="midCat"/>
      </c:valAx>
      <c:valAx>
        <c:axId val="10265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265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3792"/>
        <c:axId val="102680064"/>
      </c:scatterChart>
      <c:valAx>
        <c:axId val="1026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80064"/>
        <c:crosses val="autoZero"/>
        <c:crossBetween val="midCat"/>
      </c:valAx>
      <c:valAx>
        <c:axId val="102680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67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3120"/>
        <c:axId val="102695296"/>
      </c:scatterChart>
      <c:valAx>
        <c:axId val="1026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2695296"/>
        <c:crosses val="autoZero"/>
        <c:crossBetween val="midCat"/>
      </c:valAx>
      <c:valAx>
        <c:axId val="1026952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269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8352"/>
        <c:axId val="102710272"/>
      </c:scatterChart>
      <c:valAx>
        <c:axId val="1027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10272"/>
        <c:crosses val="autoZero"/>
        <c:crossBetween val="midCat"/>
      </c:valAx>
      <c:valAx>
        <c:axId val="102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0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1776"/>
        <c:axId val="102733696"/>
      </c:scatterChart>
      <c:valAx>
        <c:axId val="1027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33696"/>
        <c:crosses val="autoZero"/>
        <c:crossBetween val="midCat"/>
      </c:valAx>
      <c:valAx>
        <c:axId val="1027336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7317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3424"/>
        <c:axId val="102745600"/>
      </c:scatterChart>
      <c:valAx>
        <c:axId val="1027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45600"/>
        <c:crosses val="autoZero"/>
        <c:crossBetween val="midCat"/>
      </c:valAx>
      <c:valAx>
        <c:axId val="1027456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27434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4096"/>
        <c:axId val="102810368"/>
      </c:scatterChart>
      <c:valAx>
        <c:axId val="1028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810368"/>
        <c:crosses val="autoZero"/>
        <c:crossBetween val="midCat"/>
      </c:valAx>
      <c:valAx>
        <c:axId val="102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8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7072"/>
        <c:axId val="10302899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7184"/>
        <c:axId val="103035264"/>
      </c:scatterChart>
      <c:valAx>
        <c:axId val="1030270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28992"/>
        <c:crossesAt val="-40"/>
        <c:crossBetween val="midCat"/>
        <c:majorUnit val="20"/>
      </c:valAx>
      <c:valAx>
        <c:axId val="1030289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27072"/>
        <c:crosses val="autoZero"/>
        <c:crossBetween val="midCat"/>
      </c:valAx>
      <c:valAx>
        <c:axId val="1030352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37184"/>
        <c:crosses val="max"/>
        <c:crossBetween val="midCat"/>
        <c:majorUnit val="40"/>
      </c:valAx>
      <c:valAx>
        <c:axId val="1030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Ard0_Turn0_ESC0_G0b_T0a!$P$4:$P$12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Ard0_Turn0_ESC0_G0b_T0a!$Q$4:$Q$12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57504"/>
        <c:axId val="242627712"/>
      </c:scatterChart>
      <c:valAx>
        <c:axId val="2383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42627712"/>
        <c:crosses val="autoZero"/>
        <c:crossBetween val="midCat"/>
      </c:valAx>
      <c:valAx>
        <c:axId val="242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83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6144"/>
        <c:axId val="103052416"/>
      </c:scatterChart>
      <c:valAx>
        <c:axId val="1030461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3052416"/>
        <c:crosses val="autoZero"/>
        <c:crossBetween val="midCat"/>
      </c:valAx>
      <c:valAx>
        <c:axId val="10305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304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8528"/>
        <c:axId val="103084800"/>
      </c:scatterChart>
      <c:valAx>
        <c:axId val="1030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84800"/>
        <c:crosses val="autoZero"/>
        <c:crossBetween val="midCat"/>
      </c:valAx>
      <c:valAx>
        <c:axId val="10308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0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3760"/>
        <c:axId val="103095680"/>
      </c:scatterChart>
      <c:valAx>
        <c:axId val="1030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3095680"/>
        <c:crosses val="autoZero"/>
        <c:crossBetween val="midCat"/>
      </c:valAx>
      <c:valAx>
        <c:axId val="1030956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3093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3088"/>
        <c:axId val="103115008"/>
      </c:scatterChart>
      <c:valAx>
        <c:axId val="1031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15008"/>
        <c:crosses val="autoZero"/>
        <c:crossBetween val="midCat"/>
      </c:valAx>
      <c:valAx>
        <c:axId val="1031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1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6256"/>
        <c:axId val="103142528"/>
      </c:scatterChart>
      <c:valAx>
        <c:axId val="1031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42528"/>
        <c:crosses val="autoZero"/>
        <c:crossBetween val="midCat"/>
      </c:valAx>
      <c:valAx>
        <c:axId val="1031425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1362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6352"/>
        <c:axId val="103158528"/>
      </c:scatterChart>
      <c:valAx>
        <c:axId val="103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58528"/>
        <c:crosses val="autoZero"/>
        <c:crossBetween val="midCat"/>
      </c:valAx>
      <c:valAx>
        <c:axId val="1031585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31563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84256"/>
        <c:axId val="103202816"/>
      </c:scatterChart>
      <c:valAx>
        <c:axId val="1031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816"/>
        <c:crosses val="autoZero"/>
        <c:crossBetween val="midCat"/>
      </c:valAx>
      <c:valAx>
        <c:axId val="1032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8560"/>
        <c:axId val="10329856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2656"/>
        <c:axId val="103300480"/>
      </c:scatterChart>
      <c:valAx>
        <c:axId val="103218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8560"/>
        <c:crossesAt val="-40"/>
        <c:crossBetween val="midCat"/>
        <c:majorUnit val="20"/>
      </c:valAx>
      <c:valAx>
        <c:axId val="1032985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560"/>
        <c:crosses val="autoZero"/>
        <c:crossBetween val="midCat"/>
      </c:valAx>
      <c:valAx>
        <c:axId val="1033004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2656"/>
        <c:crosses val="max"/>
        <c:crossBetween val="midCat"/>
        <c:majorUnit val="40"/>
      </c:valAx>
      <c:valAx>
        <c:axId val="1033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30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5712"/>
        <c:axId val="103317888"/>
      </c:scatterChart>
      <c:valAx>
        <c:axId val="103315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3317888"/>
        <c:crosses val="autoZero"/>
        <c:crossBetween val="midCat"/>
      </c:valAx>
      <c:valAx>
        <c:axId val="10331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5808"/>
        <c:axId val="103358464"/>
      </c:scatterChart>
      <c:valAx>
        <c:axId val="103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464"/>
        <c:crosses val="autoZero"/>
        <c:crossBetween val="midCat"/>
      </c:valAx>
      <c:valAx>
        <c:axId val="10335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Ard0_Turn0_ESC0_G0b_T0a!$L$4:$L$12</c:f>
              <c:numCache>
                <c:formatCode>General</c:formatCode>
                <c:ptCount val="9"/>
                <c:pt idx="0">
                  <c:v>13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</c:numCache>
            </c:numRef>
          </c:xVal>
          <c:yVal>
            <c:numRef>
              <c:f>Ard0_Turn0_ESC0_G0b_T0a!$R$4:$R$12</c:f>
              <c:numCache>
                <c:formatCode>0</c:formatCode>
                <c:ptCount val="9"/>
                <c:pt idx="0">
                  <c:v>28.183621933621936</c:v>
                </c:pt>
                <c:pt idx="1">
                  <c:v>39.941206543967276</c:v>
                </c:pt>
                <c:pt idx="2">
                  <c:v>48.585199004975124</c:v>
                </c:pt>
                <c:pt idx="3">
                  <c:v>60.562015503875976</c:v>
                </c:pt>
                <c:pt idx="4">
                  <c:v>64.459570957095707</c:v>
                </c:pt>
                <c:pt idx="5">
                  <c:v>73.56403013182674</c:v>
                </c:pt>
                <c:pt idx="6">
                  <c:v>85.663377192982466</c:v>
                </c:pt>
                <c:pt idx="7">
                  <c:v>95.460654936461381</c:v>
                </c:pt>
                <c:pt idx="8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52096"/>
        <c:axId val="334468224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Ard0_Turn0_ESC0_G0b_T0a!$L$3:$L$12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Ard0_Turn0_ESC0_G0b_T0a!$U$3:$U$12</c:f>
              <c:numCache>
                <c:formatCode>0.00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95360"/>
        <c:axId val="334470144"/>
      </c:scatterChart>
      <c:valAx>
        <c:axId val="2584520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4468224"/>
        <c:crossesAt val="-40"/>
        <c:crossBetween val="midCat"/>
        <c:majorUnit val="20"/>
      </c:valAx>
      <c:valAx>
        <c:axId val="33446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58452096"/>
        <c:crosses val="autoZero"/>
        <c:crossBetween val="midCat"/>
      </c:valAx>
      <c:valAx>
        <c:axId val="334470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71295360"/>
        <c:crosses val="max"/>
        <c:crossBetween val="midCat"/>
        <c:majorUnit val="40"/>
      </c:valAx>
      <c:valAx>
        <c:axId val="3712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4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7152"/>
        <c:axId val="103383040"/>
      </c:scatterChart>
      <c:valAx>
        <c:axId val="103377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3383040"/>
        <c:crosses val="autoZero"/>
        <c:crossBetween val="midCat"/>
      </c:valAx>
      <c:valAx>
        <c:axId val="1033830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0337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1344"/>
        <c:axId val="103424000"/>
      </c:scatterChart>
      <c:valAx>
        <c:axId val="103401344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3424000"/>
        <c:crosses val="autoZero"/>
        <c:crossBetween val="midCat"/>
      </c:valAx>
      <c:valAx>
        <c:axId val="10342400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340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37824"/>
        <c:axId val="103439744"/>
      </c:scatterChart>
      <c:valAx>
        <c:axId val="1034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9744"/>
        <c:crosses val="autoZero"/>
        <c:crossBetween val="midCat"/>
      </c:valAx>
      <c:valAx>
        <c:axId val="103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0208"/>
        <c:axId val="103472128"/>
      </c:scatterChart>
      <c:valAx>
        <c:axId val="1034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2128"/>
        <c:crosses val="autoZero"/>
        <c:crossBetween val="midCat"/>
      </c:valAx>
      <c:valAx>
        <c:axId val="103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87744"/>
        <c:axId val="103494016"/>
      </c:scatterChart>
      <c:valAx>
        <c:axId val="1034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4016"/>
        <c:crosses val="autoZero"/>
        <c:crossBetween val="midCat"/>
      </c:valAx>
      <c:valAx>
        <c:axId val="10349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0016"/>
        <c:axId val="103511552"/>
      </c:scatterChart>
      <c:valAx>
        <c:axId val="10351001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03511552"/>
        <c:crosses val="autoZero"/>
        <c:crossBetween val="midCat"/>
        <c:minorUnit val="2"/>
      </c:valAx>
      <c:valAx>
        <c:axId val="10351155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0351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28704"/>
        <c:axId val="103530496"/>
      </c:scatterChart>
      <c:valAx>
        <c:axId val="103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0496"/>
        <c:crosses val="autoZero"/>
        <c:crossBetween val="midCat"/>
      </c:valAx>
      <c:valAx>
        <c:axId val="1035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02432"/>
        <c:axId val="103608704"/>
      </c:scatterChart>
      <c:valAx>
        <c:axId val="1036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8704"/>
        <c:crosses val="autoZero"/>
        <c:crossBetween val="midCat"/>
      </c:valAx>
      <c:valAx>
        <c:axId val="1036087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1728"/>
        <c:axId val="103963264"/>
      </c:scatterChart>
      <c:valAx>
        <c:axId val="1039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264"/>
        <c:crosses val="autoZero"/>
        <c:crossBetween val="midCat"/>
      </c:valAx>
      <c:valAx>
        <c:axId val="103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2976"/>
        <c:axId val="10400153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5632"/>
        <c:axId val="104003456"/>
      </c:scatterChart>
      <c:valAx>
        <c:axId val="1039829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1536"/>
        <c:crossesAt val="-40"/>
        <c:crossBetween val="midCat"/>
        <c:majorUnit val="20"/>
      </c:valAx>
      <c:valAx>
        <c:axId val="104001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2976"/>
        <c:crosses val="autoZero"/>
        <c:crossBetween val="midCat"/>
      </c:valAx>
      <c:valAx>
        <c:axId val="1040034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5632"/>
        <c:crosses val="max"/>
        <c:crossBetween val="midCat"/>
        <c:majorUnit val="40"/>
      </c:valAx>
      <c:valAx>
        <c:axId val="1040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0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Ard0_Turn0_ESC0_G0b_T0a!$R$3:$R$12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28.183621933621936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Ard0_Turn0_ESC0_G0b_T0a!$V$3:$V$12</c:f>
              <c:numCache>
                <c:formatCode>0.00</c:formatCode>
                <c:ptCount val="10"/>
                <c:pt idx="0" formatCode="General">
                  <c:v>5.7014399999999998</c:v>
                </c:pt>
                <c:pt idx="1">
                  <c:v>7.1642400000000004</c:v>
                </c:pt>
                <c:pt idx="2">
                  <c:v>20.147040000000001</c:v>
                </c:pt>
                <c:pt idx="3">
                  <c:v>29.748539999999998</c:v>
                </c:pt>
                <c:pt idx="4">
                  <c:v>53.294040000000003</c:v>
                </c:pt>
                <c:pt idx="5">
                  <c:v>62.186840000000004</c:v>
                </c:pt>
                <c:pt idx="6">
                  <c:v>88.671939999999992</c:v>
                </c:pt>
                <c:pt idx="7">
                  <c:v>135.72744</c:v>
                </c:pt>
                <c:pt idx="8">
                  <c:v>192.51743999999999</c:v>
                </c:pt>
                <c:pt idx="9">
                  <c:v>208.86743999999999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17504"/>
        <c:axId val="396199808"/>
      </c:scatterChart>
      <c:valAx>
        <c:axId val="3909175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96199808"/>
        <c:crosses val="autoZero"/>
        <c:crossBetween val="midCat"/>
      </c:valAx>
      <c:valAx>
        <c:axId val="39619980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09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7360"/>
        <c:axId val="104049280"/>
      </c:scatterChart>
      <c:valAx>
        <c:axId val="1040473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04049280"/>
        <c:crosses val="autoZero"/>
        <c:crossBetween val="midCat"/>
      </c:valAx>
      <c:valAx>
        <c:axId val="10404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9744"/>
        <c:axId val="104081664"/>
      </c:scatterChart>
      <c:valAx>
        <c:axId val="1040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1664"/>
        <c:crosses val="autoZero"/>
        <c:crossBetween val="midCat"/>
      </c:valAx>
      <c:valAx>
        <c:axId val="104081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7008"/>
        <c:axId val="104108800"/>
      </c:scatterChart>
      <c:valAx>
        <c:axId val="104107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4108800"/>
        <c:crosses val="autoZero"/>
        <c:crossBetween val="midCat"/>
      </c:valAx>
      <c:valAx>
        <c:axId val="10410880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410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1088"/>
        <c:axId val="104123008"/>
      </c:scatterChart>
      <c:valAx>
        <c:axId val="104121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12300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041230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2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4960"/>
        <c:axId val="104347136"/>
      </c:scatterChart>
      <c:valAx>
        <c:axId val="1043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47136"/>
        <c:crosses val="autoZero"/>
        <c:crossBetween val="midCat"/>
      </c:valAx>
      <c:valAx>
        <c:axId val="1043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9424"/>
        <c:axId val="104360960"/>
      </c:scatterChart>
      <c:valAx>
        <c:axId val="104359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360960"/>
        <c:crosses val="autoZero"/>
        <c:crossBetween val="midCat"/>
      </c:valAx>
      <c:valAx>
        <c:axId val="10436096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435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7920"/>
        <c:axId val="104499840"/>
      </c:scatterChart>
      <c:valAx>
        <c:axId val="104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9840"/>
        <c:crosses val="autoZero"/>
        <c:crossBetween val="midCat"/>
      </c:valAx>
      <c:valAx>
        <c:axId val="104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992"/>
        <c:axId val="104518784"/>
      </c:scatterChart>
      <c:valAx>
        <c:axId val="1045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8784"/>
        <c:crosses val="autoZero"/>
        <c:crossBetween val="midCat"/>
      </c:valAx>
      <c:valAx>
        <c:axId val="1045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0784"/>
        <c:axId val="10455270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0512"/>
        <c:axId val="104558976"/>
      </c:scatterChart>
      <c:valAx>
        <c:axId val="1045507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704"/>
        <c:crosses val="autoZero"/>
        <c:crossBetween val="midCat"/>
      </c:valAx>
      <c:valAx>
        <c:axId val="1045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784"/>
        <c:crosses val="autoZero"/>
        <c:crossBetween val="midCat"/>
      </c:valAx>
      <c:valAx>
        <c:axId val="104558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0512"/>
        <c:crosses val="max"/>
        <c:crossBetween val="midCat"/>
      </c:valAx>
      <c:valAx>
        <c:axId val="1045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5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7664"/>
        <c:axId val="104588032"/>
      </c:scatterChart>
      <c:valAx>
        <c:axId val="1045776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4588032"/>
        <c:crosses val="autoZero"/>
        <c:crossBetween val="midCat"/>
      </c:valAx>
      <c:valAx>
        <c:axId val="10458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7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Ard0_Turn0_ESC0_G0b_T0a!$L$2:$L$12</c:f>
              <c:numCache>
                <c:formatCode>General</c:formatCode>
                <c:ptCount val="11"/>
                <c:pt idx="0" formatCode="0.00">
                  <c:v>4.7267545206626211</c:v>
                </c:pt>
                <c:pt idx="1">
                  <c:v>8</c:v>
                </c:pt>
                <c:pt idx="2">
                  <c:v>13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</c:numCache>
            </c:numRef>
          </c:xVal>
          <c:yVal>
            <c:numRef>
              <c:f>Ard0_Turn0_ESC0_G0b_T0a!$P$2:$P$12</c:f>
              <c:numCache>
                <c:formatCode>0</c:formatCode>
                <c:ptCount val="11"/>
                <c:pt idx="0">
                  <c:v>5.9999999999999995E-25</c:v>
                </c:pt>
                <c:pt idx="1">
                  <c:v>8955.2238805970155</c:v>
                </c:pt>
                <c:pt idx="2">
                  <c:v>12987.012987012988</c:v>
                </c:pt>
                <c:pt idx="3">
                  <c:v>18404.907975460123</c:v>
                </c:pt>
                <c:pt idx="4">
                  <c:v>22388.059701492537</c:v>
                </c:pt>
                <c:pt idx="5">
                  <c:v>27906.976744186049</c:v>
                </c:pt>
                <c:pt idx="6">
                  <c:v>29702.970297029704</c:v>
                </c:pt>
                <c:pt idx="7">
                  <c:v>33898.305084745763</c:v>
                </c:pt>
                <c:pt idx="8">
                  <c:v>39473.68421052632</c:v>
                </c:pt>
                <c:pt idx="9">
                  <c:v>43988.269794721404</c:v>
                </c:pt>
                <c:pt idx="10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Ard0_Turn0_ESC0_G0b_T0a!$D$3:$D$12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Ard0_Turn0_ESC0_G0b_T0a!$AJ$3:$AJ$12</c:f>
              <c:numCache>
                <c:formatCode>0.00</c:formatCode>
                <c:ptCount val="10"/>
                <c:pt idx="0">
                  <c:v>6343.3877024330759</c:v>
                </c:pt>
                <c:pt idx="1">
                  <c:v>12196.197230346839</c:v>
                </c:pt>
                <c:pt idx="2">
                  <c:v>20079.298046819757</c:v>
                </c:pt>
                <c:pt idx="3">
                  <c:v>24135.479736097754</c:v>
                </c:pt>
                <c:pt idx="4">
                  <c:v>29362.972976358113</c:v>
                </c:pt>
                <c:pt idx="5">
                  <c:v>31411.110347202368</c:v>
                </c:pt>
                <c:pt idx="6">
                  <c:v>35386.29491397243</c:v>
                </c:pt>
                <c:pt idx="7">
                  <c:v>39481.11454139775</c:v>
                </c:pt>
                <c:pt idx="8">
                  <c:v>42074.287897747628</c:v>
                </c:pt>
                <c:pt idx="9">
                  <c:v>42827.972450569425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81216"/>
        <c:axId val="396684288"/>
      </c:scatterChart>
      <c:valAx>
        <c:axId val="3966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6684288"/>
        <c:crosses val="autoZero"/>
        <c:crossBetween val="midCat"/>
      </c:valAx>
      <c:valAx>
        <c:axId val="39668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66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0720"/>
        <c:axId val="104672640"/>
      </c:scatterChart>
      <c:valAx>
        <c:axId val="1046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4672640"/>
        <c:crosses val="autoZero"/>
        <c:crossBetween val="midCat"/>
      </c:valAx>
      <c:valAx>
        <c:axId val="1046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0912"/>
        <c:axId val="104712448"/>
      </c:scatterChart>
      <c:valAx>
        <c:axId val="10471091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2448"/>
        <c:crosses val="autoZero"/>
        <c:crossBetween val="midCat"/>
      </c:valAx>
      <c:valAx>
        <c:axId val="104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91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5120"/>
        <c:axId val="104735104"/>
      </c:scatterChart>
      <c:valAx>
        <c:axId val="1047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5104"/>
        <c:crosses val="autoZero"/>
        <c:crossBetween val="midCat"/>
      </c:valAx>
      <c:valAx>
        <c:axId val="1047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5968"/>
        <c:axId val="104757504"/>
      </c:scatterChart>
      <c:valAx>
        <c:axId val="1047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7504"/>
        <c:crosses val="autoZero"/>
        <c:crossBetween val="midCat"/>
      </c:valAx>
      <c:valAx>
        <c:axId val="104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2384"/>
        <c:axId val="104846848"/>
      </c:scatterChart>
      <c:valAx>
        <c:axId val="1048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6848"/>
        <c:crosses val="autoZero"/>
        <c:crossBetween val="midCat"/>
      </c:valAx>
      <c:valAx>
        <c:axId val="104846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Ard0_Turn0_ESC0_G0b_T0a!$P$3:$P$12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Ard0_Turn0_ESC0_G0b_T0a!$Y$3:$Y$12</c:f>
              <c:numCache>
                <c:formatCode>0.00000</c:formatCode>
                <c:ptCount val="10"/>
                <c:pt idx="0">
                  <c:v>0</c:v>
                </c:pt>
                <c:pt idx="1">
                  <c:v>-5.987598976808302E-4</c:v>
                </c:pt>
                <c:pt idx="2">
                  <c:v>3.2256808416361825E-3</c:v>
                </c:pt>
                <c:pt idx="3">
                  <c:v>4.874544760310422E-3</c:v>
                </c:pt>
                <c:pt idx="4">
                  <c:v>8.9660974444231104E-3</c:v>
                </c:pt>
                <c:pt idx="5">
                  <c:v>1.0261458364146665E-2</c:v>
                </c:pt>
                <c:pt idx="6">
                  <c:v>1.3939328048741026E-2</c:v>
                </c:pt>
                <c:pt idx="7">
                  <c:v>1.9732982977482577E-2</c:v>
                </c:pt>
                <c:pt idx="8">
                  <c:v>2.6340309962364663E-2</c:v>
                </c:pt>
                <c:pt idx="9">
                  <c:v>2.7781289655743165E-2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32576"/>
        <c:axId val="411231744"/>
      </c:scatterChart>
      <c:valAx>
        <c:axId val="4074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11231744"/>
        <c:crosses val="autoZero"/>
        <c:crossBetween val="midCat"/>
      </c:valAx>
      <c:valAx>
        <c:axId val="4112317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0743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Ard0_Turn0_ESC0_G0b_T0a!$E$2:$E$12</c:f>
              <c:numCache>
                <c:formatCode>General</c:formatCode>
                <c:ptCount val="11"/>
                <c:pt idx="0">
                  <c:v>3.2000000000000002E-3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0.66800000000000004</c:v>
                </c:pt>
                <c:pt idx="4">
                  <c:v>0.98599999999999999</c:v>
                </c:pt>
                <c:pt idx="5">
                  <c:v>1.375</c:v>
                </c:pt>
                <c:pt idx="6">
                  <c:v>1.49</c:v>
                </c:pt>
                <c:pt idx="7">
                  <c:v>1.81</c:v>
                </c:pt>
                <c:pt idx="8">
                  <c:v>2.16</c:v>
                </c:pt>
                <c:pt idx="9">
                  <c:v>2.5299999999999998</c:v>
                </c:pt>
                <c:pt idx="10">
                  <c:v>2.63</c:v>
                </c:pt>
              </c:numCache>
            </c:numRef>
          </c:xVal>
          <c:yVal>
            <c:numRef>
              <c:f>Ard0_Turn0_ESC0_G0b_T0a!$Q$2:$Q$12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9360.3744149765989</c:v>
                </c:pt>
                <c:pt idx="4">
                  <c:v>13239.187996469551</c:v>
                </c:pt>
                <c:pt idx="5">
                  <c:v>18867.92452830189</c:v>
                </c:pt>
                <c:pt idx="6">
                  <c:v>21052.631578947367</c:v>
                </c:pt>
                <c:pt idx="7">
                  <c:v>25000</c:v>
                </c:pt>
                <c:pt idx="8">
                  <c:v>30000.000000000004</c:v>
                </c:pt>
                <c:pt idx="9">
                  <c:v>34482.758620689652</c:v>
                </c:pt>
                <c:pt idx="10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71072"/>
        <c:axId val="100377344"/>
      </c:scatterChart>
      <c:valAx>
        <c:axId val="1003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77344"/>
        <c:crosses val="autoZero"/>
        <c:crossBetween val="midCat"/>
      </c:valAx>
      <c:valAx>
        <c:axId val="1003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7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13</xdr:row>
      <xdr:rowOff>7620</xdr:rowOff>
    </xdr:from>
    <xdr:to>
      <xdr:col>54</xdr:col>
      <xdr:colOff>213360</xdr:colOff>
      <xdr:row>28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topLeftCell="A16" zoomScaleNormal="100" workbookViewId="0">
      <selection activeCell="T24" sqref="T24"/>
    </sheetView>
  </sheetViews>
  <sheetFormatPr defaultRowHeight="15" x14ac:dyDescent="0.25"/>
  <sheetData>
    <row r="1" spans="1:32" x14ac:dyDescent="0.25">
      <c r="A1" t="s">
        <v>306</v>
      </c>
      <c r="B1" t="s">
        <v>307</v>
      </c>
      <c r="C1" t="s">
        <v>318</v>
      </c>
      <c r="D1" t="s">
        <v>326</v>
      </c>
      <c r="E1" t="s">
        <v>329</v>
      </c>
      <c r="F1" t="s">
        <v>308</v>
      </c>
      <c r="G1" t="s">
        <v>309</v>
      </c>
      <c r="H1" t="s">
        <v>319</v>
      </c>
      <c r="I1" t="s">
        <v>330</v>
      </c>
      <c r="J1" t="s">
        <v>331</v>
      </c>
      <c r="K1" t="s">
        <v>310</v>
      </c>
      <c r="L1" t="s">
        <v>311</v>
      </c>
      <c r="M1" t="s">
        <v>320</v>
      </c>
      <c r="N1" t="s">
        <v>332</v>
      </c>
      <c r="O1" t="s">
        <v>333</v>
      </c>
      <c r="P1" t="s">
        <v>312</v>
      </c>
      <c r="Q1" t="s">
        <v>313</v>
      </c>
      <c r="R1" t="s">
        <v>321</v>
      </c>
      <c r="S1" t="s">
        <v>336</v>
      </c>
      <c r="T1" t="s">
        <v>335</v>
      </c>
      <c r="U1" t="s">
        <v>314</v>
      </c>
      <c r="V1" t="s">
        <v>315</v>
      </c>
      <c r="W1" t="s">
        <v>322</v>
      </c>
      <c r="X1" t="s">
        <v>334</v>
      </c>
      <c r="Y1" t="s">
        <v>337</v>
      </c>
      <c r="Z1" t="s">
        <v>316</v>
      </c>
      <c r="AA1" t="s">
        <v>317</v>
      </c>
      <c r="AB1" t="s">
        <v>323</v>
      </c>
      <c r="AC1" t="s">
        <v>334</v>
      </c>
      <c r="AD1" t="s">
        <v>337</v>
      </c>
      <c r="AE1" t="s">
        <v>324</v>
      </c>
      <c r="AF1" t="s">
        <v>325</v>
      </c>
    </row>
    <row r="2" spans="1:32" x14ac:dyDescent="0.25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4.7267545206626211</v>
      </c>
      <c r="G2" s="174">
        <f>Ard0_Turn0_ESC0_G0b_T0a!P2</f>
        <v>5.9999999999999995E-25</v>
      </c>
      <c r="H2" s="174">
        <f>H3</f>
        <v>2735.8852054108302</v>
      </c>
      <c r="I2" s="174">
        <f t="shared" ref="I2:I12" si="1">LN(F2)*$C$21+$B$21</f>
        <v>-5167.1477831443408</v>
      </c>
      <c r="J2" s="174">
        <f>J3</f>
        <v>2099.6695183448205</v>
      </c>
      <c r="K2" s="96">
        <f>Ard1_Turn1x_ESC1_G1b_T1a!D2</f>
        <v>5.3666866770453732</v>
      </c>
      <c r="L2" s="174">
        <f>Ard1_Turn1x_ESC1_G1b_T1a!P2</f>
        <v>5.9999999999999995E-25</v>
      </c>
      <c r="M2" s="174">
        <f>M3</f>
        <v>2848.1229083612657</v>
      </c>
      <c r="N2" s="174">
        <f t="shared" ref="N2:N14" si="2">LN(K2)*$C$21+$B$21</f>
        <v>-3508.7678911250332</v>
      </c>
      <c r="O2" s="174">
        <f>O3</f>
        <v>1980.1494267893518</v>
      </c>
      <c r="P2" s="96">
        <f>Ard2_Turn2_ESC2_G2b_T2a!D2</f>
        <v>7.9498949935886039</v>
      </c>
      <c r="Q2" s="174">
        <f>Ard2_Turn2_ESC2_G2b_T2a!P2</f>
        <v>5.9999999999999995E-25</v>
      </c>
      <c r="R2" s="174">
        <f>R3</f>
        <v>2069.8503613693651</v>
      </c>
      <c r="S2" s="174">
        <f t="shared" ref="S2:S13" si="3">LN(P2)*$C$21+$B$21</f>
        <v>1623.5260448636182</v>
      </c>
      <c r="T2" s="174">
        <f>T3</f>
        <v>1271.9096939146414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9.0648738664970399</v>
      </c>
      <c r="AA2" s="174">
        <f>Ard4_Turn4_ESC4_G4b_T4a!P2</f>
        <v>5.9999999999999995E-25</v>
      </c>
      <c r="AB2" s="174">
        <f>AB3</f>
        <v>4101.2871456297744</v>
      </c>
      <c r="AC2" s="174">
        <f t="shared" ref="AC2:AC14" si="5">LN(Z2)*$C$21+$B$21</f>
        <v>3337.7589097104392</v>
      </c>
      <c r="AD2" s="174">
        <f>AD3</f>
        <v>1305.9361891487861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25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8</v>
      </c>
      <c r="G3" s="174">
        <f>Ard0_Turn0_ESC0_G0b_T0a!P3</f>
        <v>8955.2238805970155</v>
      </c>
      <c r="H3" s="174">
        <f>(G3-G2)/(F3-F2)</f>
        <v>2735.8852054108302</v>
      </c>
      <c r="I3" s="174">
        <f t="shared" si="1"/>
        <v>1705.5859758803344</v>
      </c>
      <c r="J3" s="174">
        <f>(I3-I2)/(F3-F2)</f>
        <v>2099.6695183448205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2848.1229083612657</v>
      </c>
      <c r="N3" s="174">
        <f t="shared" si="2"/>
        <v>1705.5859758803344</v>
      </c>
      <c r="O3" s="174">
        <f>(N3-N2)/(K3-K2)</f>
        <v>1980.1494267893518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2069.8503613693651</v>
      </c>
      <c r="S3" s="174">
        <f t="shared" si="3"/>
        <v>8046.8035578051349</v>
      </c>
      <c r="T3" s="174">
        <f>(S3-S2)/(P3-P2)</f>
        <v>1271.9096939146414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4101.2871456297744</v>
      </c>
      <c r="AC3" s="174">
        <f t="shared" si="5"/>
        <v>5864.9101580195202</v>
      </c>
      <c r="AD3" s="174">
        <f>(AC3-AC2)/(Z3-Z2)</f>
        <v>1305.9361891487861</v>
      </c>
      <c r="AE3">
        <f t="shared" si="6"/>
        <v>15</v>
      </c>
      <c r="AF3" s="174">
        <f t="shared" si="7"/>
        <v>8287.2928176795576</v>
      </c>
    </row>
    <row r="4" spans="1:32" x14ac:dyDescent="0.25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13</v>
      </c>
      <c r="G4" s="174">
        <f>Ard0_Turn0_ESC0_G0b_T0a!P4</f>
        <v>12987.012987012988</v>
      </c>
      <c r="H4" s="174">
        <f t="shared" ref="H4:H12" si="10">(G4-G3)/(F4-F3)</f>
        <v>806.35782128319443</v>
      </c>
      <c r="I4" s="174">
        <f t="shared" si="1"/>
        <v>8046.8035578051349</v>
      </c>
      <c r="J4" s="174">
        <f t="shared" ref="J4:J12" si="11">(I4-I3)/(F4-F3)</f>
        <v>1268.24351638496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12" si="12">(L4-L3)/(K4-K3)</f>
        <v>832.58122743682293</v>
      </c>
      <c r="N4" s="174">
        <f t="shared" si="2"/>
        <v>7001.3657528810727</v>
      </c>
      <c r="O4" s="174">
        <f t="shared" ref="O4:O14" si="13">(N4-N3)/(K4-K3)</f>
        <v>1323.9449442501846</v>
      </c>
      <c r="P4" s="96">
        <f>Ard2_Turn2_ESC2_G2b_T2a!D4</f>
        <v>17</v>
      </c>
      <c r="Q4" s="174">
        <f>Ard2_Turn2_ESC2_G2b_T2a!P4</f>
        <v>10600.706713780919</v>
      </c>
      <c r="R4" s="174">
        <f t="shared" ref="R4:R13" si="14">(Q4-Q3)/(P4-P3)</f>
        <v>36.936260326762749</v>
      </c>
      <c r="S4" s="174">
        <f t="shared" si="3"/>
        <v>11550.599486718238</v>
      </c>
      <c r="T4" s="174">
        <f t="shared" ref="T4:T13" si="15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14" si="18">(AA4-AA3)/(Z4-Z3)</f>
        <v>499.31672448228755</v>
      </c>
      <c r="AC4" s="174">
        <f t="shared" si="5"/>
        <v>9915.8436765959632</v>
      </c>
      <c r="AD4" s="174">
        <f t="shared" ref="AD4:AD14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25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18404.907975460123</v>
      </c>
      <c r="H5" s="174">
        <f t="shared" si="10"/>
        <v>451.49124903726124</v>
      </c>
      <c r="I5" s="174">
        <f t="shared" si="1"/>
        <v>16587.73714860357</v>
      </c>
      <c r="J5" s="174">
        <f t="shared" si="11"/>
        <v>711.74446589986962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14"/>
        <v>516.75753784172389</v>
      </c>
      <c r="S5" s="174">
        <f t="shared" si="3"/>
        <v>16054.56107817452</v>
      </c>
      <c r="T5" s="174">
        <f t="shared" si="15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25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22388.059701492537</v>
      </c>
      <c r="H6" s="174">
        <f t="shared" si="10"/>
        <v>398.31517260324142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14"/>
        <v>445.49763033175395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28</v>
      </c>
      <c r="AA6" s="174">
        <f>Ard4_Turn4_ESC4_G4b_T4a!P6</f>
        <v>15915.119363395226</v>
      </c>
      <c r="AB6" s="174">
        <f t="shared" si="18"/>
        <v>882.08798358440526</v>
      </c>
      <c r="AC6" s="174">
        <f t="shared" si="5"/>
        <v>18067.923107398339</v>
      </c>
      <c r="AD6" s="174">
        <f t="shared" si="19"/>
        <v>483.96211214988216</v>
      </c>
      <c r="AE6">
        <f t="shared" si="6"/>
        <v>35</v>
      </c>
      <c r="AF6" s="174">
        <f t="shared" si="7"/>
        <v>19354.83870967742</v>
      </c>
    </row>
    <row r="7" spans="1:32" x14ac:dyDescent="0.25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27906.976744186049</v>
      </c>
      <c r="H7" s="174">
        <f t="shared" si="10"/>
        <v>290.46931803650068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14"/>
        <v>451.03857566765555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34</v>
      </c>
      <c r="AA7" s="174">
        <f>Ard4_Turn4_ESC4_G4b_T4a!P7</f>
        <v>17910.447761194031</v>
      </c>
      <c r="AB7" s="174">
        <f t="shared" si="18"/>
        <v>332.5547329664675</v>
      </c>
      <c r="AC7" s="174">
        <f t="shared" si="5"/>
        <v>20603.794812011685</v>
      </c>
      <c r="AD7" s="174">
        <f t="shared" si="19"/>
        <v>422.64528410222437</v>
      </c>
      <c r="AE7">
        <f t="shared" si="6"/>
        <v>54</v>
      </c>
      <c r="AF7" s="174">
        <f t="shared" si="7"/>
        <v>24793.388429752067</v>
      </c>
    </row>
    <row r="8" spans="1:32" x14ac:dyDescent="0.25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29702.970297029704</v>
      </c>
      <c r="H8" s="174">
        <f t="shared" si="10"/>
        <v>179.59935528436546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14"/>
        <v>338.90156485827214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51</v>
      </c>
      <c r="AA8" s="174">
        <f>Ard4_Turn4_ESC4_G4b_T4a!P8</f>
        <v>22900.763358778626</v>
      </c>
      <c r="AB8" s="174">
        <f t="shared" si="18"/>
        <v>293.54797632850557</v>
      </c>
      <c r="AC8" s="174">
        <f t="shared" si="5"/>
        <v>25899.574589012416</v>
      </c>
      <c r="AD8" s="174">
        <f t="shared" si="19"/>
        <v>311.51645747063122</v>
      </c>
      <c r="AE8">
        <f t="shared" si="6"/>
        <v>64</v>
      </c>
      <c r="AF8" s="174">
        <f t="shared" si="7"/>
        <v>28037.383177570096</v>
      </c>
    </row>
    <row r="9" spans="1:32" x14ac:dyDescent="0.25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89</v>
      </c>
      <c r="G9" s="174">
        <f>Ard0_Turn0_ESC0_G0b_T0a!P9</f>
        <v>33898.305084745763</v>
      </c>
      <c r="H9" s="174">
        <f t="shared" si="10"/>
        <v>167.81339150864238</v>
      </c>
      <c r="I9" s="174">
        <f t="shared" si="1"/>
        <v>33172.079625071477</v>
      </c>
      <c r="J9" s="174">
        <f t="shared" si="11"/>
        <v>172.27630693243233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14"/>
        <v>157.05372579761817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76</v>
      </c>
      <c r="AA9" s="174">
        <f>Ard4_Turn4_ESC4_G4b_T4a!P9</f>
        <v>28571.428571428572</v>
      </c>
      <c r="AB9" s="174">
        <f t="shared" si="18"/>
        <v>226.82660850599785</v>
      </c>
      <c r="AC9" s="174">
        <f t="shared" si="5"/>
        <v>31109.70815747977</v>
      </c>
      <c r="AD9" s="174">
        <f t="shared" si="19"/>
        <v>208.40534273869417</v>
      </c>
      <c r="AE9">
        <f t="shared" si="6"/>
        <v>89</v>
      </c>
      <c r="AF9" s="174">
        <f t="shared" si="7"/>
        <v>32085.561497326202</v>
      </c>
    </row>
    <row r="10" spans="1:32" x14ac:dyDescent="0.25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39473.68421052632</v>
      </c>
      <c r="H10" s="174">
        <f t="shared" si="10"/>
        <v>154.87164238279325</v>
      </c>
      <c r="I10" s="174">
        <f t="shared" si="1"/>
        <v>37608.605722905362</v>
      </c>
      <c r="J10" s="174">
        <f t="shared" si="11"/>
        <v>123.23683605094124</v>
      </c>
      <c r="K10" s="96">
        <f>Ard1_Turn1x_ESC1_G1b_T1a!D10</f>
        <v>70</v>
      </c>
      <c r="L10" s="174">
        <f>Ard1_Turn1x_ESC1_G1b_T1a!P10</f>
        <v>28037.383177570096</v>
      </c>
      <c r="M10" s="174">
        <f t="shared" si="12"/>
        <v>129.20453077221222</v>
      </c>
      <c r="N10" s="174">
        <f t="shared" si="2"/>
        <v>30035.596356406684</v>
      </c>
      <c r="O10" s="174">
        <f t="shared" si="13"/>
        <v>190.70201818042793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14"/>
        <v>156.46006212043937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91</v>
      </c>
      <c r="AA10" s="174">
        <f>Ard4_Turn4_ESC4_G4b_T4a!P10</f>
        <v>32085.561497326202</v>
      </c>
      <c r="AB10" s="174">
        <f t="shared" si="18"/>
        <v>234.27552839317528</v>
      </c>
      <c r="AC10" s="174">
        <f t="shared" si="5"/>
        <v>33462.336014616572</v>
      </c>
      <c r="AD10" s="174">
        <f t="shared" si="19"/>
        <v>156.84185714245348</v>
      </c>
      <c r="AE10">
        <f t="shared" si="6"/>
        <v>101</v>
      </c>
      <c r="AF10" s="174">
        <f t="shared" si="7"/>
        <v>34090.909090909088</v>
      </c>
    </row>
    <row r="11" spans="1:32" x14ac:dyDescent="0.25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43988.269794721404</v>
      </c>
      <c r="H11" s="174">
        <f t="shared" si="10"/>
        <v>150.48618613983612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79</v>
      </c>
      <c r="L11" s="174">
        <f>Ard1_Turn1x_ESC1_G1b_T1a!P11</f>
        <v>29702.970297029704</v>
      </c>
      <c r="M11" s="174">
        <f t="shared" si="12"/>
        <v>185.06523549551196</v>
      </c>
      <c r="N11" s="174">
        <f t="shared" si="2"/>
        <v>31615.358401071768</v>
      </c>
      <c r="O11" s="174">
        <f t="shared" si="13"/>
        <v>175.52911607389817</v>
      </c>
      <c r="P11" s="96">
        <f>Ard2_Turn2_ESC2_G2b_T2a!D11</f>
        <v>140</v>
      </c>
      <c r="Q11" s="174">
        <f>Ard2_Turn2_ESC2_G2b_T2a!P11</f>
        <v>34285.71428571429</v>
      </c>
      <c r="R11" s="174">
        <f t="shared" si="14"/>
        <v>7.7922077922080639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100</v>
      </c>
      <c r="AA11" s="174">
        <f>Ard4_Turn4_ESC4_G4b_T4a!P11</f>
        <v>32608.695652173916</v>
      </c>
      <c r="AB11" s="174">
        <f t="shared" si="18"/>
        <v>58.126017205301551</v>
      </c>
      <c r="AC11" s="174">
        <f t="shared" si="5"/>
        <v>34694.127799190464</v>
      </c>
      <c r="AD11" s="174">
        <f t="shared" si="19"/>
        <v>136.86575384154355</v>
      </c>
      <c r="AE11">
        <f t="shared" si="6"/>
        <v>114</v>
      </c>
      <c r="AF11" s="174">
        <f t="shared" si="7"/>
        <v>36809.815950920245</v>
      </c>
    </row>
    <row r="12" spans="1:32" x14ac:dyDescent="0.25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Ard0_Turn0_ESC0_G0b_T0a!D12</f>
        <v>165</v>
      </c>
      <c r="G12" s="174">
        <f>Ard0_Turn0_ESC0_G0b_T0a!P12</f>
        <v>45592.705167173255</v>
      </c>
      <c r="H12" s="174">
        <f t="shared" si="10"/>
        <v>160.44353724518515</v>
      </c>
      <c r="I12" s="174">
        <f t="shared" si="1"/>
        <v>41234.753834615476</v>
      </c>
      <c r="J12" s="174">
        <f t="shared" si="11"/>
        <v>81.657838253318914</v>
      </c>
      <c r="K12" s="96">
        <f>Ard1_Turn1x_ESC1_G1b_T1a!D12</f>
        <v>84</v>
      </c>
      <c r="L12" s="174">
        <f>Ard1_Turn1x_ESC1_G1b_T1a!P12</f>
        <v>30456.852791878177</v>
      </c>
      <c r="M12" s="174">
        <f t="shared" si="12"/>
        <v>150.7764989696945</v>
      </c>
      <c r="N12" s="174">
        <f t="shared" si="2"/>
        <v>32416.898209692517</v>
      </c>
      <c r="O12" s="174">
        <f t="shared" si="13"/>
        <v>160.30796172414995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14"/>
        <v>183.42151675484976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106</v>
      </c>
      <c r="AA12" s="174">
        <f>Ard4_Turn4_ESC4_G4b_T4a!P12</f>
        <v>35087.719298245618</v>
      </c>
      <c r="AB12" s="174">
        <f t="shared" si="18"/>
        <v>413.17060767861705</v>
      </c>
      <c r="AC12" s="174">
        <f t="shared" si="5"/>
        <v>35455.178008197705</v>
      </c>
      <c r="AD12" s="174">
        <f t="shared" si="19"/>
        <v>126.84170150120674</v>
      </c>
      <c r="AE12">
        <f t="shared" si="6"/>
        <v>125</v>
      </c>
      <c r="AF12" s="174">
        <f t="shared" si="7"/>
        <v>37500</v>
      </c>
    </row>
    <row r="13" spans="1:32" x14ac:dyDescent="0.25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121</v>
      </c>
      <c r="L13" s="174">
        <f>Ard1_Turn1x_ESC1_G1b_T1a!P13</f>
        <v>36363.636363636368</v>
      </c>
      <c r="M13" s="174">
        <f>M14</f>
        <v>143.59279065161414</v>
      </c>
      <c r="N13" s="174">
        <f t="shared" si="2"/>
        <v>37183.82031603904</v>
      </c>
      <c r="O13" s="174">
        <f t="shared" si="13"/>
        <v>128.83573260396008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14"/>
        <v>354.03050108932473</v>
      </c>
      <c r="S13" s="174">
        <f t="shared" si="3"/>
        <v>42003.269605415029</v>
      </c>
      <c r="T13" s="174">
        <f t="shared" si="15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>
        <f>Ard4_Turn4_ESC4_G4b_T4a!D13</f>
        <v>132</v>
      </c>
      <c r="AA13" s="174">
        <f>Ard4_Turn4_ESC4_G4b_T4a!P13</f>
        <v>40000</v>
      </c>
      <c r="AB13" s="174">
        <f t="shared" si="18"/>
        <v>188.93387314439931</v>
      </c>
      <c r="AC13" s="174">
        <f t="shared" si="5"/>
        <v>38320.275910900586</v>
      </c>
      <c r="AD13" s="174">
        <f t="shared" si="19"/>
        <v>110.19607318088002</v>
      </c>
      <c r="AE13">
        <f t="shared" si="6"/>
        <v>130</v>
      </c>
      <c r="AF13" s="174">
        <f t="shared" si="7"/>
        <v>38961.038961038961</v>
      </c>
    </row>
    <row r="14" spans="1:32" x14ac:dyDescent="0.25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>
        <f>Ard1_Turn1x_ESC1_G1b_T1a!D14</f>
        <v>175</v>
      </c>
      <c r="L14" s="174">
        <f>Ard1_Turn1x_ESC1_G1b_T1a!P14</f>
        <v>44117.647058823532</v>
      </c>
      <c r="M14" s="174">
        <f>(L14-L13)/(K14-K13)</f>
        <v>143.59279065161414</v>
      </c>
      <c r="N14" s="174">
        <f t="shared" si="2"/>
        <v>42003.269605415029</v>
      </c>
      <c r="O14" s="174">
        <f t="shared" si="13"/>
        <v>89.249060914370162</v>
      </c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>
        <f>Ard4_Turn4_ESC4_G4b_T4a!D14</f>
        <v>178</v>
      </c>
      <c r="AA14" s="174">
        <f>Ard4_Turn4_ESC4_G4b_T4a!P14</f>
        <v>44117.647058823532</v>
      </c>
      <c r="AB14" s="174">
        <f t="shared" si="18"/>
        <v>89.514066496163736</v>
      </c>
      <c r="AC14" s="174">
        <f t="shared" si="5"/>
        <v>42225.274950364925</v>
      </c>
      <c r="AD14" s="174">
        <f t="shared" si="19"/>
        <v>84.891283466616073</v>
      </c>
      <c r="AE14">
        <f t="shared" si="6"/>
        <v>140</v>
      </c>
      <c r="AF14" s="174">
        <f t="shared" si="7"/>
        <v>41095.890410958906</v>
      </c>
    </row>
    <row r="15" spans="1:32" x14ac:dyDescent="0.25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25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25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25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25">
      <c r="K19" s="96"/>
      <c r="L19" s="174"/>
      <c r="M19" s="174"/>
      <c r="P19" s="174"/>
      <c r="T19" s="96"/>
      <c r="U19" s="174"/>
      <c r="AE19" s="96">
        <f t="shared" ref="AE19:AE29" si="20">F2</f>
        <v>4.7267545206626211</v>
      </c>
      <c r="AF19" s="174">
        <f t="shared" ref="AF19:AF29" si="21">G2</f>
        <v>5.9999999999999995E-25</v>
      </c>
    </row>
    <row r="20" spans="1:32" x14ac:dyDescent="0.25">
      <c r="K20" s="96"/>
      <c r="L20" s="174"/>
      <c r="M20" s="174"/>
      <c r="P20" s="174"/>
      <c r="T20" s="96"/>
      <c r="U20" s="174"/>
      <c r="AE20" s="96">
        <f t="shared" si="20"/>
        <v>8</v>
      </c>
      <c r="AF20" s="174">
        <f t="shared" si="21"/>
        <v>8955.2238805970155</v>
      </c>
    </row>
    <row r="21" spans="1:32" x14ac:dyDescent="0.25">
      <c r="A21" t="s">
        <v>327</v>
      </c>
      <c r="B21" s="157">
        <v>-25454</v>
      </c>
      <c r="C21" s="157">
        <v>13061</v>
      </c>
      <c r="D21" t="s">
        <v>328</v>
      </c>
      <c r="K21" s="96"/>
      <c r="L21" s="174"/>
      <c r="M21" s="174"/>
      <c r="P21" s="174"/>
      <c r="T21" s="96"/>
      <c r="U21" s="174"/>
      <c r="AE21" s="96">
        <f t="shared" si="20"/>
        <v>13</v>
      </c>
      <c r="AF21" s="174">
        <f t="shared" si="21"/>
        <v>12987.012987012988</v>
      </c>
    </row>
    <row r="22" spans="1:32" x14ac:dyDescent="0.25">
      <c r="K22" s="96"/>
      <c r="L22" s="174"/>
      <c r="M22" s="174"/>
      <c r="P22" s="174"/>
      <c r="T22" s="96"/>
      <c r="U22" s="174"/>
      <c r="AE22" s="96">
        <f t="shared" si="20"/>
        <v>25</v>
      </c>
      <c r="AF22" s="174">
        <f t="shared" si="21"/>
        <v>18404.907975460123</v>
      </c>
    </row>
    <row r="23" spans="1:32" x14ac:dyDescent="0.25">
      <c r="T23" s="96"/>
      <c r="U23" s="174"/>
      <c r="AE23" s="96">
        <f t="shared" si="20"/>
        <v>35</v>
      </c>
      <c r="AF23" s="174">
        <f t="shared" si="21"/>
        <v>22388.059701492537</v>
      </c>
    </row>
    <row r="24" spans="1:32" x14ac:dyDescent="0.25">
      <c r="AE24" s="96">
        <f t="shared" si="20"/>
        <v>54</v>
      </c>
      <c r="AF24" s="174">
        <f t="shared" si="21"/>
        <v>27906.976744186049</v>
      </c>
    </row>
    <row r="25" spans="1:32" x14ac:dyDescent="0.25">
      <c r="AE25" s="96">
        <f t="shared" si="20"/>
        <v>64</v>
      </c>
      <c r="AF25" s="174">
        <f t="shared" si="21"/>
        <v>29702.970297029704</v>
      </c>
    </row>
    <row r="26" spans="1:32" x14ac:dyDescent="0.25">
      <c r="AE26" s="96">
        <f t="shared" si="20"/>
        <v>89</v>
      </c>
      <c r="AF26" s="174">
        <f t="shared" si="21"/>
        <v>33898.305084745763</v>
      </c>
    </row>
    <row r="27" spans="1:32" x14ac:dyDescent="0.25">
      <c r="AE27" s="96">
        <f t="shared" si="20"/>
        <v>125</v>
      </c>
      <c r="AF27" s="174">
        <f t="shared" si="21"/>
        <v>39473.68421052632</v>
      </c>
    </row>
    <row r="28" spans="1:32" x14ac:dyDescent="0.25">
      <c r="AE28" s="96">
        <f t="shared" si="20"/>
        <v>155</v>
      </c>
      <c r="AF28" s="174">
        <f t="shared" si="21"/>
        <v>43988.269794721404</v>
      </c>
    </row>
    <row r="29" spans="1:32" x14ac:dyDescent="0.25">
      <c r="AE29" s="96">
        <f t="shared" si="20"/>
        <v>165</v>
      </c>
      <c r="AF29" s="174">
        <f t="shared" si="21"/>
        <v>45592.705167173255</v>
      </c>
    </row>
    <row r="30" spans="1:32" x14ac:dyDescent="0.25">
      <c r="AE30" s="96">
        <f t="shared" ref="AE30:AE42" si="22">K2</f>
        <v>5.3666866770453732</v>
      </c>
      <c r="AF30" s="174">
        <f t="shared" ref="AF30:AF42" si="23">L2</f>
        <v>5.9999999999999995E-25</v>
      </c>
    </row>
    <row r="31" spans="1:32" x14ac:dyDescent="0.25">
      <c r="AE31" s="96">
        <f t="shared" si="22"/>
        <v>8</v>
      </c>
      <c r="AF31" s="174">
        <f t="shared" si="23"/>
        <v>7500.0000000000009</v>
      </c>
    </row>
    <row r="32" spans="1:32" x14ac:dyDescent="0.25">
      <c r="AE32" s="96">
        <f t="shared" si="22"/>
        <v>12</v>
      </c>
      <c r="AF32" s="174">
        <f t="shared" si="23"/>
        <v>10830.324909747293</v>
      </c>
    </row>
    <row r="33" spans="31:32" x14ac:dyDescent="0.25">
      <c r="AE33" s="96">
        <f t="shared" si="22"/>
        <v>17</v>
      </c>
      <c r="AF33" s="174">
        <f t="shared" si="23"/>
        <v>12244.897959183674</v>
      </c>
    </row>
    <row r="34" spans="31:32" x14ac:dyDescent="0.25">
      <c r="AE34" s="96">
        <f t="shared" si="22"/>
        <v>21</v>
      </c>
      <c r="AF34" s="174">
        <f t="shared" si="23"/>
        <v>14354.066985645934</v>
      </c>
    </row>
    <row r="35" spans="31:32" x14ac:dyDescent="0.25">
      <c r="AE35" s="96">
        <f t="shared" si="22"/>
        <v>27</v>
      </c>
      <c r="AF35" s="174">
        <f t="shared" si="23"/>
        <v>16949.152542372882</v>
      </c>
    </row>
    <row r="36" spans="31:32" x14ac:dyDescent="0.25">
      <c r="AE36" s="96">
        <f t="shared" si="22"/>
        <v>42</v>
      </c>
      <c r="AF36" s="174">
        <f t="shared" si="23"/>
        <v>21660.649819494585</v>
      </c>
    </row>
    <row r="37" spans="31:32" x14ac:dyDescent="0.25">
      <c r="AE37" s="96">
        <f t="shared" si="22"/>
        <v>67</v>
      </c>
      <c r="AF37" s="174">
        <f t="shared" si="23"/>
        <v>27649.76958525346</v>
      </c>
    </row>
    <row r="38" spans="31:32" x14ac:dyDescent="0.25">
      <c r="AE38" s="96">
        <f t="shared" si="22"/>
        <v>70</v>
      </c>
      <c r="AF38" s="174">
        <f t="shared" si="23"/>
        <v>28037.383177570096</v>
      </c>
    </row>
    <row r="39" spans="31:32" x14ac:dyDescent="0.25">
      <c r="AE39" s="96">
        <f t="shared" si="22"/>
        <v>79</v>
      </c>
      <c r="AF39" s="174">
        <f t="shared" si="23"/>
        <v>29702.970297029704</v>
      </c>
    </row>
    <row r="40" spans="31:32" x14ac:dyDescent="0.25">
      <c r="AE40" s="96">
        <f t="shared" si="22"/>
        <v>84</v>
      </c>
      <c r="AF40" s="174">
        <f t="shared" si="23"/>
        <v>30456.852791878177</v>
      </c>
    </row>
    <row r="41" spans="31:32" x14ac:dyDescent="0.25">
      <c r="AE41" s="96">
        <f t="shared" si="22"/>
        <v>121</v>
      </c>
      <c r="AF41" s="174">
        <f t="shared" si="23"/>
        <v>36363.636363636368</v>
      </c>
    </row>
    <row r="42" spans="31:32" x14ac:dyDescent="0.25">
      <c r="AE42" s="96">
        <f t="shared" si="22"/>
        <v>175</v>
      </c>
      <c r="AF42" s="174">
        <f t="shared" si="23"/>
        <v>44117.647058823532</v>
      </c>
    </row>
    <row r="43" spans="31:32" x14ac:dyDescent="0.25">
      <c r="AE43" s="96">
        <f t="shared" ref="AE43:AE54" si="24">P2</f>
        <v>7.9498949935886039</v>
      </c>
      <c r="AF43" s="174">
        <f t="shared" ref="AF43:AF54" si="25">Q2</f>
        <v>5.9999999999999995E-25</v>
      </c>
    </row>
    <row r="44" spans="31:32" x14ac:dyDescent="0.25">
      <c r="AE44" s="96">
        <f t="shared" si="24"/>
        <v>13</v>
      </c>
      <c r="AF44" s="174">
        <f t="shared" si="25"/>
        <v>10452.961672473868</v>
      </c>
    </row>
    <row r="45" spans="31:32" x14ac:dyDescent="0.25">
      <c r="AE45" s="96">
        <f t="shared" si="24"/>
        <v>17</v>
      </c>
      <c r="AF45" s="174">
        <f t="shared" si="25"/>
        <v>10600.706713780919</v>
      </c>
    </row>
    <row r="46" spans="31:32" x14ac:dyDescent="0.25">
      <c r="AE46" s="96">
        <f t="shared" si="24"/>
        <v>24</v>
      </c>
      <c r="AF46" s="174">
        <f t="shared" si="25"/>
        <v>14218.009478672986</v>
      </c>
    </row>
    <row r="47" spans="31:32" x14ac:dyDescent="0.25">
      <c r="AE47" s="96">
        <f t="shared" si="24"/>
        <v>28</v>
      </c>
      <c r="AF47" s="174">
        <f t="shared" si="25"/>
        <v>16000.000000000002</v>
      </c>
    </row>
    <row r="48" spans="31:32" x14ac:dyDescent="0.25">
      <c r="AE48" s="96">
        <f t="shared" si="24"/>
        <v>32</v>
      </c>
      <c r="AF48" s="174">
        <f t="shared" si="25"/>
        <v>17804.154302670624</v>
      </c>
    </row>
    <row r="49" spans="31:32" x14ac:dyDescent="0.25">
      <c r="AE49" s="96">
        <f t="shared" si="24"/>
        <v>50</v>
      </c>
      <c r="AF49" s="174">
        <f t="shared" si="25"/>
        <v>23904.382470119523</v>
      </c>
    </row>
    <row r="50" spans="31:32" x14ac:dyDescent="0.25">
      <c r="AE50" s="96">
        <f t="shared" si="24"/>
        <v>78</v>
      </c>
      <c r="AF50" s="174">
        <f t="shared" si="25"/>
        <v>28301.886792452831</v>
      </c>
    </row>
    <row r="51" spans="31:32" x14ac:dyDescent="0.25">
      <c r="AE51" s="96">
        <f t="shared" si="24"/>
        <v>115</v>
      </c>
      <c r="AF51" s="174">
        <f t="shared" si="25"/>
        <v>34090.909090909088</v>
      </c>
    </row>
    <row r="52" spans="31:32" x14ac:dyDescent="0.25">
      <c r="AE52" s="96">
        <f t="shared" si="24"/>
        <v>140</v>
      </c>
      <c r="AF52" s="174">
        <f t="shared" si="25"/>
        <v>34285.71428571429</v>
      </c>
    </row>
    <row r="53" spans="31:32" x14ac:dyDescent="0.25">
      <c r="AE53" s="96">
        <f t="shared" si="24"/>
        <v>155</v>
      </c>
      <c r="AF53" s="174">
        <f t="shared" si="25"/>
        <v>37037.037037037036</v>
      </c>
    </row>
    <row r="54" spans="31:32" x14ac:dyDescent="0.25">
      <c r="AE54" s="96">
        <f t="shared" si="24"/>
        <v>175</v>
      </c>
      <c r="AF54" s="174">
        <f t="shared" si="25"/>
        <v>44117.647058823532</v>
      </c>
    </row>
    <row r="55" spans="31:32" x14ac:dyDescent="0.25">
      <c r="AE55" s="96">
        <f t="shared" ref="AE55:AE67" si="26">U2</f>
        <v>8.7271708346327035</v>
      </c>
      <c r="AF55" s="174">
        <f t="shared" ref="AF55:AF67" si="27">V2</f>
        <v>5.9999999999999995E-25</v>
      </c>
    </row>
    <row r="56" spans="31:32" x14ac:dyDescent="0.25">
      <c r="AE56" s="96">
        <f t="shared" si="26"/>
        <v>14</v>
      </c>
      <c r="AF56" s="174">
        <f t="shared" si="27"/>
        <v>9316.7701863354032</v>
      </c>
    </row>
    <row r="57" spans="31:32" x14ac:dyDescent="0.25">
      <c r="AE57" s="96">
        <f t="shared" si="26"/>
        <v>18</v>
      </c>
      <c r="AF57" s="174">
        <f t="shared" si="27"/>
        <v>12000.000000000002</v>
      </c>
    </row>
    <row r="58" spans="31:32" x14ac:dyDescent="0.25">
      <c r="AE58" s="96">
        <f t="shared" si="26"/>
        <v>24</v>
      </c>
      <c r="AF58" s="174">
        <f t="shared" si="27"/>
        <v>14851.485148514852</v>
      </c>
    </row>
    <row r="59" spans="31:32" x14ac:dyDescent="0.25">
      <c r="AE59" s="96">
        <f t="shared" si="26"/>
        <v>28</v>
      </c>
      <c r="AF59" s="174">
        <f t="shared" si="27"/>
        <v>16574.585635359115</v>
      </c>
    </row>
    <row r="60" spans="31:32" x14ac:dyDescent="0.25">
      <c r="AE60" s="96">
        <f t="shared" si="26"/>
        <v>36</v>
      </c>
      <c r="AF60" s="174">
        <f t="shared" si="27"/>
        <v>20134.228187919463</v>
      </c>
    </row>
    <row r="61" spans="31:32" x14ac:dyDescent="0.25">
      <c r="AE61" s="96">
        <f t="shared" si="26"/>
        <v>52</v>
      </c>
      <c r="AF61" s="174">
        <f t="shared" si="27"/>
        <v>24193.548387096776</v>
      </c>
    </row>
    <row r="62" spans="31:32" x14ac:dyDescent="0.25">
      <c r="AE62" s="96">
        <f t="shared" si="26"/>
        <v>73</v>
      </c>
      <c r="AF62" s="174">
        <f t="shared" si="27"/>
        <v>28571.428571428572</v>
      </c>
    </row>
    <row r="63" spans="31:32" x14ac:dyDescent="0.25">
      <c r="AE63" s="96">
        <f t="shared" si="26"/>
        <v>94</v>
      </c>
      <c r="AF63" s="174">
        <f t="shared" si="27"/>
        <v>33333.333333333336</v>
      </c>
    </row>
    <row r="64" spans="31:32" x14ac:dyDescent="0.25">
      <c r="AE64" s="96">
        <f t="shared" si="26"/>
        <v>99</v>
      </c>
      <c r="AF64" s="174">
        <f t="shared" si="27"/>
        <v>34090.909090909088</v>
      </c>
    </row>
    <row r="65" spans="31:32" x14ac:dyDescent="0.25">
      <c r="AE65" s="96">
        <f t="shared" si="26"/>
        <v>110</v>
      </c>
      <c r="AF65" s="174">
        <f t="shared" si="27"/>
        <v>36585.365853658535</v>
      </c>
    </row>
    <row r="66" spans="31:32" x14ac:dyDescent="0.25">
      <c r="AE66" s="96">
        <f t="shared" si="26"/>
        <v>132</v>
      </c>
      <c r="AF66" s="174">
        <f t="shared" si="27"/>
        <v>41095.890410958906</v>
      </c>
    </row>
    <row r="67" spans="31:32" x14ac:dyDescent="0.25">
      <c r="AE67" s="96">
        <f t="shared" si="26"/>
        <v>175</v>
      </c>
      <c r="AF67" s="174">
        <f t="shared" si="27"/>
        <v>44117.647058823532</v>
      </c>
    </row>
    <row r="68" spans="31:32" x14ac:dyDescent="0.25">
      <c r="AE68" s="96">
        <f t="shared" ref="AE68:AE80" si="28">Z2</f>
        <v>9.0648738664970399</v>
      </c>
      <c r="AF68" s="174">
        <f t="shared" ref="AF68:AF80" si="29">AA2</f>
        <v>5.9999999999999995E-25</v>
      </c>
    </row>
    <row r="69" spans="31:32" x14ac:dyDescent="0.25">
      <c r="AE69" s="96">
        <f t="shared" si="28"/>
        <v>11</v>
      </c>
      <c r="AF69" s="174">
        <f t="shared" si="29"/>
        <v>7936.5079365079364</v>
      </c>
    </row>
    <row r="70" spans="31:32" x14ac:dyDescent="0.25">
      <c r="AE70" s="96">
        <f t="shared" si="28"/>
        <v>15</v>
      </c>
      <c r="AF70" s="174">
        <f t="shared" si="29"/>
        <v>9933.7748344370866</v>
      </c>
    </row>
    <row r="71" spans="31:32" x14ac:dyDescent="0.25">
      <c r="AE71" s="96">
        <f t="shared" si="28"/>
        <v>26</v>
      </c>
      <c r="AF71" s="174">
        <f t="shared" si="29"/>
        <v>14150.943396226416</v>
      </c>
    </row>
    <row r="72" spans="31:32" x14ac:dyDescent="0.25">
      <c r="AE72" s="96">
        <f t="shared" si="28"/>
        <v>28</v>
      </c>
      <c r="AF72" s="174">
        <f t="shared" si="29"/>
        <v>15915.119363395226</v>
      </c>
    </row>
    <row r="73" spans="31:32" x14ac:dyDescent="0.25">
      <c r="AE73" s="96">
        <f t="shared" si="28"/>
        <v>34</v>
      </c>
      <c r="AF73" s="174">
        <f t="shared" si="29"/>
        <v>17910.447761194031</v>
      </c>
    </row>
    <row r="74" spans="31:32" x14ac:dyDescent="0.25">
      <c r="AE74" s="96">
        <f t="shared" si="28"/>
        <v>51</v>
      </c>
      <c r="AF74" s="174">
        <f t="shared" si="29"/>
        <v>22900.763358778626</v>
      </c>
    </row>
    <row r="75" spans="31:32" x14ac:dyDescent="0.25">
      <c r="AE75" s="96">
        <f t="shared" si="28"/>
        <v>76</v>
      </c>
      <c r="AF75" s="174">
        <f t="shared" si="29"/>
        <v>28571.428571428572</v>
      </c>
    </row>
    <row r="76" spans="31:32" x14ac:dyDescent="0.25">
      <c r="AE76" s="96">
        <f t="shared" si="28"/>
        <v>91</v>
      </c>
      <c r="AF76" s="174">
        <f t="shared" si="29"/>
        <v>32085.561497326202</v>
      </c>
    </row>
    <row r="77" spans="31:32" x14ac:dyDescent="0.25">
      <c r="AE77" s="96">
        <f t="shared" si="28"/>
        <v>100</v>
      </c>
      <c r="AF77" s="174">
        <f t="shared" si="29"/>
        <v>32608.695652173916</v>
      </c>
    </row>
    <row r="78" spans="31:32" x14ac:dyDescent="0.25">
      <c r="AE78" s="96">
        <f t="shared" si="28"/>
        <v>106</v>
      </c>
      <c r="AF78" s="174">
        <f t="shared" si="29"/>
        <v>35087.719298245618</v>
      </c>
    </row>
    <row r="79" spans="31:32" x14ac:dyDescent="0.25">
      <c r="AE79" s="96">
        <f t="shared" si="28"/>
        <v>132</v>
      </c>
      <c r="AF79" s="174">
        <f t="shared" si="29"/>
        <v>40000</v>
      </c>
    </row>
    <row r="80" spans="31:32" x14ac:dyDescent="0.25">
      <c r="AE80" s="96">
        <f t="shared" si="28"/>
        <v>178</v>
      </c>
      <c r="AF80" s="174">
        <f t="shared" si="29"/>
        <v>44117.647058823532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zoomScale="80" zoomScaleNormal="80" workbookViewId="0">
      <selection activeCell="H16" sqref="H1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1.0262597473370145</v>
      </c>
      <c r="D2" s="262">
        <f>EXP((0-$Q$40)/$R$40)</f>
        <v>4.7267545206626211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0.23255999999999999</v>
      </c>
      <c r="L2" s="229">
        <f t="shared" ref="L2:L12" si="3">D2</f>
        <v>4.7267545206626211</v>
      </c>
      <c r="M2" s="234">
        <f t="shared" ref="M2:M12" si="4">LN(L2)</f>
        <v>1.5532388191452156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4.7267545206626211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2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2" si="15">D2/$Q$30*$Q$22</f>
        <v>0.1312987366850728</v>
      </c>
      <c r="AI2" s="228">
        <f t="shared" ref="AI2:AI12" si="16">AH2/$Q$22*$Q$30</f>
        <v>4.7267545206626211</v>
      </c>
      <c r="AJ2" s="229">
        <f t="shared" ref="AJ2:AJ12" si="17">MAX(($Q$40+$R$40*LN($AI2)),0)</f>
        <v>0</v>
      </c>
      <c r="AK2" s="229">
        <f t="shared" ref="AK2:AK12" si="18">MAX(($Q$40+$R$40*LN(AI2))/$Q$29,0)</f>
        <v>0</v>
      </c>
      <c r="AL2" s="229">
        <f t="shared" ref="AL2:AL12" si="19">($Q$41+$R$41*AK2*$Q$29)/$Q$29</f>
        <v>-23.93170298212878</v>
      </c>
      <c r="AM2" s="229">
        <f t="shared" ref="AM2:AM12" si="20">($Q$42+$R$42*AL2*$Q$29)/$Q$29</f>
        <v>0.67579302567443966</v>
      </c>
      <c r="AN2" s="1"/>
      <c r="AO2" s="1">
        <f t="shared" ref="AO2:AO12" si="21">MAX($Q$41+$R$41*AJ2, 0)</f>
        <v>0</v>
      </c>
      <c r="AP2" s="227"/>
      <c r="AQ2" s="227"/>
      <c r="AR2" s="227"/>
      <c r="AS2" s="1"/>
      <c r="AT2" s="227"/>
      <c r="AU2" s="1"/>
      <c r="AV2">
        <f t="shared" ref="AV2:AV12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1.0444444444444445</v>
      </c>
      <c r="D3" s="109">
        <v>8</v>
      </c>
      <c r="E3" s="109">
        <v>3.0000000000000001E-3</v>
      </c>
      <c r="F3" s="109">
        <v>13.8</v>
      </c>
      <c r="G3" s="112">
        <v>0.43</v>
      </c>
      <c r="H3" s="109">
        <v>6700</v>
      </c>
      <c r="I3" s="105">
        <v>100000000</v>
      </c>
      <c r="J3" s="61"/>
      <c r="K3" s="2">
        <f t="shared" si="2"/>
        <v>5.9340000000000002</v>
      </c>
      <c r="L3" s="1">
        <f t="shared" si="3"/>
        <v>8</v>
      </c>
      <c r="M3" s="234">
        <f t="shared" si="4"/>
        <v>2.0794415416798357</v>
      </c>
      <c r="N3" s="3">
        <f t="shared" si="5"/>
        <v>149.25373134328359</v>
      </c>
      <c r="O3" s="3">
        <f t="shared" si="5"/>
        <v>0.01</v>
      </c>
      <c r="P3" s="3">
        <f t="shared" si="6"/>
        <v>8955.2238805970155</v>
      </c>
      <c r="Q3" s="3">
        <f t="shared" ref="Q3:Q12" si="23">O3*60/$C$24</f>
        <v>0.6</v>
      </c>
      <c r="R3" s="3">
        <f t="shared" si="7"/>
        <v>19.434079601990049</v>
      </c>
      <c r="S3" s="3">
        <f t="shared" si="8"/>
        <v>1.3020833333333333E-3</v>
      </c>
      <c r="T3" s="3">
        <f>L3</f>
        <v>8</v>
      </c>
      <c r="U3" s="158">
        <f>K3</f>
        <v>5.9340000000000002</v>
      </c>
      <c r="V3" s="1">
        <f t="shared" ref="V3:V12" si="24">($U3-$U$2)</f>
        <v>5.7014399999999998</v>
      </c>
      <c r="W3" s="234">
        <f t="shared" ref="W3:W12" si="25">($U3-$U$2)*0.001341022</f>
        <v>7.6457564716800007E-3</v>
      </c>
      <c r="X3" s="230">
        <f>$W3/$P3*5252</f>
        <v>4.4840322838010753E-3</v>
      </c>
      <c r="Y3" s="230">
        <f>X3-$X$3</f>
        <v>0</v>
      </c>
      <c r="Z3" s="228">
        <f t="shared" si="10"/>
        <v>3.2478844832036294E-2</v>
      </c>
      <c r="AA3" s="229">
        <f t="shared" si="11"/>
        <v>5.7411063082839914E-2</v>
      </c>
      <c r="AB3" s="2">
        <f>AA3/U3*100</f>
        <v>0.96749347965689092</v>
      </c>
      <c r="AC3" s="158">
        <f t="shared" si="12"/>
        <v>3.5352897173369366</v>
      </c>
      <c r="AD3" s="175">
        <f t="shared" si="13"/>
        <v>7.9544018640081067</v>
      </c>
      <c r="AE3" s="4">
        <f t="shared" si="14"/>
        <v>1.7278759594743865E-3</v>
      </c>
      <c r="AF3" s="158">
        <f t="shared" ref="AF3:AF12" si="26">AE3/AC3</f>
        <v>4.887508797372231E-4</v>
      </c>
      <c r="AH3" s="228">
        <f t="shared" si="15"/>
        <v>0.22222222222222224</v>
      </c>
      <c r="AI3" s="228">
        <f t="shared" si="16"/>
        <v>8</v>
      </c>
      <c r="AJ3" s="229">
        <f t="shared" si="17"/>
        <v>6343.3877024330759</v>
      </c>
      <c r="AK3" s="229">
        <f t="shared" si="18"/>
        <v>13.766032340349557</v>
      </c>
      <c r="AL3" s="229">
        <f t="shared" si="19"/>
        <v>-9.5321995009162279</v>
      </c>
      <c r="AM3" s="229">
        <f t="shared" si="20"/>
        <v>14.301193493843492</v>
      </c>
      <c r="AN3" s="1"/>
      <c r="AO3" s="1">
        <f t="shared" si="21"/>
        <v>0</v>
      </c>
      <c r="AP3" s="227">
        <f t="shared" ref="AP3:AP12" si="27">MAX($J$46+$AJ3*($K$46+$AJ3*$L$46), 0)</f>
        <v>0</v>
      </c>
      <c r="AQ3" s="227">
        <f>AJ3*AP3/5252</f>
        <v>0</v>
      </c>
      <c r="AR3" s="231">
        <f t="shared" ref="AR3:AR12" si="28">MAX($K$46+$L$46*2*AJ3,1E-32)</f>
        <v>9.1611022160219034E-8</v>
      </c>
      <c r="AS3" s="228"/>
      <c r="AT3" s="1"/>
      <c r="AU3" s="228"/>
      <c r="AV3">
        <f t="shared" si="22"/>
        <v>3.0000000000000001E-3</v>
      </c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3.0000000000000001E-3</v>
      </c>
      <c r="F4" s="73">
        <v>13.8</v>
      </c>
      <c r="G4" s="106">
        <v>0.53600000000000003</v>
      </c>
      <c r="H4" s="73">
        <v>4620</v>
      </c>
      <c r="I4" s="105">
        <v>100000000</v>
      </c>
      <c r="J4" s="61"/>
      <c r="K4" s="2">
        <f t="shared" si="2"/>
        <v>7.3968000000000007</v>
      </c>
      <c r="L4" s="1">
        <f t="shared" si="3"/>
        <v>13</v>
      </c>
      <c r="M4" s="234">
        <f t="shared" si="4"/>
        <v>2.5649493574615367</v>
      </c>
      <c r="N4" s="3">
        <f t="shared" si="5"/>
        <v>216.45021645021646</v>
      </c>
      <c r="O4" s="3">
        <f t="shared" si="5"/>
        <v>0.01</v>
      </c>
      <c r="P4" s="3">
        <f t="shared" si="6"/>
        <v>12987.012987012988</v>
      </c>
      <c r="Q4" s="3">
        <f t="shared" si="23"/>
        <v>0.6</v>
      </c>
      <c r="R4" s="3">
        <f t="shared" si="7"/>
        <v>28.183621933621936</v>
      </c>
      <c r="S4" s="3">
        <f t="shared" si="8"/>
        <v>1.3020833333333333E-3</v>
      </c>
      <c r="T4" s="3">
        <f t="shared" si="9"/>
        <v>13</v>
      </c>
      <c r="U4" s="158">
        <f t="shared" si="0"/>
        <v>7.3968000000000007</v>
      </c>
      <c r="V4" s="229">
        <f t="shared" si="24"/>
        <v>7.1642400000000004</v>
      </c>
      <c r="W4" s="234">
        <f t="shared" si="25"/>
        <v>9.6074034532800008E-3</v>
      </c>
      <c r="X4" s="230">
        <f t="shared" ref="X4:X12" si="29">$W4/$P4*5252</f>
        <v>3.8852723861202451E-3</v>
      </c>
      <c r="Y4" s="230">
        <f t="shared" ref="Y4:Y12" si="30">X4-$X$3</f>
        <v>-5.987598976808302E-4</v>
      </c>
      <c r="Z4" s="228">
        <f t="shared" si="10"/>
        <v>9.9060167004861116E-2</v>
      </c>
      <c r="AA4" s="229">
        <f t="shared" si="11"/>
        <v>0.30580410501299643</v>
      </c>
      <c r="AB4" s="2">
        <f t="shared" ref="AB4:AB12" si="31">AA4/U4*100</f>
        <v>4.1342757004785371</v>
      </c>
      <c r="AC4" s="158">
        <f t="shared" si="12"/>
        <v>6.1741084082361759</v>
      </c>
      <c r="AD4" s="175">
        <f t="shared" si="13"/>
        <v>13.891743918531395</v>
      </c>
      <c r="AE4" s="175">
        <f t="shared" si="14"/>
        <v>1.7278759594743865E-3</v>
      </c>
      <c r="AF4" s="158">
        <f t="shared" si="26"/>
        <v>2.7985837714955309E-4</v>
      </c>
      <c r="AG4" s="151"/>
      <c r="AH4" s="228">
        <f t="shared" si="15"/>
        <v>0.36111111111111105</v>
      </c>
      <c r="AI4" s="228">
        <f t="shared" si="16"/>
        <v>12.999999999999998</v>
      </c>
      <c r="AJ4" s="229">
        <f t="shared" si="17"/>
        <v>12196.197230346839</v>
      </c>
      <c r="AK4" s="229">
        <f t="shared" si="18"/>
        <v>26.467441906134631</v>
      </c>
      <c r="AL4" s="229">
        <f t="shared" si="19"/>
        <v>3.7536904880785511</v>
      </c>
      <c r="AM4" s="229">
        <f t="shared" si="20"/>
        <v>26.872847225673986</v>
      </c>
      <c r="AN4" s="2">
        <f t="shared" ref="AN4:AN12" si="32">AO4/$Q$29</f>
        <v>3.7536904880785551</v>
      </c>
      <c r="AO4" s="3">
        <f t="shared" si="21"/>
        <v>1729.7005769065981</v>
      </c>
      <c r="AP4" s="227">
        <f t="shared" si="27"/>
        <v>2.5118168163239577E-4</v>
      </c>
      <c r="AQ4" s="227">
        <f t="shared" ref="AQ4:AQ12" si="33">AJ4*AP4/5252</f>
        <v>5.8329423645066389E-4</v>
      </c>
      <c r="AR4" s="231">
        <f t="shared" si="28"/>
        <v>2.8333107959520405E-7</v>
      </c>
      <c r="AS4" s="228">
        <f t="shared" ref="AS4:AS12" si="34">$Q$34/AR4</f>
        <v>0.13209570075499</v>
      </c>
      <c r="AT4" s="1"/>
      <c r="AU4" s="228"/>
      <c r="AV4">
        <f t="shared" si="22"/>
        <v>3.0000000000000001E-3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0.66800000000000004</v>
      </c>
      <c r="F5" s="73">
        <v>13.77</v>
      </c>
      <c r="G5" s="106">
        <v>1.48</v>
      </c>
      <c r="H5" s="73">
        <v>3260</v>
      </c>
      <c r="I5" s="105">
        <v>6410</v>
      </c>
      <c r="J5" s="61"/>
      <c r="K5" s="2">
        <f t="shared" si="2"/>
        <v>20.3796</v>
      </c>
      <c r="L5" s="1">
        <f t="shared" si="3"/>
        <v>25</v>
      </c>
      <c r="M5" s="234">
        <f t="shared" si="4"/>
        <v>3.2188758248682006</v>
      </c>
      <c r="N5" s="3">
        <f t="shared" si="5"/>
        <v>306.74846625766872</v>
      </c>
      <c r="O5" s="3">
        <f t="shared" si="5"/>
        <v>156.00624024960999</v>
      </c>
      <c r="P5" s="3">
        <f t="shared" si="6"/>
        <v>18404.907975460123</v>
      </c>
      <c r="Q5" s="3">
        <f t="shared" si="23"/>
        <v>9360.3744149765989</v>
      </c>
      <c r="R5" s="3">
        <f t="shared" si="7"/>
        <v>39.941206543967276</v>
      </c>
      <c r="S5" s="3">
        <f t="shared" si="8"/>
        <v>20.3133125325013</v>
      </c>
      <c r="T5" s="3">
        <f t="shared" si="9"/>
        <v>25</v>
      </c>
      <c r="U5" s="158">
        <f t="shared" si="0"/>
        <v>20.3796</v>
      </c>
      <c r="V5" s="229">
        <f t="shared" si="24"/>
        <v>20.147040000000001</v>
      </c>
      <c r="W5" s="234">
        <f t="shared" si="25"/>
        <v>2.7017623874880003E-2</v>
      </c>
      <c r="X5" s="230">
        <f t="shared" si="29"/>
        <v>7.7097131254372578E-3</v>
      </c>
      <c r="Y5" s="230">
        <f t="shared" si="30"/>
        <v>3.2256808416361825E-3</v>
      </c>
      <c r="Z5" s="228">
        <f t="shared" si="10"/>
        <v>0.28195005411935081</v>
      </c>
      <c r="AA5" s="229">
        <f t="shared" si="11"/>
        <v>1.4684291617572443</v>
      </c>
      <c r="AB5" s="2">
        <f t="shared" si="31"/>
        <v>7.2053875530297171</v>
      </c>
      <c r="AC5" s="158">
        <f t="shared" si="12"/>
        <v>10.416236069496557</v>
      </c>
      <c r="AD5" s="175">
        <f t="shared" si="13"/>
        <v>23.436531156367252</v>
      </c>
      <c r="AE5" s="175">
        <f t="shared" si="14"/>
        <v>26.955943205528644</v>
      </c>
      <c r="AF5" s="158">
        <f t="shared" si="26"/>
        <v>2.5878775236736251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20079.298046819757</v>
      </c>
      <c r="AK5" s="229">
        <f t="shared" si="18"/>
        <v>43.574865552994261</v>
      </c>
      <c r="AL5" s="229">
        <f t="shared" si="19"/>
        <v>21.648345989903262</v>
      </c>
      <c r="AM5" s="229">
        <f t="shared" si="20"/>
        <v>43.805503811396385</v>
      </c>
      <c r="AN5" s="2">
        <f t="shared" si="32"/>
        <v>21.648345989903273</v>
      </c>
      <c r="AO5" s="3">
        <f t="shared" si="21"/>
        <v>9975.5578321474277</v>
      </c>
      <c r="AP5" s="227">
        <f t="shared" si="27"/>
        <v>3.5025205807630412E-3</v>
      </c>
      <c r="AQ5" s="227">
        <f t="shared" si="33"/>
        <v>1.3390737748716934E-2</v>
      </c>
      <c r="AR5" s="231">
        <f t="shared" si="28"/>
        <v>5.4155724159345472E-7</v>
      </c>
      <c r="AS5" s="228">
        <f t="shared" si="34"/>
        <v>6.9109624302452807E-2</v>
      </c>
      <c r="AT5" s="232">
        <f t="shared" ref="AT5:AT12" si="35">$Q$43*$Q$26*$Q$35^2*$Q$32*PI()/240*($AC5-$Q$45)/$Q$44*$Q$33</f>
        <v>-6.2406621329856149E-8</v>
      </c>
      <c r="AU5" s="165">
        <f t="shared" ref="AU5:AU12" si="36">-$Q$34/AT5</f>
        <v>0.59972510460025241</v>
      </c>
      <c r="AV5">
        <f t="shared" si="22"/>
        <v>0.66800000000000004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0.98599999999999999</v>
      </c>
      <c r="F6" s="73">
        <v>13.69</v>
      </c>
      <c r="G6" s="73">
        <v>2.19</v>
      </c>
      <c r="H6" s="73">
        <v>2680</v>
      </c>
      <c r="I6" s="73">
        <v>4532</v>
      </c>
      <c r="J6" s="61"/>
      <c r="K6" s="2">
        <f t="shared" si="2"/>
        <v>29.981099999999998</v>
      </c>
      <c r="L6" s="1">
        <f t="shared" si="3"/>
        <v>35</v>
      </c>
      <c r="M6" s="234">
        <f t="shared" si="4"/>
        <v>3.5553480614894135</v>
      </c>
      <c r="N6" s="3">
        <f t="shared" si="5"/>
        <v>373.13432835820896</v>
      </c>
      <c r="O6" s="3">
        <f t="shared" si="5"/>
        <v>220.65313327449252</v>
      </c>
      <c r="P6" s="3">
        <f t="shared" si="6"/>
        <v>22388.059701492537</v>
      </c>
      <c r="Q6" s="3">
        <f t="shared" si="23"/>
        <v>13239.187996469551</v>
      </c>
      <c r="R6" s="3">
        <f t="shared" si="7"/>
        <v>48.585199004975124</v>
      </c>
      <c r="S6" s="3">
        <f t="shared" si="8"/>
        <v>28.730876728449545</v>
      </c>
      <c r="T6" s="3">
        <f t="shared" si="9"/>
        <v>35</v>
      </c>
      <c r="U6" s="158">
        <f t="shared" si="0"/>
        <v>29.981099999999998</v>
      </c>
      <c r="V6" s="229">
        <f t="shared" si="24"/>
        <v>29.748539999999998</v>
      </c>
      <c r="W6" s="234">
        <f t="shared" si="25"/>
        <v>3.9893446607880002E-2</v>
      </c>
      <c r="X6" s="230">
        <f t="shared" si="29"/>
        <v>9.3585770441114973E-3</v>
      </c>
      <c r="Y6" s="230">
        <f t="shared" si="30"/>
        <v>4.874544760310422E-3</v>
      </c>
      <c r="Z6" s="228">
        <f t="shared" si="10"/>
        <v>0.50748195050056688</v>
      </c>
      <c r="AA6" s="229">
        <f t="shared" si="11"/>
        <v>3.5458930123707444</v>
      </c>
      <c r="AB6" s="2">
        <f t="shared" si="31"/>
        <v>11.827094444068912</v>
      </c>
      <c r="AC6" s="158">
        <f t="shared" si="12"/>
        <v>13.974459619196972</v>
      </c>
      <c r="AD6" s="175">
        <f t="shared" si="13"/>
        <v>31.442534143193186</v>
      </c>
      <c r="AE6" s="175">
        <f t="shared" si="14"/>
        <v>38.126124436769338</v>
      </c>
      <c r="AF6" s="158">
        <f t="shared" si="26"/>
        <v>2.728271824149449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24135.479736097754</v>
      </c>
      <c r="AK6" s="229">
        <f t="shared" si="18"/>
        <v>52.377343177295472</v>
      </c>
      <c r="AL6" s="229">
        <f t="shared" si="19"/>
        <v>30.855886990871326</v>
      </c>
      <c r="AM6" s="229">
        <f t="shared" si="20"/>
        <v>52.518056548298929</v>
      </c>
      <c r="AN6" s="2">
        <f t="shared" si="32"/>
        <v>30.855886990871326</v>
      </c>
      <c r="AO6" s="3">
        <f t="shared" si="21"/>
        <v>14218.392725393507</v>
      </c>
      <c r="AP6" s="227">
        <f t="shared" si="27"/>
        <v>5.9686436226731969E-3</v>
      </c>
      <c r="AQ6" s="227">
        <f t="shared" si="33"/>
        <v>2.7428803733247912E-2</v>
      </c>
      <c r="AR6" s="231">
        <f t="shared" si="28"/>
        <v>6.7442529115602209E-7</v>
      </c>
      <c r="AS6" s="228">
        <f t="shared" si="34"/>
        <v>5.5494386102637981E-2</v>
      </c>
      <c r="AT6" s="232">
        <f t="shared" si="35"/>
        <v>-1.0340496535029518E-7</v>
      </c>
      <c r="AU6" s="165">
        <f t="shared" si="36"/>
        <v>0.361944103728569</v>
      </c>
      <c r="AV6">
        <f t="shared" si="22"/>
        <v>0.98599999999999999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1.375</v>
      </c>
      <c r="F7" s="73">
        <v>13.62</v>
      </c>
      <c r="G7" s="73">
        <v>3.93</v>
      </c>
      <c r="H7" s="73">
        <v>2150</v>
      </c>
      <c r="I7" s="73">
        <v>3180</v>
      </c>
      <c r="J7" s="61"/>
      <c r="K7" s="2">
        <f t="shared" si="2"/>
        <v>53.526600000000002</v>
      </c>
      <c r="L7" s="1">
        <f t="shared" si="3"/>
        <v>54</v>
      </c>
      <c r="M7" s="234">
        <f t="shared" si="4"/>
        <v>3.9889840465642745</v>
      </c>
      <c r="N7" s="3">
        <f t="shared" si="5"/>
        <v>465.11627906976747</v>
      </c>
      <c r="O7" s="3">
        <f t="shared" si="5"/>
        <v>314.46540880503147</v>
      </c>
      <c r="P7" s="3">
        <f t="shared" si="6"/>
        <v>27906.976744186049</v>
      </c>
      <c r="Q7" s="3">
        <f t="shared" si="23"/>
        <v>18867.92452830189</v>
      </c>
      <c r="R7" s="3">
        <f t="shared" si="7"/>
        <v>60.562015503875976</v>
      </c>
      <c r="S7" s="3">
        <f t="shared" si="8"/>
        <v>40.946016771488473</v>
      </c>
      <c r="T7" s="3">
        <f t="shared" si="9"/>
        <v>54</v>
      </c>
      <c r="U7" s="158">
        <f t="shared" si="0"/>
        <v>53.526600000000002</v>
      </c>
      <c r="V7" s="229">
        <f t="shared" si="24"/>
        <v>53.294040000000003</v>
      </c>
      <c r="W7" s="234">
        <f t="shared" si="25"/>
        <v>7.1468480108880003E-2</v>
      </c>
      <c r="X7" s="230">
        <f t="shared" si="29"/>
        <v>1.3450129728224186E-2</v>
      </c>
      <c r="Y7" s="230">
        <f t="shared" si="30"/>
        <v>8.9660974444231104E-3</v>
      </c>
      <c r="Z7" s="228">
        <f t="shared" si="10"/>
        <v>0.98290060580504701</v>
      </c>
      <c r="AA7" s="229">
        <f t="shared" si="11"/>
        <v>9.5578262506065865</v>
      </c>
      <c r="AB7" s="2">
        <f t="shared" si="31"/>
        <v>17.856217750812842</v>
      </c>
      <c r="AC7" s="158">
        <f t="shared" si="12"/>
        <v>19.448205025325478</v>
      </c>
      <c r="AD7" s="175">
        <f t="shared" si="13"/>
        <v>43.758461306982326</v>
      </c>
      <c r="AE7" s="175">
        <f t="shared" si="14"/>
        <v>54.335721996049891</v>
      </c>
      <c r="AF7" s="158">
        <f t="shared" si="26"/>
        <v>2.7938682220438258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29362.972976358113</v>
      </c>
      <c r="AK7" s="233">
        <f t="shared" si="18"/>
        <v>63.721729549388265</v>
      </c>
      <c r="AL7" s="233">
        <f t="shared" si="19"/>
        <v>42.72230768627864</v>
      </c>
      <c r="AM7" s="233">
        <f t="shared" si="20"/>
        <v>63.746550246685707</v>
      </c>
      <c r="AN7" s="9">
        <f t="shared" si="32"/>
        <v>42.722307686278647</v>
      </c>
      <c r="AO7" s="10">
        <f t="shared" si="21"/>
        <v>19686.439381837201</v>
      </c>
      <c r="AP7" s="230">
        <f t="shared" si="27"/>
        <v>9.9417664025168856E-3</v>
      </c>
      <c r="AQ7" s="230">
        <f t="shared" si="33"/>
        <v>5.5582600573946747E-2</v>
      </c>
      <c r="AR7" s="232">
        <f t="shared" si="28"/>
        <v>8.456619082855995E-7</v>
      </c>
      <c r="AS7" s="228">
        <f t="shared" si="34"/>
        <v>4.425742384527083E-2</v>
      </c>
      <c r="AT7" s="232">
        <f t="shared" si="35"/>
        <v>-1.6647421721325045E-7</v>
      </c>
      <c r="AU7" s="165">
        <f t="shared" si="36"/>
        <v>0.22482050452805705</v>
      </c>
      <c r="AV7">
        <f t="shared" si="22"/>
        <v>1.375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1.49</v>
      </c>
      <c r="F8" s="73">
        <v>13.54</v>
      </c>
      <c r="G8" s="73">
        <v>4.6100000000000003</v>
      </c>
      <c r="H8" s="73">
        <v>2020</v>
      </c>
      <c r="I8" s="73">
        <v>2850</v>
      </c>
      <c r="J8" s="61"/>
      <c r="K8" s="2">
        <f t="shared" si="2"/>
        <v>62.419400000000003</v>
      </c>
      <c r="L8" s="1">
        <f t="shared" si="3"/>
        <v>64</v>
      </c>
      <c r="M8" s="234">
        <f t="shared" si="4"/>
        <v>4.1588830833596715</v>
      </c>
      <c r="N8" s="3">
        <f t="shared" si="5"/>
        <v>495.04950495049508</v>
      </c>
      <c r="O8" s="3">
        <f t="shared" si="5"/>
        <v>350.87719298245611</v>
      </c>
      <c r="P8" s="3">
        <f t="shared" si="6"/>
        <v>29702.970297029704</v>
      </c>
      <c r="Q8" s="3">
        <f t="shared" si="23"/>
        <v>21052.631578947367</v>
      </c>
      <c r="R8" s="3">
        <f t="shared" si="7"/>
        <v>64.459570957095707</v>
      </c>
      <c r="S8" s="3">
        <f t="shared" si="8"/>
        <v>45.687134502923975</v>
      </c>
      <c r="T8" s="3">
        <f t="shared" si="9"/>
        <v>64</v>
      </c>
      <c r="U8" s="158">
        <f t="shared" si="0"/>
        <v>62.419400000000003</v>
      </c>
      <c r="V8" s="229">
        <f t="shared" si="24"/>
        <v>62.186840000000004</v>
      </c>
      <c r="W8" s="234">
        <f t="shared" si="25"/>
        <v>8.3393920550480005E-2</v>
      </c>
      <c r="X8" s="230">
        <f t="shared" si="29"/>
        <v>1.4745490647947741E-2</v>
      </c>
      <c r="Y8" s="230">
        <f t="shared" si="30"/>
        <v>1.0261458364146665E-2</v>
      </c>
      <c r="Z8" s="228">
        <f t="shared" si="10"/>
        <v>1.1851433231911994</v>
      </c>
      <c r="AA8" s="229">
        <f t="shared" si="11"/>
        <v>12.654676236558226</v>
      </c>
      <c r="AB8" s="2">
        <f t="shared" si="31"/>
        <v>20.273626847675924</v>
      </c>
      <c r="AC8" s="158">
        <f t="shared" si="12"/>
        <v>21.355520448756128</v>
      </c>
      <c r="AD8" s="175">
        <f t="shared" si="13"/>
        <v>48.049921009701286</v>
      </c>
      <c r="AE8" s="175">
        <f t="shared" si="14"/>
        <v>60.627226648224074</v>
      </c>
      <c r="AF8" s="158">
        <f t="shared" si="26"/>
        <v>2.8389486827868606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31411.110347202368</v>
      </c>
      <c r="AK8" s="229">
        <f t="shared" si="18"/>
        <v>68.166472107644026</v>
      </c>
      <c r="AL8" s="229">
        <f t="shared" si="19"/>
        <v>47.37158384358515</v>
      </c>
      <c r="AM8" s="229">
        <f t="shared" si="20"/>
        <v>68.145885933021262</v>
      </c>
      <c r="AN8" s="2">
        <f t="shared" si="32"/>
        <v>47.37158384358515</v>
      </c>
      <c r="AO8" s="3">
        <f t="shared" si="21"/>
        <v>21828.825835124037</v>
      </c>
      <c r="AP8" s="227">
        <f t="shared" si="27"/>
        <v>1.1742503632012577E-2</v>
      </c>
      <c r="AQ8" s="227">
        <f t="shared" si="33"/>
        <v>7.0229451130535345E-2</v>
      </c>
      <c r="AR8" s="231">
        <f t="shared" si="28"/>
        <v>9.1275259567261368E-7</v>
      </c>
      <c r="AS8" s="228">
        <f t="shared" si="34"/>
        <v>4.1004339710714537E-2</v>
      </c>
      <c r="AT8" s="232">
        <f t="shared" si="35"/>
        <v>-1.8845056939940888E-7</v>
      </c>
      <c r="AU8" s="165">
        <f t="shared" si="36"/>
        <v>0.1986028358740195</v>
      </c>
      <c r="AV8">
        <f t="shared" si="22"/>
        <v>1.49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1.4944444444444445</v>
      </c>
      <c r="D9" s="73">
        <v>89</v>
      </c>
      <c r="E9" s="73">
        <v>1.81</v>
      </c>
      <c r="F9" s="73">
        <v>13.45</v>
      </c>
      <c r="G9" s="73">
        <v>6.61</v>
      </c>
      <c r="H9" s="73">
        <v>1770</v>
      </c>
      <c r="I9" s="73">
        <v>2400</v>
      </c>
      <c r="J9" s="61"/>
      <c r="K9" s="2">
        <f t="shared" si="2"/>
        <v>88.904499999999999</v>
      </c>
      <c r="L9" s="1">
        <f t="shared" si="3"/>
        <v>89</v>
      </c>
      <c r="M9" s="234">
        <f t="shared" si="4"/>
        <v>4.4886363697321396</v>
      </c>
      <c r="N9" s="3">
        <f t="shared" si="5"/>
        <v>564.9717514124294</v>
      </c>
      <c r="O9" s="3">
        <f t="shared" si="5"/>
        <v>416.66666666666669</v>
      </c>
      <c r="P9" s="3">
        <f t="shared" si="6"/>
        <v>33898.305084745763</v>
      </c>
      <c r="Q9" s="3">
        <f t="shared" si="23"/>
        <v>25000</v>
      </c>
      <c r="R9" s="3">
        <f t="shared" si="7"/>
        <v>73.56403013182674</v>
      </c>
      <c r="S9" s="3">
        <f t="shared" si="8"/>
        <v>54.253472222222221</v>
      </c>
      <c r="T9" s="3">
        <f t="shared" si="9"/>
        <v>89</v>
      </c>
      <c r="U9" s="158">
        <f t="shared" si="0"/>
        <v>88.904499999999999</v>
      </c>
      <c r="V9" s="229">
        <f t="shared" si="24"/>
        <v>88.671939999999992</v>
      </c>
      <c r="W9" s="234">
        <f t="shared" si="25"/>
        <v>0.11891102232268</v>
      </c>
      <c r="X9" s="230">
        <f t="shared" si="29"/>
        <v>1.8423360332542101E-2</v>
      </c>
      <c r="Y9" s="230">
        <f t="shared" si="30"/>
        <v>1.3939328048741026E-2</v>
      </c>
      <c r="Z9" s="228">
        <f t="shared" si="10"/>
        <v>1.7615914080107602</v>
      </c>
      <c r="AA9" s="229">
        <f t="shared" si="11"/>
        <v>22.932558091663331</v>
      </c>
      <c r="AB9" s="2">
        <f t="shared" si="31"/>
        <v>25.794597676904239</v>
      </c>
      <c r="AC9" s="158">
        <f t="shared" si="12"/>
        <v>26.036182950687113</v>
      </c>
      <c r="AD9" s="175">
        <f t="shared" si="13"/>
        <v>58.58141163904601</v>
      </c>
      <c r="AE9" s="175">
        <f t="shared" si="14"/>
        <v>71.994831644766094</v>
      </c>
      <c r="AF9" s="165">
        <f t="shared" si="26"/>
        <v>2.7651838128932069</v>
      </c>
      <c r="AG9" s="151"/>
      <c r="AH9" s="228">
        <f t="shared" si="15"/>
        <v>2.4722222222222223</v>
      </c>
      <c r="AI9" s="228">
        <f t="shared" si="16"/>
        <v>89</v>
      </c>
      <c r="AJ9" s="229">
        <f t="shared" si="17"/>
        <v>35386.29491397243</v>
      </c>
      <c r="AK9" s="229">
        <f t="shared" si="18"/>
        <v>76.79317472650267</v>
      </c>
      <c r="AL9" s="229">
        <f t="shared" si="19"/>
        <v>56.395261205401241</v>
      </c>
      <c r="AM9" s="229">
        <f t="shared" si="20"/>
        <v>76.684459357494774</v>
      </c>
      <c r="AN9" s="2">
        <f t="shared" si="32"/>
        <v>56.395261205401241</v>
      </c>
      <c r="AO9" s="3">
        <f t="shared" si="21"/>
        <v>25986.936363448891</v>
      </c>
      <c r="AP9" s="227">
        <f t="shared" si="27"/>
        <v>1.5629677660250689E-2</v>
      </c>
      <c r="AQ9" s="227">
        <f t="shared" si="33"/>
        <v>0.10530776525056311</v>
      </c>
      <c r="AR9" s="231">
        <f t="shared" si="28"/>
        <v>1.0429674283646799E-6</v>
      </c>
      <c r="AS9" s="228">
        <f t="shared" si="34"/>
        <v>3.5884934166620794E-2</v>
      </c>
      <c r="AT9" s="232">
        <f t="shared" si="35"/>
        <v>-2.423818103170551E-7</v>
      </c>
      <c r="AU9" s="165">
        <f t="shared" si="36"/>
        <v>0.15441264943041313</v>
      </c>
      <c r="AV9">
        <f t="shared" si="22"/>
        <v>1.81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2.16</v>
      </c>
      <c r="F10" s="73">
        <v>13.2</v>
      </c>
      <c r="G10" s="73">
        <v>10.3</v>
      </c>
      <c r="H10" s="73">
        <v>1520</v>
      </c>
      <c r="I10" s="73">
        <v>2000</v>
      </c>
      <c r="J10" s="61"/>
      <c r="K10" s="2">
        <f t="shared" si="2"/>
        <v>135.96</v>
      </c>
      <c r="L10" s="1">
        <f t="shared" si="3"/>
        <v>125</v>
      </c>
      <c r="M10" s="234">
        <f t="shared" si="4"/>
        <v>4.8283137373023015</v>
      </c>
      <c r="N10" s="3">
        <f t="shared" si="5"/>
        <v>657.89473684210532</v>
      </c>
      <c r="O10" s="3">
        <f t="shared" si="5"/>
        <v>500.00000000000006</v>
      </c>
      <c r="P10" s="3">
        <f t="shared" si="6"/>
        <v>39473.68421052632</v>
      </c>
      <c r="Q10" s="3">
        <f t="shared" si="23"/>
        <v>30000.000000000004</v>
      </c>
      <c r="R10" s="3">
        <f t="shared" si="7"/>
        <v>85.663377192982466</v>
      </c>
      <c r="S10" s="3">
        <f t="shared" si="8"/>
        <v>65.104166666666671</v>
      </c>
      <c r="T10" s="3">
        <f t="shared" si="9"/>
        <v>125</v>
      </c>
      <c r="U10" s="158">
        <f t="shared" si="0"/>
        <v>135.96</v>
      </c>
      <c r="V10" s="229">
        <f t="shared" si="24"/>
        <v>135.72744</v>
      </c>
      <c r="W10" s="234">
        <f t="shared" si="25"/>
        <v>0.18201348304368001</v>
      </c>
      <c r="X10" s="230">
        <f t="shared" si="29"/>
        <v>2.4217015261283652E-2</v>
      </c>
      <c r="Y10" s="230">
        <f t="shared" si="30"/>
        <v>1.9732982977482577E-2</v>
      </c>
      <c r="Z10" s="228">
        <f t="shared" si="10"/>
        <v>2.7815970600379454</v>
      </c>
      <c r="AA10" s="229">
        <f t="shared" si="11"/>
        <v>45.502583489373642</v>
      </c>
      <c r="AB10" s="2">
        <f t="shared" si="31"/>
        <v>33.467625396714944</v>
      </c>
      <c r="AC10" s="158">
        <f t="shared" si="12"/>
        <v>32.716876317630934</v>
      </c>
      <c r="AD10" s="175">
        <f t="shared" si="13"/>
        <v>73.612971714669598</v>
      </c>
      <c r="AE10" s="175">
        <f t="shared" si="14"/>
        <v>86.39379797371933</v>
      </c>
      <c r="AF10" s="165">
        <f t="shared" si="26"/>
        <v>2.6406493436282674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39481.11454139775</v>
      </c>
      <c r="AK10" s="229">
        <f t="shared" si="18"/>
        <v>85.679502042963861</v>
      </c>
      <c r="AL10" s="229">
        <f t="shared" si="19"/>
        <v>65.690510407563735</v>
      </c>
      <c r="AM10" s="229">
        <f t="shared" si="20"/>
        <v>85.480005189761741</v>
      </c>
      <c r="AN10" s="2">
        <f t="shared" si="32"/>
        <v>65.690510407563735</v>
      </c>
      <c r="AO10" s="3">
        <f t="shared" si="21"/>
        <v>30270.187195805367</v>
      </c>
      <c r="AP10" s="227">
        <f t="shared" si="27"/>
        <v>2.0175067830276408E-2</v>
      </c>
      <c r="AQ10" s="227">
        <f t="shared" si="33"/>
        <v>0.15166301673412258</v>
      </c>
      <c r="AR10" s="231">
        <f t="shared" si="28"/>
        <v>1.1771011380662702E-6</v>
      </c>
      <c r="AS10" s="228">
        <f t="shared" si="34"/>
        <v>3.1795753393188221E-2</v>
      </c>
      <c r="AT10" s="232">
        <f t="shared" si="35"/>
        <v>-3.1935768356596569E-7</v>
      </c>
      <c r="AU10" s="165">
        <f t="shared" si="36"/>
        <v>0.1171940411355894</v>
      </c>
      <c r="AV10">
        <f t="shared" si="22"/>
        <v>2.16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2.5299999999999998</v>
      </c>
      <c r="F11" s="73">
        <v>12.85</v>
      </c>
      <c r="G11" s="73">
        <v>15</v>
      </c>
      <c r="H11" s="73">
        <v>1364</v>
      </c>
      <c r="I11" s="73">
        <v>1740</v>
      </c>
      <c r="J11" s="61"/>
      <c r="K11" s="2">
        <f t="shared" si="2"/>
        <v>192.75</v>
      </c>
      <c r="L11" s="1">
        <f t="shared" si="3"/>
        <v>155</v>
      </c>
      <c r="M11" s="234">
        <f t="shared" si="4"/>
        <v>5.0434251169192468</v>
      </c>
      <c r="N11" s="3">
        <f t="shared" si="5"/>
        <v>733.13782991202345</v>
      </c>
      <c r="O11" s="3">
        <f t="shared" si="5"/>
        <v>574.71264367816093</v>
      </c>
      <c r="P11" s="3">
        <f t="shared" si="6"/>
        <v>43988.269794721404</v>
      </c>
      <c r="Q11" s="3">
        <f t="shared" si="23"/>
        <v>34482.758620689652</v>
      </c>
      <c r="R11" s="3">
        <f t="shared" si="7"/>
        <v>95.460654936461381</v>
      </c>
      <c r="S11" s="3">
        <f t="shared" si="8"/>
        <v>74.83237547892719</v>
      </c>
      <c r="T11" s="3">
        <f t="shared" si="9"/>
        <v>155</v>
      </c>
      <c r="U11" s="158">
        <f t="shared" si="0"/>
        <v>192.75</v>
      </c>
      <c r="V11" s="229">
        <f t="shared" si="24"/>
        <v>192.51743999999999</v>
      </c>
      <c r="W11" s="234">
        <f t="shared" si="25"/>
        <v>0.25817012242367998</v>
      </c>
      <c r="X11" s="230">
        <f t="shared" si="29"/>
        <v>3.0824342246165738E-2</v>
      </c>
      <c r="Y11" s="230">
        <f t="shared" si="30"/>
        <v>2.6340309962364663E-2</v>
      </c>
      <c r="Z11" s="228">
        <f t="shared" si="10"/>
        <v>3.8493009912054741</v>
      </c>
      <c r="AA11" s="229">
        <f t="shared" si="11"/>
        <v>74.07429631585768</v>
      </c>
      <c r="AB11" s="2">
        <f t="shared" si="31"/>
        <v>38.430244521845744</v>
      </c>
      <c r="AC11" s="158">
        <f t="shared" si="12"/>
        <v>38.487141683695697</v>
      </c>
      <c r="AD11" s="175">
        <f t="shared" si="13"/>
        <v>86.596068788315307</v>
      </c>
      <c r="AE11" s="175">
        <f t="shared" si="14"/>
        <v>99.303216061746326</v>
      </c>
      <c r="AF11" s="163">
        <f t="shared" si="26"/>
        <v>2.5801660429310118</v>
      </c>
      <c r="AG11" s="159">
        <f>$M$40/($Q$26*$Q$35*$Q$32*($AC11-$Q$45)^2/4/$AF11)/(PI()*$Q$35/60/($AC11-$Q$45))</f>
        <v>-0.39164964466171093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42074.287897747628</v>
      </c>
      <c r="AK11" s="229">
        <f t="shared" si="18"/>
        <v>91.307048389209257</v>
      </c>
      <c r="AL11" s="229">
        <f t="shared" si="19"/>
        <v>71.577019403037127</v>
      </c>
      <c r="AM11" s="229">
        <f t="shared" si="20"/>
        <v>91.050061305061263</v>
      </c>
      <c r="AN11" s="2">
        <f t="shared" si="32"/>
        <v>71.577019403037127</v>
      </c>
      <c r="AO11" s="3">
        <f t="shared" si="21"/>
        <v>32982.69054091951</v>
      </c>
      <c r="AP11" s="227">
        <f t="shared" si="27"/>
        <v>2.3337632905843876E-2</v>
      </c>
      <c r="AQ11" s="227">
        <f t="shared" si="33"/>
        <v>0.18696006963679052</v>
      </c>
      <c r="AR11" s="231">
        <f t="shared" si="28"/>
        <v>1.262045529720766E-6</v>
      </c>
      <c r="AS11" s="228">
        <f t="shared" si="34"/>
        <v>2.965567931061663E-2</v>
      </c>
      <c r="AT11" s="232">
        <f t="shared" si="35"/>
        <v>-3.8584347943088988E-7</v>
      </c>
      <c r="AU11" s="165">
        <f t="shared" si="36"/>
        <v>9.7000000000000017E-2</v>
      </c>
      <c r="AV11">
        <f t="shared" si="22"/>
        <v>2.5299999999999998</v>
      </c>
      <c r="AX11" s="127"/>
      <c r="AY11" s="96"/>
    </row>
    <row r="12" spans="1:51" ht="13.9" customHeight="1" x14ac:dyDescent="0.25">
      <c r="A12" t="s">
        <v>233</v>
      </c>
      <c r="B12" t="s">
        <v>234</v>
      </c>
      <c r="C12" s="220">
        <f t="shared" si="1"/>
        <v>1.9166666666666665</v>
      </c>
      <c r="D12" s="73">
        <v>165</v>
      </c>
      <c r="E12" s="73">
        <v>2.63</v>
      </c>
      <c r="F12" s="73">
        <v>12.75</v>
      </c>
      <c r="G12" s="73">
        <v>16.399999999999999</v>
      </c>
      <c r="H12" s="73">
        <v>1316</v>
      </c>
      <c r="I12" s="73">
        <v>1680</v>
      </c>
      <c r="J12" s="61"/>
      <c r="K12" s="2">
        <f t="shared" si="2"/>
        <v>209.1</v>
      </c>
      <c r="L12" s="1">
        <f t="shared" si="3"/>
        <v>165</v>
      </c>
      <c r="M12" s="234">
        <f t="shared" si="4"/>
        <v>5.1059454739005803</v>
      </c>
      <c r="N12" s="3">
        <f t="shared" si="5"/>
        <v>759.87841945288756</v>
      </c>
      <c r="O12" s="3">
        <f t="shared" si="5"/>
        <v>595.2380952380953</v>
      </c>
      <c r="P12" s="3">
        <f t="shared" si="6"/>
        <v>45592.705167173255</v>
      </c>
      <c r="Q12" s="3">
        <f t="shared" si="23"/>
        <v>35714.285714285717</v>
      </c>
      <c r="R12" s="3">
        <f t="shared" si="7"/>
        <v>98.942502532928074</v>
      </c>
      <c r="S12" s="3">
        <f t="shared" si="8"/>
        <v>77.504960317460316</v>
      </c>
      <c r="T12" s="3">
        <f t="shared" si="9"/>
        <v>165</v>
      </c>
      <c r="U12" s="158">
        <f t="shared" si="0"/>
        <v>209.1</v>
      </c>
      <c r="V12" s="229">
        <f t="shared" si="24"/>
        <v>208.86743999999999</v>
      </c>
      <c r="W12" s="234">
        <f t="shared" si="25"/>
        <v>0.28009583212368</v>
      </c>
      <c r="X12" s="230">
        <f t="shared" si="29"/>
        <v>3.2265321939544241E-2</v>
      </c>
      <c r="Y12" s="230">
        <f t="shared" si="30"/>
        <v>2.7781289655743165E-2</v>
      </c>
      <c r="Z12" s="163">
        <f>C32/0.224</f>
        <v>4.4249528005034611</v>
      </c>
      <c r="AA12" s="229">
        <f t="shared" si="11"/>
        <v>91.297248929319878</v>
      </c>
      <c r="AB12" s="2">
        <f t="shared" si="31"/>
        <v>43.662003313878472</v>
      </c>
      <c r="AC12" s="158">
        <f t="shared" si="12"/>
        <v>41.264733453849395</v>
      </c>
      <c r="AD12" s="175">
        <f t="shared" si="13"/>
        <v>92.845650271161119</v>
      </c>
      <c r="AE12" s="175">
        <f t="shared" si="14"/>
        <v>102.84975949252301</v>
      </c>
      <c r="AF12" s="165">
        <f t="shared" si="26"/>
        <v>2.4924372674683695</v>
      </c>
      <c r="AG12" s="151"/>
      <c r="AH12" s="228">
        <f t="shared" si="15"/>
        <v>4.583333333333333</v>
      </c>
      <c r="AI12" s="228">
        <f t="shared" si="16"/>
        <v>165</v>
      </c>
      <c r="AJ12" s="229">
        <f t="shared" si="17"/>
        <v>42827.972450569425</v>
      </c>
      <c r="AK12" s="229">
        <f t="shared" si="18"/>
        <v>92.942648547242669</v>
      </c>
      <c r="AL12" s="229">
        <f t="shared" si="19"/>
        <v>73.287884929659583</v>
      </c>
      <c r="AM12" s="229">
        <f t="shared" si="20"/>
        <v>92.668952399315344</v>
      </c>
      <c r="AN12" s="2">
        <f t="shared" si="32"/>
        <v>73.287884929659583</v>
      </c>
      <c r="AO12" s="3">
        <f t="shared" si="21"/>
        <v>33771.057375587137</v>
      </c>
      <c r="AP12" s="227">
        <f t="shared" si="27"/>
        <v>2.4298120755739505E-2</v>
      </c>
      <c r="AQ12" s="227">
        <f t="shared" si="33"/>
        <v>0.19814151681786377</v>
      </c>
      <c r="AR12" s="231">
        <f t="shared" si="28"/>
        <v>1.2867339199828632E-6</v>
      </c>
      <c r="AS12" s="228">
        <f t="shared" si="34"/>
        <v>2.9086679789474098E-2</v>
      </c>
      <c r="AT12" s="232">
        <f t="shared" si="35"/>
        <v>-4.178472760868615E-7</v>
      </c>
      <c r="AU12" s="165">
        <f t="shared" si="36"/>
        <v>8.9570567158647918E-2</v>
      </c>
      <c r="AV12">
        <f t="shared" si="22"/>
        <v>2.63</v>
      </c>
      <c r="AX12" s="127"/>
      <c r="AY12" s="96"/>
    </row>
    <row r="13" spans="1:51" ht="13.9" customHeight="1" x14ac:dyDescent="0.25">
      <c r="AE13" s="45"/>
      <c r="AF13" s="30"/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E24" s="61"/>
      <c r="F24" s="189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E25" s="61"/>
      <c r="F25" s="189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E26" s="61"/>
      <c r="F26" s="61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E27" s="61"/>
      <c r="F27" s="61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E28" s="61"/>
      <c r="F28" s="61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E29" s="61"/>
      <c r="F29" s="61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E30" s="61"/>
      <c r="F30" s="61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E31" s="61"/>
      <c r="F31" s="6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E32" s="61"/>
      <c r="F32" s="61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E33" s="61"/>
      <c r="F33" s="61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E34" s="61"/>
      <c r="F34" s="61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F36" s="291"/>
      <c r="G36" s="291" t="s">
        <v>305</v>
      </c>
      <c r="H36" s="291"/>
      <c r="I36" s="292" t="s">
        <v>304</v>
      </c>
      <c r="J36" s="292"/>
      <c r="K36" s="292"/>
      <c r="L36" s="292"/>
      <c r="M36" s="291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63" t="s">
        <v>298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68.268656716417908</v>
      </c>
      <c r="J38" s="253">
        <f t="shared" ref="J38:J43" si="37">(I38*$Q$29*$R$42+$Q$42)/$Q$29</f>
        <v>87.919552912327518</v>
      </c>
      <c r="K38" s="242">
        <v>0</v>
      </c>
      <c r="L38" s="213"/>
      <c r="M38" s="216"/>
      <c r="P38" s="226" t="s">
        <v>303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7"/>
        <v>81.987892958210892</v>
      </c>
      <c r="K39" s="243">
        <v>0.03</v>
      </c>
      <c r="L39" s="249"/>
      <c r="M39" s="250"/>
      <c r="P39" s="65" t="s">
        <v>121</v>
      </c>
      <c r="Q39" s="205">
        <f>INDEX(LINEST($Q$4:$Q$12,$E$4:$E$12^{1,2},FALSE,FALSE),3)</f>
        <v>0</v>
      </c>
      <c r="R39" s="205">
        <f>INDEX(LINEST($Q$4:$Q$12,$E$4:$E$12^{1,2},FALSE,FALSE),2)</f>
        <v>14097.771731602206</v>
      </c>
      <c r="S39" s="205">
        <f>INDEX(LINEST($Q$4:$Q$12,$E$4:$E$12^{1,2},FALSE,FALSE),1)</f>
        <v>-170.64691628431734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7"/>
        <v>68.74051906068371</v>
      </c>
      <c r="K40" s="243">
        <v>9.7000000000000003E-2</v>
      </c>
      <c r="L40" s="251">
        <f>$Q$34/K40</f>
        <v>3.8584347943088994E-7</v>
      </c>
      <c r="M40" s="252">
        <f>-L40/$Q$33</f>
        <v>-5.2304942071651441E-7</v>
      </c>
      <c r="N40" s="265" t="s">
        <v>291</v>
      </c>
      <c r="P40" s="65" t="s">
        <v>21</v>
      </c>
      <c r="Q40" s="205">
        <f>INDEX(LINEST($P$3:$P$12,$M$3:$M$12),2)</f>
        <v>-18724.334942336216</v>
      </c>
      <c r="R40" s="67">
        <f>INDEX(LINEST($P$3:$P$12,$M$3:$M$12),1)</f>
        <v>12055.026381996211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7"/>
        <v>46.976976229031941</v>
      </c>
      <c r="K41" s="243">
        <v>0.28699999999999998</v>
      </c>
      <c r="L41" s="61"/>
      <c r="M41" s="250"/>
      <c r="P41" s="65" t="s">
        <v>122</v>
      </c>
      <c r="Q41" s="205">
        <f>INDEX(LINEST($Q$4:$Q$12,$P$4:$P$12),2)</f>
        <v>-11027.728734164943</v>
      </c>
      <c r="R41" s="69">
        <f>INDEX(LINEST($Q$4:$Q$12,$P$4:$P$12),1)</f>
        <v>1.0460169731699838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7"/>
        <v>38.460807294907333</v>
      </c>
      <c r="K42" s="243">
        <v>0.442</v>
      </c>
      <c r="L42" s="61"/>
      <c r="M42" s="250"/>
      <c r="P42" s="65" t="s">
        <v>123</v>
      </c>
      <c r="Q42" s="205">
        <f>INDEX(LINEST($P$4:$P$12,$Q$4:$Q$12),2)</f>
        <v>10746.294410658422</v>
      </c>
      <c r="R42" s="69">
        <f>INDEX(LINEST($P$4:$P$12,$Q$4:$Q$12),1)</f>
        <v>0.94624099268051187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12.63225806451613</v>
      </c>
      <c r="J43" s="257">
        <f t="shared" si="37"/>
        <v>35.27411182278329</v>
      </c>
      <c r="K43" s="246">
        <v>0.5</v>
      </c>
      <c r="L43" s="255"/>
      <c r="M43" s="256"/>
      <c r="P43" s="65" t="s">
        <v>180</v>
      </c>
      <c r="Q43" s="206">
        <f>AG11</f>
        <v>-0.39164964466171093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AF11</f>
        <v>2.5801660429310118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-7.6812898247126914E-4</v>
      </c>
      <c r="K46" s="180">
        <f>INDEX(LINEST($Y$3:$Y$12,$P$3:$P$12^{1,2}),2)</f>
        <v>-1.1617886897542261E-7</v>
      </c>
      <c r="L46" s="180">
        <f>INDEX(LINEST($Y$3:$Y$12,$P$3:$P$12^{1,2}),1)</f>
        <v>1.6378463754938197E-11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21.690322580645159</v>
      </c>
      <c r="S49" s="258">
        <f ca="1">J53</f>
        <v>37.347368421052636</v>
      </c>
      <c r="T49" s="258">
        <f ca="1">J52</f>
        <v>50.507462686567166</v>
      </c>
      <c r="U49" s="259">
        <f ca="1">J51</f>
        <v>64.089552238805979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8">FORECAST(I50,OFFSET(MeasNt,MATCH(I50,MeasTauT,1)-1,0,2),OFFSET(MeasTauT,MATCH(I50,MeasTauT,1)-1,0,2))</f>
        <v>68.268656716417922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8"/>
        <v>64.089552238805979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8"/>
        <v>50.507462686567166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8"/>
        <v>37.347368421052636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8"/>
        <v>21.690322580645159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8"/>
        <v>12.632258064516126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120" zoomScaleNormal="12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63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1.0441660832977144</v>
      </c>
      <c r="D2" s="262">
        <f>EXP((0-$Q$41)/$R$41)</f>
        <v>7.9498949935886039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7.9498949935886039</v>
      </c>
      <c r="M2" s="234">
        <f t="shared" ref="M2:M13" si="4">LN(L2)</f>
        <v>2.0731587202253747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7.9498949935886039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0.22083041648857232</v>
      </c>
      <c r="AI2" s="228">
        <f t="shared" ref="AI2:AI13" si="16">AH2/$Q$23*$Q$31</f>
        <v>7.9498949935886039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-13.201529283470483</v>
      </c>
      <c r="AM2" s="229">
        <f t="shared" ref="AM2:AM13" si="20">($Q$43+$R$43*AL2*$Q$30)/$Q$30</f>
        <v>0.11926731804567343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63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zoomScale="90" zoomScaleNormal="90" workbookViewId="0">
      <selection activeCell="D2" sqref="D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63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7" zoomScale="90" zoomScaleNormal="90" workbookViewId="0">
      <selection activeCell="E11" sqref="E1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1.050360410369428</v>
      </c>
      <c r="D2" s="262">
        <f>EXP((0-$Q$42)/$R$42)</f>
        <v>9.0648738664970399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9.0648738664970399</v>
      </c>
      <c r="M2" s="234">
        <f t="shared" ref="M2:M14" si="4">LN(L2)</f>
        <v>2.2044069297688109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9.0648738664970399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0.25180205184714</v>
      </c>
      <c r="AI2" s="228">
        <f t="shared" ref="AI2:AI15" si="15">AH2/$Q$24*$Q$32</f>
        <v>9.0648738664970399</v>
      </c>
      <c r="AJ2" s="229">
        <f t="shared" ref="AJ2:AJ15" si="16">MAX(($Q$42+$R$42*LN($AI2)),0)</f>
        <v>0</v>
      </c>
      <c r="AK2" s="229">
        <f t="shared" ref="AK2:AK15" si="17">MAX(($Q$42+$R$42*LN(AI2))/$Q$31,0)</f>
        <v>0</v>
      </c>
      <c r="AL2" s="229">
        <f t="shared" ref="AL2:AL15" si="18">($Q$43+$R$43*AK2*$Q$31)/$Q$31</f>
        <v>-16.146309454223807</v>
      </c>
      <c r="AM2" s="229">
        <f t="shared" ref="AM2:AM15" si="19">($Q$44+$R$44*AL2*$Q$31)/$Q$31</f>
        <v>0.24761795835338773</v>
      </c>
      <c r="AN2" s="1"/>
      <c r="AO2" s="1">
        <f t="shared" ref="AO2:AO15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294</v>
      </c>
      <c r="K39" s="263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ht="14.45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ht="14.45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3"/>
    <row r="22" spans="1:50" ht="13.9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ht="14.45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ht="14.45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ht="14.45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ht="14.45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2017-01-04T20:49:26Z</dcterms:modified>
</cp:coreProperties>
</file>