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1.xml" ContentType="application/vnd.openxmlformats-officedocument.drawing+xml"/>
  <Override PartName="/xl/charts/chart6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7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activeTab="2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CalPhotonTurnigy" sheetId="4" r:id="rId8"/>
    <sheet name="TauPhotonTurnigy" sheetId="5" r:id="rId9"/>
    <sheet name="CalArduinoTurnigy" sheetId="3" r:id="rId10"/>
    <sheet name="CalArduinoHiTec" sheetId="1" r:id="rId11"/>
    <sheet name="CalPhotonHiTec" sheetId="2" r:id="rId12"/>
  </sheets>
  <definedNames>
    <definedName name="Meas_TauT__s" localSheetId="2">Ard0_Turn0_ESC0_G0b_T0a!$K$38:$K$43</definedName>
    <definedName name="Meas_TauT__s" localSheetId="3">Ard1_Turn1x_ESC1_G1b_T1a!$K$39:$K$44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Ard4_Turn4_ESC4_G4b_T4a!$K$39:$K$44</definedName>
    <definedName name="Meas_TauT__s">#REF!</definedName>
    <definedName name="MeasNt" localSheetId="2">Ard0_Turn0_ESC0_G0b_T0a!$I$38:$I$43</definedName>
    <definedName name="MeasNt" localSheetId="3">Ard1_Turn1x_ESC1_G1b_T1a!$I$39:$I$44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Ard4_Turn4_ESC4_G4b_T4a!$I$39:$I$44</definedName>
    <definedName name="MeasNt">#REF!</definedName>
    <definedName name="MeasTauT" localSheetId="2">Ard0_Turn0_ESC0_G0b_T0a!$K$38:$K$43</definedName>
    <definedName name="MeasTauT" localSheetId="3">Ard1_Turn1x_ESC1_G1b_T1a!$K$39:$K$44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Ard4_Turn4_ESC4_G4b_T4a!$K$39:$K$44</definedName>
    <definedName name="MeasTauT">#REF!</definedName>
    <definedName name="Nt" localSheetId="2">Ard0_Turn0_ESC0_G0b_T0a!$I$38:$I$43</definedName>
    <definedName name="Nt" localSheetId="3">Ard1_Turn1x_ESC1_G1b_T1a!$I$39:$I$44</definedName>
    <definedName name="Nt" localSheetId="4">Ard2_Turn2_ESC2_G2b_T2a!$I$38:$I$43</definedName>
    <definedName name="Nt" localSheetId="5">Ard3_Turn3_ESC3_G3b_T3a!$I$39:$I$44</definedName>
    <definedName name="Nt" localSheetId="6">Ard4_Turn4_ESC4_G4b_T4a!$I$39:$I$44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Q40" i="14" l="1"/>
  <c r="AV12" i="14"/>
  <c r="AH12" i="14"/>
  <c r="AI12" i="14" s="1"/>
  <c r="O12" i="14"/>
  <c r="Q12" i="14" s="1"/>
  <c r="AE12" i="14" s="1"/>
  <c r="N12" i="14"/>
  <c r="P12" i="14" s="1"/>
  <c r="L12" i="14"/>
  <c r="T12" i="14" s="1"/>
  <c r="K12" i="14"/>
  <c r="U12" i="14" s="1"/>
  <c r="W12" i="14" s="1"/>
  <c r="C12" i="14"/>
  <c r="X12" i="14" l="1"/>
  <c r="Y12" i="14" s="1"/>
  <c r="M12" i="14"/>
  <c r="Z12" i="14"/>
  <c r="R12" i="14"/>
  <c r="V12" i="14"/>
  <c r="S12" i="14"/>
  <c r="Z3" i="15"/>
  <c r="AE69" i="15" s="1"/>
  <c r="Z4" i="15"/>
  <c r="AE70" i="15" s="1"/>
  <c r="Z5" i="15"/>
  <c r="AE71" i="15" s="1"/>
  <c r="Z6" i="15"/>
  <c r="AE72" i="15" s="1"/>
  <c r="Z7" i="15"/>
  <c r="AE73" i="15" s="1"/>
  <c r="Z8" i="15"/>
  <c r="AE74" i="15" s="1"/>
  <c r="Z9" i="15"/>
  <c r="AE75" i="15" s="1"/>
  <c r="Z10" i="15"/>
  <c r="AE76" i="15" s="1"/>
  <c r="Z11" i="15"/>
  <c r="AE77" i="15" s="1"/>
  <c r="Z12" i="15"/>
  <c r="AE78" i="15" s="1"/>
  <c r="Z13" i="15"/>
  <c r="AE79" i="15" s="1"/>
  <c r="Z14" i="15"/>
  <c r="AE80" i="15" s="1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K10" i="15"/>
  <c r="AE38" i="15" s="1"/>
  <c r="K11" i="15"/>
  <c r="AE39" i="15" s="1"/>
  <c r="K12" i="15"/>
  <c r="AE40" i="15" s="1"/>
  <c r="K13" i="15"/>
  <c r="AE41" i="15" s="1"/>
  <c r="K14" i="15"/>
  <c r="AE42" i="15" s="1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A12" i="14" l="1"/>
  <c r="AB12" i="14" s="1"/>
  <c r="AC12" i="14"/>
  <c r="AC5" i="15"/>
  <c r="AC10" i="15"/>
  <c r="AC13" i="15"/>
  <c r="AC3" i="15"/>
  <c r="AC8" i="15"/>
  <c r="AC11" i="15"/>
  <c r="AD11" i="15" s="1"/>
  <c r="X8" i="15"/>
  <c r="AC6" i="15"/>
  <c r="AD6" i="15" s="1"/>
  <c r="AC9" i="15"/>
  <c r="AD9" i="15" s="1"/>
  <c r="AC14" i="15"/>
  <c r="AD14" i="15" s="1"/>
  <c r="X10" i="15"/>
  <c r="AC4" i="15"/>
  <c r="AD4" i="15" s="1"/>
  <c r="AC7" i="15"/>
  <c r="AC12" i="15"/>
  <c r="AD12" i="15" s="1"/>
  <c r="X4" i="15"/>
  <c r="X12" i="15"/>
  <c r="X6" i="15"/>
  <c r="X14" i="15"/>
  <c r="X3" i="15"/>
  <c r="X5" i="15"/>
  <c r="Y5" i="15" s="1"/>
  <c r="X7" i="15"/>
  <c r="X9" i="15"/>
  <c r="Y9" i="15" s="1"/>
  <c r="X11" i="15"/>
  <c r="Y11" i="15" s="1"/>
  <c r="X13" i="15"/>
  <c r="S5" i="15"/>
  <c r="S9" i="15"/>
  <c r="S3" i="15"/>
  <c r="S7" i="15"/>
  <c r="S11" i="15"/>
  <c r="S13" i="15"/>
  <c r="S4" i="15"/>
  <c r="S6" i="15"/>
  <c r="T6" i="15" s="1"/>
  <c r="S8" i="15"/>
  <c r="S10" i="15"/>
  <c r="S12" i="15"/>
  <c r="I9" i="15"/>
  <c r="N5" i="15"/>
  <c r="N7" i="15"/>
  <c r="N9" i="15"/>
  <c r="N11" i="15"/>
  <c r="N13" i="15"/>
  <c r="I3" i="15"/>
  <c r="I11" i="15"/>
  <c r="N3" i="15"/>
  <c r="I5" i="15"/>
  <c r="N4" i="15"/>
  <c r="N6" i="15"/>
  <c r="O6" i="15" s="1"/>
  <c r="N8" i="15"/>
  <c r="N10" i="15"/>
  <c r="N12" i="15"/>
  <c r="N14" i="15"/>
  <c r="O14" i="15" s="1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AD12" i="14" l="1"/>
  <c r="AF12" i="14"/>
  <c r="AG12" i="14" s="1"/>
  <c r="AD13" i="15"/>
  <c r="AD10" i="15"/>
  <c r="Y13" i="15"/>
  <c r="AD7" i="15"/>
  <c r="AD8" i="15"/>
  <c r="AD5" i="15"/>
  <c r="Y12" i="15"/>
  <c r="Y7" i="15"/>
  <c r="O10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12" i="15"/>
  <c r="O4" i="15"/>
  <c r="O9" i="15"/>
  <c r="T12" i="15"/>
  <c r="T4" i="15"/>
  <c r="T7" i="15"/>
  <c r="O8" i="15"/>
  <c r="O13" i="15"/>
  <c r="O5" i="15"/>
  <c r="E18" i="15"/>
  <c r="E15" i="15"/>
  <c r="E13" i="15"/>
  <c r="J12" i="15"/>
  <c r="J4" i="15"/>
  <c r="O11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5" i="14"/>
  <c r="R50" i="14" s="1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H11" i="14" s="1"/>
  <c r="AI11" i="14" s="1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G5" i="15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U3" i="14"/>
  <c r="O3" i="14"/>
  <c r="Q3" i="14" s="1"/>
  <c r="N3" i="14"/>
  <c r="P3" i="14" s="1"/>
  <c r="G3" i="15" s="1"/>
  <c r="L3" i="14"/>
  <c r="T3" i="14" s="1"/>
  <c r="K3" i="14"/>
  <c r="C3" i="14"/>
  <c r="AV2" i="14"/>
  <c r="AE2" i="14"/>
  <c r="O2" i="14"/>
  <c r="N2" i="14"/>
  <c r="P2" i="14" s="1"/>
  <c r="K2" i="14"/>
  <c r="U2" i="14" s="1"/>
  <c r="W2" i="14" s="1"/>
  <c r="AV1" i="14"/>
  <c r="U1" i="14"/>
  <c r="R11" i="14" l="1"/>
  <c r="R6" i="14"/>
  <c r="G6" i="15"/>
  <c r="M3" i="14"/>
  <c r="AF22" i="15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3" i="14"/>
  <c r="R40" i="14"/>
  <c r="Q43" i="14"/>
  <c r="S40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Q42" i="14"/>
  <c r="R4" i="14"/>
  <c r="R42" i="14"/>
  <c r="W5" i="14"/>
  <c r="X5" i="14" s="1"/>
  <c r="V7" i="14"/>
  <c r="V8" i="14"/>
  <c r="W11" i="14"/>
  <c r="X11" i="14" s="1"/>
  <c r="Y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0" i="14" l="1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5" s="1"/>
  <c r="AF41" i="15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Q33" i="13"/>
  <c r="Q32" i="13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O14" i="13"/>
  <c r="Q14" i="13" s="1"/>
  <c r="AE14" i="13" s="1"/>
  <c r="N14" i="13"/>
  <c r="P14" i="13" s="1"/>
  <c r="L14" i="15" s="1"/>
  <c r="L14" i="13"/>
  <c r="M14" i="13" s="1"/>
  <c r="K14" i="13"/>
  <c r="U14" i="13" s="1"/>
  <c r="C14" i="13"/>
  <c r="O12" i="13"/>
  <c r="Q12" i="13" s="1"/>
  <c r="N12" i="13"/>
  <c r="P12" i="13" s="1"/>
  <c r="L12" i="15" s="1"/>
  <c r="L12" i="13"/>
  <c r="T12" i="13" s="1"/>
  <c r="K12" i="13"/>
  <c r="U12" i="13" s="1"/>
  <c r="C12" i="13"/>
  <c r="O11" i="13"/>
  <c r="Q11" i="13" s="1"/>
  <c r="AE11" i="13" s="1"/>
  <c r="N11" i="13"/>
  <c r="P11" i="13" s="1"/>
  <c r="L11" i="15" s="1"/>
  <c r="L11" i="13"/>
  <c r="M11" i="13" s="1"/>
  <c r="K11" i="13"/>
  <c r="U11" i="13" s="1"/>
  <c r="C11" i="13"/>
  <c r="O10" i="13"/>
  <c r="Q10" i="13" s="1"/>
  <c r="N10" i="13"/>
  <c r="P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AF42" i="15" l="1"/>
  <c r="M14" i="15"/>
  <c r="M13" i="15" s="1"/>
  <c r="R2" i="13"/>
  <c r="L2" i="15"/>
  <c r="AF30" i="15" s="1"/>
  <c r="R41" i="13"/>
  <c r="Q41" i="13"/>
  <c r="S41" i="13"/>
  <c r="M5" i="15"/>
  <c r="AF33" i="15"/>
  <c r="AF37" i="15"/>
  <c r="M9" i="15"/>
  <c r="T10" i="13"/>
  <c r="AF39" i="15"/>
  <c r="M11" i="15"/>
  <c r="AF34" i="15"/>
  <c r="M6" i="15"/>
  <c r="AF40" i="15"/>
  <c r="M12" i="15"/>
  <c r="AC14" i="13"/>
  <c r="AD14" i="13" s="1"/>
  <c r="R10" i="13"/>
  <c r="L10" i="15"/>
  <c r="R3" i="13"/>
  <c r="L3" i="15"/>
  <c r="AF35" i="15"/>
  <c r="M7" i="15"/>
  <c r="AF32" i="15"/>
  <c r="M4" i="15"/>
  <c r="AF36" i="15"/>
  <c r="M8" i="15"/>
  <c r="AH12" i="13"/>
  <c r="AI12" i="13" s="1"/>
  <c r="T2" i="14"/>
  <c r="M2" i="14"/>
  <c r="AK2" i="14"/>
  <c r="AL2" i="14" s="1"/>
  <c r="AM2" i="14" s="1"/>
  <c r="AJ2" i="14"/>
  <c r="AO2" i="14" s="1"/>
  <c r="AH13" i="13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N6" i="4"/>
  <c r="P6" i="4" s="1"/>
  <c r="M6" i="4"/>
  <c r="O6" i="4" s="1"/>
  <c r="B5" i="15" s="1"/>
  <c r="K6" i="4"/>
  <c r="S6" i="4" s="1"/>
  <c r="J6" i="4"/>
  <c r="T6" i="4" s="1"/>
  <c r="C6" i="4"/>
  <c r="AF5" i="15" l="1"/>
  <c r="R42" i="13"/>
  <c r="Q42" i="13"/>
  <c r="AF31" i="15"/>
  <c r="AF38" i="15"/>
  <c r="M10" i="15"/>
  <c r="Q36" i="13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J40" i="13"/>
  <c r="J43" i="13"/>
  <c r="J44" i="13"/>
  <c r="J42" i="13"/>
  <c r="Y7" i="13"/>
  <c r="L42" i="13"/>
  <c r="M42" i="13" s="1"/>
  <c r="Z10" i="13"/>
  <c r="Z6" i="13"/>
  <c r="AC6" i="13" s="1"/>
  <c r="Z8" i="13"/>
  <c r="Z11" i="13"/>
  <c r="Z7" i="13"/>
  <c r="Z12" i="13"/>
  <c r="Z9" i="13"/>
  <c r="Z5" i="13"/>
  <c r="Z3" i="13"/>
  <c r="Z4" i="13"/>
  <c r="Z2" i="13"/>
  <c r="L6" i="4"/>
  <c r="AJ9" i="13" l="1"/>
  <c r="AJ6" i="13"/>
  <c r="AJ10" i="13"/>
  <c r="AJ14" i="13"/>
  <c r="AJ3" i="13"/>
  <c r="AJ7" i="13"/>
  <c r="AJ11" i="13"/>
  <c r="AJ12" i="13"/>
  <c r="AJ5" i="13"/>
  <c r="AJ13" i="13"/>
  <c r="AJ4" i="13"/>
  <c r="AJ8" i="13"/>
  <c r="K48" i="13"/>
  <c r="AD13" i="13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3" i="13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AJ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AA14" i="15" s="1"/>
  <c r="L14" i="10"/>
  <c r="M14" i="10" s="1"/>
  <c r="K14" i="10"/>
  <c r="U14" i="10" s="1"/>
  <c r="C14" i="10"/>
  <c r="O13" i="10"/>
  <c r="Q13" i="10" s="1"/>
  <c r="N13" i="10"/>
  <c r="P13" i="10" s="1"/>
  <c r="AA13" i="15" s="1"/>
  <c r="L13" i="10"/>
  <c r="T13" i="10" s="1"/>
  <c r="K13" i="10"/>
  <c r="U13" i="10" s="1"/>
  <c r="C13" i="10"/>
  <c r="O12" i="10"/>
  <c r="Q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K11" i="10"/>
  <c r="U11" i="10" s="1"/>
  <c r="C11" i="10"/>
  <c r="O10" i="10"/>
  <c r="Q10" i="10" s="1"/>
  <c r="N10" i="10"/>
  <c r="P10" i="10" s="1"/>
  <c r="AA10" i="15" s="1"/>
  <c r="L10" i="10"/>
  <c r="T10" i="10" s="1"/>
  <c r="K10" i="10"/>
  <c r="U10" i="10" s="1"/>
  <c r="C10" i="10"/>
  <c r="O9" i="10"/>
  <c r="Q9" i="10" s="1"/>
  <c r="AE9" i="10" s="1"/>
  <c r="N9" i="10"/>
  <c r="P9" i="10" s="1"/>
  <c r="AA9" i="15" s="1"/>
  <c r="L9" i="10"/>
  <c r="M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N7" i="10"/>
  <c r="P7" i="10" s="1"/>
  <c r="AA7" i="15" s="1"/>
  <c r="L7" i="10"/>
  <c r="K7" i="10"/>
  <c r="U7" i="10" s="1"/>
  <c r="C7" i="10"/>
  <c r="O6" i="10"/>
  <c r="Q6" i="10" s="1"/>
  <c r="N6" i="10"/>
  <c r="P6" i="10" s="1"/>
  <c r="AA6" i="15" s="1"/>
  <c r="L6" i="10"/>
  <c r="T6" i="10" s="1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F71" i="15" l="1"/>
  <c r="AB5" i="15"/>
  <c r="AF75" i="15"/>
  <c r="AB9" i="15"/>
  <c r="AF79" i="15"/>
  <c r="AB13" i="15"/>
  <c r="AF72" i="15"/>
  <c r="AB6" i="15"/>
  <c r="AF76" i="15"/>
  <c r="AB10" i="15"/>
  <c r="AF80" i="15"/>
  <c r="AB14" i="15"/>
  <c r="AF70" i="15"/>
  <c r="AB4" i="15"/>
  <c r="AF69" i="15"/>
  <c r="AF73" i="15"/>
  <c r="AB7" i="15"/>
  <c r="AF77" i="15"/>
  <c r="AB11" i="15"/>
  <c r="AF74" i="15"/>
  <c r="AB8" i="15"/>
  <c r="AF78" i="15"/>
  <c r="AB12" i="15"/>
  <c r="AT13" i="13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AH6" i="9"/>
  <c r="AI6" i="9" s="1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F57" i="15" l="1"/>
  <c r="W4" i="15"/>
  <c r="AH4" i="9"/>
  <c r="AI4" i="9" s="1"/>
  <c r="R5" i="9"/>
  <c r="V5" i="15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W6" i="15"/>
  <c r="AF59" i="15"/>
  <c r="AF62" i="15"/>
  <c r="W9" i="15"/>
  <c r="AF65" i="15"/>
  <c r="W12" i="15"/>
  <c r="Q42" i="10"/>
  <c r="W10" i="15"/>
  <c r="AF63" i="15"/>
  <c r="AF66" i="15"/>
  <c r="W13" i="15"/>
  <c r="Z9" i="9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D2" i="10" l="1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9" i="10"/>
  <c r="AL9" i="10" s="1"/>
  <c r="AM9" i="10" s="1"/>
  <c r="AJ3" i="10"/>
  <c r="AO3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D2" i="9" l="1"/>
  <c r="U2" i="15" s="1"/>
  <c r="Z2" i="15"/>
  <c r="L2" i="10"/>
  <c r="C2" i="10"/>
  <c r="AH2" i="10"/>
  <c r="AI2" i="10" s="1"/>
  <c r="AF4" i="9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9" i="10"/>
  <c r="Q45" i="10" s="1"/>
  <c r="AT6" i="10" s="1"/>
  <c r="AG11" i="9"/>
  <c r="AG9" i="9"/>
  <c r="Q45" i="9" s="1"/>
  <c r="AT13" i="9" s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Q11" i="15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R7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Q4" i="15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R5" i="8" l="1"/>
  <c r="Q5" i="15"/>
  <c r="AF45" i="15"/>
  <c r="R4" i="15"/>
  <c r="AF48" i="15"/>
  <c r="R7" i="15"/>
  <c r="AF51" i="15"/>
  <c r="R10" i="15"/>
  <c r="AF52" i="15"/>
  <c r="R11" i="15"/>
  <c r="AF49" i="15"/>
  <c r="R8" i="15"/>
  <c r="R12" i="8"/>
  <c r="Q12" i="15"/>
  <c r="AF44" i="15"/>
  <c r="AF47" i="15"/>
  <c r="R6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AF54" i="15" l="1"/>
  <c r="R13" i="15"/>
  <c r="AF53" i="15"/>
  <c r="R12" i="15"/>
  <c r="AF46" i="15"/>
  <c r="R5" i="15"/>
  <c r="J40" i="8"/>
  <c r="J39" i="8"/>
  <c r="J41" i="8"/>
  <c r="J43" i="8"/>
  <c r="J42" i="8"/>
  <c r="J44" i="8"/>
  <c r="AF13" i="8"/>
  <c r="R41" i="8"/>
  <c r="Q41" i="8"/>
  <c r="D2" i="8" s="1"/>
  <c r="P2" i="15" s="1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E43" i="15" l="1"/>
  <c r="S2" i="15"/>
  <c r="T3" i="15" s="1"/>
  <c r="T2" i="15" s="1"/>
  <c r="R3" i="15"/>
  <c r="R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AF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s="1"/>
  <c r="Z8" i="14" l="1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C11" i="14" l="1"/>
  <c r="AD11" i="14" s="1"/>
  <c r="AC9" i="14"/>
  <c r="AF8" i="14"/>
  <c r="AC7" i="14"/>
  <c r="AF7" i="14" s="1"/>
  <c r="AC6" i="14"/>
  <c r="AD6" i="14" s="1"/>
  <c r="AD5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1" i="14" l="1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<sst xmlns="http://schemas.openxmlformats.org/spreadsheetml/2006/main" count="1605" uniqueCount="338">
  <si>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</si>
  <si>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</si>
  <si>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</si>
  <si>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</si>
  <si>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</si>
  <si>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</si>
  <si>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</si>
  <si>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</si>
  <si>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</si>
  <si>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</si>
  <si>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</si>
  <si>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</si>
  <si>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</si>
  <si>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</si>
  <si>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</si>
  <si>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</si>
  <si>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</si>
  <si>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</si>
  <si>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</si>
  <si>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</si>
  <si>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</si>
  <si>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</si>
  <si>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</si>
  <si>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</si>
  <si>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</si>
  <si>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</si>
  <si>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</si>
  <si>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</si>
  <si>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</si>
  <si>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</si>
  <si>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</si>
  <si>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</si>
  <si>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</si>
  <si>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</si>
  <si>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</si>
  <si>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</si>
  <si>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</si>
  <si>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</si>
  <si>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</si>
  <si>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</si>
  <si>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</si>
  <si>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</si>
  <si>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</si>
  <si>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</si>
  <si>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</si>
  <si>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</si>
  <si>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</si>
  <si>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</si>
  <si>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</si>
  <si>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</si>
  <si>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</si>
  <si>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</si>
  <si>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</si>
  <si>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</si>
  <si>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</si>
  <si>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</si>
  <si>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</si>
  <si>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</si>
  <si>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</si>
  <si>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</si>
  <si>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</si>
  <si>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</si>
  <si>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</si>
  <si>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</si>
  <si>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</si>
  <si>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</si>
  <si>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</si>
  <si>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</si>
  <si>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</si>
  <si>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</si>
  <si>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</si>
  <si>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</si>
  <si>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</si>
  <si>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</si>
  <si>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</si>
  <si>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</si>
  <si>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</si>
  <si>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</si>
  <si>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</si>
  <si>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</si>
  <si>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</si>
  <si>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</si>
  <si>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</si>
  <si>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</si>
  <si>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</si>
  <si>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</si>
  <si>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</si>
  <si>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</si>
  <si>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</si>
  <si>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</si>
  <si>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</si>
  <si>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</si>
  <si>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</si>
  <si>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</si>
  <si>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</si>
  <si>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</si>
  <si>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</si>
  <si>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</si>
  <si>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</si>
  <si>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</si>
  <si>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</si>
  <si>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</si>
  <si>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</si>
  <si>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</si>
  <si>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</si>
  <si>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</si>
  <si>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</si>
  <si>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</si>
  <si>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</si>
  <si>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</si>
  <si>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</si>
  <si>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</si>
  <si>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</si>
  <si>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</si>
  <si>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</si>
  <si>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</si>
  <si>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</si>
  <si>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</si>
  <si>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</si>
  <si>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</si>
  <si>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</si>
  <si>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</si>
  <si>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</si>
  <si>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</si>
  <si>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</si>
  <si>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</si>
  <si>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</si>
  <si>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</si>
  <si>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</si>
  <si>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</si>
  <si>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</si>
  <si>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</si>
  <si>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</si>
  <si>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</si>
  <si>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</si>
  <si>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</si>
  <si>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</si>
  <si>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</si>
  <si>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</si>
  <si>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</si>
  <si>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</si>
  <si>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</si>
  <si>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</si>
  <si>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</si>
  <si>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</si>
  <si>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</si>
  <si>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</si>
  <si>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</si>
  <si>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</si>
  <si>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</si>
  <si>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</si>
  <si>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</si>
  <si>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</si>
  <si>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</si>
  <si>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</si>
  <si>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</si>
  <si>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</si>
  <si>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</si>
  <si>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</si>
  <si>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</si>
  <si>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</si>
  <si>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</si>
  <si>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</si>
  <si>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</si>
  <si>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</si>
  <si>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</si>
  <si>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</si>
  <si>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</si>
  <si>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</si>
  <si>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</si>
  <si>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</si>
  <si>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</si>
  <si>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</si>
  <si>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</si>
  <si>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</si>
  <si>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</si>
  <si>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</si>
  <si>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</si>
  <si>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</si>
  <si>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</si>
  <si>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</si>
  <si>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</si>
  <si>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</si>
  <si>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</si>
  <si>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</si>
  <si>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</si>
  <si>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</si>
  <si>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</si>
  <si>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</si>
  <si>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</si>
  <si>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</si>
  <si>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</si>
  <si>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</si>
  <si>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</si>
  <si>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</si>
  <si>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</si>
  <si>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</si>
  <si>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</si>
  <si>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</si>
  <si>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</si>
  <si>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</si>
  <si>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</si>
  <si>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</si>
  <si>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</si>
  <si>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</si>
  <si>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</si>
  <si>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</si>
  <si>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</si>
  <si>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</si>
  <si>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</si>
  <si>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</si>
  <si>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</si>
  <si>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</si>
  <si>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</si>
  <si>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</si>
  <si>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</si>
  <si>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</si>
  <si>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</si>
  <si>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</si>
  <si>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</si>
  <si>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</si>
  <si>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</si>
  <si>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</si>
  <si>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</si>
  <si>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</si>
  <si>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</si>
  <si>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</si>
  <si>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</si>
  <si>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</si>
  <si>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</si>
  <si>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</si>
  <si>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</si>
  <si>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</si>
  <si>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</si>
  <si>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</si>
  <si>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</si>
  <si>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</si>
  <si>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</si>
  <si>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</si>
  <si>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</si>
  <si>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</si>
  <si>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</si>
  <si>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</si>
  <si>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</si>
  <si>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</si>
  <si>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</si>
  <si>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</si>
  <si>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</si>
  <si>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</si>
  <si>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</si>
  <si>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</si>
  <si>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</si>
  <si>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</si>
  <si>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</si>
  <si>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</si>
  <si>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</si>
  <si>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</si>
  <si>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</si>
  <si>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</si>
  <si>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</si>
  <si>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</si>
  <si>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</si>
  <si>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</si>
  <si>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</si>
  <si>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</si>
  <si>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</si>
  <si>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</si>
  <si>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</si>
  <si>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</si>
  <si>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</si>
  <si>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</si>
  <si>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</si>
  <si>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</si>
  <si>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</si>
  <si>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</si>
  <si>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</si>
  <si>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</si>
  <si>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</si>
  <si>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</si>
  <si>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</si>
  <si>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</si>
  <si>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</si>
  <si>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</si>
  <si>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</si>
  <si>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</si>
  <si>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</si>
  <si>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</si>
  <si>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</si>
  <si>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</si>
  <si>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</si>
  <si>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</si>
  <si>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</si>
  <si>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</si>
  <si>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</si>
  <si>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</si>
  <si>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</si>
  <si>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</si>
  <si>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</si>
  <si>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</si>
  <si>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</si>
  <si>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</si>
  <si>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</si>
  <si>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</si>
  <si>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</si>
  <si>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</si>
  <si>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</si>
  <si>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</si>
  <si>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</si>
  <si>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</si>
  <si>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</si>
  <si>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</si>
  <si>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</si>
  <si>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</si>
  <si>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</si>
  <si>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</si>
  <si>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</si>
  <si>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</si>
  <si>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</si>
  <si>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</si>
  <si>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</si>
  <si>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</si>
  <si>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</si>
  <si>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</si>
  <si>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</si>
  <si>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</si>
  <si>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</si>
  <si>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NGE_P</t>
  </si>
  <si>
    <t>P_LTALL_NG</t>
  </si>
  <si>
    <t>read off NG_ALL plot</t>
  </si>
  <si>
    <t>GE_P</t>
  </si>
  <si>
    <t>NGE_A0</t>
  </si>
  <si>
    <t>GE_A0</t>
  </si>
  <si>
    <t>NGE_A1</t>
  </si>
  <si>
    <t>GE_A1</t>
  </si>
  <si>
    <t>NGE_A3</t>
  </si>
  <si>
    <t>GE_A2</t>
  </si>
  <si>
    <t>NGE_A2</t>
  </si>
  <si>
    <t>GE_A3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</si>
</sst>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0" fillId="12" borderId="0" xfId="0" applyFill="1" applyAlignment="1">
      <alignment horizontal="center"/>
    </xf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5.3666866770453732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70</c:v>
                </c:pt>
                <c:pt idx="37" formatCode="0.00">
                  <c:v>79</c:v>
                </c:pt>
                <c:pt idx="38" formatCode="0.00">
                  <c:v>84</c:v>
                </c:pt>
                <c:pt idx="39" formatCode="0.00">
                  <c:v>121</c:v>
                </c:pt>
                <c:pt idx="40" formatCode="0.00">
                  <c:v>175</c:v>
                </c:pt>
                <c:pt idx="41" formatCode="0.00">
                  <c:v>7.9498949935886039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9.0648738664970399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28</c:v>
                </c:pt>
                <c:pt idx="71" formatCode="0.00">
                  <c:v>34</c:v>
                </c:pt>
                <c:pt idx="72" formatCode="0.00">
                  <c:v>51</c:v>
                </c:pt>
                <c:pt idx="73" formatCode="0.00">
                  <c:v>76</c:v>
                </c:pt>
                <c:pt idx="74" formatCode="0.00">
                  <c:v>91</c:v>
                </c:pt>
                <c:pt idx="75" formatCode="0.00">
                  <c:v>100</c:v>
                </c:pt>
                <c:pt idx="76" formatCode="0.00">
                  <c:v>106</c:v>
                </c:pt>
                <c:pt idx="77" formatCode="0.00">
                  <c:v>132</c:v>
                </c:pt>
                <c:pt idx="78" formatCode="0.00">
                  <c:v>178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28037.383177570096</c:v>
                </c:pt>
                <c:pt idx="37">
                  <c:v>29702.970297029704</c:v>
                </c:pt>
                <c:pt idx="38">
                  <c:v>30456.852791878177</c:v>
                </c:pt>
                <c:pt idx="39">
                  <c:v>36363.636363636368</c:v>
                </c:pt>
                <c:pt idx="40">
                  <c:v>44117.647058823532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10600.706713780919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34285.71428571429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15915.119363395226</c:v>
                </c:pt>
                <c:pt idx="71">
                  <c:v>17910.447761194031</c:v>
                </c:pt>
                <c:pt idx="72">
                  <c:v>22900.763358778626</c:v>
                </c:pt>
                <c:pt idx="73">
                  <c:v>28571.428571428572</c:v>
                </c:pt>
                <c:pt idx="74">
                  <c:v>32085.561497326202</c:v>
                </c:pt>
                <c:pt idx="75">
                  <c:v>32608.695652173916</c:v>
                </c:pt>
                <c:pt idx="76">
                  <c:v>35087.719298245618</c:v>
                </c:pt>
                <c:pt idx="77">
                  <c:v>40000</c:v>
                </c:pt>
                <c:pt idx="78">
                  <c:v>44117.647058823532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7456"/>
        <c:axId val="149059024"/>
      </c:scatterChart>
      <c:valAx>
        <c:axId val="14905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59024"/>
        <c:crosses val="autoZero"/>
        <c:crossBetween val="midCat"/>
      </c:valAx>
      <c:valAx>
        <c:axId val="14905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05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25.037331961778641</c:v>
                </c:pt>
                <c:pt idx="1">
                  <c:v>36.985692191740213</c:v>
                </c:pt>
                <c:pt idx="2">
                  <c:v>41.667072345198747</c:v>
                </c:pt>
                <c:pt idx="3">
                  <c:v>51.060927590843875</c:v>
                </c:pt>
                <c:pt idx="4">
                  <c:v>60.112494029712423</c:v>
                </c:pt>
                <c:pt idx="5">
                  <c:v>66.039650312149533</c:v>
                </c:pt>
                <c:pt idx="6">
                  <c:v>67.762329639119613</c:v>
                </c:pt>
                <c:pt idx="7">
                  <c:v>70.159831950182678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0.33108656707935058</c:v>
                </c:pt>
                <c:pt idx="1">
                  <c:v>0.22501675394097623</c:v>
                </c:pt>
                <c:pt idx="2">
                  <c:v>0.19114148238658976</c:v>
                </c:pt>
                <c:pt idx="3">
                  <c:v>0.14812247590089142</c:v>
                </c:pt>
                <c:pt idx="4">
                  <c:v>0.11840016820377734</c:v>
                </c:pt>
                <c:pt idx="5">
                  <c:v>9.6999999999999961E-2</c:v>
                </c:pt>
                <c:pt idx="6">
                  <c:v>9.1675761750727225E-2</c:v>
                </c:pt>
                <c:pt idx="7">
                  <c:v>8.3632359773953793E-2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1696"/>
        <c:axId val="151248952"/>
      </c:scatterChart>
      <c:valAx>
        <c:axId val="1512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48952"/>
        <c:crosses val="autoZero"/>
        <c:crossBetween val="midCat"/>
      </c:valAx>
      <c:valAx>
        <c:axId val="1512489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12516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25.037331961778641</c:v>
                </c:pt>
                <c:pt idx="1">
                  <c:v>36.985692191740213</c:v>
                </c:pt>
                <c:pt idx="2">
                  <c:v>41.667072345198747</c:v>
                </c:pt>
                <c:pt idx="3">
                  <c:v>51.060927590843875</c:v>
                </c:pt>
                <c:pt idx="4">
                  <c:v>60.112494029712423</c:v>
                </c:pt>
                <c:pt idx="5">
                  <c:v>66.039650312149533</c:v>
                </c:pt>
                <c:pt idx="6">
                  <c:v>67.762329639119613</c:v>
                </c:pt>
                <c:pt idx="7">
                  <c:v>70.159831950182678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0.33108656707935058</c:v>
                </c:pt>
                <c:pt idx="1">
                  <c:v>0.22501675394097623</c:v>
                </c:pt>
                <c:pt idx="2">
                  <c:v>0.19114148238658976</c:v>
                </c:pt>
                <c:pt idx="3">
                  <c:v>0.14812247590089142</c:v>
                </c:pt>
                <c:pt idx="4">
                  <c:v>0.11840016820377734</c:v>
                </c:pt>
                <c:pt idx="5">
                  <c:v>9.6999999999999961E-2</c:v>
                </c:pt>
                <c:pt idx="6">
                  <c:v>9.1675761750727225E-2</c:v>
                </c:pt>
                <c:pt idx="7">
                  <c:v>8.3632359773953793E-2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9.617737521359027</c:v>
                </c:pt>
                <c:pt idx="1">
                  <c:v>15.766211416196903</c:v>
                </c:pt>
                <c:pt idx="2">
                  <c:v>25.037331961778641</c:v>
                </c:pt>
                <c:pt idx="3">
                  <c:v>36.985692191740213</c:v>
                </c:pt>
                <c:pt idx="4">
                  <c:v>41.667072345198747</c:v>
                </c:pt>
                <c:pt idx="5">
                  <c:v>51.060927590843875</c:v>
                </c:pt>
                <c:pt idx="6">
                  <c:v>60.112494029712423</c:v>
                </c:pt>
                <c:pt idx="7">
                  <c:v>66.039650312149533</c:v>
                </c:pt>
                <c:pt idx="8">
                  <c:v>67.762329639119613</c:v>
                </c:pt>
                <c:pt idx="9">
                  <c:v>70.159831950182678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3656"/>
        <c:axId val="151251304"/>
      </c:scatterChart>
      <c:valAx>
        <c:axId val="15125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51304"/>
        <c:crosses val="autoZero"/>
        <c:crossBetween val="midCat"/>
      </c:valAx>
      <c:valAx>
        <c:axId val="1512513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1253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4832"/>
        <c:axId val="151254048"/>
      </c:scatterChart>
      <c:valAx>
        <c:axId val="1512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4048"/>
        <c:crosses val="autoZero"/>
        <c:crossBetween val="midCat"/>
      </c:valAx>
      <c:valAx>
        <c:axId val="151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5224"/>
        <c:axId val="151247776"/>
      </c:scatterChart>
      <c:valAx>
        <c:axId val="15125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247776"/>
        <c:crosses val="autoZero"/>
        <c:crossBetween val="midCat"/>
      </c:valAx>
      <c:valAx>
        <c:axId val="1512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25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9344"/>
        <c:axId val="151250128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0912"/>
        <c:axId val="151250520"/>
      </c:scatterChart>
      <c:valAx>
        <c:axId val="1512493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250128"/>
        <c:crossesAt val="-40"/>
        <c:crossBetween val="midCat"/>
        <c:majorUnit val="20"/>
      </c:valAx>
      <c:valAx>
        <c:axId val="15125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249344"/>
        <c:crosses val="autoZero"/>
        <c:crossBetween val="midCat"/>
      </c:valAx>
      <c:valAx>
        <c:axId val="15125052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250912"/>
        <c:crosses val="max"/>
        <c:crossBetween val="midCat"/>
        <c:majorUnit val="40"/>
      </c:valAx>
      <c:valAx>
        <c:axId val="1512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5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2480"/>
        <c:axId val="151148336"/>
      </c:scatterChart>
      <c:valAx>
        <c:axId val="151252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1148336"/>
        <c:crosses val="autoZero"/>
        <c:crossBetween val="midCat"/>
      </c:valAx>
      <c:valAx>
        <c:axId val="15114833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3240"/>
        <c:axId val="151149120"/>
      </c:scatterChart>
      <c:valAx>
        <c:axId val="1511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149120"/>
        <c:crosses val="autoZero"/>
        <c:crossBetween val="midCat"/>
      </c:valAx>
      <c:valAx>
        <c:axId val="15114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114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9904"/>
        <c:axId val="151143632"/>
      </c:scatterChart>
      <c:valAx>
        <c:axId val="1511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1143632"/>
        <c:crosses val="autoZero"/>
        <c:crossBetween val="midCat"/>
      </c:valAx>
      <c:valAx>
        <c:axId val="1511436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114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4024"/>
        <c:axId val="151147160"/>
      </c:scatterChart>
      <c:valAx>
        <c:axId val="15114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47160"/>
        <c:crosses val="autoZero"/>
        <c:crossBetween val="midCat"/>
      </c:valAx>
      <c:valAx>
        <c:axId val="15114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2456"/>
        <c:axId val="151147944"/>
      </c:scatterChart>
      <c:valAx>
        <c:axId val="1511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47944"/>
        <c:crosses val="autoZero"/>
        <c:crossBetween val="midCat"/>
      </c:valAx>
      <c:valAx>
        <c:axId val="1511479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11424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Approx'!$C$1</c:f>
              <c:strCache>
                <c:ptCount val="1"/>
                <c:pt idx="0">
                  <c:v>G_P</c:v>
                </c:pt>
              </c:strCache>
            </c:strRef>
          </c:tx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Approx'!$C$2:$C$18</c:f>
              <c:numCache>
                <c:formatCode>0</c:formatCode>
                <c:ptCount val="17"/>
                <c:pt idx="0">
                  <c:v>1683.2891657203099</c:v>
                </c:pt>
                <c:pt idx="1">
                  <c:v>1683.2891657203099</c:v>
                </c:pt>
                <c:pt idx="2">
                  <c:v>543.85359116022119</c:v>
                </c:pt>
                <c:pt idx="3">
                  <c:v>812.00787401574837</c:v>
                </c:pt>
                <c:pt idx="4">
                  <c:v>502.92100584201165</c:v>
                </c:pt>
                <c:pt idx="5">
                  <c:v>286.23945895129719</c:v>
                </c:pt>
                <c:pt idx="6">
                  <c:v>324.39947478180295</c:v>
                </c:pt>
                <c:pt idx="7">
                  <c:v>161.9271327902442</c:v>
                </c:pt>
                <c:pt idx="8">
                  <c:v>167.11229946524054</c:v>
                </c:pt>
                <c:pt idx="9">
                  <c:v>209.14668153931976</c:v>
                </c:pt>
                <c:pt idx="10">
                  <c:v>62.744004461795903</c:v>
                </c:pt>
                <c:pt idx="11">
                  <c:v>292.20779220779224</c:v>
                </c:pt>
                <c:pt idx="12">
                  <c:v>213.48514499199445</c:v>
                </c:pt>
                <c:pt idx="13">
                  <c:v>291.46021568056022</c:v>
                </c:pt>
                <c:pt idx="14">
                  <c:v>189.12529550827384</c:v>
                </c:pt>
                <c:pt idx="15">
                  <c:v>91.827364554637327</c:v>
                </c:pt>
                <c:pt idx="16">
                  <c:v>101.46103896103939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 Approx'!$E$1</c:f>
              <c:strCache>
                <c:ptCount val="1"/>
                <c:pt idx="0">
                  <c:v>GE_P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2848.1229083612657</c:v>
                </c:pt>
                <c:pt idx="1">
                  <c:v>2848.1229083612657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129.20453077221222</c:v>
                </c:pt>
                <c:pt idx="9">
                  <c:v>185.06523549551196</c:v>
                </c:pt>
                <c:pt idx="10">
                  <c:v>150.7764989696945</c:v>
                </c:pt>
                <c:pt idx="11">
                  <c:v>143.59279065161414</c:v>
                </c:pt>
                <c:pt idx="12">
                  <c:v>143.59279065161414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7.9498949935886039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2069.8503613693651</c:v>
                </c:pt>
                <c:pt idx="1">
                  <c:v>2069.8503613693651</c:v>
                </c:pt>
                <c:pt idx="2">
                  <c:v>36.936260326762749</c:v>
                </c:pt>
                <c:pt idx="3">
                  <c:v>516.75753784172389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7.7922077922080639</c:v>
                </c:pt>
                <c:pt idx="10">
                  <c:v>183.42151675484976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9.0648738664970399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34</c:v>
                </c:pt>
                <c:pt idx="6">
                  <c:v>51</c:v>
                </c:pt>
                <c:pt idx="7">
                  <c:v>76</c:v>
                </c:pt>
                <c:pt idx="8">
                  <c:v>91</c:v>
                </c:pt>
                <c:pt idx="9">
                  <c:v>100</c:v>
                </c:pt>
                <c:pt idx="10">
                  <c:v>106</c:v>
                </c:pt>
                <c:pt idx="11">
                  <c:v>132</c:v>
                </c:pt>
                <c:pt idx="12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4101.2871456297744</c:v>
                </c:pt>
                <c:pt idx="1">
                  <c:v>4101.2871456297744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882.08798358440526</c:v>
                </c:pt>
                <c:pt idx="5">
                  <c:v>332.5547329664675</c:v>
                </c:pt>
                <c:pt idx="6">
                  <c:v>293.54797632850557</c:v>
                </c:pt>
                <c:pt idx="7">
                  <c:v>226.82660850599785</c:v>
                </c:pt>
                <c:pt idx="8">
                  <c:v>234.27552839317528</c:v>
                </c:pt>
                <c:pt idx="9">
                  <c:v>58.126017205301551</c:v>
                </c:pt>
                <c:pt idx="10">
                  <c:v>413.17060767861705</c:v>
                </c:pt>
                <c:pt idx="11">
                  <c:v>188.93387314439931</c:v>
                </c:pt>
                <c:pt idx="12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8240"/>
        <c:axId val="149058632"/>
      </c:scatterChart>
      <c:valAx>
        <c:axId val="1490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58632"/>
        <c:crosses val="autoZero"/>
        <c:crossBetween val="midCat"/>
      </c:valAx>
      <c:valAx>
        <c:axId val="14905863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05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4416"/>
        <c:axId val="151145200"/>
      </c:scatterChart>
      <c:valAx>
        <c:axId val="1511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45200"/>
        <c:crosses val="autoZero"/>
        <c:crossBetween val="midCat"/>
      </c:valAx>
      <c:valAx>
        <c:axId val="1511452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1144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6376"/>
        <c:axId val="151147552"/>
      </c:scatterChart>
      <c:valAx>
        <c:axId val="1511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7552"/>
        <c:crosses val="autoZero"/>
        <c:crossBetween val="midCat"/>
      </c:valAx>
      <c:valAx>
        <c:axId val="151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6672"/>
        <c:axId val="207243960"/>
      </c:scatterChart>
      <c:valAx>
        <c:axId val="1490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43960"/>
        <c:crosses val="autoZero"/>
        <c:crossBetween val="midCat"/>
      </c:valAx>
      <c:valAx>
        <c:axId val="2072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0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4352"/>
        <c:axId val="20724984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0624"/>
        <c:axId val="207248272"/>
      </c:scatterChart>
      <c:valAx>
        <c:axId val="2072443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49840"/>
        <c:crossesAt val="-40"/>
        <c:crossBetween val="midCat"/>
        <c:majorUnit val="20"/>
      </c:valAx>
      <c:valAx>
        <c:axId val="207249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44352"/>
        <c:crosses val="autoZero"/>
        <c:crossBetween val="midCat"/>
      </c:valAx>
      <c:valAx>
        <c:axId val="2072482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50624"/>
        <c:crosses val="max"/>
        <c:crossBetween val="midCat"/>
        <c:majorUnit val="40"/>
      </c:valAx>
      <c:valAx>
        <c:axId val="2072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9056"/>
        <c:axId val="207248664"/>
      </c:scatterChart>
      <c:valAx>
        <c:axId val="2072490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248664"/>
        <c:crosses val="autoZero"/>
        <c:crossBetween val="midCat"/>
      </c:valAx>
      <c:valAx>
        <c:axId val="207248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72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5528"/>
        <c:axId val="207251408"/>
      </c:scatterChart>
      <c:valAx>
        <c:axId val="20724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51408"/>
        <c:crosses val="autoZero"/>
        <c:crossBetween val="midCat"/>
      </c:valAx>
      <c:valAx>
        <c:axId val="20725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24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312"/>
        <c:axId val="207247880"/>
      </c:scatterChart>
      <c:valAx>
        <c:axId val="20724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247880"/>
        <c:crosses val="autoZero"/>
        <c:crossBetween val="midCat"/>
      </c:valAx>
      <c:valAx>
        <c:axId val="2072478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7246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704"/>
        <c:axId val="207247096"/>
      </c:scatterChart>
      <c:valAx>
        <c:axId val="20724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096"/>
        <c:crosses val="autoZero"/>
        <c:crossBetween val="midCat"/>
      </c:valAx>
      <c:valAx>
        <c:axId val="20724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9448"/>
        <c:axId val="207467960"/>
      </c:scatterChart>
      <c:valAx>
        <c:axId val="20724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67960"/>
        <c:crosses val="autoZero"/>
        <c:crossBetween val="midCat"/>
      </c:valAx>
      <c:valAx>
        <c:axId val="2074679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2494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1096"/>
        <c:axId val="207468352"/>
      </c:scatterChart>
      <c:valAx>
        <c:axId val="20747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68352"/>
        <c:crosses val="autoZero"/>
        <c:crossBetween val="midCat"/>
      </c:valAx>
      <c:valAx>
        <c:axId val="2074683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471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6280"/>
        <c:axId val="150279232"/>
      </c:scatterChart>
      <c:valAx>
        <c:axId val="1490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9232"/>
        <c:crosses val="autoZero"/>
        <c:crossBetween val="midCat"/>
      </c:valAx>
      <c:valAx>
        <c:axId val="150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1488"/>
        <c:axId val="207472272"/>
      </c:scatterChart>
      <c:valAx>
        <c:axId val="2074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2272"/>
        <c:crosses val="autoZero"/>
        <c:crossBetween val="midCat"/>
      </c:valAx>
      <c:valAx>
        <c:axId val="2074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176"/>
        <c:axId val="20747188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840"/>
        <c:axId val="207472664"/>
      </c:scatterChart>
      <c:valAx>
        <c:axId val="2074671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1880"/>
        <c:crossesAt val="-40"/>
        <c:crossBetween val="midCat"/>
        <c:majorUnit val="20"/>
      </c:valAx>
      <c:valAx>
        <c:axId val="207471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67176"/>
        <c:crosses val="autoZero"/>
        <c:crossBetween val="midCat"/>
      </c:valAx>
      <c:valAx>
        <c:axId val="2074726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3840"/>
        <c:crosses val="max"/>
        <c:crossBetween val="midCat"/>
        <c:majorUnit val="40"/>
      </c:valAx>
      <c:valAx>
        <c:axId val="2074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7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9528"/>
        <c:axId val="207473056"/>
      </c:scatterChart>
      <c:valAx>
        <c:axId val="2074695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473056"/>
        <c:crosses val="autoZero"/>
        <c:crossBetween val="midCat"/>
      </c:valAx>
      <c:valAx>
        <c:axId val="20747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746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3448"/>
        <c:axId val="207474624"/>
      </c:scatterChart>
      <c:valAx>
        <c:axId val="20747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4624"/>
        <c:crosses val="autoZero"/>
        <c:crossBetween val="midCat"/>
      </c:valAx>
      <c:valAx>
        <c:axId val="20747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4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0704"/>
        <c:axId val="208882192"/>
      </c:scatterChart>
      <c:valAx>
        <c:axId val="2074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882192"/>
        <c:crosses val="autoZero"/>
        <c:crossBetween val="midCat"/>
      </c:valAx>
      <c:valAx>
        <c:axId val="2088821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747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2584"/>
        <c:axId val="208881016"/>
      </c:scatterChart>
      <c:valAx>
        <c:axId val="20888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1016"/>
        <c:crosses val="autoZero"/>
        <c:crossBetween val="midCat"/>
      </c:valAx>
      <c:valAx>
        <c:axId val="2088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1408"/>
        <c:axId val="208883760"/>
      </c:scatterChart>
      <c:valAx>
        <c:axId val="2088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3760"/>
        <c:crosses val="autoZero"/>
        <c:crossBetween val="midCat"/>
      </c:valAx>
      <c:valAx>
        <c:axId val="2088837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8814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0624"/>
        <c:axId val="208881800"/>
      </c:scatterChart>
      <c:valAx>
        <c:axId val="20888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1800"/>
        <c:crosses val="autoZero"/>
        <c:crossBetween val="midCat"/>
      </c:valAx>
      <c:valAx>
        <c:axId val="2088818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8806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8368"/>
        <c:axId val="208718760"/>
      </c:scatterChart>
      <c:valAx>
        <c:axId val="2087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18760"/>
        <c:crosses val="autoZero"/>
        <c:crossBetween val="midCat"/>
      </c:valAx>
      <c:valAx>
        <c:axId val="2087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7584"/>
        <c:axId val="20872189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9152"/>
        <c:axId val="208721112"/>
      </c:scatterChart>
      <c:valAx>
        <c:axId val="2087175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21896"/>
        <c:crossesAt val="-40"/>
        <c:crossBetween val="midCat"/>
        <c:majorUnit val="20"/>
      </c:valAx>
      <c:valAx>
        <c:axId val="208721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17584"/>
        <c:crosses val="autoZero"/>
        <c:crossBetween val="midCat"/>
      </c:valAx>
      <c:valAx>
        <c:axId val="2087211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19152"/>
        <c:crosses val="max"/>
        <c:crossBetween val="midCat"/>
        <c:majorUnit val="40"/>
      </c:valAx>
      <c:valAx>
        <c:axId val="20871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2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Ard0_Turn0_ESC0_G0b_T0a!$P$4:$P$13</c:f>
              <c:numCache>
                <c:formatCode>0</c:formatCode>
                <c:ptCount val="10"/>
                <c:pt idx="0">
                  <c:v>14851.485148514852</c:v>
                </c:pt>
                <c:pt idx="1">
                  <c:v>16304.347826086958</c:v>
                </c:pt>
                <c:pt idx="2">
                  <c:v>20134.228187919463</c:v>
                </c:pt>
                <c:pt idx="3">
                  <c:v>25104.602510460249</c:v>
                </c:pt>
                <c:pt idx="4">
                  <c:v>27649.76958525346</c:v>
                </c:pt>
                <c:pt idx="5">
                  <c:v>32258.06451612903</c:v>
                </c:pt>
                <c:pt idx="6">
                  <c:v>37037.037037037036</c:v>
                </c:pt>
                <c:pt idx="7">
                  <c:v>41958.041958041955</c:v>
                </c:pt>
                <c:pt idx="8">
                  <c:v>43478.260869565223</c:v>
                </c:pt>
                <c:pt idx="9">
                  <c:v>43859.649122807015</c:v>
                </c:pt>
              </c:numCache>
            </c:numRef>
          </c:xVal>
          <c:yVal>
            <c:numRef>
              <c:f>Ard0_Turn0_ESC0_G0b_T0a!$Q$4:$Q$13</c:f>
              <c:numCache>
                <c:formatCode>0</c:formatCode>
                <c:ptCount val="10"/>
                <c:pt idx="0">
                  <c:v>882.35294117647061</c:v>
                </c:pt>
                <c:pt idx="1">
                  <c:v>7058.8235294117649</c:v>
                </c:pt>
                <c:pt idx="2">
                  <c:v>11070.110701107011</c:v>
                </c:pt>
                <c:pt idx="3">
                  <c:v>16042.780748663101</c:v>
                </c:pt>
                <c:pt idx="4">
                  <c:v>18404.907975460123</c:v>
                </c:pt>
                <c:pt idx="5">
                  <c:v>22304.832713754648</c:v>
                </c:pt>
                <c:pt idx="6">
                  <c:v>27149.321266968327</c:v>
                </c:pt>
                <c:pt idx="7">
                  <c:v>31578.947368421057</c:v>
                </c:pt>
                <c:pt idx="8">
                  <c:v>33057.85123966942</c:v>
                </c:pt>
                <c:pt idx="9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3936"/>
        <c:axId val="150279624"/>
      </c:scatterChart>
      <c:valAx>
        <c:axId val="1502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79624"/>
        <c:crosses val="autoZero"/>
        <c:crossBetween val="midCat"/>
      </c:valAx>
      <c:valAx>
        <c:axId val="1502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9936"/>
        <c:axId val="208720720"/>
      </c:scatterChart>
      <c:valAx>
        <c:axId val="208719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720720"/>
        <c:crosses val="autoZero"/>
        <c:crossBetween val="midCat"/>
      </c:valAx>
      <c:valAx>
        <c:axId val="20872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871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1504"/>
        <c:axId val="208722680"/>
      </c:scatterChart>
      <c:valAx>
        <c:axId val="2087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22680"/>
        <c:crosses val="autoZero"/>
        <c:crossBetween val="midCat"/>
      </c:valAx>
      <c:valAx>
        <c:axId val="208722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7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7192"/>
        <c:axId val="208716408"/>
      </c:scatterChart>
      <c:valAx>
        <c:axId val="20871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716408"/>
        <c:crosses val="autoZero"/>
        <c:crossBetween val="midCat"/>
      </c:valAx>
      <c:valAx>
        <c:axId val="2087164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8717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3464"/>
        <c:axId val="208716800"/>
      </c:scatterChart>
      <c:valAx>
        <c:axId val="2087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16800"/>
        <c:crosses val="autoZero"/>
        <c:crossBetween val="midCat"/>
      </c:valAx>
      <c:valAx>
        <c:axId val="208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2984"/>
        <c:axId val="209145536"/>
      </c:scatterChart>
      <c:valAx>
        <c:axId val="20915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5536"/>
        <c:crosses val="autoZero"/>
        <c:crossBetween val="midCat"/>
      </c:valAx>
      <c:valAx>
        <c:axId val="209145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9152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5928"/>
        <c:axId val="209147888"/>
      </c:scatterChart>
      <c:valAx>
        <c:axId val="2091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7888"/>
        <c:crosses val="autoZero"/>
        <c:crossBetween val="midCat"/>
      </c:valAx>
      <c:valAx>
        <c:axId val="2091478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91459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6712"/>
        <c:axId val="209148280"/>
      </c:scatterChart>
      <c:valAx>
        <c:axId val="2091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280"/>
        <c:crosses val="autoZero"/>
        <c:crossBetween val="midCat"/>
      </c:valAx>
      <c:valAx>
        <c:axId val="2091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9456"/>
        <c:axId val="20915024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7104"/>
        <c:axId val="209150632"/>
      </c:scatterChart>
      <c:valAx>
        <c:axId val="209149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0240"/>
        <c:crossesAt val="-40"/>
        <c:crossBetween val="midCat"/>
        <c:majorUnit val="20"/>
      </c:valAx>
      <c:valAx>
        <c:axId val="209150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9456"/>
        <c:crosses val="autoZero"/>
        <c:crossBetween val="midCat"/>
      </c:valAx>
      <c:valAx>
        <c:axId val="2091506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7104"/>
        <c:crosses val="max"/>
        <c:crossBetween val="midCat"/>
        <c:majorUnit val="40"/>
      </c:valAx>
      <c:valAx>
        <c:axId val="2091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5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024"/>
        <c:axId val="209152200"/>
      </c:scatterChart>
      <c:valAx>
        <c:axId val="209151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152200"/>
        <c:crosses val="autoZero"/>
        <c:crossBetween val="midCat"/>
      </c:valAx>
      <c:valAx>
        <c:axId val="209152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5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416"/>
        <c:axId val="209151808"/>
      </c:scatterChart>
      <c:valAx>
        <c:axId val="2091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808"/>
        <c:crosses val="autoZero"/>
        <c:crossBetween val="midCat"/>
      </c:valAx>
      <c:valAx>
        <c:axId val="209151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3544"/>
        <c:axId val="150278448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8840"/>
        <c:axId val="150280800"/>
      </c:scatterChart>
      <c:valAx>
        <c:axId val="1502835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78448"/>
        <c:crossesAt val="-40"/>
        <c:crossBetween val="midCat"/>
        <c:majorUnit val="20"/>
      </c:valAx>
      <c:valAx>
        <c:axId val="1502784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83544"/>
        <c:crosses val="autoZero"/>
        <c:crossBetween val="midCat"/>
      </c:valAx>
      <c:valAx>
        <c:axId val="1502808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78840"/>
        <c:crosses val="max"/>
        <c:crossBetween val="midCat"/>
        <c:majorUnit val="40"/>
      </c:valAx>
      <c:valAx>
        <c:axId val="15027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440"/>
        <c:axId val="210373520"/>
      </c:scatterChart>
      <c:valAx>
        <c:axId val="210377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373520"/>
        <c:crosses val="autoZero"/>
        <c:crossBetween val="midCat"/>
      </c:valAx>
      <c:valAx>
        <c:axId val="2103735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03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5480"/>
        <c:axId val="210371168"/>
      </c:scatterChart>
      <c:valAx>
        <c:axId val="21037548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371168"/>
        <c:crosses val="autoZero"/>
        <c:crossBetween val="midCat"/>
      </c:valAx>
      <c:valAx>
        <c:axId val="21037116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037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776"/>
        <c:axId val="210376656"/>
      </c:scatterChart>
      <c:valAx>
        <c:axId val="21037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656"/>
        <c:crosses val="autoZero"/>
        <c:crossBetween val="midCat"/>
      </c:valAx>
      <c:valAx>
        <c:axId val="210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2736"/>
        <c:axId val="210377832"/>
      </c:scatterChart>
      <c:valAx>
        <c:axId val="2103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7832"/>
        <c:crosses val="autoZero"/>
        <c:crossBetween val="midCat"/>
      </c:valAx>
      <c:valAx>
        <c:axId val="2103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048"/>
        <c:axId val="210375872"/>
      </c:scatterChart>
      <c:valAx>
        <c:axId val="2103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872"/>
        <c:crosses val="autoZero"/>
        <c:crossBetween val="midCat"/>
      </c:valAx>
      <c:valAx>
        <c:axId val="21037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696"/>
        <c:axId val="210375088"/>
      </c:scatterChart>
      <c:valAx>
        <c:axId val="21037469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0375088"/>
        <c:crosses val="autoZero"/>
        <c:crossBetween val="midCat"/>
        <c:minorUnit val="2"/>
      </c:valAx>
      <c:valAx>
        <c:axId val="2103750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10374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3128"/>
        <c:axId val="210337696"/>
      </c:scatterChart>
      <c:valAx>
        <c:axId val="21037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7696"/>
        <c:crosses val="autoZero"/>
        <c:crossBetween val="midCat"/>
      </c:valAx>
      <c:valAx>
        <c:axId val="2103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8088"/>
        <c:axId val="210331424"/>
      </c:scatterChart>
      <c:valAx>
        <c:axId val="21033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1424"/>
        <c:crosses val="autoZero"/>
        <c:crossBetween val="midCat"/>
      </c:valAx>
      <c:valAx>
        <c:axId val="21033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1224"/>
        <c:axId val="210336128"/>
      </c:scatterChart>
      <c:valAx>
        <c:axId val="2103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6128"/>
        <c:crosses val="autoZero"/>
        <c:crossBetween val="midCat"/>
      </c:valAx>
      <c:valAx>
        <c:axId val="210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0832"/>
        <c:axId val="21034044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8872"/>
        <c:axId val="210341616"/>
      </c:scatterChart>
      <c:valAx>
        <c:axId val="210340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440"/>
        <c:crossesAt val="-40"/>
        <c:crossBetween val="midCat"/>
        <c:majorUnit val="20"/>
      </c:valAx>
      <c:valAx>
        <c:axId val="210340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0832"/>
        <c:crosses val="autoZero"/>
        <c:crossBetween val="midCat"/>
      </c:valAx>
      <c:valAx>
        <c:axId val="2103416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8872"/>
        <c:crosses val="max"/>
        <c:crossBetween val="midCat"/>
        <c:majorUnit val="40"/>
      </c:valAx>
      <c:valAx>
        <c:axId val="210338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4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0016"/>
        <c:axId val="150280408"/>
      </c:scatterChart>
      <c:valAx>
        <c:axId val="1502800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280408"/>
        <c:crosses val="autoZero"/>
        <c:crossBetween val="midCat"/>
      </c:valAx>
      <c:valAx>
        <c:axId val="15028040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28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9856"/>
        <c:axId val="210334168"/>
      </c:scatterChart>
      <c:valAx>
        <c:axId val="2103298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0334168"/>
        <c:crosses val="autoZero"/>
        <c:crossBetween val="midCat"/>
      </c:valAx>
      <c:valAx>
        <c:axId val="21033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2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4560"/>
        <c:axId val="210330640"/>
      </c:scatterChart>
      <c:valAx>
        <c:axId val="2103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0640"/>
        <c:crosses val="autoZero"/>
        <c:crossBetween val="midCat"/>
      </c:valAx>
      <c:valAx>
        <c:axId val="210330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9656"/>
        <c:axId val="210336520"/>
      </c:scatterChart>
      <c:valAx>
        <c:axId val="210339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336520"/>
        <c:crosses val="autoZero"/>
        <c:crossBetween val="midCat"/>
      </c:valAx>
      <c:valAx>
        <c:axId val="2103365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0339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384"/>
        <c:axId val="210332992"/>
      </c:scatterChart>
      <c:valAx>
        <c:axId val="2103333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332992"/>
        <c:crosses val="autoZero"/>
        <c:crossBetween val="midCat"/>
        <c:dispUnits>
          <c:builtInUnit val="thousands"/>
          <c:dispUnitsLbl/>
        </c:dispUnits>
      </c:valAx>
      <c:valAx>
        <c:axId val="210332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33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6912"/>
        <c:axId val="210332208"/>
      </c:scatterChart>
      <c:valAx>
        <c:axId val="21033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32208"/>
        <c:crosses val="autoZero"/>
        <c:crossBetween val="midCat"/>
      </c:valAx>
      <c:valAx>
        <c:axId val="21033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2600"/>
        <c:axId val="210335344"/>
      </c:scatterChart>
      <c:valAx>
        <c:axId val="210332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335344"/>
        <c:crosses val="autoZero"/>
        <c:crossBetween val="midCat"/>
      </c:valAx>
      <c:valAx>
        <c:axId val="2103353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0332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7304"/>
        <c:axId val="210342008"/>
      </c:scatterChart>
      <c:valAx>
        <c:axId val="21033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2008"/>
        <c:crosses val="autoZero"/>
        <c:crossBetween val="midCat"/>
      </c:valAx>
      <c:valAx>
        <c:axId val="2103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4360"/>
        <c:axId val="210343968"/>
      </c:scatterChart>
      <c:valAx>
        <c:axId val="2103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3968"/>
        <c:crosses val="autoZero"/>
        <c:crossBetween val="midCat"/>
      </c:valAx>
      <c:valAx>
        <c:axId val="2103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4752"/>
        <c:axId val="21034279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3184"/>
        <c:axId val="210345144"/>
      </c:scatterChart>
      <c:valAx>
        <c:axId val="2103447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2792"/>
        <c:crosses val="autoZero"/>
        <c:crossBetween val="midCat"/>
      </c:valAx>
      <c:valAx>
        <c:axId val="2103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752"/>
        <c:crosses val="autoZero"/>
        <c:crossBetween val="midCat"/>
      </c:valAx>
      <c:valAx>
        <c:axId val="210345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3184"/>
        <c:crosses val="max"/>
        <c:crossBetween val="midCat"/>
      </c:valAx>
      <c:valAx>
        <c:axId val="21034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4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3000"/>
        <c:axId val="211843784"/>
      </c:scatterChart>
      <c:valAx>
        <c:axId val="2118430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843784"/>
        <c:crosses val="autoZero"/>
        <c:crossBetween val="midCat"/>
      </c:valAx>
      <c:valAx>
        <c:axId val="21184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4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1584"/>
        <c:axId val="150277272"/>
      </c:scatterChart>
      <c:valAx>
        <c:axId val="1502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77272"/>
        <c:crosses val="autoZero"/>
        <c:crossBetween val="midCat"/>
      </c:valAx>
      <c:valAx>
        <c:axId val="150277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02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1040"/>
        <c:axId val="211842216"/>
      </c:scatterChart>
      <c:valAx>
        <c:axId val="2118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842216"/>
        <c:crosses val="autoZero"/>
        <c:crossBetween val="midCat"/>
      </c:valAx>
      <c:valAx>
        <c:axId val="2118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1824"/>
        <c:axId val="211842608"/>
      </c:scatterChart>
      <c:valAx>
        <c:axId val="2118418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608"/>
        <c:crosses val="autoZero"/>
        <c:crossBetween val="midCat"/>
      </c:valAx>
      <c:valAx>
        <c:axId val="211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18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9080"/>
        <c:axId val="211828496"/>
      </c:scatterChart>
      <c:valAx>
        <c:axId val="21183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8496"/>
        <c:crosses val="autoZero"/>
        <c:crossBetween val="midCat"/>
      </c:valAx>
      <c:valAx>
        <c:axId val="2118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4768"/>
        <c:axId val="211835552"/>
      </c:scatterChart>
      <c:valAx>
        <c:axId val="2118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5552"/>
        <c:crosses val="autoZero"/>
        <c:crossBetween val="midCat"/>
      </c:valAx>
      <c:valAx>
        <c:axId val="211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9280"/>
        <c:axId val="211834376"/>
      </c:scatterChart>
      <c:valAx>
        <c:axId val="2118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4376"/>
        <c:crosses val="autoZero"/>
        <c:crossBetween val="midCat"/>
      </c:valAx>
      <c:valAx>
        <c:axId val="211834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2760"/>
        <c:axId val="150277664"/>
      </c:scatterChart>
      <c:valAx>
        <c:axId val="15028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277664"/>
        <c:crosses val="autoZero"/>
        <c:crossBetween val="midCat"/>
      </c:valAx>
      <c:valAx>
        <c:axId val="1502776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0282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6880"/>
        <c:axId val="151252872"/>
      </c:scatterChart>
      <c:valAx>
        <c:axId val="1502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52872"/>
        <c:crosses val="autoZero"/>
        <c:crossBetween val="midCat"/>
      </c:valAx>
      <c:valAx>
        <c:axId val="15125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7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A16" zoomScaleNormal="100" workbookViewId="0">
      <selection activeCell="T24" sqref="T24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326</v>
      </c>
      <c r="E1" t="s">
        <v>329</v>
      </c>
      <c r="F1" t="s">
        <v>308</v>
      </c>
      <c r="G1" t="s">
        <v>309</v>
      </c>
      <c r="H1" t="s">
        <v>319</v>
      </c>
      <c r="I1" t="s">
        <v>330</v>
      </c>
      <c r="J1" t="s">
        <v>331</v>
      </c>
      <c r="K1" t="s">
        <v>310</v>
      </c>
      <c r="L1" t="s">
        <v>311</v>
      </c>
      <c r="M1" t="s">
        <v>320</v>
      </c>
      <c r="N1" t="s">
        <v>332</v>
      </c>
      <c r="O1" t="s">
        <v>333</v>
      </c>
      <c r="P1" t="s">
        <v>312</v>
      </c>
      <c r="Q1" t="s">
        <v>313</v>
      </c>
      <c r="R1" t="s">
        <v>321</v>
      </c>
      <c r="S1" t="s">
        <v>336</v>
      </c>
      <c r="T1" t="s">
        <v>335</v>
      </c>
      <c r="U1" t="s">
        <v>314</v>
      </c>
      <c r="V1" t="s">
        <v>315</v>
      </c>
      <c r="W1" t="s">
        <v>322</v>
      </c>
      <c r="X1" t="s">
        <v>334</v>
      </c>
      <c r="Y1" t="s">
        <v>337</v>
      </c>
      <c r="Z1" t="s">
        <v>316</v>
      </c>
      <c r="AA1" t="s">
        <v>317</v>
      </c>
      <c r="AB1" t="s">
        <v>323</v>
      </c>
      <c r="AC1" t="s">
        <v>334</v>
      </c>
      <c r="AD1" t="s">
        <v>337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5.3666866770453732</v>
      </c>
      <c r="L2" s="174">
        <f>Ard1_Turn1x_ESC1_G1b_T1a!P2</f>
        <v>5.9999999999999995E-25</v>
      </c>
      <c r="M2" s="174">
        <f>M3</f>
        <v>2848.1229083612657</v>
      </c>
      <c r="N2" s="174">
        <f t="shared" ref="N2:N14" si="2">LN(K2)*$C$21+$B$21</f>
        <v>-3508.7678911250332</v>
      </c>
      <c r="O2" s="174">
        <f>O3</f>
        <v>1980.1494267893518</v>
      </c>
      <c r="P2" s="96">
        <f>Ard2_Turn2_ESC2_G2b_T2a!D2</f>
        <v>7.9498949935886039</v>
      </c>
      <c r="Q2" s="174">
        <f>Ard2_Turn2_ESC2_G2b_T2a!P2</f>
        <v>5.9999999999999995E-25</v>
      </c>
      <c r="R2" s="174">
        <f>R3</f>
        <v>2069.8503613693651</v>
      </c>
      <c r="S2" s="174">
        <f t="shared" ref="S2:S13" si="3">LN(P2)*$C$21+$B$21</f>
        <v>1623.5260448636182</v>
      </c>
      <c r="T2" s="174">
        <f>T3</f>
        <v>1271.9096939146414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9.0648738664970399</v>
      </c>
      <c r="AA2" s="174">
        <f>Ard4_Turn4_ESC4_G4b_T4a!P2</f>
        <v>5.9999999999999995E-25</v>
      </c>
      <c r="AB2" s="174">
        <f>AB3</f>
        <v>4101.2871456297744</v>
      </c>
      <c r="AC2" s="174">
        <f t="shared" ref="AC2:AC14" si="5">LN(Z2)*$C$21+$B$21</f>
        <v>3337.7589097104392</v>
      </c>
      <c r="AD2" s="174">
        <f>AD3</f>
        <v>1305.9361891487861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2848.1229083612657</v>
      </c>
      <c r="N3" s="174">
        <f t="shared" si="2"/>
        <v>1705.5859758803344</v>
      </c>
      <c r="O3" s="174">
        <f>(N3-N2)/(K3-K2)</f>
        <v>1980.1494267893518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2069.8503613693651</v>
      </c>
      <c r="S3" s="174">
        <f t="shared" si="3"/>
        <v>8046.8035578051349</v>
      </c>
      <c r="T3" s="174">
        <f>(S3-S2)/(P3-P2)</f>
        <v>1271.9096939146414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4101.2871456297744</v>
      </c>
      <c r="AC3" s="174">
        <f t="shared" si="5"/>
        <v>5864.9101580195202</v>
      </c>
      <c r="AD3" s="174">
        <f>(AC3-AC2)/(Z3-Z2)</f>
        <v>1305.9361891487861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12" si="12">(L4-L3)/(K4-K3)</f>
        <v>832.58122743682293</v>
      </c>
      <c r="N4" s="174">
        <f t="shared" si="2"/>
        <v>7001.3657528810727</v>
      </c>
      <c r="O4" s="174">
        <f t="shared" ref="O4:O14" si="13">(N4-N3)/(K4-K3)</f>
        <v>1323.9449442501846</v>
      </c>
      <c r="P4" s="96">
        <f>Ard2_Turn2_ESC2_G2b_T2a!D4</f>
        <v>17</v>
      </c>
      <c r="Q4" s="174">
        <f>Ard2_Turn2_ESC2_G2b_T2a!P4</f>
        <v>10600.706713780919</v>
      </c>
      <c r="R4" s="174">
        <f t="shared" ref="R4:R13" si="14">(Q4-Q3)/(P4-P3)</f>
        <v>36.936260326762749</v>
      </c>
      <c r="S4" s="174">
        <f t="shared" si="3"/>
        <v>11550.599486718238</v>
      </c>
      <c r="T4" s="174">
        <f t="shared" ref="T4:T13" si="15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14" si="18">(AA4-AA3)/(Z4-Z3)</f>
        <v>499.31672448228755</v>
      </c>
      <c r="AC4" s="174">
        <f t="shared" si="5"/>
        <v>9915.8436765959632</v>
      </c>
      <c r="AD4" s="174">
        <f t="shared" ref="AD4:AD14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14"/>
        <v>516.75753784172389</v>
      </c>
      <c r="S5" s="174">
        <f t="shared" si="3"/>
        <v>16054.56107817452</v>
      </c>
      <c r="T5" s="174">
        <f t="shared" si="15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14"/>
        <v>445.49763033175395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28</v>
      </c>
      <c r="AA6" s="174">
        <f>Ard4_Turn4_ESC4_G4b_T4a!P6</f>
        <v>15915.119363395226</v>
      </c>
      <c r="AB6" s="174">
        <f t="shared" si="18"/>
        <v>882.08798358440526</v>
      </c>
      <c r="AC6" s="174">
        <f t="shared" si="5"/>
        <v>18067.923107398339</v>
      </c>
      <c r="AD6" s="174">
        <f t="shared" si="19"/>
        <v>483.96211214988216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14"/>
        <v>451.03857566765555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34</v>
      </c>
      <c r="AA7" s="174">
        <f>Ard4_Turn4_ESC4_G4b_T4a!P7</f>
        <v>17910.447761194031</v>
      </c>
      <c r="AB7" s="174">
        <f t="shared" si="18"/>
        <v>332.5547329664675</v>
      </c>
      <c r="AC7" s="174">
        <f t="shared" si="5"/>
        <v>20603.794812011685</v>
      </c>
      <c r="AD7" s="174">
        <f t="shared" si="19"/>
        <v>422.64528410222437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14"/>
        <v>338.90156485827214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51</v>
      </c>
      <c r="AA8" s="174">
        <f>Ard4_Turn4_ESC4_G4b_T4a!P8</f>
        <v>22900.763358778626</v>
      </c>
      <c r="AB8" s="174">
        <f t="shared" si="18"/>
        <v>293.54797632850557</v>
      </c>
      <c r="AC8" s="174">
        <f t="shared" si="5"/>
        <v>25899.574589012416</v>
      </c>
      <c r="AD8" s="174">
        <f t="shared" si="19"/>
        <v>311.51645747063122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14"/>
        <v>157.05372579761817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76</v>
      </c>
      <c r="AA9" s="174">
        <f>Ard4_Turn4_ESC4_G4b_T4a!P9</f>
        <v>28571.428571428572</v>
      </c>
      <c r="AB9" s="174">
        <f t="shared" si="18"/>
        <v>226.82660850599785</v>
      </c>
      <c r="AC9" s="174">
        <f t="shared" si="5"/>
        <v>31109.70815747977</v>
      </c>
      <c r="AD9" s="174">
        <f t="shared" si="19"/>
        <v>208.40534273869417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70</v>
      </c>
      <c r="L10" s="174">
        <f>Ard1_Turn1x_ESC1_G1b_T1a!P10</f>
        <v>28037.383177570096</v>
      </c>
      <c r="M10" s="174">
        <f t="shared" si="12"/>
        <v>129.20453077221222</v>
      </c>
      <c r="N10" s="174">
        <f t="shared" si="2"/>
        <v>30035.596356406684</v>
      </c>
      <c r="O10" s="174">
        <f t="shared" si="13"/>
        <v>190.70201818042793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14"/>
        <v>156.46006212043937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91</v>
      </c>
      <c r="AA10" s="174">
        <f>Ard4_Turn4_ESC4_G4b_T4a!P10</f>
        <v>32085.561497326202</v>
      </c>
      <c r="AB10" s="174">
        <f t="shared" si="18"/>
        <v>234.27552839317528</v>
      </c>
      <c r="AC10" s="174">
        <f t="shared" si="5"/>
        <v>33462.336014616572</v>
      </c>
      <c r="AD10" s="174">
        <f t="shared" si="19"/>
        <v>156.84185714245348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79</v>
      </c>
      <c r="L11" s="174">
        <f>Ard1_Turn1x_ESC1_G1b_T1a!P11</f>
        <v>29702.970297029704</v>
      </c>
      <c r="M11" s="174">
        <f t="shared" si="12"/>
        <v>185.06523549551196</v>
      </c>
      <c r="N11" s="174">
        <f t="shared" si="2"/>
        <v>31615.358401071768</v>
      </c>
      <c r="O11" s="174">
        <f t="shared" si="13"/>
        <v>175.52911607389817</v>
      </c>
      <c r="P11" s="96">
        <f>Ard2_Turn2_ESC2_G2b_T2a!D11</f>
        <v>140</v>
      </c>
      <c r="Q11" s="174">
        <f>Ard2_Turn2_ESC2_G2b_T2a!P11</f>
        <v>34285.71428571429</v>
      </c>
      <c r="R11" s="174">
        <f t="shared" si="14"/>
        <v>7.7922077922080639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100</v>
      </c>
      <c r="AA11" s="174">
        <f>Ard4_Turn4_ESC4_G4b_T4a!P11</f>
        <v>32608.695652173916</v>
      </c>
      <c r="AB11" s="174">
        <f t="shared" si="18"/>
        <v>58.126017205301551</v>
      </c>
      <c r="AC11" s="174">
        <f t="shared" si="5"/>
        <v>34694.127799190464</v>
      </c>
      <c r="AD11" s="174">
        <f t="shared" si="19"/>
        <v>136.86575384154355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84</v>
      </c>
      <c r="L12" s="174">
        <f>Ard1_Turn1x_ESC1_G1b_T1a!P12</f>
        <v>30456.852791878177</v>
      </c>
      <c r="M12" s="174">
        <f t="shared" si="12"/>
        <v>150.7764989696945</v>
      </c>
      <c r="N12" s="174">
        <f t="shared" si="2"/>
        <v>32416.898209692517</v>
      </c>
      <c r="O12" s="174">
        <f t="shared" si="13"/>
        <v>160.30796172414995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14"/>
        <v>183.42151675484976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106</v>
      </c>
      <c r="AA12" s="174">
        <f>Ard4_Turn4_ESC4_G4b_T4a!P12</f>
        <v>35087.719298245618</v>
      </c>
      <c r="AB12" s="174">
        <f t="shared" si="18"/>
        <v>413.17060767861705</v>
      </c>
      <c r="AC12" s="174">
        <f t="shared" si="5"/>
        <v>35455.178008197705</v>
      </c>
      <c r="AD12" s="174">
        <f t="shared" si="19"/>
        <v>126.84170150120674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121</v>
      </c>
      <c r="L13" s="174">
        <f>Ard1_Turn1x_ESC1_G1b_T1a!P13</f>
        <v>36363.636363636368</v>
      </c>
      <c r="M13" s="174">
        <f>M14</f>
        <v>143.59279065161414</v>
      </c>
      <c r="N13" s="174">
        <f t="shared" si="2"/>
        <v>37183.82031603904</v>
      </c>
      <c r="O13" s="174">
        <f t="shared" si="13"/>
        <v>128.83573260396008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14"/>
        <v>354.03050108932473</v>
      </c>
      <c r="S13" s="174">
        <f t="shared" si="3"/>
        <v>42003.269605415029</v>
      </c>
      <c r="T13" s="174">
        <f t="shared" si="15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>
        <f>Ard4_Turn4_ESC4_G4b_T4a!D13</f>
        <v>132</v>
      </c>
      <c r="AA13" s="174">
        <f>Ard4_Turn4_ESC4_G4b_T4a!P13</f>
        <v>40000</v>
      </c>
      <c r="AB13" s="174">
        <f t="shared" si="18"/>
        <v>188.93387314439931</v>
      </c>
      <c r="AC13" s="174">
        <f t="shared" si="5"/>
        <v>38320.275910900586</v>
      </c>
      <c r="AD13" s="174">
        <f t="shared" si="19"/>
        <v>110.19607318088002</v>
      </c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>
        <f>Ard1_Turn1x_ESC1_G1b_T1a!D14</f>
        <v>175</v>
      </c>
      <c r="L14" s="174">
        <f>Ard1_Turn1x_ESC1_G1b_T1a!P14</f>
        <v>44117.647058823532</v>
      </c>
      <c r="M14" s="174">
        <f>(L14-L13)/(K14-K13)</f>
        <v>143.59279065161414</v>
      </c>
      <c r="N14" s="174">
        <f t="shared" si="2"/>
        <v>42003.269605415029</v>
      </c>
      <c r="O14" s="174">
        <f t="shared" si="13"/>
        <v>89.249060914370162</v>
      </c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>
        <f>Ard4_Turn4_ESC4_G4b_T4a!D14</f>
        <v>178</v>
      </c>
      <c r="AA14" s="174">
        <f>Ard4_Turn4_ESC4_G4b_T4a!P14</f>
        <v>44117.647058823532</v>
      </c>
      <c r="AB14" s="174">
        <f t="shared" si="18"/>
        <v>89.514066496163736</v>
      </c>
      <c r="AC14" s="174">
        <f t="shared" si="5"/>
        <v>42225.274950364925</v>
      </c>
      <c r="AD14" s="174">
        <f t="shared" si="19"/>
        <v>84.891283466616073</v>
      </c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0">F2</f>
        <v>6.0661220353948684</v>
      </c>
      <c r="AF19" s="174">
        <f t="shared" ref="AF19:AF29" si="21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0"/>
        <v>9</v>
      </c>
      <c r="AF20" s="174">
        <f t="shared" si="21"/>
        <v>8474.5762711864409</v>
      </c>
    </row>
    <row r="21" spans="1:32" x14ac:dyDescent="0.3">
      <c r="A21" t="s">
        <v>327</v>
      </c>
      <c r="B21" s="157">
        <v>-25454</v>
      </c>
      <c r="C21" s="157">
        <v>13061</v>
      </c>
      <c r="D21" t="s">
        <v>328</v>
      </c>
      <c r="K21" s="96"/>
      <c r="L21" s="174"/>
      <c r="M21" s="174"/>
      <c r="P21" s="174"/>
      <c r="T21" s="96"/>
      <c r="U21" s="174"/>
      <c r="AE21" s="96">
        <f t="shared" si="20"/>
        <v>20</v>
      </c>
      <c r="AF21" s="174">
        <f t="shared" si="21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0"/>
        <v>25</v>
      </c>
      <c r="AF22" s="174">
        <f t="shared" si="21"/>
        <v>16304.347826086958</v>
      </c>
    </row>
    <row r="23" spans="1:32" x14ac:dyDescent="0.3">
      <c r="T23" s="96"/>
      <c r="U23" s="174"/>
      <c r="AE23" s="96">
        <f t="shared" si="20"/>
        <v>35</v>
      </c>
      <c r="AF23" s="174">
        <f t="shared" si="21"/>
        <v>20134.228187919463</v>
      </c>
    </row>
    <row r="24" spans="1:32" x14ac:dyDescent="0.3">
      <c r="AE24" s="96">
        <f t="shared" si="20"/>
        <v>54</v>
      </c>
      <c r="AF24" s="174">
        <f t="shared" si="21"/>
        <v>25104.602510460249</v>
      </c>
    </row>
    <row r="25" spans="1:32" x14ac:dyDescent="0.3">
      <c r="AE25" s="96">
        <f t="shared" si="20"/>
        <v>64</v>
      </c>
      <c r="AF25" s="174">
        <f t="shared" si="21"/>
        <v>27649.76958525346</v>
      </c>
    </row>
    <row r="26" spans="1:32" x14ac:dyDescent="0.3">
      <c r="AE26" s="96">
        <f t="shared" si="20"/>
        <v>90</v>
      </c>
      <c r="AF26" s="174">
        <f t="shared" si="21"/>
        <v>32258.06451612903</v>
      </c>
    </row>
    <row r="27" spans="1:32" x14ac:dyDescent="0.3">
      <c r="AE27" s="96">
        <f t="shared" si="20"/>
        <v>125</v>
      </c>
      <c r="AF27" s="174">
        <f t="shared" si="21"/>
        <v>37037.037037037036</v>
      </c>
    </row>
    <row r="28" spans="1:32" x14ac:dyDescent="0.3">
      <c r="AE28" s="96">
        <f t="shared" si="20"/>
        <v>155</v>
      </c>
      <c r="AF28" s="174">
        <f t="shared" si="21"/>
        <v>41958.041958041955</v>
      </c>
    </row>
    <row r="29" spans="1:32" x14ac:dyDescent="0.3">
      <c r="AE29" s="96">
        <f t="shared" si="20"/>
        <v>180</v>
      </c>
      <c r="AF29" s="174">
        <f t="shared" si="21"/>
        <v>43859.649122807015</v>
      </c>
    </row>
    <row r="30" spans="1:32" x14ac:dyDescent="0.3">
      <c r="AE30" s="96">
        <f t="shared" ref="AE30:AE42" si="22">K2</f>
        <v>5.3666866770453732</v>
      </c>
      <c r="AF30" s="174">
        <f t="shared" ref="AF30:AF42" si="23">L2</f>
        <v>5.9999999999999995E-25</v>
      </c>
    </row>
    <row r="31" spans="1:32" x14ac:dyDescent="0.3">
      <c r="AE31" s="96">
        <f t="shared" si="22"/>
        <v>8</v>
      </c>
      <c r="AF31" s="174">
        <f t="shared" si="23"/>
        <v>7500.0000000000009</v>
      </c>
    </row>
    <row r="32" spans="1:32" x14ac:dyDescent="0.3">
      <c r="AE32" s="96">
        <f t="shared" si="22"/>
        <v>12</v>
      </c>
      <c r="AF32" s="174">
        <f t="shared" si="23"/>
        <v>10830.324909747293</v>
      </c>
    </row>
    <row r="33" spans="31:32" x14ac:dyDescent="0.3">
      <c r="AE33" s="96">
        <f t="shared" si="22"/>
        <v>17</v>
      </c>
      <c r="AF33" s="174">
        <f t="shared" si="23"/>
        <v>12244.897959183674</v>
      </c>
    </row>
    <row r="34" spans="31:32" x14ac:dyDescent="0.3">
      <c r="AE34" s="96">
        <f t="shared" si="22"/>
        <v>21</v>
      </c>
      <c r="AF34" s="174">
        <f t="shared" si="23"/>
        <v>14354.066985645934</v>
      </c>
    </row>
    <row r="35" spans="31:32" x14ac:dyDescent="0.3">
      <c r="AE35" s="96">
        <f t="shared" si="22"/>
        <v>27</v>
      </c>
      <c r="AF35" s="174">
        <f t="shared" si="23"/>
        <v>16949.152542372882</v>
      </c>
    </row>
    <row r="36" spans="31:32" x14ac:dyDescent="0.3">
      <c r="AE36" s="96">
        <f t="shared" si="22"/>
        <v>42</v>
      </c>
      <c r="AF36" s="174">
        <f t="shared" si="23"/>
        <v>21660.649819494585</v>
      </c>
    </row>
    <row r="37" spans="31:32" x14ac:dyDescent="0.3">
      <c r="AE37" s="96">
        <f t="shared" si="22"/>
        <v>67</v>
      </c>
      <c r="AF37" s="174">
        <f t="shared" si="23"/>
        <v>27649.76958525346</v>
      </c>
    </row>
    <row r="38" spans="31:32" x14ac:dyDescent="0.3">
      <c r="AE38" s="96">
        <f t="shared" si="22"/>
        <v>70</v>
      </c>
      <c r="AF38" s="174">
        <f t="shared" si="23"/>
        <v>28037.383177570096</v>
      </c>
    </row>
    <row r="39" spans="31:32" x14ac:dyDescent="0.3">
      <c r="AE39" s="96">
        <f t="shared" si="22"/>
        <v>79</v>
      </c>
      <c r="AF39" s="174">
        <f t="shared" si="23"/>
        <v>29702.970297029704</v>
      </c>
    </row>
    <row r="40" spans="31:32" x14ac:dyDescent="0.3">
      <c r="AE40" s="96">
        <f t="shared" si="22"/>
        <v>84</v>
      </c>
      <c r="AF40" s="174">
        <f t="shared" si="23"/>
        <v>30456.852791878177</v>
      </c>
    </row>
    <row r="41" spans="31:32" x14ac:dyDescent="0.3">
      <c r="AE41" s="96">
        <f t="shared" si="22"/>
        <v>121</v>
      </c>
      <c r="AF41" s="174">
        <f t="shared" si="23"/>
        <v>36363.636363636368</v>
      </c>
    </row>
    <row r="42" spans="31:32" x14ac:dyDescent="0.3">
      <c r="AE42" s="96">
        <f t="shared" si="22"/>
        <v>175</v>
      </c>
      <c r="AF42" s="174">
        <f t="shared" si="23"/>
        <v>44117.647058823532</v>
      </c>
    </row>
    <row r="43" spans="31:32" x14ac:dyDescent="0.3">
      <c r="AE43" s="96">
        <f t="shared" ref="AE43:AE54" si="24">P2</f>
        <v>7.9498949935886039</v>
      </c>
      <c r="AF43" s="174">
        <f t="shared" ref="AF43:AF54" si="25">Q2</f>
        <v>5.9999999999999995E-25</v>
      </c>
    </row>
    <row r="44" spans="31:32" x14ac:dyDescent="0.3">
      <c r="AE44" s="96">
        <f t="shared" si="24"/>
        <v>13</v>
      </c>
      <c r="AF44" s="174">
        <f t="shared" si="25"/>
        <v>10452.961672473868</v>
      </c>
    </row>
    <row r="45" spans="31:32" x14ac:dyDescent="0.3">
      <c r="AE45" s="96">
        <f t="shared" si="24"/>
        <v>17</v>
      </c>
      <c r="AF45" s="174">
        <f t="shared" si="25"/>
        <v>10600.706713780919</v>
      </c>
    </row>
    <row r="46" spans="31:32" x14ac:dyDescent="0.3">
      <c r="AE46" s="96">
        <f t="shared" si="24"/>
        <v>24</v>
      </c>
      <c r="AF46" s="174">
        <f t="shared" si="25"/>
        <v>14218.009478672986</v>
      </c>
    </row>
    <row r="47" spans="31:32" x14ac:dyDescent="0.3">
      <c r="AE47" s="96">
        <f t="shared" si="24"/>
        <v>28</v>
      </c>
      <c r="AF47" s="174">
        <f t="shared" si="25"/>
        <v>16000.000000000002</v>
      </c>
    </row>
    <row r="48" spans="31:32" x14ac:dyDescent="0.3">
      <c r="AE48" s="96">
        <f t="shared" si="24"/>
        <v>32</v>
      </c>
      <c r="AF48" s="174">
        <f t="shared" si="25"/>
        <v>17804.154302670624</v>
      </c>
    </row>
    <row r="49" spans="31:32" x14ac:dyDescent="0.3">
      <c r="AE49" s="96">
        <f t="shared" si="24"/>
        <v>50</v>
      </c>
      <c r="AF49" s="174">
        <f t="shared" si="25"/>
        <v>23904.382470119523</v>
      </c>
    </row>
    <row r="50" spans="31:32" x14ac:dyDescent="0.3">
      <c r="AE50" s="96">
        <f t="shared" si="24"/>
        <v>78</v>
      </c>
      <c r="AF50" s="174">
        <f t="shared" si="25"/>
        <v>28301.886792452831</v>
      </c>
    </row>
    <row r="51" spans="31:32" x14ac:dyDescent="0.3">
      <c r="AE51" s="96">
        <f t="shared" si="24"/>
        <v>115</v>
      </c>
      <c r="AF51" s="174">
        <f t="shared" si="25"/>
        <v>34090.909090909088</v>
      </c>
    </row>
    <row r="52" spans="31:32" x14ac:dyDescent="0.3">
      <c r="AE52" s="96">
        <f t="shared" si="24"/>
        <v>140</v>
      </c>
      <c r="AF52" s="174">
        <f t="shared" si="25"/>
        <v>34285.71428571429</v>
      </c>
    </row>
    <row r="53" spans="31:32" x14ac:dyDescent="0.3">
      <c r="AE53" s="96">
        <f t="shared" si="24"/>
        <v>155</v>
      </c>
      <c r="AF53" s="174">
        <f t="shared" si="25"/>
        <v>37037.037037037036</v>
      </c>
    </row>
    <row r="54" spans="31:32" x14ac:dyDescent="0.3">
      <c r="AE54" s="96">
        <f t="shared" si="24"/>
        <v>175</v>
      </c>
      <c r="AF54" s="174">
        <f t="shared" si="25"/>
        <v>44117.647058823532</v>
      </c>
    </row>
    <row r="55" spans="31:32" x14ac:dyDescent="0.3">
      <c r="AE55" s="96">
        <f t="shared" ref="AE55:AE67" si="26">U2</f>
        <v>8.7271708346327035</v>
      </c>
      <c r="AF55" s="174">
        <f t="shared" ref="AF55:AF67" si="27">V2</f>
        <v>5.9999999999999995E-25</v>
      </c>
    </row>
    <row r="56" spans="31:32" x14ac:dyDescent="0.3">
      <c r="AE56" s="96">
        <f t="shared" si="26"/>
        <v>14</v>
      </c>
      <c r="AF56" s="174">
        <f t="shared" si="27"/>
        <v>9316.7701863354032</v>
      </c>
    </row>
    <row r="57" spans="31:32" x14ac:dyDescent="0.3">
      <c r="AE57" s="96">
        <f t="shared" si="26"/>
        <v>18</v>
      </c>
      <c r="AF57" s="174">
        <f t="shared" si="27"/>
        <v>12000.000000000002</v>
      </c>
    </row>
    <row r="58" spans="31:32" x14ac:dyDescent="0.3">
      <c r="AE58" s="96">
        <f t="shared" si="26"/>
        <v>24</v>
      </c>
      <c r="AF58" s="174">
        <f t="shared" si="27"/>
        <v>14851.485148514852</v>
      </c>
    </row>
    <row r="59" spans="31:32" x14ac:dyDescent="0.3">
      <c r="AE59" s="96">
        <f t="shared" si="26"/>
        <v>28</v>
      </c>
      <c r="AF59" s="174">
        <f t="shared" si="27"/>
        <v>16574.585635359115</v>
      </c>
    </row>
    <row r="60" spans="31:32" x14ac:dyDescent="0.3">
      <c r="AE60" s="96">
        <f t="shared" si="26"/>
        <v>36</v>
      </c>
      <c r="AF60" s="174">
        <f t="shared" si="27"/>
        <v>20134.228187919463</v>
      </c>
    </row>
    <row r="61" spans="31:32" x14ac:dyDescent="0.3">
      <c r="AE61" s="96">
        <f t="shared" si="26"/>
        <v>52</v>
      </c>
      <c r="AF61" s="174">
        <f t="shared" si="27"/>
        <v>24193.548387096776</v>
      </c>
    </row>
    <row r="62" spans="31:32" x14ac:dyDescent="0.3">
      <c r="AE62" s="96">
        <f t="shared" si="26"/>
        <v>73</v>
      </c>
      <c r="AF62" s="174">
        <f t="shared" si="27"/>
        <v>28571.428571428572</v>
      </c>
    </row>
    <row r="63" spans="31:32" x14ac:dyDescent="0.3">
      <c r="AE63" s="96">
        <f t="shared" si="26"/>
        <v>94</v>
      </c>
      <c r="AF63" s="174">
        <f t="shared" si="27"/>
        <v>33333.333333333336</v>
      </c>
    </row>
    <row r="64" spans="31:32" x14ac:dyDescent="0.3">
      <c r="AE64" s="96">
        <f t="shared" si="26"/>
        <v>99</v>
      </c>
      <c r="AF64" s="174">
        <f t="shared" si="27"/>
        <v>34090.909090909088</v>
      </c>
    </row>
    <row r="65" spans="31:32" x14ac:dyDescent="0.3">
      <c r="AE65" s="96">
        <f t="shared" si="26"/>
        <v>110</v>
      </c>
      <c r="AF65" s="174">
        <f t="shared" si="27"/>
        <v>36585.365853658535</v>
      </c>
    </row>
    <row r="66" spans="31:32" x14ac:dyDescent="0.3">
      <c r="AE66" s="96">
        <f t="shared" si="26"/>
        <v>132</v>
      </c>
      <c r="AF66" s="174">
        <f t="shared" si="27"/>
        <v>41095.890410958906</v>
      </c>
    </row>
    <row r="67" spans="31:32" x14ac:dyDescent="0.3">
      <c r="AE67" s="96">
        <f t="shared" si="26"/>
        <v>175</v>
      </c>
      <c r="AF67" s="174">
        <f t="shared" si="27"/>
        <v>44117.647058823532</v>
      </c>
    </row>
    <row r="68" spans="31:32" x14ac:dyDescent="0.3">
      <c r="AE68" s="96">
        <f t="shared" ref="AE68:AE80" si="28">Z2</f>
        <v>9.0648738664970399</v>
      </c>
      <c r="AF68" s="174">
        <f t="shared" ref="AF68:AF80" si="29">AA2</f>
        <v>5.9999999999999995E-25</v>
      </c>
    </row>
    <row r="69" spans="31:32" x14ac:dyDescent="0.3">
      <c r="AE69" s="96">
        <f t="shared" si="28"/>
        <v>11</v>
      </c>
      <c r="AF69" s="174">
        <f t="shared" si="29"/>
        <v>7936.5079365079364</v>
      </c>
    </row>
    <row r="70" spans="31:32" x14ac:dyDescent="0.3">
      <c r="AE70" s="96">
        <f t="shared" si="28"/>
        <v>15</v>
      </c>
      <c r="AF70" s="174">
        <f t="shared" si="29"/>
        <v>9933.7748344370866</v>
      </c>
    </row>
    <row r="71" spans="31:32" x14ac:dyDescent="0.3">
      <c r="AE71" s="96">
        <f t="shared" si="28"/>
        <v>26</v>
      </c>
      <c r="AF71" s="174">
        <f t="shared" si="29"/>
        <v>14150.943396226416</v>
      </c>
    </row>
    <row r="72" spans="31:32" x14ac:dyDescent="0.3">
      <c r="AE72" s="96">
        <f t="shared" si="28"/>
        <v>28</v>
      </c>
      <c r="AF72" s="174">
        <f t="shared" si="29"/>
        <v>15915.119363395226</v>
      </c>
    </row>
    <row r="73" spans="31:32" x14ac:dyDescent="0.3">
      <c r="AE73" s="96">
        <f t="shared" si="28"/>
        <v>34</v>
      </c>
      <c r="AF73" s="174">
        <f t="shared" si="29"/>
        <v>17910.447761194031</v>
      </c>
    </row>
    <row r="74" spans="31:32" x14ac:dyDescent="0.3">
      <c r="AE74" s="96">
        <f t="shared" si="28"/>
        <v>51</v>
      </c>
      <c r="AF74" s="174">
        <f t="shared" si="29"/>
        <v>22900.763358778626</v>
      </c>
    </row>
    <row r="75" spans="31:32" x14ac:dyDescent="0.3">
      <c r="AE75" s="96">
        <f t="shared" si="28"/>
        <v>76</v>
      </c>
      <c r="AF75" s="174">
        <f t="shared" si="29"/>
        <v>28571.428571428572</v>
      </c>
    </row>
    <row r="76" spans="31:32" x14ac:dyDescent="0.3">
      <c r="AE76" s="96">
        <f t="shared" si="28"/>
        <v>91</v>
      </c>
      <c r="AF76" s="174">
        <f t="shared" si="29"/>
        <v>32085.561497326202</v>
      </c>
    </row>
    <row r="77" spans="31:32" x14ac:dyDescent="0.3">
      <c r="AE77" s="96">
        <f t="shared" si="28"/>
        <v>100</v>
      </c>
      <c r="AF77" s="174">
        <f t="shared" si="29"/>
        <v>32608.695652173916</v>
      </c>
    </row>
    <row r="78" spans="31:32" x14ac:dyDescent="0.3">
      <c r="AE78" s="96">
        <f t="shared" si="28"/>
        <v>106</v>
      </c>
      <c r="AF78" s="174">
        <f t="shared" si="29"/>
        <v>35087.719298245618</v>
      </c>
    </row>
    <row r="79" spans="31:32" x14ac:dyDescent="0.3">
      <c r="AE79" s="96">
        <f t="shared" si="28"/>
        <v>132</v>
      </c>
      <c r="AF79" s="174">
        <f t="shared" si="29"/>
        <v>40000</v>
      </c>
    </row>
    <row r="80" spans="31:32" x14ac:dyDescent="0.3">
      <c r="AE80" s="96">
        <f t="shared" si="28"/>
        <v>178</v>
      </c>
      <c r="AF80" s="174">
        <f t="shared" si="29"/>
        <v>44117.647058823532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K11" zoomScale="80" zoomScaleNormal="80" workbookViewId="0">
      <selection activeCell="Q47" sqref="Q47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-23.254409960385225</v>
      </c>
      <c r="AM2" s="229">
        <f t="shared" ref="AM2:AM13" si="20">($Q$43+$R$43*AL2*$Q$30)/$Q$30</f>
        <v>1.0330215928266204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-12.384259382010432</v>
      </c>
      <c r="AM3" s="229">
        <f t="shared" si="20"/>
        <v>11.538143453335016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9.6177375213590341</v>
      </c>
      <c r="AM4" s="229">
        <f t="shared" si="20"/>
        <v>32.801294959648523</v>
      </c>
      <c r="AN4" s="2">
        <f t="shared" ref="AN4:AN13" si="32">AO4/$Q$30</f>
        <v>9.617737521359027</v>
      </c>
      <c r="AO4" s="3">
        <f t="shared" si="21"/>
        <v>4431.8534498422396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15.766211416196903</v>
      </c>
      <c r="AM5" s="229">
        <f t="shared" si="20"/>
        <v>38.743297975680662</v>
      </c>
      <c r="AN5" s="2">
        <f t="shared" si="32"/>
        <v>15.766211416196903</v>
      </c>
      <c r="AO5" s="3">
        <f t="shared" si="21"/>
        <v>7265.0702205835332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-7.6190648899100027E-8</v>
      </c>
      <c r="AU5" s="165">
        <f t="shared" ref="AU5:AU13" si="36">-$Q$35/AT5</f>
        <v>0.4912258662393203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25.037331961778651</v>
      </c>
      <c r="AM6" s="229">
        <f t="shared" si="20"/>
        <v>47.703086564861444</v>
      </c>
      <c r="AN6" s="2">
        <f t="shared" si="32"/>
        <v>25.037331961778641</v>
      </c>
      <c r="AO6" s="3">
        <f t="shared" si="21"/>
        <v>11537.202567987599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-1.1304239200929691E-7</v>
      </c>
      <c r="AU6" s="165">
        <f t="shared" si="36"/>
        <v>0.33108656707935058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36.985692191740213</v>
      </c>
      <c r="AM7" s="233">
        <f t="shared" si="20"/>
        <v>59.250210898052131</v>
      </c>
      <c r="AN7" s="9">
        <f t="shared" si="32"/>
        <v>36.985692191740213</v>
      </c>
      <c r="AO7" s="10">
        <f t="shared" si="21"/>
        <v>17043.006961953892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-1.6632902594716878E-7</v>
      </c>
      <c r="AU7" s="165">
        <f t="shared" si="36"/>
        <v>0.22501675394097623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41.667072345198747</v>
      </c>
      <c r="AM8" s="229">
        <f t="shared" si="20"/>
        <v>63.77438640352154</v>
      </c>
      <c r="AN8" s="2">
        <f t="shared" si="32"/>
        <v>41.667072345198747</v>
      </c>
      <c r="AO8" s="3">
        <f t="shared" si="21"/>
        <v>19200.186936667582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-1.9580688104688541E-7</v>
      </c>
      <c r="AU8" s="165">
        <f t="shared" si="36"/>
        <v>0.19114148238658976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51.060927590843875</v>
      </c>
      <c r="AM9" s="229">
        <f t="shared" si="20"/>
        <v>72.852788159224943</v>
      </c>
      <c r="AN9" s="2">
        <f t="shared" si="32"/>
        <v>51.060927590843875</v>
      </c>
      <c r="AO9" s="3">
        <f t="shared" si="21"/>
        <v>23528.87543386086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-2.5267480358509918E-7</v>
      </c>
      <c r="AU9" s="165">
        <f t="shared" si="36"/>
        <v>0.14812247590089142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60.112494029712423</v>
      </c>
      <c r="AM10" s="229">
        <f t="shared" si="20"/>
        <v>81.600395451618013</v>
      </c>
      <c r="AN10" s="2">
        <f t="shared" si="32"/>
        <v>60.112494029712423</v>
      </c>
      <c r="AO10" s="3">
        <f t="shared" si="21"/>
        <v>27699.837248891487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-3.1610442850369439E-7</v>
      </c>
      <c r="AU10" s="165">
        <f t="shared" si="36"/>
        <v>0.11840016820377734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-0.38084538226349524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66.039650312149533</v>
      </c>
      <c r="AM11" s="229">
        <f t="shared" si="20"/>
        <v>87.328512885165964</v>
      </c>
      <c r="AN11" s="2">
        <f t="shared" si="32"/>
        <v>66.039650312149533</v>
      </c>
      <c r="AO11" s="3">
        <f t="shared" si="21"/>
        <v>30431.070863838508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-3.8584347943089009E-7</v>
      </c>
      <c r="AU11" s="165">
        <f t="shared" si="36"/>
        <v>9.6999999999999961E-2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3">
        <f t="shared" ref="AF12" si="56">AE12/AC12</f>
        <v>2.5171978277796763</v>
      </c>
      <c r="AG12" s="159">
        <f>$M$41/($Q$27*$Q$36*$Q$33*($AC12-$Q$46)^2/4/$AF12)/(PI()*$Q$36/60/($AC12-$Q$46))</f>
        <v>-0.35720952607937217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67.762329639119613</v>
      </c>
      <c r="AM12" s="229">
        <f t="shared" ref="AM12" si="61">($Q$43+$R$43*AL12*$Q$30)/$Q$30</f>
        <v>88.993343204297091</v>
      </c>
      <c r="AN12" s="2">
        <f t="shared" ref="AN12" si="62">AO12/$Q$30</f>
        <v>67.762329639119613</v>
      </c>
      <c r="AO12" s="3">
        <f t="shared" ref="AO12" si="63">MAX($Q$42+$R$42*AJ12, 0)</f>
        <v>31224.881497706319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-4.0825204819745533E-7</v>
      </c>
      <c r="AU12" s="165">
        <f t="shared" ref="AU12" si="67">-$Q$35/AT12</f>
        <v>9.1675761750727225E-2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70.159831950182692</v>
      </c>
      <c r="AM13" s="229">
        <f t="shared" si="20"/>
        <v>91.310335389177553</v>
      </c>
      <c r="AN13" s="2">
        <f t="shared" si="32"/>
        <v>70.159831950182678</v>
      </c>
      <c r="AO13" s="3">
        <f t="shared" si="21"/>
        <v>32329.650562644176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-4.4751598072750326E-7</v>
      </c>
      <c r="AU13" s="165">
        <f t="shared" si="36"/>
        <v>8.3632359773953793E-2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291"/>
      <c r="G37" s="291" t="s">
        <v>305</v>
      </c>
      <c r="H37" s="291"/>
      <c r="I37" s="292" t="s">
        <v>304</v>
      </c>
      <c r="J37" s="292"/>
      <c r="K37" s="292"/>
      <c r="L37" s="292"/>
      <c r="M37" s="291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63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69">(I39*$Q$30*$R$43+$Q$43)/$Q$30</f>
        <v>89.482667396261391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83.424517397983251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69.894649068495369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47.667008241479543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-10715.632109745511</v>
      </c>
      <c r="R42" s="69">
        <f>INDEX(LINEST($Q$4:$Q$13,$P$4:$P$13),1)</f>
        <v>1.0184721096415812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38.969235743951614</v>
      </c>
      <c r="K43" s="243">
        <v>0.442</v>
      </c>
      <c r="L43" s="61"/>
      <c r="M43" s="250"/>
      <c r="P43" s="65" t="s">
        <v>123</v>
      </c>
      <c r="Q43" s="205">
        <f>INDEX(LINEST($P$4:$P$13,$Q$4:$Q$13),2)</f>
        <v>10831.808600838027</v>
      </c>
      <c r="R43" s="69">
        <f>INDEX(LINEST($P$4:$P$13,$Q$4:$Q$13),1)</f>
        <v>0.96641916639199199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69"/>
        <v>35.714585390037939</v>
      </c>
      <c r="K44" s="246">
        <v>0.5</v>
      </c>
      <c r="L44" s="255"/>
      <c r="M44" s="256"/>
      <c r="P44" s="65" t="s">
        <v>180</v>
      </c>
      <c r="Q44" s="206">
        <f>AG11</f>
        <v>-0.38084538226349524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120" zoomScaleNormal="120" workbookViewId="0">
      <selection activeCell="D2" sqref="D2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D2" sqref="D2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1.0441660832977144</v>
      </c>
      <c r="D2" s="262">
        <f>EXP((0-$Q$41)/$R$41)</f>
        <v>7.9498949935886039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7.9498949935886039</v>
      </c>
      <c r="M2" s="234">
        <f t="shared" ref="M2:M13" si="4">LN(L2)</f>
        <v>2.0731587202253747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7.9498949935886039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0.22083041648857232</v>
      </c>
      <c r="AI2" s="228">
        <f t="shared" ref="AI2:AI13" si="16">AH2/$Q$23*$Q$31</f>
        <v>7.9498949935886039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-13.201529283470483</v>
      </c>
      <c r="AM2" s="229">
        <f t="shared" ref="AM2:AM13" si="20">($Q$43+$R$43*AL2*$Q$30)/$Q$30</f>
        <v>0.11926731804567343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D2" sqref="D2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7" zoomScale="90" zoomScaleNormal="90" workbookViewId="0">
      <selection activeCell="E11" sqref="E1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1.050360410369428</v>
      </c>
      <c r="D2" s="262">
        <f>EXP((0-$Q$42)/$R$42)</f>
        <v>9.0648738664970399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9.0648738664970399</v>
      </c>
      <c r="M2" s="234">
        <f t="shared" ref="M2:M14" si="4">LN(L2)</f>
        <v>2.2044069297688109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9.0648738664970399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0.25180205184714</v>
      </c>
      <c r="AI2" s="228">
        <f t="shared" ref="AI2:AI15" si="15">AH2/$Q$24*$Q$32</f>
        <v>9.0648738664970399</v>
      </c>
      <c r="AJ2" s="229">
        <f t="shared" ref="AJ2:AJ15" si="16">MAX(($Q$42+$R$42*LN($AI2)),0)</f>
        <v>0</v>
      </c>
      <c r="AK2" s="229">
        <f t="shared" ref="AK2:AK15" si="17">MAX(($Q$42+$R$42*LN(AI2))/$Q$31,0)</f>
        <v>0</v>
      </c>
      <c r="AL2" s="229">
        <f t="shared" ref="AL2:AL15" si="18">($Q$43+$R$43*AK2*$Q$31)/$Q$31</f>
        <v>-16.146309454223807</v>
      </c>
      <c r="AM2" s="229">
        <f t="shared" ref="AM2:AM15" si="19">($Q$44+$R$44*AL2*$Q$31)/$Q$31</f>
        <v>0.24761795835338773</v>
      </c>
      <c r="AN2" s="1"/>
      <c r="AO2" s="1">
        <f t="shared" ref="AO2:AO15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2017-01-04T23:33:32Z</dcterms:modified>
</cp:coreProperties>
</file>