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3040" windowHeight="9972"/>
  </bookViews>
  <sheets>
    <sheet name="CalArduinoTurnigy" sheetId="3" r:id="rId1"/>
    <sheet name="CalArduinoHiTec" sheetId="1" r:id="rId2"/>
    <sheet name="CalPhotonHiTec" sheetId="2" r:id="rId3"/>
  </sheets>
  <calcPr calcId="152511"/>
</workbook>
</file>

<file path=xl/calcChain.xml><?xml version="1.0" encoding="utf-8"?>
<calcChain xmlns="http://schemas.openxmlformats.org/spreadsheetml/2006/main">
  <c r="AC9" i="3" l="1"/>
  <c r="AD9" i="3" s="1"/>
  <c r="N9" i="3"/>
  <c r="P9" i="3" s="1"/>
  <c r="R9" i="3" s="1"/>
  <c r="M9" i="3"/>
  <c r="O9" i="3" s="1"/>
  <c r="Q9" i="3" s="1"/>
  <c r="K9" i="3"/>
  <c r="L9" i="3" s="1"/>
  <c r="J9" i="3"/>
  <c r="T9" i="3" s="1"/>
  <c r="U9" i="3" s="1"/>
  <c r="B9" i="3"/>
  <c r="V9" i="3" l="1"/>
  <c r="W9" i="3" s="1"/>
  <c r="Y9" i="3" s="1"/>
  <c r="Z9" i="3" s="1"/>
  <c r="AA9" i="3" s="1"/>
  <c r="S9" i="3"/>
  <c r="Z41" i="3"/>
  <c r="Z40" i="3"/>
  <c r="Z39" i="3"/>
  <c r="Z38" i="3"/>
  <c r="W40" i="3"/>
  <c r="W39" i="3"/>
  <c r="W38" i="3"/>
  <c r="W42" i="3"/>
  <c r="W41" i="3"/>
  <c r="N8" i="3"/>
  <c r="P8" i="3" s="1"/>
  <c r="M8" i="3"/>
  <c r="O8" i="3" s="1"/>
  <c r="K8" i="3"/>
  <c r="S8" i="3" s="1"/>
  <c r="J8" i="3"/>
  <c r="T8" i="3" s="1"/>
  <c r="U8" i="3" s="1"/>
  <c r="B8" i="3"/>
  <c r="B6" i="3"/>
  <c r="J6" i="3"/>
  <c r="T6" i="3" s="1"/>
  <c r="U6" i="3" s="1"/>
  <c r="K6" i="3"/>
  <c r="L6" i="3" s="1"/>
  <c r="M6" i="3"/>
  <c r="O6" i="3" s="1"/>
  <c r="N6" i="3"/>
  <c r="P6" i="3" s="1"/>
  <c r="S6" i="3" l="1"/>
  <c r="L8" i="3"/>
  <c r="V8" i="3"/>
  <c r="W8" i="3" s="1"/>
  <c r="Y8" i="3" s="1"/>
  <c r="Z8" i="3" s="1"/>
  <c r="AA8" i="3" s="1"/>
  <c r="V6" i="3"/>
  <c r="W6" i="3" s="1"/>
  <c r="P13" i="3" l="1"/>
  <c r="T13" i="3"/>
  <c r="U13" i="3" s="1"/>
  <c r="K2" i="3"/>
  <c r="S2" i="3" s="1"/>
  <c r="B2" i="3"/>
  <c r="T3" i="3"/>
  <c r="U3" i="3" s="1"/>
  <c r="T2" i="3"/>
  <c r="U2" i="3" s="1"/>
  <c r="B13" i="3"/>
  <c r="K13" i="3"/>
  <c r="L13" i="3" s="1"/>
  <c r="J11" i="3"/>
  <c r="T11" i="3" s="1"/>
  <c r="U11" i="3" s="1"/>
  <c r="B5" i="3"/>
  <c r="B7" i="3"/>
  <c r="B10" i="3"/>
  <c r="B11" i="3"/>
  <c r="B12" i="3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AD25" i="3"/>
  <c r="AD24" i="3"/>
  <c r="AD22" i="3"/>
  <c r="W27" i="3"/>
  <c r="AD21" i="3"/>
  <c r="AD20" i="3"/>
  <c r="AD19" i="3"/>
  <c r="AC5" i="3" s="1"/>
  <c r="AD5" i="3" s="1"/>
  <c r="N12" i="3"/>
  <c r="P12" i="3" s="1"/>
  <c r="M12" i="3"/>
  <c r="O12" i="3" s="1"/>
  <c r="K12" i="3"/>
  <c r="S12" i="3" s="1"/>
  <c r="J12" i="3"/>
  <c r="T12" i="3" s="1"/>
  <c r="U12" i="3" s="1"/>
  <c r="N11" i="3"/>
  <c r="P11" i="3" s="1"/>
  <c r="M11" i="3"/>
  <c r="O11" i="3" s="1"/>
  <c r="K11" i="3"/>
  <c r="S11" i="3" s="1"/>
  <c r="N10" i="3"/>
  <c r="P10" i="3" s="1"/>
  <c r="M10" i="3"/>
  <c r="O10" i="3" s="1"/>
  <c r="K10" i="3"/>
  <c r="S10" i="3" s="1"/>
  <c r="J10" i="3"/>
  <c r="T10" i="3" s="1"/>
  <c r="U10" i="3" s="1"/>
  <c r="N7" i="3"/>
  <c r="P7" i="3" s="1"/>
  <c r="M7" i="3"/>
  <c r="O7" i="3" s="1"/>
  <c r="K7" i="3"/>
  <c r="S7" i="3" s="1"/>
  <c r="J7" i="3"/>
  <c r="T7" i="3" s="1"/>
  <c r="U7" i="3" s="1"/>
  <c r="N5" i="3"/>
  <c r="P5" i="3" s="1"/>
  <c r="M5" i="3"/>
  <c r="O5" i="3" s="1"/>
  <c r="K5" i="3"/>
  <c r="L5" i="3" s="1"/>
  <c r="J5" i="3"/>
  <c r="T5" i="3" s="1"/>
  <c r="U5" i="3" s="1"/>
  <c r="N4" i="3"/>
  <c r="P4" i="3" s="1"/>
  <c r="M4" i="3"/>
  <c r="O4" i="3" s="1"/>
  <c r="K4" i="3"/>
  <c r="S4" i="3" s="1"/>
  <c r="J4" i="3"/>
  <c r="T4" i="3" s="1"/>
  <c r="U4" i="3" s="1"/>
  <c r="B4" i="3"/>
  <c r="T1" i="3"/>
  <c r="V10" i="3" l="1"/>
  <c r="W10" i="3" s="1"/>
  <c r="Y10" i="3" s="1"/>
  <c r="Z10" i="3" s="1"/>
  <c r="AA10" i="3" s="1"/>
  <c r="AC13" i="3"/>
  <c r="AD13" i="3" s="1"/>
  <c r="AD29" i="3"/>
  <c r="AD26" i="3"/>
  <c r="AD23" i="3"/>
  <c r="Q6" i="3"/>
  <c r="R8" i="3"/>
  <c r="Q8" i="3"/>
  <c r="R6" i="3"/>
  <c r="AC10" i="3"/>
  <c r="AD10" i="3" s="1"/>
  <c r="AC8" i="3"/>
  <c r="AD8" i="3" s="1"/>
  <c r="AC6" i="3"/>
  <c r="AD6" i="3" s="1"/>
  <c r="AC7" i="3"/>
  <c r="AD7" i="3" s="1"/>
  <c r="AE28" i="3"/>
  <c r="Q10" i="3"/>
  <c r="Q2" i="3"/>
  <c r="R13" i="3"/>
  <c r="AC12" i="3"/>
  <c r="AD12" i="3" s="1"/>
  <c r="R3" i="3"/>
  <c r="AC11" i="3"/>
  <c r="AD11" i="3" s="1"/>
  <c r="Q3" i="3"/>
  <c r="R2" i="3"/>
  <c r="L2" i="3"/>
  <c r="AC4" i="3"/>
  <c r="AD4" i="3" s="1"/>
  <c r="AC2" i="3"/>
  <c r="AD2" i="3" s="1"/>
  <c r="S13" i="3"/>
  <c r="L12" i="3"/>
  <c r="L11" i="3"/>
  <c r="L10" i="3"/>
  <c r="L4" i="3"/>
  <c r="L7" i="3"/>
  <c r="R4" i="3"/>
  <c r="R10" i="3"/>
  <c r="V7" i="3"/>
  <c r="W7" i="3" s="1"/>
  <c r="Y7" i="3" s="1"/>
  <c r="Z7" i="3" s="1"/>
  <c r="V11" i="3"/>
  <c r="W11" i="3" s="1"/>
  <c r="Y11" i="3" s="1"/>
  <c r="Z11" i="3" s="1"/>
  <c r="AA11" i="3" s="1"/>
  <c r="V5" i="3"/>
  <c r="W5" i="3" s="1"/>
  <c r="V12" i="3"/>
  <c r="W12" i="3" s="1"/>
  <c r="V4" i="3"/>
  <c r="W4" i="3" s="1"/>
  <c r="Q5" i="3"/>
  <c r="R7" i="3"/>
  <c r="Q11" i="3"/>
  <c r="Q7" i="3"/>
  <c r="R11" i="3"/>
  <c r="R12" i="3"/>
  <c r="S5" i="3"/>
  <c r="Q4" i="3"/>
  <c r="R5" i="3"/>
  <c r="Q12" i="3"/>
  <c r="AE26" i="3"/>
  <c r="B2" i="2"/>
  <c r="N3" i="2"/>
  <c r="P3" i="2" s="1"/>
  <c r="M3" i="2"/>
  <c r="O3" i="2" s="1"/>
  <c r="L3" i="2"/>
  <c r="K3" i="2"/>
  <c r="S3" i="2" s="1"/>
  <c r="J3" i="2"/>
  <c r="X3" i="2" s="1"/>
  <c r="M2" i="1"/>
  <c r="O2" i="1" s="1"/>
  <c r="L2" i="1"/>
  <c r="N2" i="1" s="1"/>
  <c r="K2" i="1"/>
  <c r="S2" i="1" s="1"/>
  <c r="J2" i="1"/>
  <c r="X2" i="1" s="1"/>
  <c r="Y2" i="1" s="1"/>
  <c r="B2" i="1"/>
  <c r="Y15" i="3" l="1"/>
  <c r="AF26" i="3"/>
  <c r="AD28" i="3"/>
  <c r="Z31" i="3"/>
  <c r="Z33" i="3" s="1"/>
  <c r="AE29" i="3"/>
  <c r="Z15" i="3"/>
  <c r="AA7" i="3"/>
  <c r="AA15" i="3" s="1"/>
  <c r="Q3" i="2"/>
  <c r="Z2" i="1"/>
  <c r="AA2" i="1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1" i="1"/>
  <c r="D31" i="1" s="1"/>
  <c r="Z34" i="3" l="1"/>
  <c r="AD27" i="3"/>
  <c r="AH24" i="2"/>
  <c r="AH23" i="2"/>
  <c r="AH21" i="2"/>
  <c r="AH20" i="2"/>
  <c r="AH19" i="2"/>
  <c r="AH18" i="2"/>
  <c r="M9" i="2"/>
  <c r="O9" i="2" s="1"/>
  <c r="L9" i="2"/>
  <c r="N9" i="2" s="1"/>
  <c r="K9" i="2"/>
  <c r="X9" i="2"/>
  <c r="AA21" i="2"/>
  <c r="AH22" i="2" s="1"/>
  <c r="M8" i="2"/>
  <c r="O8" i="2" s="1"/>
  <c r="L8" i="2"/>
  <c r="N8" i="2" s="1"/>
  <c r="K8" i="2"/>
  <c r="S8" i="2" s="1"/>
  <c r="J8" i="2"/>
  <c r="X8" i="2" s="1"/>
  <c r="M7" i="2"/>
  <c r="O7" i="2" s="1"/>
  <c r="L7" i="2"/>
  <c r="N7" i="2" s="1"/>
  <c r="K7" i="2"/>
  <c r="S7" i="2" s="1"/>
  <c r="J7" i="2"/>
  <c r="X7" i="2" s="1"/>
  <c r="M6" i="2"/>
  <c r="O6" i="2" s="1"/>
  <c r="L6" i="2"/>
  <c r="N6" i="2" s="1"/>
  <c r="K6" i="2"/>
  <c r="S6" i="2" s="1"/>
  <c r="J6" i="2"/>
  <c r="X6" i="2" s="1"/>
  <c r="M5" i="2"/>
  <c r="O5" i="2" s="1"/>
  <c r="L5" i="2"/>
  <c r="N5" i="2" s="1"/>
  <c r="K5" i="2"/>
  <c r="S5" i="2" s="1"/>
  <c r="J5" i="2"/>
  <c r="X5" i="2" s="1"/>
  <c r="M4" i="2"/>
  <c r="O4" i="2" s="1"/>
  <c r="L4" i="2"/>
  <c r="N4" i="2" s="1"/>
  <c r="K4" i="2"/>
  <c r="S4" i="2" s="1"/>
  <c r="J4" i="2"/>
  <c r="X4" i="2" s="1"/>
  <c r="M2" i="2"/>
  <c r="O2" i="2" s="1"/>
  <c r="L2" i="2"/>
  <c r="N2" i="2" s="1"/>
  <c r="K2" i="2"/>
  <c r="S2" i="2" s="1"/>
  <c r="J2" i="2"/>
  <c r="X2" i="2" s="1"/>
  <c r="X1" i="2"/>
  <c r="AE27" i="3" l="1"/>
  <c r="AF13" i="3" s="1"/>
  <c r="P4" i="2"/>
  <c r="P5" i="2"/>
  <c r="P6" i="2"/>
  <c r="P7" i="2"/>
  <c r="P8" i="2"/>
  <c r="S9" i="2"/>
  <c r="P9" i="2"/>
  <c r="Q6" i="2"/>
  <c r="AA34" i="2"/>
  <c r="AH25" i="2" s="1"/>
  <c r="AA33" i="2"/>
  <c r="AI25" i="2" s="1"/>
  <c r="AA32" i="2"/>
  <c r="Q2" i="2"/>
  <c r="Q8" i="2"/>
  <c r="Q5" i="2"/>
  <c r="P2" i="2"/>
  <c r="Q7" i="2"/>
  <c r="Q4" i="2"/>
  <c r="Q9" i="2"/>
  <c r="AF9" i="3" l="1"/>
  <c r="AE9" i="3"/>
  <c r="AE4" i="3"/>
  <c r="AF2" i="3"/>
  <c r="AG2" i="3" s="1"/>
  <c r="AH2" i="3" s="1"/>
  <c r="AE11" i="3"/>
  <c r="AE8" i="3"/>
  <c r="AE10" i="3"/>
  <c r="AE13" i="3"/>
  <c r="AE7" i="3"/>
  <c r="AE12" i="3"/>
  <c r="AE2" i="3"/>
  <c r="AE6" i="3"/>
  <c r="AE5" i="3"/>
  <c r="AF6" i="3"/>
  <c r="AF8" i="3"/>
  <c r="AF10" i="3"/>
  <c r="AG10" i="3" s="1"/>
  <c r="AH10" i="3" s="1"/>
  <c r="AF4" i="3"/>
  <c r="AG4" i="3" s="1"/>
  <c r="AH4" i="3" s="1"/>
  <c r="AF11" i="3"/>
  <c r="AG11" i="3" s="1"/>
  <c r="AH11" i="3" s="1"/>
  <c r="C3" i="3"/>
  <c r="AC3" i="3" s="1"/>
  <c r="AD3" i="3" s="1"/>
  <c r="AF7" i="3"/>
  <c r="AG7" i="3" s="1"/>
  <c r="AH7" i="3" s="1"/>
  <c r="AF5" i="3"/>
  <c r="AG5" i="3" s="1"/>
  <c r="AH5" i="3" s="1"/>
  <c r="AF12" i="3"/>
  <c r="AG12" i="3" s="1"/>
  <c r="AH12" i="3" s="1"/>
  <c r="AG13" i="3"/>
  <c r="AH13" i="3" s="1"/>
  <c r="W44" i="3"/>
  <c r="V3" i="2"/>
  <c r="W3" i="2" s="1"/>
  <c r="AJ25" i="2"/>
  <c r="V9" i="2"/>
  <c r="W9" i="2" s="1"/>
  <c r="V8" i="2"/>
  <c r="W8" i="2" s="1"/>
  <c r="V7" i="2"/>
  <c r="W7" i="2" s="1"/>
  <c r="V6" i="2"/>
  <c r="W6" i="2" s="1"/>
  <c r="V5" i="2"/>
  <c r="W5" i="2" s="1"/>
  <c r="V4" i="2"/>
  <c r="W4" i="2" s="1"/>
  <c r="V2" i="2"/>
  <c r="W2" i="2" s="1"/>
  <c r="AI2" i="3" l="1"/>
  <c r="AI9" i="3"/>
  <c r="AG9" i="3"/>
  <c r="AH9" i="3" s="1"/>
  <c r="AI12" i="3"/>
  <c r="AF3" i="3"/>
  <c r="AG3" i="3" s="1"/>
  <c r="AH3" i="3" s="1"/>
  <c r="AE3" i="3"/>
  <c r="AI10" i="3"/>
  <c r="AI8" i="3"/>
  <c r="AG8" i="3"/>
  <c r="AH8" i="3" s="1"/>
  <c r="AG6" i="3"/>
  <c r="AH6" i="3" s="1"/>
  <c r="AI6" i="3"/>
  <c r="K3" i="3"/>
  <c r="S3" i="3" s="1"/>
  <c r="B3" i="3"/>
  <c r="AI11" i="3"/>
  <c r="AI5" i="3"/>
  <c r="AI4" i="3"/>
  <c r="AI7" i="3"/>
  <c r="O13" i="3"/>
  <c r="Q13" i="3" s="1"/>
  <c r="AI13" i="3"/>
  <c r="AH22" i="1"/>
  <c r="AH21" i="1"/>
  <c r="AH27" i="1"/>
  <c r="AH26" i="1"/>
  <c r="AH23" i="1"/>
  <c r="AH24" i="1"/>
  <c r="X1" i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3" i="1"/>
  <c r="N3" i="1" s="1"/>
  <c r="AI3" i="3" l="1"/>
  <c r="L3" i="3"/>
  <c r="K4" i="1"/>
  <c r="K5" i="1"/>
  <c r="K6" i="1"/>
  <c r="K7" i="1"/>
  <c r="K8" i="1"/>
  <c r="K9" i="1"/>
  <c r="K3" i="1"/>
  <c r="AA24" i="1"/>
  <c r="AH25" i="1" l="1"/>
  <c r="P2" i="1"/>
  <c r="Q2" i="1"/>
  <c r="P6" i="1"/>
  <c r="P3" i="1"/>
  <c r="P9" i="1"/>
  <c r="P8" i="1"/>
  <c r="P7" i="1"/>
  <c r="P5" i="1"/>
  <c r="P4" i="1"/>
  <c r="S4" i="1"/>
  <c r="S3" i="1"/>
  <c r="S5" i="1"/>
  <c r="S9" i="1"/>
  <c r="S6" i="1"/>
  <c r="S8" i="1"/>
  <c r="S7" i="1"/>
  <c r="J4" i="1"/>
  <c r="J5" i="1"/>
  <c r="J6" i="1"/>
  <c r="J7" i="1"/>
  <c r="J8" i="1"/>
  <c r="J9" i="1"/>
  <c r="J3" i="1"/>
  <c r="X3" i="1" l="1"/>
  <c r="Y3" i="1" s="1"/>
  <c r="Z3" i="1" s="1"/>
  <c r="AA3" i="1" s="1"/>
  <c r="X9" i="1"/>
  <c r="Y9" i="1" s="1"/>
  <c r="Z9" i="1" s="1"/>
  <c r="AA9" i="1" s="1"/>
  <c r="X5" i="1"/>
  <c r="Y5" i="1" s="1"/>
  <c r="Z5" i="1" s="1"/>
  <c r="AA5" i="1" s="1"/>
  <c r="AC5" i="1" s="1"/>
  <c r="AD5" i="1" s="1"/>
  <c r="AE5" i="1" s="1"/>
  <c r="X4" i="1"/>
  <c r="Y4" i="1" s="1"/>
  <c r="Z4" i="1" s="1"/>
  <c r="AA4" i="1" s="1"/>
  <c r="AC4" i="1" s="1"/>
  <c r="X6" i="1"/>
  <c r="Y6" i="1" s="1"/>
  <c r="Z6" i="1" s="1"/>
  <c r="AA6" i="1" s="1"/>
  <c r="AC6" i="1" s="1"/>
  <c r="AD6" i="1" s="1"/>
  <c r="AE6" i="1" s="1"/>
  <c r="X8" i="1"/>
  <c r="Y8" i="1" s="1"/>
  <c r="Z8" i="1" s="1"/>
  <c r="AA8" i="1" s="1"/>
  <c r="X7" i="1"/>
  <c r="Y7" i="1" s="1"/>
  <c r="Z7" i="1" s="1"/>
  <c r="AA7" i="1" s="1"/>
  <c r="AC7" i="1" s="1"/>
  <c r="AD7" i="1" s="1"/>
  <c r="AE7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3" i="1"/>
  <c r="O3" i="1" s="1"/>
  <c r="AC10" i="1" l="1"/>
  <c r="AD4" i="1"/>
  <c r="AD36" i="1"/>
  <c r="AD35" i="1"/>
  <c r="R2" i="1" s="1"/>
  <c r="T2" i="1" s="1"/>
  <c r="AD38" i="1"/>
  <c r="AD28" i="1" s="1"/>
  <c r="AD30" i="1" s="1"/>
  <c r="AD37" i="1"/>
  <c r="AA35" i="1"/>
  <c r="AA36" i="1"/>
  <c r="AI28" i="1" s="1"/>
  <c r="AA37" i="1"/>
  <c r="AH28" i="1" s="1"/>
  <c r="Q3" i="1"/>
  <c r="Q5" i="1"/>
  <c r="Q4" i="1"/>
  <c r="Q8" i="1"/>
  <c r="Q9" i="1"/>
  <c r="Q7" i="1"/>
  <c r="Q6" i="1"/>
  <c r="V2" i="1" l="1"/>
  <c r="W2" i="1" s="1"/>
  <c r="AJ28" i="1"/>
  <c r="V11" i="1"/>
  <c r="AD31" i="1"/>
  <c r="AH30" i="1" s="1"/>
  <c r="AI30" i="1"/>
  <c r="AD10" i="1"/>
  <c r="AE4" i="1"/>
  <c r="AE10" i="1" s="1"/>
  <c r="AI31" i="1"/>
  <c r="AD34" i="2"/>
  <c r="AI28" i="2" s="1"/>
  <c r="AH31" i="1"/>
  <c r="AD35" i="2"/>
  <c r="AI32" i="1"/>
  <c r="O19" i="2"/>
  <c r="P19" i="2" s="1"/>
  <c r="Q19" i="2" s="1"/>
  <c r="O16" i="2"/>
  <c r="P16" i="2" s="1"/>
  <c r="Q16" i="2" s="1"/>
  <c r="O13" i="2"/>
  <c r="P13" i="2" s="1"/>
  <c r="Q13" i="2" s="1"/>
  <c r="O14" i="2"/>
  <c r="P14" i="2" s="1"/>
  <c r="Q14" i="2" s="1"/>
  <c r="O15" i="2"/>
  <c r="P15" i="2" s="1"/>
  <c r="Q15" i="2" s="1"/>
  <c r="O18" i="2"/>
  <c r="P18" i="2" s="1"/>
  <c r="Q18" i="2" s="1"/>
  <c r="AD32" i="2"/>
  <c r="O17" i="2"/>
  <c r="P17" i="2" s="1"/>
  <c r="Q17" i="2" s="1"/>
  <c r="AH32" i="1"/>
  <c r="AD33" i="2"/>
  <c r="AH29" i="2" s="1"/>
  <c r="R7" i="1"/>
  <c r="T7" i="1" s="1"/>
  <c r="R6" i="1"/>
  <c r="T6" i="1" s="1"/>
  <c r="R4" i="1"/>
  <c r="T4" i="1" s="1"/>
  <c r="R8" i="1"/>
  <c r="T8" i="1" s="1"/>
  <c r="R3" i="1"/>
  <c r="R5" i="1"/>
  <c r="T5" i="1" s="1"/>
  <c r="R9" i="1"/>
  <c r="T9" i="1" s="1"/>
  <c r="R3" i="2" l="1"/>
  <c r="T3" i="2" s="1"/>
  <c r="T3" i="1"/>
  <c r="AA38" i="1"/>
  <c r="U2" i="1" s="1"/>
  <c r="AA39" i="1"/>
  <c r="AH29" i="1" s="1"/>
  <c r="AH28" i="2"/>
  <c r="AD25" i="2"/>
  <c r="AD27" i="2" s="1"/>
  <c r="AI29" i="2"/>
  <c r="R2" i="2"/>
  <c r="R5" i="2"/>
  <c r="T5" i="2" s="1"/>
  <c r="R4" i="2"/>
  <c r="T4" i="2" s="1"/>
  <c r="R9" i="2"/>
  <c r="T9" i="2" s="1"/>
  <c r="R7" i="2"/>
  <c r="T7" i="2" s="1"/>
  <c r="R8" i="2"/>
  <c r="T8" i="2" s="1"/>
  <c r="R6" i="2"/>
  <c r="T6" i="2" s="1"/>
  <c r="V7" i="1"/>
  <c r="W7" i="1" s="1"/>
  <c r="V4" i="1"/>
  <c r="W4" i="1" s="1"/>
  <c r="V8" i="1"/>
  <c r="W8" i="1" s="1"/>
  <c r="V5" i="1"/>
  <c r="W5" i="1" s="1"/>
  <c r="V9" i="1"/>
  <c r="W9" i="1" s="1"/>
  <c r="V6" i="1"/>
  <c r="W6" i="1" s="1"/>
  <c r="V3" i="1"/>
  <c r="W3" i="1" s="1"/>
  <c r="AF7" i="1" l="1"/>
  <c r="AF9" i="1"/>
  <c r="AF6" i="1"/>
  <c r="AF5" i="1"/>
  <c r="AF4" i="1"/>
  <c r="AI29" i="1"/>
  <c r="AF2" i="1" s="1"/>
  <c r="AD28" i="2"/>
  <c r="AH27" i="2" s="1"/>
  <c r="AI27" i="2"/>
  <c r="T2" i="2"/>
  <c r="AA35" i="2"/>
  <c r="U3" i="2" s="1"/>
  <c r="AA36" i="2"/>
  <c r="AH26" i="2" s="1"/>
  <c r="U5" i="1"/>
  <c r="U7" i="1"/>
  <c r="U3" i="1"/>
  <c r="U6" i="1"/>
  <c r="U8" i="1"/>
  <c r="U9" i="1"/>
  <c r="U4" i="1"/>
  <c r="AF3" i="1" l="1"/>
  <c r="AF8" i="1"/>
  <c r="AI26" i="2"/>
  <c r="U7" i="2"/>
  <c r="U8" i="2"/>
  <c r="U5" i="2"/>
  <c r="U9" i="2"/>
  <c r="U4" i="2"/>
  <c r="U6" i="2"/>
  <c r="U2" i="2"/>
</calcChain>
</file>

<file path=xl/sharedStrings.xml><?xml version="1.0" encoding="utf-8"?>
<sst xmlns="http://schemas.openxmlformats.org/spreadsheetml/2006/main" count="249" uniqueCount="89">
  <si>
    <t>throttleFlt, deg</t>
  </si>
  <si>
    <t>v4, vdc</t>
  </si>
  <si>
    <t>Vemf, V pk-pk</t>
  </si>
  <si>
    <t>numPoles</t>
  </si>
  <si>
    <t>Kv</t>
  </si>
  <si>
    <t>Vc</t>
  </si>
  <si>
    <t>max RPM</t>
  </si>
  <si>
    <t>fan,RPM</t>
  </si>
  <si>
    <t>fan, %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</si>
  <si>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</si>
  <si>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</si>
  <si>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</si>
  <si>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</si>
  <si>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</si>
  <si>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</si>
  <si>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Charger V, vdc</t>
  </si>
  <si>
    <t>Charger I, A</t>
  </si>
  <si>
    <t>Charger Pwr, W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</si>
  <si>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</si>
  <si>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</si>
  <si>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</si>
  <si>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</si>
  <si>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</si>
  <si>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</si>
  <si>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</si>
  <si>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</si>
  <si>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</si>
  <si>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</si>
  <si>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</si>
  <si>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</si>
  <si>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</si>
  <si>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Calc fan, %</t>
  </si>
  <si>
    <t>vf2v, v</t>
  </si>
  <si>
    <t>Tfan, micros</t>
  </si>
  <si>
    <t>Tng, micros</t>
  </si>
  <si>
    <t>FreqFan, Hz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</si>
  <si>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</si>
  <si>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</si>
  <si>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</si>
  <si>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</si>
  <si>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</si>
  <si>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</si>
  <si>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</si>
  <si>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</si>
  <si>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</si>
  <si>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</si>
  <si>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</si>
  <si>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</si>
  <si>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</si>
  <si>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</si>
  <si>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pcnfRef, %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</si>
  <si>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</si>
  <si>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</si>
  <si>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</si>
  <si>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</si>
  <si>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</si>
  <si>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</si>
  <si>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</si>
  <si>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</si>
  <si>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</si>
  <si>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</si>
  <si>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</si>
  <si>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JgEst, ft-lbf/(rpm/sec)</t>
  </si>
  <si>
    <t>JgEst, lbm-ft^2</t>
  </si>
  <si>
    <t>JgEst, lbm-in^2</t>
  </si>
  <si>
    <t>avg=</t>
  </si>
  <si>
    <t>TTL, ms</t>
  </si>
  <si>
    <t>original throttle, deg</t>
  </si>
  <si>
    <t>ttl, ms</t>
  </si>
  <si>
    <t>cal thtl</t>
  </si>
  <si>
    <t>Nf for 0% Ng</t>
  </si>
  <si>
    <t>-----&gt;</t>
  </si>
  <si>
    <t>10/13/2016 determined to scale deg throttle to 1000-2000 microseconds by setting in code for Servo</t>
  </si>
  <si>
    <t>Nf, %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</si>
  <si>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</si>
  <si>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</si>
  <si>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</si>
  <si>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</si>
  <si>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</si>
  <si>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</si>
  <si>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</si>
  <si>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Nf from Model Ng, %</t>
  </si>
  <si>
    <t>Model Ng from pcnfRef at RESET, %</t>
  </si>
  <si>
    <t>model throttle from vpot</t>
  </si>
  <si>
    <t>Model Ng from Model Throttle, %</t>
  </si>
  <si>
    <t>Model pcnfRef from Model Ng, %</t>
  </si>
  <si>
    <t>throttle for Ng=0</t>
  </si>
  <si>
    <t>simulate vpot from throttle</t>
  </si>
  <si>
    <t>Model Ng from Model Throttle,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</si>
</sst>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"/>
    <numFmt numFmtId="167" formatCode="0E+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9706971560062"/>
          <c:y val="0.1632962962962963"/>
          <c:w val="0.79740543990220403"/>
          <c:h val="0.698172936716243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CalArduinoTurnigy!$J$4:$J$37</c:f>
              <c:numCache>
                <c:formatCode>0.0</c:formatCode>
                <c:ptCount val="34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169.11679999999998</c:v>
                </c:pt>
                <c:pt idx="8">
                  <c:v>241.61249999999998</c:v>
                </c:pt>
              </c:numCache>
            </c:numRef>
          </c:xVal>
          <c:yVal>
            <c:numRef>
              <c:f>CalArduinoTurnigy!$Q$4:$Q$37</c:f>
              <c:numCache>
                <c:formatCode>0</c:formatCode>
                <c:ptCount val="34"/>
                <c:pt idx="0">
                  <c:v>19.278606965174134</c:v>
                </c:pt>
                <c:pt idx="1">
                  <c:v>27.958152958152958</c:v>
                </c:pt>
                <c:pt idx="2">
                  <c:v>39.621676891615543</c:v>
                </c:pt>
                <c:pt idx="3">
                  <c:v>48.196517412935322</c:v>
                </c:pt>
                <c:pt idx="4">
                  <c:v>60.077519379844965</c:v>
                </c:pt>
                <c:pt idx="5">
                  <c:v>63.943894389438952</c:v>
                </c:pt>
                <c:pt idx="6">
                  <c:v>72.975517890772139</c:v>
                </c:pt>
                <c:pt idx="7">
                  <c:v>89.699074074074076</c:v>
                </c:pt>
                <c:pt idx="8">
                  <c:v>99.974200206398365</c:v>
                </c:pt>
                <c:pt idx="9">
                  <c:v>124.21849373922875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22768"/>
        <c:axId val="155317672"/>
      </c:scatterChart>
      <c:valAx>
        <c:axId val="15532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7672"/>
        <c:crosses val="autoZero"/>
        <c:crossBetween val="midCat"/>
      </c:valAx>
      <c:valAx>
        <c:axId val="15531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2696"/>
        <c:axId val="207197600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0736"/>
        <c:axId val="207200344"/>
      </c:scatterChart>
      <c:valAx>
        <c:axId val="2072026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7600"/>
        <c:crosses val="autoZero"/>
        <c:crossBetween val="midCat"/>
      </c:valAx>
      <c:valAx>
        <c:axId val="2071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2696"/>
        <c:crosses val="autoZero"/>
        <c:crossBetween val="midCat"/>
      </c:valAx>
      <c:valAx>
        <c:axId val="207200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0736"/>
        <c:crosses val="max"/>
        <c:crossBetween val="midCat"/>
      </c:valAx>
      <c:valAx>
        <c:axId val="20720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20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1520"/>
        <c:axId val="207201912"/>
      </c:scatterChart>
      <c:valAx>
        <c:axId val="20720152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7201912"/>
        <c:crosses val="autoZero"/>
        <c:crossBetween val="midCat"/>
      </c:valAx>
      <c:valAx>
        <c:axId val="207201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0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3480"/>
        <c:axId val="154957400"/>
      </c:scatterChart>
      <c:valAx>
        <c:axId val="20720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4957400"/>
        <c:crosses val="autoZero"/>
        <c:crossBetween val="midCat"/>
      </c:valAx>
      <c:valAx>
        <c:axId val="15495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03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Nf,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57792"/>
        <c:axId val="154955832"/>
      </c:scatterChart>
      <c:valAx>
        <c:axId val="154957792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5832"/>
        <c:crosses val="autoZero"/>
        <c:crossBetween val="midCat"/>
      </c:valAx>
      <c:valAx>
        <c:axId val="15495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7792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58184"/>
        <c:axId val="154954656"/>
      </c:scatterChart>
      <c:valAx>
        <c:axId val="15495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4656"/>
        <c:crosses val="autoZero"/>
        <c:crossBetween val="midCat"/>
      </c:valAx>
      <c:valAx>
        <c:axId val="154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57008"/>
        <c:axId val="154955048"/>
      </c:scatterChart>
      <c:valAx>
        <c:axId val="1549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5048"/>
        <c:crosses val="autoZero"/>
        <c:crossBetween val="midCat"/>
      </c:valAx>
      <c:valAx>
        <c:axId val="15495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03912"/>
        <c:axId val="207503128"/>
      </c:scatterChart>
      <c:valAx>
        <c:axId val="20750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3128"/>
        <c:crosses val="autoZero"/>
        <c:crossBetween val="midCat"/>
      </c:valAx>
      <c:valAx>
        <c:axId val="20750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CalArduinoTurnigy!$O$5:$O$12</c:f>
              <c:numCache>
                <c:formatCode>0</c:formatCode>
                <c:ptCount val="8"/>
                <c:pt idx="0">
                  <c:v>6493.5064935064938</c:v>
                </c:pt>
                <c:pt idx="1">
                  <c:v>9202.4539877300613</c:v>
                </c:pt>
                <c:pt idx="2">
                  <c:v>11194.029850746268</c:v>
                </c:pt>
                <c:pt idx="3">
                  <c:v>13953.488372093025</c:v>
                </c:pt>
                <c:pt idx="4">
                  <c:v>14851.485148514852</c:v>
                </c:pt>
                <c:pt idx="5">
                  <c:v>16949.152542372882</c:v>
                </c:pt>
                <c:pt idx="6">
                  <c:v>20833.333333333332</c:v>
                </c:pt>
                <c:pt idx="7">
                  <c:v>23219.81424148607</c:v>
                </c:pt>
              </c:numCache>
            </c:numRef>
          </c:xVal>
          <c:yVal>
            <c:numRef>
              <c:f>CalArduinoTurnigy!$P$5:$P$12</c:f>
              <c:numCache>
                <c:formatCode>0</c:formatCode>
                <c:ptCount val="8"/>
                <c:pt idx="0">
                  <c:v>0.3</c:v>
                </c:pt>
                <c:pt idx="1">
                  <c:v>4680.1872074882995</c:v>
                </c:pt>
                <c:pt idx="2">
                  <c:v>6619.5939982347754</c:v>
                </c:pt>
                <c:pt idx="3">
                  <c:v>9433.962264150945</c:v>
                </c:pt>
                <c:pt idx="4">
                  <c:v>10526.315789473683</c:v>
                </c:pt>
                <c:pt idx="5">
                  <c:v>12500</c:v>
                </c:pt>
                <c:pt idx="6">
                  <c:v>16120.365394948954</c:v>
                </c:pt>
                <c:pt idx="7">
                  <c:v>18181.818181818184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23160"/>
        <c:axId val="155316888"/>
      </c:scatterChart>
      <c:valAx>
        <c:axId val="15532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6888"/>
        <c:crosses val="autoZero"/>
        <c:crossBetween val="midCat"/>
      </c:valAx>
      <c:valAx>
        <c:axId val="15531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CalArduinoTurnigy!$K$4:$K$12</c:f>
              <c:numCache>
                <c:formatCode>General</c:formatCode>
                <c:ptCount val="9"/>
                <c:pt idx="0">
                  <c:v>50</c:v>
                </c:pt>
                <c:pt idx="1">
                  <c:v>53</c:v>
                </c:pt>
                <c:pt idx="2">
                  <c:v>58</c:v>
                </c:pt>
                <c:pt idx="3">
                  <c:v>64</c:v>
                </c:pt>
                <c:pt idx="4">
                  <c:v>73.7</c:v>
                </c:pt>
                <c:pt idx="5">
                  <c:v>79</c:v>
                </c:pt>
                <c:pt idx="6">
                  <c:v>90</c:v>
                </c:pt>
                <c:pt idx="7">
                  <c:v>120</c:v>
                </c:pt>
                <c:pt idx="8">
                  <c:v>135</c:v>
                </c:pt>
              </c:numCache>
            </c:numRef>
          </c:xVal>
          <c:yVal>
            <c:numRef>
              <c:f>CalArduinoTurnigy!$Q$4:$Q$12</c:f>
              <c:numCache>
                <c:formatCode>0</c:formatCode>
                <c:ptCount val="9"/>
                <c:pt idx="0">
                  <c:v>19.278606965174134</c:v>
                </c:pt>
                <c:pt idx="1">
                  <c:v>27.958152958152958</c:v>
                </c:pt>
                <c:pt idx="2">
                  <c:v>39.621676891615543</c:v>
                </c:pt>
                <c:pt idx="3">
                  <c:v>48.196517412935322</c:v>
                </c:pt>
                <c:pt idx="4">
                  <c:v>60.077519379844965</c:v>
                </c:pt>
                <c:pt idx="5">
                  <c:v>63.943894389438952</c:v>
                </c:pt>
                <c:pt idx="6">
                  <c:v>72.975517890772139</c:v>
                </c:pt>
                <c:pt idx="7">
                  <c:v>89.699074074074076</c:v>
                </c:pt>
                <c:pt idx="8">
                  <c:v>99.974200206398365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20808"/>
        <c:axId val="155320416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CalArduinoTurnigy!$K$4:$K$12</c:f>
              <c:numCache>
                <c:formatCode>General</c:formatCode>
                <c:ptCount val="9"/>
                <c:pt idx="0">
                  <c:v>50</c:v>
                </c:pt>
                <c:pt idx="1">
                  <c:v>53</c:v>
                </c:pt>
                <c:pt idx="2">
                  <c:v>58</c:v>
                </c:pt>
                <c:pt idx="3">
                  <c:v>64</c:v>
                </c:pt>
                <c:pt idx="4">
                  <c:v>73.7</c:v>
                </c:pt>
                <c:pt idx="5">
                  <c:v>79</c:v>
                </c:pt>
                <c:pt idx="6">
                  <c:v>90</c:v>
                </c:pt>
                <c:pt idx="7">
                  <c:v>120</c:v>
                </c:pt>
                <c:pt idx="8">
                  <c:v>135</c:v>
                </c:pt>
              </c:numCache>
            </c:numRef>
          </c:xVal>
          <c:yVal>
            <c:numRef>
              <c:f>CalArduinoTurnigy!$T$4:$T$12</c:f>
              <c:numCache>
                <c:formatCode>General</c:formatCode>
                <c:ptCount val="9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169.11679999999998</c:v>
                </c:pt>
                <c:pt idx="8">
                  <c:v>241.61249999999998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8064"/>
        <c:axId val="155317280"/>
      </c:scatterChart>
      <c:valAx>
        <c:axId val="155320808"/>
        <c:scaling>
          <c:orientation val="minMax"/>
          <c:max val="1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0416"/>
        <c:crossesAt val="-40"/>
        <c:crossBetween val="midCat"/>
        <c:majorUnit val="20"/>
      </c:valAx>
      <c:valAx>
        <c:axId val="1553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0808"/>
        <c:crosses val="autoZero"/>
        <c:crossBetween val="midCat"/>
      </c:valAx>
      <c:valAx>
        <c:axId val="155317280"/>
        <c:scaling>
          <c:orientation val="minMax"/>
          <c:max val="32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8064"/>
        <c:crosses val="max"/>
        <c:crossBetween val="midCat"/>
        <c:majorUnit val="40"/>
      </c:valAx>
      <c:valAx>
        <c:axId val="15531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31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CalArduinoTurnigy!$Q$4:$Q$12</c:f>
              <c:numCache>
                <c:formatCode>0</c:formatCode>
                <c:ptCount val="9"/>
                <c:pt idx="0">
                  <c:v>19.278606965174134</c:v>
                </c:pt>
                <c:pt idx="1">
                  <c:v>27.958152958152958</c:v>
                </c:pt>
                <c:pt idx="2">
                  <c:v>39.621676891615543</c:v>
                </c:pt>
                <c:pt idx="3">
                  <c:v>48.196517412935322</c:v>
                </c:pt>
                <c:pt idx="4">
                  <c:v>60.077519379844965</c:v>
                </c:pt>
                <c:pt idx="5">
                  <c:v>63.943894389438952</c:v>
                </c:pt>
                <c:pt idx="6">
                  <c:v>72.975517890772139</c:v>
                </c:pt>
                <c:pt idx="7">
                  <c:v>89.699074074074076</c:v>
                </c:pt>
                <c:pt idx="8">
                  <c:v>99.974200206398365</c:v>
                </c:pt>
              </c:numCache>
            </c:numRef>
          </c:xVal>
          <c:yVal>
            <c:numRef>
              <c:f>CalArduinoTurnigy!$T$4:$T$12</c:f>
              <c:numCache>
                <c:formatCode>General</c:formatCode>
                <c:ptCount val="9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169.11679999999998</c:v>
                </c:pt>
                <c:pt idx="8">
                  <c:v>241.61249999999998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22376"/>
        <c:axId val="155321592"/>
      </c:scatterChart>
      <c:valAx>
        <c:axId val="15532237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5321592"/>
        <c:crosses val="autoZero"/>
        <c:crossBetween val="midCat"/>
      </c:valAx>
      <c:valAx>
        <c:axId val="155321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322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CalArduinoTurnigy!$X$1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CalArduinoTurnigy!$Q$5:$Q$12</c:f>
              <c:numCache>
                <c:formatCode>0</c:formatCode>
                <c:ptCount val="8"/>
                <c:pt idx="0">
                  <c:v>27.958152958152958</c:v>
                </c:pt>
                <c:pt idx="1">
                  <c:v>39.621676891615543</c:v>
                </c:pt>
                <c:pt idx="2">
                  <c:v>48.196517412935322</c:v>
                </c:pt>
                <c:pt idx="3">
                  <c:v>60.077519379844965</c:v>
                </c:pt>
                <c:pt idx="4">
                  <c:v>63.943894389438952</c:v>
                </c:pt>
                <c:pt idx="5">
                  <c:v>72.975517890772139</c:v>
                </c:pt>
                <c:pt idx="6">
                  <c:v>89.699074074074076</c:v>
                </c:pt>
                <c:pt idx="7">
                  <c:v>99.974200206398365</c:v>
                </c:pt>
              </c:numCache>
            </c:numRef>
          </c:xVal>
          <c:yVal>
            <c:numRef>
              <c:f>CalArduinoTurnigy!$X$5:$X$12</c:f>
              <c:numCache>
                <c:formatCode>General</c:formatCode>
                <c:ptCount val="8"/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0.14000000000000001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21984"/>
        <c:axId val="155318456"/>
      </c:scatterChart>
      <c:valAx>
        <c:axId val="15532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5318456"/>
        <c:crosses val="autoZero"/>
        <c:crossBetween val="midCat"/>
      </c:valAx>
      <c:valAx>
        <c:axId val="15531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21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CalArduinoTurnigy!$R$4:$R$12</c:f>
              <c:numCache>
                <c:formatCode>0</c:formatCode>
                <c:ptCount val="9"/>
                <c:pt idx="0">
                  <c:v>1.2916666666666669E-3</c:v>
                </c:pt>
                <c:pt idx="1">
                  <c:v>1.2916666666666669E-3</c:v>
                </c:pt>
                <c:pt idx="2">
                  <c:v>20.150806032241292</c:v>
                </c:pt>
                <c:pt idx="3">
                  <c:v>28.50102971462195</c:v>
                </c:pt>
                <c:pt idx="4">
                  <c:v>40.618448637316575</c:v>
                </c:pt>
                <c:pt idx="5">
                  <c:v>45.321637426900587</c:v>
                </c:pt>
                <c:pt idx="6">
                  <c:v>53.81944444444445</c:v>
                </c:pt>
                <c:pt idx="7">
                  <c:v>69.407128783808005</c:v>
                </c:pt>
                <c:pt idx="8">
                  <c:v>78.282828282828305</c:v>
                </c:pt>
              </c:numCache>
            </c:numRef>
          </c:xVal>
          <c:yVal>
            <c:numRef>
              <c:f>CalArduinoTurnigy!#REF!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CalArduinoTurnigy!#REF!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20024"/>
        <c:axId val="207198384"/>
      </c:scatterChart>
      <c:valAx>
        <c:axId val="155320024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8384"/>
        <c:crosses val="autoZero"/>
        <c:crossBetween val="midCat"/>
      </c:valAx>
      <c:valAx>
        <c:axId val="2071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0024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backward val="40"/>
            <c:dispRSqr val="0"/>
            <c:dispEq val="1"/>
            <c:trendlineLbl>
              <c:layout>
                <c:manualLayout>
                  <c:x val="-0.1784534120734908"/>
                  <c:y val="-2.81944444444444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CalArduinoTurnigy!$K$4:$K$12</c:f>
              <c:numCache>
                <c:formatCode>General</c:formatCode>
                <c:ptCount val="9"/>
                <c:pt idx="0">
                  <c:v>50</c:v>
                </c:pt>
                <c:pt idx="1">
                  <c:v>53</c:v>
                </c:pt>
                <c:pt idx="2">
                  <c:v>58</c:v>
                </c:pt>
                <c:pt idx="3">
                  <c:v>64</c:v>
                </c:pt>
                <c:pt idx="4">
                  <c:v>73.7</c:v>
                </c:pt>
                <c:pt idx="5">
                  <c:v>79</c:v>
                </c:pt>
                <c:pt idx="6">
                  <c:v>90</c:v>
                </c:pt>
                <c:pt idx="7">
                  <c:v>120</c:v>
                </c:pt>
                <c:pt idx="8">
                  <c:v>135</c:v>
                </c:pt>
              </c:numCache>
            </c:numRef>
          </c:xVal>
          <c:yVal>
            <c:numRef>
              <c:f>CalArduinoTurnigy!$O$4:$O$12</c:f>
              <c:numCache>
                <c:formatCode>0</c:formatCode>
                <c:ptCount val="9"/>
                <c:pt idx="0">
                  <c:v>4477.6119402985078</c:v>
                </c:pt>
                <c:pt idx="1">
                  <c:v>6493.5064935064938</c:v>
                </c:pt>
                <c:pt idx="2">
                  <c:v>9202.4539877300613</c:v>
                </c:pt>
                <c:pt idx="3">
                  <c:v>11194.029850746268</c:v>
                </c:pt>
                <c:pt idx="4">
                  <c:v>13953.488372093025</c:v>
                </c:pt>
                <c:pt idx="5">
                  <c:v>14851.485148514852</c:v>
                </c:pt>
                <c:pt idx="6">
                  <c:v>16949.152542372882</c:v>
                </c:pt>
                <c:pt idx="7">
                  <c:v>20833.333333333332</c:v>
                </c:pt>
                <c:pt idx="8">
                  <c:v>23219.81424148607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CalArduinoTurnigy!$AE$1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CalArduinoTurnigy!$C$4:$C$12</c:f>
              <c:numCache>
                <c:formatCode>General</c:formatCode>
                <c:ptCount val="9"/>
                <c:pt idx="0">
                  <c:v>50</c:v>
                </c:pt>
                <c:pt idx="1">
                  <c:v>53</c:v>
                </c:pt>
                <c:pt idx="2">
                  <c:v>58</c:v>
                </c:pt>
                <c:pt idx="3">
                  <c:v>64</c:v>
                </c:pt>
                <c:pt idx="4">
                  <c:v>73.7</c:v>
                </c:pt>
                <c:pt idx="5">
                  <c:v>79</c:v>
                </c:pt>
                <c:pt idx="6">
                  <c:v>90</c:v>
                </c:pt>
                <c:pt idx="7">
                  <c:v>120</c:v>
                </c:pt>
                <c:pt idx="8">
                  <c:v>135</c:v>
                </c:pt>
              </c:numCache>
            </c:numRef>
          </c:xVal>
          <c:yVal>
            <c:numRef>
              <c:f>CalArduinoTurnigy!$AE$4:$AE$12</c:f>
              <c:numCache>
                <c:formatCode>0.00</c:formatCode>
                <c:ptCount val="9"/>
                <c:pt idx="0">
                  <c:v>6029.7812001120037</c:v>
                </c:pt>
                <c:pt idx="1">
                  <c:v>7067.8931684231793</c:v>
                </c:pt>
                <c:pt idx="2">
                  <c:v>8674.0144389134366</c:v>
                </c:pt>
                <c:pt idx="3">
                  <c:v>10427.811121209787</c:v>
                </c:pt>
                <c:pt idx="4">
                  <c:v>12941.983270479002</c:v>
                </c:pt>
                <c:pt idx="5">
                  <c:v>14179.208117527873</c:v>
                </c:pt>
                <c:pt idx="6">
                  <c:v>16501.718830217011</c:v>
                </c:pt>
                <c:pt idx="7">
                  <c:v>21627.02857251282</c:v>
                </c:pt>
                <c:pt idx="8">
                  <c:v>23725.437190686353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2304"/>
        <c:axId val="207197992"/>
      </c:scatterChart>
      <c:valAx>
        <c:axId val="20720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7992"/>
        <c:crosses val="autoZero"/>
        <c:crossBetween val="midCat"/>
      </c:valAx>
      <c:valAx>
        <c:axId val="207197992"/>
        <c:scaling>
          <c:orientation val="minMax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3872"/>
        <c:axId val="207196424"/>
      </c:scatterChart>
      <c:valAx>
        <c:axId val="2072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6424"/>
        <c:crosses val="autoZero"/>
        <c:crossBetween val="midCat"/>
      </c:valAx>
      <c:valAx>
        <c:axId val="20719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97208"/>
        <c:axId val="207199168"/>
      </c:scatterChart>
      <c:valAx>
        <c:axId val="20719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9168"/>
        <c:crosses val="autoZero"/>
        <c:crossBetween val="midCat"/>
      </c:valAx>
      <c:valAx>
        <c:axId val="2071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38100</xdr:rowOff>
    </xdr:from>
    <xdr:to>
      <xdr:col>9</xdr:col>
      <xdr:colOff>411480</xdr:colOff>
      <xdr:row>34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15240</xdr:rowOff>
    </xdr:from>
    <xdr:to>
      <xdr:col>5</xdr:col>
      <xdr:colOff>190500</xdr:colOff>
      <xdr:row>53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217170</xdr:colOff>
      <xdr:row>16</xdr:row>
      <xdr:rowOff>144780</xdr:rowOff>
    </xdr:from>
    <xdr:to>
      <xdr:col>18</xdr:col>
      <xdr:colOff>228600</xdr:colOff>
      <xdr:row>29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272415</xdr:colOff>
      <xdr:row>34</xdr:row>
      <xdr:rowOff>146691</xdr:rowOff>
    </xdr:from>
    <xdr:to>
      <xdr:col>13</xdr:col>
      <xdr:colOff>251460</xdr:colOff>
      <xdr:row>48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634365</xdr:colOff>
      <xdr:row>0</xdr:row>
      <xdr:rowOff>510541</xdr:rowOff>
    </xdr:from>
    <xdr:to>
      <xdr:col>41</xdr:col>
      <xdr:colOff>7620</xdr:colOff>
      <xdr:row>16</xdr:row>
      <xdr:rowOff>144781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53</xdr:row>
      <xdr:rowOff>114300</xdr:rowOff>
    </xdr:from>
    <xdr:to>
      <xdr:col>4</xdr:col>
      <xdr:colOff>373380</xdr:colOff>
      <xdr:row>64</xdr:row>
      <xdr:rowOff>99060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7620</xdr:colOff>
      <xdr:row>32</xdr:row>
      <xdr:rowOff>144786</xdr:rowOff>
    </xdr:from>
    <xdr:to>
      <xdr:col>19</xdr:col>
      <xdr:colOff>114300</xdr:colOff>
      <xdr:row>48</xdr:row>
      <xdr:rowOff>144780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</xdr:colOff>
      <xdr:row>31</xdr:row>
      <xdr:rowOff>184791</xdr:rowOff>
    </xdr:from>
    <xdr:to>
      <xdr:col>20</xdr:col>
      <xdr:colOff>198120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tabSelected="1" topLeftCell="U1" workbookViewId="0">
      <pane ySplit="1" topLeftCell="A17" activePane="bottomLeft" state="frozen"/>
      <selection pane="bottomLeft" activeCell="G10" sqref="G10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7773437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7" max="37" width="9.6640625" customWidth="1"/>
  </cols>
  <sheetData>
    <row r="1" spans="1:35" ht="72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79</v>
      </c>
      <c r="M1" s="4" t="s">
        <v>36</v>
      </c>
      <c r="N1" s="4" t="s">
        <v>35</v>
      </c>
      <c r="O1" s="4" t="s">
        <v>37</v>
      </c>
      <c r="P1" s="4" t="s">
        <v>7</v>
      </c>
      <c r="Q1" s="4" t="s">
        <v>38</v>
      </c>
      <c r="R1" s="4" t="s">
        <v>73</v>
      </c>
      <c r="S1" s="4" t="s">
        <v>10</v>
      </c>
      <c r="T1" s="4" t="str">
        <f>J1</f>
        <v>Charger Pwr, W</v>
      </c>
      <c r="U1" s="4" t="s">
        <v>58</v>
      </c>
      <c r="V1" s="4" t="s">
        <v>59</v>
      </c>
      <c r="W1" s="4" t="s">
        <v>60</v>
      </c>
      <c r="X1" s="4" t="s">
        <v>61</v>
      </c>
      <c r="Y1" s="4" t="s">
        <v>62</v>
      </c>
      <c r="Z1" s="4" t="s">
        <v>63</v>
      </c>
      <c r="AA1" s="4" t="s">
        <v>64</v>
      </c>
      <c r="AB1" s="4"/>
      <c r="AC1" s="4" t="s">
        <v>87</v>
      </c>
      <c r="AD1" s="4" t="s">
        <v>83</v>
      </c>
      <c r="AE1" s="4" t="s">
        <v>88</v>
      </c>
      <c r="AF1" s="4" t="s">
        <v>84</v>
      </c>
      <c r="AG1" s="4" t="s">
        <v>85</v>
      </c>
      <c r="AH1" s="4" t="s">
        <v>82</v>
      </c>
      <c r="AI1" s="4" t="s">
        <v>81</v>
      </c>
    </row>
    <row r="2" spans="1:35" x14ac:dyDescent="0.3">
      <c r="B2" s="113">
        <f t="shared" ref="B2" si="0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3" si="1">C2</f>
        <v>1E-3</v>
      </c>
      <c r="L2" s="1">
        <f t="shared" ref="L2:L3" si="2">LN(K2)</f>
        <v>-6.9077552789821368</v>
      </c>
      <c r="M2" s="3"/>
      <c r="N2" s="4"/>
      <c r="O2" s="4">
        <v>0</v>
      </c>
      <c r="P2" s="4">
        <v>0</v>
      </c>
      <c r="Q2" s="3">
        <f>O2/$W$27*100</f>
        <v>0</v>
      </c>
      <c r="R2" s="3">
        <f>P2/$W$27*100</f>
        <v>0</v>
      </c>
      <c r="S2" s="3">
        <f>K2</f>
        <v>1E-3</v>
      </c>
      <c r="T2" s="4">
        <f>J2</f>
        <v>0</v>
      </c>
      <c r="U2">
        <f t="shared" ref="U2:U3" si="3">T2*0.001341022</f>
        <v>0</v>
      </c>
      <c r="X2" s="4"/>
      <c r="Y2" s="4"/>
      <c r="Z2" s="4"/>
      <c r="AA2" s="4"/>
      <c r="AB2" s="97"/>
      <c r="AC2" s="95">
        <f>C2/$AD$24*$AD$19</f>
        <v>2.7777777777777779E-5</v>
      </c>
      <c r="AD2" s="95">
        <f>AC2/$AD$19*$AD$24</f>
        <v>1E-3</v>
      </c>
      <c r="AE2" s="96">
        <f>MAX(($AD$27+$AE$27*LN($AD2)),0)</f>
        <v>0</v>
      </c>
      <c r="AF2" s="96">
        <f>MAX(($AD$27+$AE$27*LN($AD2))/$AD$23,0)</f>
        <v>0</v>
      </c>
      <c r="AG2" s="96">
        <f>($AD$28+$AE$28*AF2*$AD$23)/$AD$23</f>
        <v>-22.00681542170738</v>
      </c>
      <c r="AH2" s="96">
        <f>($AD$29+$AE$29*AG2*$AD$23)/$AD$23</f>
        <v>0.5898040793543039</v>
      </c>
      <c r="AI2">
        <f>MAX(($AD$28+$AE$28*AF2*$AD$23)/$AD$23, 0)</f>
        <v>0</v>
      </c>
    </row>
    <row r="3" spans="1:35" x14ac:dyDescent="0.3">
      <c r="B3" s="113">
        <f>C3/180+1</f>
        <v>1.1980207165048649</v>
      </c>
      <c r="C3" s="111">
        <f>EXP((0-$AD$27)/$AE$27)</f>
        <v>35.643728970875671</v>
      </c>
      <c r="D3" s="110"/>
      <c r="E3" s="110"/>
      <c r="F3" s="110"/>
      <c r="G3" s="110"/>
      <c r="H3" s="110"/>
      <c r="I3" s="114"/>
      <c r="J3" s="4"/>
      <c r="K3" s="1">
        <f>C3</f>
        <v>35.643728970875671</v>
      </c>
      <c r="L3" s="1">
        <f t="shared" si="2"/>
        <v>3.5735732259418449</v>
      </c>
      <c r="M3" s="3"/>
      <c r="N3" s="4"/>
      <c r="O3" s="4">
        <v>0</v>
      </c>
      <c r="P3" s="4">
        <v>0</v>
      </c>
      <c r="Q3" s="3">
        <f>O3/$W$27*100</f>
        <v>0</v>
      </c>
      <c r="R3" s="3">
        <f>P3/$W$27*100</f>
        <v>0</v>
      </c>
      <c r="S3" s="3">
        <f>K3</f>
        <v>35.643728970875671</v>
      </c>
      <c r="T3" s="4">
        <f>J3</f>
        <v>0</v>
      </c>
      <c r="U3">
        <f t="shared" si="3"/>
        <v>0</v>
      </c>
      <c r="X3" s="4"/>
      <c r="Y3" s="4"/>
      <c r="Z3" s="4"/>
      <c r="AA3" s="4"/>
      <c r="AB3" s="97"/>
      <c r="AC3" s="95">
        <f>C3/$AD$24*$AD$19</f>
        <v>0.99010358252432418</v>
      </c>
      <c r="AD3" s="95">
        <f>AC3/$AD$19*$AD$24</f>
        <v>35.643728970875671</v>
      </c>
      <c r="AE3" s="96">
        <f>MAX(($AD$27+$AE$27*LN($AD3)),0)</f>
        <v>0</v>
      </c>
      <c r="AF3" s="96">
        <f>MAX(($AD$27+$AE$27*LN(AD3))/$AD$23,0)</f>
        <v>0</v>
      </c>
      <c r="AG3" s="96">
        <f>($AD$28+$AE$28*AF3*$AD$23)/$AD$23</f>
        <v>-22.00681542170738</v>
      </c>
      <c r="AH3" s="96">
        <f>($AD$29+$AE$29*AG3*$AD$23)/$AD$23</f>
        <v>0.5898040793543039</v>
      </c>
      <c r="AI3">
        <f>MAX(($AD$28+$AE$28*AF3*$AD$23)/$AD$23, 0)</f>
        <v>0</v>
      </c>
    </row>
    <row r="4" spans="1:35" x14ac:dyDescent="0.3">
      <c r="B4" s="77">
        <f>C4/180+1</f>
        <v>1.2777777777777777</v>
      </c>
      <c r="C4" s="109">
        <v>50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50</v>
      </c>
      <c r="L4" s="1">
        <f>LN(K4)</f>
        <v>3.912023005428146</v>
      </c>
      <c r="M4" s="3">
        <f t="shared" ref="M4:N12" si="4">1/G4/0.000001</f>
        <v>149.25373134328359</v>
      </c>
      <c r="N4" s="3">
        <f t="shared" si="4"/>
        <v>0.01</v>
      </c>
      <c r="O4" s="3">
        <f>M4*60/$W$19</f>
        <v>4477.6119402985078</v>
      </c>
      <c r="P4" s="3">
        <f>N4*60/$W$19</f>
        <v>0.3</v>
      </c>
      <c r="Q4" s="3">
        <f>O4/$W$27*100</f>
        <v>19.278606965174134</v>
      </c>
      <c r="R4" s="3">
        <f>P4/$W$27*100</f>
        <v>1.2916666666666669E-3</v>
      </c>
      <c r="S4" s="3">
        <f>K4</f>
        <v>50</v>
      </c>
      <c r="T4" s="4">
        <f>J4</f>
        <v>5.9340000000000002</v>
      </c>
      <c r="U4">
        <f>T4*0.001341022</f>
        <v>7.9576245480000012E-3</v>
      </c>
      <c r="V4">
        <f>U4/O4*5252</f>
        <v>9.3338691881614411E-3</v>
      </c>
      <c r="W4">
        <f>-V4/2/O4</f>
        <v>-1.0422820593446941E-6</v>
      </c>
      <c r="X4" s="4"/>
      <c r="Y4" s="4"/>
      <c r="Z4" s="4"/>
      <c r="AA4" s="4"/>
      <c r="AB4" s="97"/>
      <c r="AC4" s="95">
        <f>C4/$AD$24*$AD$19</f>
        <v>1.3888888888888888</v>
      </c>
      <c r="AD4" s="95">
        <f>AC4/$AD$19*$AD$24</f>
        <v>50</v>
      </c>
      <c r="AE4" s="96">
        <f>MAX(($AD$27+$AE$27*LN($AD4)),0)</f>
        <v>6029.7812001120037</v>
      </c>
      <c r="AF4" s="96">
        <f>MAX(($AD$27+$AE$27*LN(AD4))/$AD$23,0)</f>
        <v>25.961557944926682</v>
      </c>
      <c r="AG4" s="96">
        <f>($AD$28+$AE$28*AF4*$AD$23)/$AD$23</f>
        <v>4.5737734221623825</v>
      </c>
      <c r="AH4" s="96">
        <f>($AD$29+$AE$29*AG4*$AD$23)/$AD$23</f>
        <v>26.287218935999956</v>
      </c>
      <c r="AI4">
        <f>MAX(($AD$28+$AE$28*AF4*$AD$23)/$AD$23, 0)</f>
        <v>4.5737734221623825</v>
      </c>
    </row>
    <row r="5" spans="1:35" ht="15" customHeight="1" x14ac:dyDescent="0.3">
      <c r="B5" s="77">
        <f t="shared" ref="B5:B13" si="5">C5/180+1</f>
        <v>1.2944444444444445</v>
      </c>
      <c r="C5" s="73">
        <v>53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53</v>
      </c>
      <c r="L5" s="1">
        <f t="shared" ref="L5:L13" si="6">LN(K5)</f>
        <v>3.970291913552122</v>
      </c>
      <c r="M5" s="3">
        <f t="shared" si="4"/>
        <v>216.45021645021646</v>
      </c>
      <c r="N5" s="3">
        <f t="shared" si="4"/>
        <v>0.01</v>
      </c>
      <c r="O5" s="3">
        <f>M5*60/$W$19</f>
        <v>6493.5064935064938</v>
      </c>
      <c r="P5" s="3">
        <f>N5*60/$W$19</f>
        <v>0.3</v>
      </c>
      <c r="Q5" s="3">
        <f>O5/$W$27*100</f>
        <v>27.958152958152958</v>
      </c>
      <c r="R5" s="3">
        <f>P5/$W$27*100</f>
        <v>1.2916666666666669E-3</v>
      </c>
      <c r="S5" s="3">
        <f>K5</f>
        <v>53</v>
      </c>
      <c r="T5" s="4">
        <f>J5</f>
        <v>7.3968000000000007</v>
      </c>
      <c r="U5">
        <f>T5*0.001341022</f>
        <v>9.9192715296000013E-3</v>
      </c>
      <c r="V5">
        <f>U5/O5*5252</f>
        <v>8.022786167312718E-3</v>
      </c>
      <c r="W5">
        <f>-V5/2/O5</f>
        <v>-6.1775453488307925E-7</v>
      </c>
      <c r="AB5" s="97"/>
      <c r="AC5" s="95">
        <f>C5/$AD$24*$AD$19</f>
        <v>1.4722222222222223</v>
      </c>
      <c r="AD5" s="95">
        <f>AC5/$AD$19*$AD$24</f>
        <v>53</v>
      </c>
      <c r="AE5" s="96">
        <f>MAX(($AD$27+$AE$27*LN($AD5)),0)</f>
        <v>7067.8931684231793</v>
      </c>
      <c r="AF5" s="96">
        <f>MAX(($AD$27+$AE$27*LN(AD5))/$AD$23,0)</f>
        <v>30.431206697377579</v>
      </c>
      <c r="AG5" s="96">
        <f>($AD$28+$AE$28*AF5*$AD$23)/$AD$23</f>
        <v>9.1499970839873175</v>
      </c>
      <c r="AH5" s="96">
        <f>($AD$29+$AE$29*AG5*$AD$23)/$AD$23</f>
        <v>30.711391726356883</v>
      </c>
      <c r="AI5">
        <f>MAX(($AD$28+$AE$28*AF5*$AD$23)/$AD$23, 0)</f>
        <v>9.1499970839873175</v>
      </c>
    </row>
    <row r="6" spans="1:35" ht="15" customHeight="1" x14ac:dyDescent="0.3">
      <c r="B6" s="77">
        <f t="shared" si="5"/>
        <v>1.3222222222222222</v>
      </c>
      <c r="C6" s="73">
        <v>58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 t="shared" ref="K6" si="7">C6</f>
        <v>58</v>
      </c>
      <c r="L6" s="1">
        <f t="shared" ref="L6" si="8">LN(K6)</f>
        <v>4.0604430105464191</v>
      </c>
      <c r="M6" s="3">
        <f t="shared" ref="M6" si="9">1/G6/0.000001</f>
        <v>306.74846625766872</v>
      </c>
      <c r="N6" s="3">
        <f t="shared" ref="N6" si="10">1/H6/0.000001</f>
        <v>156.00624024960999</v>
      </c>
      <c r="O6" s="3">
        <f>M6*60/$W$19</f>
        <v>9202.4539877300613</v>
      </c>
      <c r="P6" s="3">
        <f>N6*60/$W$19</f>
        <v>4680.1872074882995</v>
      </c>
      <c r="Q6" s="3">
        <f>O6/$W$27*100</f>
        <v>39.621676891615543</v>
      </c>
      <c r="R6" s="3">
        <f>P6/$W$27*100</f>
        <v>20.150806032241292</v>
      </c>
      <c r="S6" s="3">
        <f>K6</f>
        <v>58</v>
      </c>
      <c r="T6" s="4">
        <f>J6</f>
        <v>20.3796</v>
      </c>
      <c r="U6">
        <f>T6*0.001341022</f>
        <v>2.7329491951200002E-2</v>
      </c>
      <c r="V6">
        <f>U6/O6*5252</f>
        <v>1.5597414767743662E-2</v>
      </c>
      <c r="W6">
        <f>-V6/2/O6</f>
        <v>-8.4745953571407239E-7</v>
      </c>
      <c r="AB6" s="97"/>
      <c r="AC6" s="95">
        <f>C6/$AD$24*$AD$19</f>
        <v>1.6111111111111112</v>
      </c>
      <c r="AD6" s="95">
        <f>AC6/$AD$19*$AD$24</f>
        <v>58.000000000000007</v>
      </c>
      <c r="AE6" s="96">
        <f>MAX(($AD$27+$AE$27*LN($AD6)),0)</f>
        <v>8674.0144389134366</v>
      </c>
      <c r="AF6" s="96">
        <f>MAX(($AD$27+$AE$27*LN(AD6))/$AD$23,0)</f>
        <v>37.346451056432855</v>
      </c>
      <c r="AG6" s="96">
        <f>($AD$28+$AE$28*AF6*$AD$23)/$AD$23</f>
        <v>16.230129464827645</v>
      </c>
      <c r="AH6" s="96">
        <f>($AD$29+$AE$29*AG6*$AD$23)/$AD$23</f>
        <v>37.556277672981992</v>
      </c>
      <c r="AI6">
        <f>MAX(($AD$28+$AE$28*AF6*$AD$23)/$AD$23, 0)</f>
        <v>16.230129464827645</v>
      </c>
    </row>
    <row r="7" spans="1:35" ht="13.95" customHeight="1" x14ac:dyDescent="0.3">
      <c r="B7" s="77">
        <f t="shared" si="5"/>
        <v>1.3555555555555556</v>
      </c>
      <c r="C7" s="73">
        <v>64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2" si="11">E7*F7</f>
        <v>29.981099999999998</v>
      </c>
      <c r="K7" s="1">
        <f t="shared" si="1"/>
        <v>64</v>
      </c>
      <c r="L7" s="1">
        <f t="shared" si="6"/>
        <v>4.1588830833596715</v>
      </c>
      <c r="M7" s="3">
        <f t="shared" si="4"/>
        <v>373.13432835820896</v>
      </c>
      <c r="N7" s="3">
        <f t="shared" si="4"/>
        <v>220.65313327449252</v>
      </c>
      <c r="O7" s="3">
        <f>M7*60/$W$19</f>
        <v>11194.029850746268</v>
      </c>
      <c r="P7" s="3">
        <f>N7*60/$W$19</f>
        <v>6619.5939982347754</v>
      </c>
      <c r="Q7" s="3">
        <f>O7/$W$27*100</f>
        <v>48.196517412935322</v>
      </c>
      <c r="R7" s="3">
        <f>P7/$W$27*100</f>
        <v>28.50102971462195</v>
      </c>
      <c r="S7" s="3">
        <f>K7</f>
        <v>64</v>
      </c>
      <c r="T7" s="4">
        <f>J7</f>
        <v>29.981099999999998</v>
      </c>
      <c r="U7">
        <f t="shared" ref="U7:U12" si="12">T7*0.001341022</f>
        <v>4.0205314684200001E-2</v>
      </c>
      <c r="V7">
        <f>U7/O7*5252</f>
        <v>1.8863475936446713E-2</v>
      </c>
      <c r="W7">
        <f>-V7/2/O7</f>
        <v>-8.4256859182795319E-7</v>
      </c>
      <c r="X7">
        <v>0.18</v>
      </c>
      <c r="Y7">
        <f t="shared" ref="Y7:Y11" si="13">-X7*W7</f>
        <v>1.5166234652903156E-7</v>
      </c>
      <c r="Z7">
        <f t="shared" ref="Z7:Z11" si="14">Y7/6.66*2048.5</f>
        <v>4.6648696225934108E-5</v>
      </c>
      <c r="AA7">
        <f t="shared" ref="AA7:AA11" si="15">Z7*144</f>
        <v>6.7174122565345114E-3</v>
      </c>
      <c r="AB7" s="97"/>
      <c r="AC7" s="95">
        <f>C7/$AD$24*$AD$19</f>
        <v>1.7777777777777779</v>
      </c>
      <c r="AD7" s="95">
        <f>AC7/$AD$19*$AD$24</f>
        <v>64</v>
      </c>
      <c r="AE7" s="96">
        <f>MAX(($AD$27+$AE$27*LN($AD7)),0)</f>
        <v>10427.811121209787</v>
      </c>
      <c r="AF7" s="96">
        <f>MAX(($AD$27+$AE$27*LN(AD7))/$AD$23,0)</f>
        <v>44.897520105208805</v>
      </c>
      <c r="AG7" s="96">
        <f>($AD$28+$AE$28*AF7*$AD$23)/$AD$23</f>
        <v>23.961247225285735</v>
      </c>
      <c r="AH7" s="96">
        <f>($AD$29+$AE$29*AG7*$AD$23)/$AD$23</f>
        <v>45.030519179181418</v>
      </c>
      <c r="AI7">
        <f>MAX(($AD$28+$AE$28*AF7*$AD$23)/$AD$23, 0)</f>
        <v>23.961247225285735</v>
      </c>
    </row>
    <row r="8" spans="1:35" ht="13.95" customHeight="1" x14ac:dyDescent="0.3">
      <c r="B8" s="77">
        <f t="shared" ref="B8:B9" si="16">C8/180+1</f>
        <v>1.4094444444444445</v>
      </c>
      <c r="C8" s="73">
        <v>73.7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 t="shared" ref="J8:J9" si="17">E8*F8</f>
        <v>53.526600000000002</v>
      </c>
      <c r="K8" s="1">
        <f t="shared" ref="K8:K9" si="18">C8</f>
        <v>73.7</v>
      </c>
      <c r="L8" s="1">
        <f t="shared" ref="L8:L9" si="19">LN(K8)</f>
        <v>4.3000027991952914</v>
      </c>
      <c r="M8" s="3">
        <f t="shared" ref="M8:M9" si="20">1/G8/0.000001</f>
        <v>465.11627906976747</v>
      </c>
      <c r="N8" s="3">
        <f t="shared" ref="N8:N9" si="21">1/H8/0.000001</f>
        <v>314.46540880503147</v>
      </c>
      <c r="O8" s="3">
        <f>M8*60/$W$19</f>
        <v>13953.488372093025</v>
      </c>
      <c r="P8" s="3">
        <f>N8*60/$W$19</f>
        <v>9433.962264150945</v>
      </c>
      <c r="Q8" s="3">
        <f>O8/$W$27*100</f>
        <v>60.077519379844965</v>
      </c>
      <c r="R8" s="3">
        <f>P8/$W$27*100</f>
        <v>40.618448637316575</v>
      </c>
      <c r="S8" s="3">
        <f>K8</f>
        <v>73.7</v>
      </c>
      <c r="T8" s="4">
        <f>J8</f>
        <v>53.526600000000002</v>
      </c>
      <c r="U8">
        <f t="shared" ref="U8:U9" si="22">T8*0.001341022</f>
        <v>7.1780348185200002E-2</v>
      </c>
      <c r="V8">
        <f>U8/O8*5252</f>
        <v>2.7017644521254706E-2</v>
      </c>
      <c r="W8">
        <f>-V8/2/O8</f>
        <v>-9.6813226201162682E-7</v>
      </c>
      <c r="X8">
        <v>0.18</v>
      </c>
      <c r="Y8">
        <f t="shared" ref="Y8:Y9" si="23">-X8*W8</f>
        <v>1.7426380716209282E-7</v>
      </c>
      <c r="Z8">
        <f t="shared" ref="Z8:Z9" si="24">Y8/6.66*2048.5</f>
        <v>5.3600511857589661E-5</v>
      </c>
      <c r="AA8">
        <f t="shared" ref="AA8:AA9" si="25">Z8*144</f>
        <v>7.7184737074929115E-3</v>
      </c>
      <c r="AB8" s="97"/>
      <c r="AC8" s="95">
        <f>C8/$AD$24*$AD$19</f>
        <v>2.0472222222222221</v>
      </c>
      <c r="AD8" s="95">
        <f>AC8/$AD$19*$AD$24</f>
        <v>73.699999999999989</v>
      </c>
      <c r="AE8" s="96">
        <f>MAX(($AD$27+$AE$27*LN($AD8)),0)</f>
        <v>12941.983270479002</v>
      </c>
      <c r="AF8" s="96">
        <f>MAX(($AD$27+$AE$27*LN(AD8))/$AD$23,0)</f>
        <v>55.722427970117927</v>
      </c>
      <c r="AG8" s="96">
        <f>($AD$28+$AE$28*AF8*$AD$23)/$AD$23</f>
        <v>35.044265657396004</v>
      </c>
      <c r="AH8" s="96">
        <f>($AD$29+$AE$29*AG8*$AD$23)/$AD$23</f>
        <v>55.745290179428544</v>
      </c>
      <c r="AI8">
        <f>MAX(($AD$28+$AE$28*AF8*$AD$23)/$AD$23, 0)</f>
        <v>35.044265657396004</v>
      </c>
    </row>
    <row r="9" spans="1:35" ht="13.95" customHeight="1" x14ac:dyDescent="0.3">
      <c r="B9" s="77">
        <f t="shared" si="16"/>
        <v>1.4388888888888889</v>
      </c>
      <c r="C9" s="73">
        <v>79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 t="shared" si="17"/>
        <v>62.419400000000003</v>
      </c>
      <c r="K9" s="1">
        <f t="shared" si="18"/>
        <v>79</v>
      </c>
      <c r="L9" s="1">
        <f t="shared" si="19"/>
        <v>4.3694478524670215</v>
      </c>
      <c r="M9" s="3">
        <f t="shared" si="20"/>
        <v>495.04950495049508</v>
      </c>
      <c r="N9" s="3">
        <f t="shared" si="21"/>
        <v>350.87719298245611</v>
      </c>
      <c r="O9" s="3">
        <f>M9*60/$W$19</f>
        <v>14851.485148514852</v>
      </c>
      <c r="P9" s="3">
        <f>N9*60/$W$19</f>
        <v>10526.315789473683</v>
      </c>
      <c r="Q9" s="3">
        <f>O9/$W$27*100</f>
        <v>63.943894389438952</v>
      </c>
      <c r="R9" s="3">
        <f>P9/$W$27*100</f>
        <v>45.321637426900587</v>
      </c>
      <c r="S9" s="3">
        <f>K9</f>
        <v>79</v>
      </c>
      <c r="T9" s="4">
        <f>J9</f>
        <v>62.419400000000003</v>
      </c>
      <c r="U9">
        <f t="shared" si="22"/>
        <v>8.3705788626800004E-2</v>
      </c>
      <c r="V9">
        <f>U9/O9*5252</f>
        <v>2.9601268659108879E-2</v>
      </c>
      <c r="W9">
        <f>-V9/2/O9</f>
        <v>-9.9657604485666545E-7</v>
      </c>
      <c r="X9">
        <v>0.18</v>
      </c>
      <c r="Y9">
        <f t="shared" si="23"/>
        <v>1.7938368807419976E-7</v>
      </c>
      <c r="Z9">
        <f t="shared" si="24"/>
        <v>5.5175298051050779E-5</v>
      </c>
      <c r="AA9">
        <f t="shared" si="25"/>
        <v>7.945242919351312E-3</v>
      </c>
      <c r="AB9" s="97"/>
      <c r="AC9" s="95">
        <f>C9/$AD$24*$AD$19</f>
        <v>2.1944444444444446</v>
      </c>
      <c r="AD9" s="95">
        <f>AC9/$AD$19*$AD$24</f>
        <v>79.000000000000014</v>
      </c>
      <c r="AE9" s="96">
        <f>MAX(($AD$27+$AE$27*LN($AD9)),0)</f>
        <v>14179.208117527873</v>
      </c>
      <c r="AF9" s="96">
        <f>MAX(($AD$27+$AE$27*LN(AD9))/$AD$23,0)</f>
        <v>61.049368283800568</v>
      </c>
      <c r="AG9" s="96">
        <f>($AD$28+$AE$28*AF9*$AD$23)/$AD$23</f>
        <v>40.4982222563875</v>
      </c>
      <c r="AH9" s="96">
        <f>($AD$29+$AE$29*AG9*$AD$23)/$AD$23</f>
        <v>61.018032109927496</v>
      </c>
      <c r="AI9">
        <f>MAX(($AD$28+$AE$28*AF9*$AD$23)/$AD$23, 0)</f>
        <v>40.4982222563875</v>
      </c>
    </row>
    <row r="10" spans="1:35" ht="13.95" customHeight="1" x14ac:dyDescent="0.3">
      <c r="B10" s="77">
        <f t="shared" si="5"/>
        <v>1.5</v>
      </c>
      <c r="C10" s="73">
        <v>90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11"/>
        <v>88.904499999999999</v>
      </c>
      <c r="K10" s="1">
        <f t="shared" si="1"/>
        <v>90</v>
      </c>
      <c r="L10" s="1">
        <f t="shared" si="6"/>
        <v>4.499809670330265</v>
      </c>
      <c r="M10" s="3">
        <f t="shared" si="4"/>
        <v>564.9717514124294</v>
      </c>
      <c r="N10" s="3">
        <f t="shared" si="4"/>
        <v>416.66666666666669</v>
      </c>
      <c r="O10" s="3">
        <f>M10*60/$W$19</f>
        <v>16949.152542372882</v>
      </c>
      <c r="P10" s="3">
        <f>N10*60/$W$19</f>
        <v>12500</v>
      </c>
      <c r="Q10" s="3">
        <f>O10/$W$27*100</f>
        <v>72.975517890772139</v>
      </c>
      <c r="R10" s="3">
        <f>P10/$W$27*100</f>
        <v>53.81944444444445</v>
      </c>
      <c r="S10" s="3">
        <f>K10</f>
        <v>90</v>
      </c>
      <c r="T10" s="4">
        <f>J10</f>
        <v>88.904499999999999</v>
      </c>
      <c r="U10">
        <f t="shared" si="12"/>
        <v>0.11922289039900001</v>
      </c>
      <c r="V10">
        <f>U10/O10*5252</f>
        <v>3.6943358602157333E-2</v>
      </c>
      <c r="W10">
        <f>-V10/2/O10</f>
        <v>-1.0898290787636412E-6</v>
      </c>
      <c r="X10">
        <v>0.18</v>
      </c>
      <c r="Y10">
        <f t="shared" si="13"/>
        <v>1.961692341774554E-7</v>
      </c>
      <c r="Z10">
        <f t="shared" si="14"/>
        <v>6.0338239671549158E-5</v>
      </c>
      <c r="AA10">
        <f t="shared" si="15"/>
        <v>8.6887065127030788E-3</v>
      </c>
      <c r="AB10" s="97"/>
      <c r="AC10" s="95">
        <f>C10/$AD$24*$AD$19</f>
        <v>2.5</v>
      </c>
      <c r="AD10" s="95">
        <f>AC10/$AD$19*$AD$24</f>
        <v>90</v>
      </c>
      <c r="AE10" s="96">
        <f>MAX(($AD$27+$AE$27*LN($AD10)),0)</f>
        <v>16501.718830217011</v>
      </c>
      <c r="AF10" s="96">
        <f>MAX(($AD$27+$AE$27*LN(AD10))/$AD$23,0)</f>
        <v>71.049067185656583</v>
      </c>
      <c r="AG10" s="96">
        <f>($AD$28+$AE$28*AF10*$AD$23)/$AD$23</f>
        <v>50.736355331319999</v>
      </c>
      <c r="AH10" s="96">
        <f>($AD$29+$AE$29*AG10*$AD$23)/$AD$23</f>
        <v>70.915990147255272</v>
      </c>
      <c r="AI10">
        <f>MAX(($AD$28+$AE$28*AF10*$AD$23)/$AD$23, 0)</f>
        <v>50.736355331319999</v>
      </c>
    </row>
    <row r="11" spans="1:35" ht="13.95" customHeight="1" x14ac:dyDescent="0.3">
      <c r="B11" s="77">
        <f t="shared" si="5"/>
        <v>1.6666666666666665</v>
      </c>
      <c r="C11" s="73">
        <v>120</v>
      </c>
      <c r="D11" s="73">
        <v>2.35</v>
      </c>
      <c r="E11" s="73">
        <v>13.12</v>
      </c>
      <c r="F11" s="73">
        <v>12.89</v>
      </c>
      <c r="G11" s="73">
        <v>1440</v>
      </c>
      <c r="H11" s="73">
        <v>1861</v>
      </c>
      <c r="I11" s="78">
        <v>14.4</v>
      </c>
      <c r="J11" s="2">
        <f t="shared" si="11"/>
        <v>169.11679999999998</v>
      </c>
      <c r="K11" s="1">
        <f t="shared" si="1"/>
        <v>120</v>
      </c>
      <c r="L11" s="1">
        <f t="shared" si="6"/>
        <v>4.7874917427820458</v>
      </c>
      <c r="M11" s="3">
        <f t="shared" si="4"/>
        <v>694.44444444444446</v>
      </c>
      <c r="N11" s="3">
        <f t="shared" si="4"/>
        <v>537.34551316496515</v>
      </c>
      <c r="O11" s="3">
        <f>M11*60/$W$19</f>
        <v>20833.333333333332</v>
      </c>
      <c r="P11" s="3">
        <f>N11*60/$W$19</f>
        <v>16120.365394948954</v>
      </c>
      <c r="Q11" s="3">
        <f>O11/$W$27*100</f>
        <v>89.699074074074076</v>
      </c>
      <c r="R11" s="3">
        <f>P11/$W$27*100</f>
        <v>69.407128783808005</v>
      </c>
      <c r="S11" s="3">
        <f>K11</f>
        <v>120</v>
      </c>
      <c r="T11" s="4">
        <f>J11</f>
        <v>169.11679999999998</v>
      </c>
      <c r="U11">
        <f t="shared" si="12"/>
        <v>0.22678934936959999</v>
      </c>
      <c r="V11">
        <f>U11/O11*5252</f>
        <v>5.717268781867868E-2</v>
      </c>
      <c r="W11">
        <f>-V11/2/O11</f>
        <v>-1.3721445076482885E-6</v>
      </c>
      <c r="X11">
        <v>0.14000000000000001</v>
      </c>
      <c r="Y11">
        <f t="shared" si="13"/>
        <v>1.9210023107076041E-7</v>
      </c>
      <c r="Z11">
        <f t="shared" si="14"/>
        <v>5.9086685187455361E-5</v>
      </c>
      <c r="AA11">
        <f t="shared" si="15"/>
        <v>8.5084826669935727E-3</v>
      </c>
      <c r="AB11" s="97"/>
      <c r="AC11" s="95">
        <f>C11/$AD$24*$AD$19</f>
        <v>3.333333333333333</v>
      </c>
      <c r="AD11" s="95">
        <f>AC11/$AD$19*$AD$24</f>
        <v>120</v>
      </c>
      <c r="AE11" s="96">
        <f>MAX(($AD$27+$AE$27*LN($AD11)),0)</f>
        <v>21627.02857251282</v>
      </c>
      <c r="AF11" s="96">
        <f>MAX(($AD$27+$AE$27*LN(AD11))/$AD$23,0)</f>
        <v>93.116373020541303</v>
      </c>
      <c r="AG11" s="96">
        <f>($AD$28+$AE$28*AF11*$AD$23)/$AD$23</f>
        <v>73.329836991137853</v>
      </c>
      <c r="AH11" s="96">
        <f>($AD$29+$AE$29*AG11*$AD$23)/$AD$23</f>
        <v>92.758774544496191</v>
      </c>
      <c r="AI11">
        <f>MAX(($AD$28+$AE$28*AF11*$AD$23)/$AD$23, 0)</f>
        <v>73.329836991137853</v>
      </c>
    </row>
    <row r="12" spans="1:35" ht="13.95" customHeight="1" x14ac:dyDescent="0.3">
      <c r="B12" s="77">
        <f t="shared" si="5"/>
        <v>1.75</v>
      </c>
      <c r="C12" s="73">
        <v>135</v>
      </c>
      <c r="D12" s="73">
        <v>2.91</v>
      </c>
      <c r="E12" s="73">
        <v>12.75</v>
      </c>
      <c r="F12" s="73">
        <v>18.95</v>
      </c>
      <c r="G12" s="73">
        <v>1292</v>
      </c>
      <c r="H12" s="73">
        <v>1650</v>
      </c>
      <c r="I12" s="78">
        <v>15.8</v>
      </c>
      <c r="J12" s="2">
        <f t="shared" si="11"/>
        <v>241.61249999999998</v>
      </c>
      <c r="K12" s="1">
        <f t="shared" si="1"/>
        <v>135</v>
      </c>
      <c r="L12" s="1">
        <f t="shared" si="6"/>
        <v>4.9052747784384296</v>
      </c>
      <c r="M12" s="3">
        <f t="shared" si="4"/>
        <v>773.99380804953569</v>
      </c>
      <c r="N12" s="3">
        <f t="shared" si="4"/>
        <v>606.06060606060612</v>
      </c>
      <c r="O12" s="3">
        <f>M12*60/$W$19</f>
        <v>23219.81424148607</v>
      </c>
      <c r="P12" s="3">
        <f>N12*60/$W$19</f>
        <v>18181.818181818184</v>
      </c>
      <c r="Q12" s="3">
        <f>O12/$W$27*100</f>
        <v>99.974200206398365</v>
      </c>
      <c r="R12" s="3">
        <f>P12/$W$27*100</f>
        <v>78.282828282828305</v>
      </c>
      <c r="S12" s="3">
        <f>K12</f>
        <v>135</v>
      </c>
      <c r="T12" s="4">
        <f>J12</f>
        <v>241.61249999999998</v>
      </c>
      <c r="U12">
        <f t="shared" si="12"/>
        <v>0.32400767797500002</v>
      </c>
      <c r="V12">
        <f>U12/O12*5252</f>
        <v>7.3286043851477078E-2</v>
      </c>
      <c r="W12">
        <f>-V12/2/O12</f>
        <v>-1.5780928109351396E-6</v>
      </c>
      <c r="AB12" s="97"/>
      <c r="AC12" s="95">
        <f>C12/$AD$24*$AD$19</f>
        <v>3.75</v>
      </c>
      <c r="AD12" s="95">
        <f>AC12/$AD$19*$AD$24</f>
        <v>135</v>
      </c>
      <c r="AE12" s="96">
        <f>MAX(($AD$27+$AE$27*LN($AD12)),0)</f>
        <v>23725.437190686353</v>
      </c>
      <c r="AF12" s="96">
        <f>MAX(($AD$27+$AE$27*LN(AD12))/$AD$23,0)</f>
        <v>102.15118790434403</v>
      </c>
      <c r="AG12" s="96">
        <f>($AD$28+$AE$28*AF12*$AD$23)/$AD$23</f>
        <v>82.580079222989909</v>
      </c>
      <c r="AH12" s="96">
        <f>($AD$29+$AE$29*AG12*$AD$23)/$AD$23</f>
        <v>101.70166567277863</v>
      </c>
      <c r="AI12">
        <f>MAX(($AD$28+$AE$28*AF12*$AD$23)/$AD$23, 0)</f>
        <v>82.580079222989909</v>
      </c>
    </row>
    <row r="13" spans="1:35" ht="13.95" customHeight="1" thickBot="1" x14ac:dyDescent="0.35">
      <c r="B13" s="116">
        <f t="shared" si="5"/>
        <v>2</v>
      </c>
      <c r="C13" s="117">
        <v>180</v>
      </c>
      <c r="D13" s="117"/>
      <c r="E13" s="117"/>
      <c r="F13" s="117"/>
      <c r="G13" s="117"/>
      <c r="H13" s="117"/>
      <c r="I13" s="118"/>
      <c r="K13" s="1">
        <f t="shared" si="1"/>
        <v>180</v>
      </c>
      <c r="L13" s="1">
        <f t="shared" si="6"/>
        <v>5.1929568508902104</v>
      </c>
      <c r="O13" s="3">
        <f>AF13*$AD$23</f>
        <v>28850.746932982162</v>
      </c>
      <c r="P13" s="3">
        <f>N13*60/$W$19</f>
        <v>0</v>
      </c>
      <c r="Q13" s="3">
        <f>O13/$W$27*100</f>
        <v>124.21849373922875</v>
      </c>
      <c r="R13" s="3">
        <f>P13/$W$27*100</f>
        <v>0</v>
      </c>
      <c r="S13" s="1">
        <f>K13</f>
        <v>180</v>
      </c>
      <c r="T13" s="4">
        <f>J13</f>
        <v>0</v>
      </c>
      <c r="U13">
        <f t="shared" ref="U13" si="26">T13*0.001341022</f>
        <v>0</v>
      </c>
      <c r="AB13" s="97"/>
      <c r="AC13" s="95">
        <f>C13/$AD$24*$AD$19</f>
        <v>5</v>
      </c>
      <c r="AD13" s="95">
        <f>AC13/$AD$19*$AD$24</f>
        <v>180</v>
      </c>
      <c r="AE13" s="96">
        <f>MAX(($AD$27+$AE$27*LN($AD13)),0)</f>
        <v>28850.746932982162</v>
      </c>
      <c r="AF13" s="96">
        <f>MAX(($AD$27+$AE$27*LN(AD13))/$AD$23,0)</f>
        <v>124.21849373922875</v>
      </c>
      <c r="AG13" s="96">
        <f>($AD$28+$AE$28*AF13*$AD$23)/$AD$23</f>
        <v>105.17356088280772</v>
      </c>
      <c r="AH13" s="96">
        <f>($AD$29+$AE$29*AG13*$AD$23)/$AD$23</f>
        <v>123.54445007001949</v>
      </c>
      <c r="AI13">
        <f>MAX(($AD$28+$AE$28*AF13*$AD$23)/$AD$23, 0)</f>
        <v>105.17356088280772</v>
      </c>
    </row>
    <row r="14" spans="1:35" ht="13.95" customHeight="1" x14ac:dyDescent="0.3"/>
    <row r="15" spans="1:35" ht="13.95" customHeight="1" x14ac:dyDescent="0.3">
      <c r="X15" t="s">
        <v>65</v>
      </c>
      <c r="Y15">
        <f>AVERAGE(Y7:Y11)</f>
        <v>1.7871586140270802E-7</v>
      </c>
      <c r="Z15">
        <f>AVERAGE(Z7:Z11)</f>
        <v>5.4969886198715812E-5</v>
      </c>
      <c r="AA15">
        <f>AVERAGE(AA7:AA11)</f>
        <v>7.9156636126150766E-3</v>
      </c>
      <c r="AB15" s="97"/>
      <c r="AC15" s="97"/>
      <c r="AD15" s="97"/>
      <c r="AE15" s="97"/>
      <c r="AF15" s="97"/>
    </row>
    <row r="16" spans="1:35" ht="13.95" customHeight="1" x14ac:dyDescent="0.3"/>
    <row r="17" spans="1:32" ht="13.95" customHeight="1" x14ac:dyDescent="0.3">
      <c r="B17" s="5"/>
      <c r="C17" s="6"/>
      <c r="D17" s="6"/>
      <c r="E17" s="6"/>
      <c r="F17" s="6"/>
      <c r="G17" s="6"/>
      <c r="H17" s="6"/>
      <c r="I17" s="6"/>
      <c r="J17" s="2"/>
      <c r="M17" s="3"/>
      <c r="N17" s="3"/>
      <c r="O17" s="3"/>
      <c r="P17" s="3"/>
      <c r="Q17" s="3"/>
      <c r="R17" s="3"/>
      <c r="S17" s="3"/>
      <c r="T17" s="3"/>
    </row>
    <row r="18" spans="1:32" ht="13.95" customHeight="1" thickBot="1" x14ac:dyDescent="0.35">
      <c r="B18" s="5"/>
      <c r="C18" s="6"/>
      <c r="D18" s="6"/>
      <c r="E18" s="6"/>
      <c r="F18" s="6"/>
      <c r="G18" s="6"/>
      <c r="H18" s="6"/>
      <c r="I18" s="6"/>
      <c r="J18" s="2"/>
      <c r="M18" s="3"/>
      <c r="N18" s="3"/>
      <c r="O18" s="3"/>
      <c r="P18" s="3"/>
      <c r="Q18" s="3"/>
      <c r="R18" s="3"/>
      <c r="S18" s="3"/>
      <c r="T18" s="3"/>
      <c r="V18" t="s">
        <v>44</v>
      </c>
      <c r="Y18" t="s">
        <v>45</v>
      </c>
      <c r="AB18" s="30"/>
      <c r="AC18" s="5" t="s">
        <v>74</v>
      </c>
      <c r="AD18" s="5"/>
      <c r="AE18" s="5"/>
      <c r="AF18" s="5"/>
    </row>
    <row r="19" spans="1:32" ht="13.95" customHeight="1" x14ac:dyDescent="0.3">
      <c r="A19" s="3" t="s">
        <v>40</v>
      </c>
      <c r="B19" s="11" t="s">
        <v>41</v>
      </c>
      <c r="C19" s="12"/>
      <c r="D19" s="12"/>
      <c r="E19" s="6"/>
      <c r="F19" s="6"/>
      <c r="G19" s="6"/>
      <c r="H19" s="6"/>
      <c r="I19" s="6"/>
      <c r="J19" s="2"/>
      <c r="M19" s="3"/>
      <c r="N19" s="3"/>
      <c r="O19" s="3"/>
      <c r="P19" s="3"/>
      <c r="Q19" s="3"/>
      <c r="R19" s="3"/>
      <c r="S19" s="3"/>
      <c r="T19" s="3"/>
      <c r="V19" s="17" t="s">
        <v>3</v>
      </c>
      <c r="W19" s="18">
        <v>2</v>
      </c>
      <c r="Y19" s="17"/>
      <c r="Z19" s="23" t="s">
        <v>32</v>
      </c>
      <c r="AA19" s="7"/>
      <c r="AB19" s="30"/>
      <c r="AC19" s="62" t="s">
        <v>24</v>
      </c>
      <c r="AD19" s="63">
        <f>W32</f>
        <v>5</v>
      </c>
      <c r="AE19" s="64"/>
      <c r="AF19" s="29"/>
    </row>
    <row r="20" spans="1:32" x14ac:dyDescent="0.3">
      <c r="A20" s="3"/>
      <c r="B20" s="13" t="s">
        <v>42</v>
      </c>
      <c r="C20" s="14"/>
      <c r="D20" s="14"/>
      <c r="E20" s="6"/>
      <c r="F20" s="6"/>
      <c r="G20" s="6"/>
      <c r="H20" s="6"/>
      <c r="I20" s="6"/>
      <c r="J20" s="2"/>
      <c r="M20" s="3"/>
      <c r="N20" s="3"/>
      <c r="O20" s="3"/>
      <c r="P20" s="3"/>
      <c r="Q20" s="3"/>
      <c r="R20" s="3"/>
      <c r="S20" s="3"/>
      <c r="T20" s="3"/>
      <c r="V20" s="19" t="s">
        <v>4</v>
      </c>
      <c r="W20" s="20">
        <v>4800</v>
      </c>
      <c r="Y20" s="24" t="s">
        <v>25</v>
      </c>
      <c r="Z20" s="25">
        <v>0</v>
      </c>
      <c r="AB20" s="30"/>
      <c r="AC20" s="65" t="s">
        <v>23</v>
      </c>
      <c r="AD20" s="66">
        <f>W31</f>
        <v>0</v>
      </c>
      <c r="AE20" s="45"/>
      <c r="AF20" s="31"/>
    </row>
    <row r="21" spans="1:32" ht="13.95" customHeight="1" thickBot="1" x14ac:dyDescent="0.35">
      <c r="A21" s="3"/>
      <c r="B21" s="15" t="s">
        <v>43</v>
      </c>
      <c r="C21" s="16"/>
      <c r="D21" s="16"/>
      <c r="E21" s="6"/>
      <c r="F21" s="6"/>
      <c r="G21" s="6"/>
      <c r="H21" s="6"/>
      <c r="I21" s="6"/>
      <c r="J21" s="2"/>
      <c r="M21" s="3"/>
      <c r="N21" s="3"/>
      <c r="O21" s="3"/>
      <c r="P21" s="2"/>
      <c r="Q21" s="3"/>
      <c r="R21" s="3"/>
      <c r="S21" s="3"/>
      <c r="T21" s="3"/>
      <c r="V21" s="21" t="s">
        <v>5</v>
      </c>
      <c r="W21" s="22">
        <v>12</v>
      </c>
      <c r="Y21" s="26" t="s">
        <v>26</v>
      </c>
      <c r="Z21" s="27">
        <v>5</v>
      </c>
      <c r="AB21" s="30"/>
      <c r="AC21" s="65" t="s">
        <v>26</v>
      </c>
      <c r="AD21" s="66">
        <f>Z21</f>
        <v>5</v>
      </c>
      <c r="AE21" s="30"/>
      <c r="AF21" s="31"/>
    </row>
    <row r="22" spans="1:32" ht="13.95" customHeight="1" x14ac:dyDescent="0.3">
      <c r="B22" s="5"/>
      <c r="C22" s="6"/>
      <c r="D22" s="6"/>
      <c r="E22" s="6"/>
      <c r="F22" s="6"/>
      <c r="G22" s="6"/>
      <c r="H22" s="6"/>
      <c r="I22" s="6"/>
      <c r="J22" s="2"/>
      <c r="M22" s="3"/>
      <c r="N22" s="3"/>
      <c r="O22" s="3"/>
      <c r="P22" s="3"/>
      <c r="Q22" s="3"/>
      <c r="R22" s="3"/>
      <c r="S22" s="3"/>
      <c r="T22" s="3"/>
      <c r="AB22" s="30"/>
      <c r="AC22" s="65" t="s">
        <v>25</v>
      </c>
      <c r="AD22" s="66">
        <f>Z20</f>
        <v>0</v>
      </c>
      <c r="AE22" s="30"/>
      <c r="AF22" s="31"/>
    </row>
    <row r="23" spans="1:32" ht="24" thickBot="1" x14ac:dyDescent="0.5">
      <c r="B23" s="5"/>
      <c r="C23" s="6"/>
      <c r="D23" s="6"/>
      <c r="E23" s="6"/>
      <c r="F23" s="6"/>
      <c r="G23" s="6"/>
      <c r="H23" s="6"/>
      <c r="I23" s="6"/>
      <c r="J23" s="2"/>
      <c r="M23" s="3"/>
      <c r="N23" s="3"/>
      <c r="O23" s="3"/>
      <c r="P23" s="3"/>
      <c r="Q23" s="3"/>
      <c r="R23" s="3"/>
      <c r="S23" s="3"/>
      <c r="T23" s="3"/>
      <c r="V23" t="s">
        <v>47</v>
      </c>
      <c r="AB23" s="94" t="s">
        <v>71</v>
      </c>
      <c r="AC23" s="65" t="s">
        <v>39</v>
      </c>
      <c r="AD23" s="66">
        <f>W27/100</f>
        <v>232.25806451612902</v>
      </c>
      <c r="AE23" s="30"/>
      <c r="AF23" s="31"/>
    </row>
    <row r="24" spans="1:32" ht="15" thickBot="1" x14ac:dyDescent="0.35">
      <c r="B24" s="5"/>
      <c r="C24" s="6"/>
      <c r="D24" s="6"/>
      <c r="E24" s="6"/>
      <c r="F24" s="6"/>
      <c r="G24" s="6"/>
      <c r="H24" s="6"/>
      <c r="I24" s="6"/>
      <c r="J24" s="2"/>
      <c r="M24" s="3"/>
      <c r="N24" s="3"/>
      <c r="O24" s="3"/>
      <c r="P24" s="3"/>
      <c r="Q24" s="3"/>
      <c r="R24" s="3"/>
      <c r="S24" s="3"/>
      <c r="T24" s="3"/>
      <c r="V24" s="34">
        <v>240</v>
      </c>
      <c r="W24" s="35" t="s">
        <v>46</v>
      </c>
      <c r="X24" s="36"/>
      <c r="Y24" s="35"/>
      <c r="Z24" s="35"/>
      <c r="AA24" s="37"/>
      <c r="AC24" s="65" t="s">
        <v>27</v>
      </c>
      <c r="AD24" s="66">
        <f>Y32</f>
        <v>180</v>
      </c>
      <c r="AE24" s="30"/>
      <c r="AF24" s="31"/>
    </row>
    <row r="25" spans="1:32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3"/>
      <c r="V25" s="8"/>
      <c r="X25" s="8"/>
      <c r="Y25" s="8"/>
      <c r="AC25" s="65" t="s">
        <v>22</v>
      </c>
      <c r="AD25" s="66">
        <f>Y31</f>
        <v>0</v>
      </c>
      <c r="AE25" s="30"/>
      <c r="AF25" s="31"/>
    </row>
    <row r="26" spans="1:32" ht="15" thickBot="1" x14ac:dyDescent="0.35"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48</v>
      </c>
      <c r="AC26" s="65" t="s">
        <v>18</v>
      </c>
      <c r="AD26" s="66">
        <f>W40</f>
        <v>0</v>
      </c>
      <c r="AE26" s="67">
        <f>W39</f>
        <v>7538.711197196546</v>
      </c>
      <c r="AF26" s="68">
        <f>W38</f>
        <v>-396.83873454558267</v>
      </c>
    </row>
    <row r="27" spans="1:32" ht="15" thickBot="1" x14ac:dyDescent="0.35">
      <c r="V27" s="38" t="s">
        <v>6</v>
      </c>
      <c r="W27" s="39">
        <f>W20*W21/X27</f>
        <v>23225.806451612902</v>
      </c>
      <c r="X27" s="40">
        <v>2.48</v>
      </c>
      <c r="Y27" s="35" t="s">
        <v>14</v>
      </c>
      <c r="Z27" s="41"/>
      <c r="AC27" s="65" t="s">
        <v>30</v>
      </c>
      <c r="AD27" s="66">
        <f>W42</f>
        <v>-63666.357495381133</v>
      </c>
      <c r="AE27" s="67">
        <f>W41</f>
        <v>17815.881603657734</v>
      </c>
      <c r="AF27" s="31"/>
    </row>
    <row r="28" spans="1:32" x14ac:dyDescent="0.3">
      <c r="AC28" s="65" t="s">
        <v>20</v>
      </c>
      <c r="AD28" s="66">
        <f>Z41</f>
        <v>-5111.2603560094558</v>
      </c>
      <c r="AE28" s="69">
        <f>Z40</f>
        <v>1.0238441352501362</v>
      </c>
      <c r="AF28" s="31"/>
    </row>
    <row r="29" spans="1:32" ht="15" thickBot="1" x14ac:dyDescent="0.35">
      <c r="C29" s="6"/>
      <c r="D29" s="6"/>
      <c r="E29" s="6"/>
      <c r="F29" s="6"/>
      <c r="G29" s="6"/>
      <c r="H29" s="6"/>
      <c r="I29" s="6"/>
      <c r="J29" s="9"/>
      <c r="K29" s="6"/>
      <c r="L29" s="6"/>
      <c r="M29" s="10"/>
      <c r="N29" s="10"/>
      <c r="O29" s="10"/>
      <c r="P29" s="10"/>
      <c r="Q29" s="10"/>
      <c r="R29" s="10"/>
      <c r="S29" s="10"/>
      <c r="T29" s="10"/>
      <c r="V29" t="s">
        <v>49</v>
      </c>
      <c r="AC29" s="70" t="s">
        <v>21</v>
      </c>
      <c r="AD29" s="71">
        <f>Z39</f>
        <v>5078.4189614630086</v>
      </c>
      <c r="AE29" s="72">
        <f>Z38</f>
        <v>0.96677372377219584</v>
      </c>
      <c r="AF29" s="33"/>
    </row>
    <row r="30" spans="1:32" ht="28.8" x14ac:dyDescent="0.3">
      <c r="C30" s="6"/>
      <c r="D30" s="6"/>
      <c r="E30" s="6"/>
      <c r="F30" s="6"/>
      <c r="G30" s="6"/>
      <c r="H30" s="6"/>
      <c r="I30" s="6"/>
      <c r="J30" s="9"/>
      <c r="K30" s="6"/>
      <c r="L30" s="6"/>
      <c r="M30" s="10"/>
      <c r="N30" s="10"/>
      <c r="O30" s="10"/>
      <c r="P30" s="10"/>
      <c r="Q30" s="10"/>
      <c r="R30" s="10"/>
      <c r="S30" s="10"/>
      <c r="T30" s="10"/>
      <c r="V30" s="17"/>
      <c r="W30" s="42" t="s">
        <v>28</v>
      </c>
      <c r="X30" s="28"/>
      <c r="Y30" s="42" t="s">
        <v>29</v>
      </c>
      <c r="Z30" s="29" t="s">
        <v>50</v>
      </c>
    </row>
    <row r="31" spans="1:32" x14ac:dyDescent="0.3">
      <c r="C31" s="6"/>
      <c r="D31" s="6"/>
      <c r="E31" s="6"/>
      <c r="F31" s="6"/>
      <c r="G31" s="6"/>
      <c r="H31" s="6"/>
      <c r="I31" s="6"/>
      <c r="J31" s="9"/>
      <c r="K31" s="6"/>
      <c r="L31" s="6"/>
      <c r="M31" s="10"/>
      <c r="N31" s="10"/>
      <c r="O31" s="10"/>
      <c r="P31" s="10"/>
      <c r="Q31" s="10"/>
      <c r="R31" s="10"/>
      <c r="S31" s="10"/>
      <c r="T31" s="10"/>
      <c r="V31" s="57" t="s">
        <v>23</v>
      </c>
      <c r="W31" s="58">
        <v>0</v>
      </c>
      <c r="X31" s="45" t="s">
        <v>22</v>
      </c>
      <c r="Y31" s="59">
        <v>0</v>
      </c>
      <c r="Z31" s="89">
        <f>Z41/W27*100</f>
        <v>-22.006815421707383</v>
      </c>
      <c r="AA31" t="s">
        <v>70</v>
      </c>
    </row>
    <row r="32" spans="1:32" x14ac:dyDescent="0.3">
      <c r="B32" t="s">
        <v>72</v>
      </c>
      <c r="C32" s="6"/>
      <c r="D32" s="6"/>
      <c r="E32" s="6"/>
      <c r="F32" s="6"/>
      <c r="G32" s="6"/>
      <c r="H32" s="6"/>
      <c r="I32" s="6"/>
      <c r="J32" s="9"/>
      <c r="K32" s="6"/>
      <c r="L32" s="6"/>
      <c r="M32" s="10"/>
      <c r="N32" s="10"/>
      <c r="O32" s="10"/>
      <c r="P32" s="10"/>
      <c r="Q32" s="10"/>
      <c r="R32" s="10"/>
      <c r="S32" s="10"/>
      <c r="T32" s="10"/>
      <c r="V32" s="57" t="s">
        <v>24</v>
      </c>
      <c r="W32" s="58">
        <v>5</v>
      </c>
      <c r="X32" s="45" t="s">
        <v>27</v>
      </c>
      <c r="Y32" s="59">
        <v>180</v>
      </c>
      <c r="Z32" s="60">
        <v>77</v>
      </c>
    </row>
    <row r="33" spans="2:41" x14ac:dyDescent="0.3">
      <c r="B33" t="s">
        <v>67</v>
      </c>
      <c r="C33" s="6" t="s">
        <v>68</v>
      </c>
      <c r="D33" s="6" t="s">
        <v>69</v>
      </c>
      <c r="E33" s="6"/>
      <c r="F33" s="6"/>
      <c r="G33" s="6"/>
      <c r="H33" s="6"/>
      <c r="I33" s="6"/>
      <c r="J33" s="9"/>
      <c r="K33" s="6"/>
      <c r="L33" s="6"/>
      <c r="M33" s="10"/>
      <c r="N33" s="10"/>
      <c r="O33" s="10"/>
      <c r="P33" s="10"/>
      <c r="Q33" s="10"/>
      <c r="R33" s="10"/>
      <c r="S33" s="10"/>
      <c r="T33" s="10"/>
      <c r="V33" s="19"/>
      <c r="W33" s="30" t="s">
        <v>53</v>
      </c>
      <c r="X33" s="30"/>
      <c r="Y33" s="61"/>
      <c r="Z33" s="89">
        <f>(Z32-Z31)/(W32-W31)</f>
        <v>19.801363084341478</v>
      </c>
    </row>
    <row r="34" spans="2:41" x14ac:dyDescent="0.3">
      <c r="B34" s="73">
        <v>87</v>
      </c>
      <c r="C34" s="6">
        <f>B34/180*(2.4-0.53)+0.53</f>
        <v>1.4338333333333333</v>
      </c>
      <c r="D34" s="88">
        <f>(C34-1)*180</f>
        <v>78.089999999999989</v>
      </c>
      <c r="E34" s="6"/>
      <c r="F34" s="6"/>
      <c r="G34" s="6"/>
      <c r="H34" s="6"/>
      <c r="I34" s="6"/>
      <c r="J34" s="9"/>
      <c r="K34" s="6"/>
      <c r="L34" s="6"/>
      <c r="M34" s="10"/>
      <c r="N34" s="10"/>
      <c r="O34" s="10"/>
      <c r="P34" s="10"/>
      <c r="Q34" s="10"/>
      <c r="R34" s="10"/>
      <c r="S34" s="10"/>
      <c r="T34" s="10"/>
      <c r="V34" s="19"/>
      <c r="W34" s="30"/>
      <c r="X34" s="30"/>
      <c r="Y34" s="61"/>
      <c r="Z34" s="89">
        <f>Z32-Z33*(W32-W31)</f>
        <v>-22.006815421707387</v>
      </c>
    </row>
    <row r="35" spans="2:41" ht="15" thickBot="1" x14ac:dyDescent="0.35">
      <c r="B35" s="73">
        <v>90</v>
      </c>
      <c r="C35" s="6">
        <f t="shared" ref="C35:C40" si="27">B35/180*(2.4-0.53)+0.53</f>
        <v>1.4649999999999999</v>
      </c>
      <c r="D35" s="88">
        <f t="shared" ref="D35:D40" si="28">(C35-1)*180</f>
        <v>83.699999999999974</v>
      </c>
      <c r="E35" s="6"/>
      <c r="F35" s="6"/>
      <c r="G35" s="6"/>
      <c r="H35" s="6"/>
      <c r="I35" s="6"/>
      <c r="J35" s="9"/>
      <c r="K35" s="6"/>
      <c r="L35" s="6"/>
      <c r="M35" s="10"/>
      <c r="N35" s="10"/>
      <c r="O35" s="10"/>
      <c r="P35" s="10"/>
      <c r="Q35" s="10"/>
      <c r="R35" s="10"/>
      <c r="S35" s="10"/>
      <c r="T35" s="10"/>
      <c r="V35" s="21"/>
      <c r="W35" s="32"/>
      <c r="X35" s="32"/>
      <c r="Y35" s="47"/>
      <c r="Z35" s="48" t="s">
        <v>19</v>
      </c>
    </row>
    <row r="36" spans="2:41" x14ac:dyDescent="0.3">
      <c r="B36" s="73">
        <v>100</v>
      </c>
      <c r="C36" s="6">
        <f t="shared" si="27"/>
        <v>1.568888888888889</v>
      </c>
      <c r="D36" s="88">
        <f t="shared" si="28"/>
        <v>102.40000000000002</v>
      </c>
      <c r="E36" s="6"/>
      <c r="F36" s="6"/>
      <c r="G36" s="6"/>
      <c r="H36" s="6"/>
      <c r="I36" s="6"/>
      <c r="J36" s="9"/>
      <c r="K36" s="6"/>
      <c r="L36" s="6"/>
      <c r="M36" s="10"/>
      <c r="N36" s="10"/>
      <c r="O36" s="10"/>
      <c r="P36" s="10"/>
      <c r="Q36" s="10"/>
      <c r="R36" s="10"/>
      <c r="S36" s="10"/>
      <c r="T36" s="10"/>
    </row>
    <row r="37" spans="2:41" ht="15" thickBot="1" x14ac:dyDescent="0.35">
      <c r="B37" s="73">
        <v>110</v>
      </c>
      <c r="C37" s="6">
        <f t="shared" si="27"/>
        <v>1.6727777777777779</v>
      </c>
      <c r="D37" s="88">
        <f t="shared" si="28"/>
        <v>121.10000000000002</v>
      </c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V37" t="s">
        <v>51</v>
      </c>
    </row>
    <row r="38" spans="2:41" x14ac:dyDescent="0.3">
      <c r="B38" s="73">
        <v>114</v>
      </c>
      <c r="C38" s="6">
        <f t="shared" si="27"/>
        <v>1.7143333333333333</v>
      </c>
      <c r="D38" s="88">
        <f t="shared" si="28"/>
        <v>128.57999999999998</v>
      </c>
      <c r="V38" s="49" t="s">
        <v>18</v>
      </c>
      <c r="W38" s="50">
        <f>INDEX(LINEST($P$4:$P$12,$D$4:$D$12^{1,2},FALSE,FALSE),1)</f>
        <v>-396.83873454558267</v>
      </c>
      <c r="X38" s="28"/>
      <c r="Y38" s="51" t="s">
        <v>21</v>
      </c>
      <c r="Z38" s="52">
        <f>INDEX(LINEST($O$4:$O$12,$P$4:$P$12),1)</f>
        <v>0.96677372377219584</v>
      </c>
      <c r="AG38" s="104"/>
      <c r="AH38" s="104"/>
      <c r="AN38" s="3"/>
      <c r="AO38" s="3"/>
    </row>
    <row r="39" spans="2:41" x14ac:dyDescent="0.3">
      <c r="B39" s="73">
        <v>127.5</v>
      </c>
      <c r="C39" s="6">
        <f t="shared" si="27"/>
        <v>1.8545833333333333</v>
      </c>
      <c r="D39" s="88">
        <f t="shared" si="28"/>
        <v>153.82499999999999</v>
      </c>
      <c r="V39" s="43"/>
      <c r="W39" s="54">
        <f>INDEX(LINEST($P$4:$P$12,$D$4:$D$12^{1,2},FALSE,FALSE),2)</f>
        <v>7538.711197196546</v>
      </c>
      <c r="X39" s="30"/>
      <c r="Y39" s="44"/>
      <c r="Z39" s="46">
        <f>INDEX(LINEST($O$4:$O$12,$P$4:$P$12),2)</f>
        <v>5078.4189614630086</v>
      </c>
    </row>
    <row r="40" spans="2:41" ht="15" thickBot="1" x14ac:dyDescent="0.35">
      <c r="B40" s="80">
        <v>136.4</v>
      </c>
      <c r="C40" s="6">
        <f t="shared" si="27"/>
        <v>1.9470444444444444</v>
      </c>
      <c r="D40" s="88">
        <f t="shared" si="28"/>
        <v>170.46799999999999</v>
      </c>
      <c r="V40" s="43"/>
      <c r="W40" s="54">
        <f>INDEX(LINEST($P$4:$P$12,$D$4:$D$12^{1,2},FALSE,FALSE),3)</f>
        <v>0</v>
      </c>
      <c r="X40" s="30"/>
      <c r="Y40" s="44" t="s">
        <v>20</v>
      </c>
      <c r="Z40" s="46">
        <f>INDEX(LINEST($P$4:$P$12,$O$4:$O$12),1)</f>
        <v>1.0238441352501362</v>
      </c>
    </row>
    <row r="41" spans="2:41" x14ac:dyDescent="0.3">
      <c r="V41" s="43" t="s">
        <v>30</v>
      </c>
      <c r="W41" s="54">
        <f>INDEX(LINEST($O$4:$O$12,$L$4:$L$12),1)</f>
        <v>17815.881603657734</v>
      </c>
      <c r="X41" s="30"/>
      <c r="Y41" s="44"/>
      <c r="Z41" s="46">
        <f>INDEX(LINEST($P$4:$P$12,$O$4:$O$12),2)</f>
        <v>-5111.2603560094558</v>
      </c>
      <c r="AA41" t="s">
        <v>78</v>
      </c>
    </row>
    <row r="42" spans="2:41" x14ac:dyDescent="0.3">
      <c r="V42" s="43"/>
      <c r="W42" s="54">
        <f>INDEX(LINEST($O$4:$O$12,$L$4:$L$12),2)</f>
        <v>-63666.357495381133</v>
      </c>
      <c r="X42" s="30"/>
      <c r="Y42" s="30"/>
      <c r="Z42" s="31"/>
    </row>
    <row r="43" spans="2:41" x14ac:dyDescent="0.3">
      <c r="V43" s="19"/>
      <c r="W43" s="30"/>
      <c r="X43" s="30"/>
      <c r="Y43" s="30"/>
      <c r="Z43" s="31"/>
    </row>
    <row r="44" spans="2:41" ht="15" thickBot="1" x14ac:dyDescent="0.35">
      <c r="V44" s="107" t="s">
        <v>80</v>
      </c>
      <c r="W44" s="108">
        <f>EXP((0-$AD$27)/$AE$27)</f>
        <v>35.643728970875671</v>
      </c>
      <c r="X44" s="32"/>
      <c r="Y44" s="32"/>
      <c r="Z44" s="33"/>
      <c r="AA44" t="s">
        <v>86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M6" sqref="M6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7773437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73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  <c r="Y1" s="4" t="s">
        <v>58</v>
      </c>
      <c r="Z1" s="4" t="s">
        <v>59</v>
      </c>
      <c r="AA1" s="4" t="s">
        <v>60</v>
      </c>
      <c r="AB1" s="4" t="s">
        <v>61</v>
      </c>
      <c r="AC1" s="4" t="s">
        <v>62</v>
      </c>
      <c r="AD1" s="4" t="s">
        <v>63</v>
      </c>
      <c r="AE1" s="4" t="s">
        <v>64</v>
      </c>
      <c r="AF1" s="4" t="s">
        <v>76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 t="shared" ref="K2" si="1">C2</f>
        <v>47</v>
      </c>
      <c r="L2" s="3">
        <f t="shared" ref="L2:M9" si="2">1/G2/0.000001</f>
        <v>200.80321285140565</v>
      </c>
      <c r="M2" s="3">
        <f t="shared" si="2"/>
        <v>1E-10</v>
      </c>
      <c r="N2" s="3">
        <f t="shared" ref="N2:O9" si="3">L2*60/$AA$16</f>
        <v>6024.0963855421696</v>
      </c>
      <c r="O2" s="3">
        <f t="shared" si="3"/>
        <v>3E-9</v>
      </c>
      <c r="P2" s="3">
        <f t="shared" ref="P2:Q9" si="4">N2/$AA$24*100</f>
        <v>27.192101740294518</v>
      </c>
      <c r="Q2" s="3">
        <f t="shared" si="4"/>
        <v>1.3541666666666668E-11</v>
      </c>
      <c r="R2" s="3">
        <f t="shared" ref="R2:R9" si="5">O2*$AD$35+$AD$36</f>
        <v>4180.4182204543986</v>
      </c>
      <c r="S2" s="3">
        <f t="shared" ref="S2:S9" si="6">K2</f>
        <v>47</v>
      </c>
      <c r="T2" s="3">
        <f t="shared" ref="T2:T9" si="7">R2/$AA$24*100</f>
        <v>18.869943356217771</v>
      </c>
      <c r="U2" s="3">
        <f t="shared" ref="U2:U9" si="8">$AA$38*LN(C2)+$AA$39</f>
        <v>464.32038932937508</v>
      </c>
      <c r="V2" s="3">
        <f t="shared" ref="V2:V9" si="9">D2*D2*$AA$35+D2*$AA$36+$AA$37</f>
        <v>0</v>
      </c>
      <c r="W2" s="3">
        <f t="shared" ref="W2:W9" si="10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1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2">C3</f>
        <v>78.089999999999989</v>
      </c>
      <c r="L3" s="3">
        <f t="shared" si="2"/>
        <v>260.41666666666669</v>
      </c>
      <c r="M3" s="3">
        <f t="shared" si="2"/>
        <v>109.2896174863388</v>
      </c>
      <c r="N3" s="3">
        <f t="shared" si="3"/>
        <v>7812.5000000000009</v>
      </c>
      <c r="O3" s="3">
        <f t="shared" si="3"/>
        <v>3278.688524590164</v>
      </c>
      <c r="P3" s="3">
        <f t="shared" si="4"/>
        <v>35.26475694444445</v>
      </c>
      <c r="Q3" s="3">
        <f t="shared" si="4"/>
        <v>14.799635701275045</v>
      </c>
      <c r="R3" s="3">
        <f t="shared" si="5"/>
        <v>7656.5024245703744</v>
      </c>
      <c r="S3" s="3">
        <f t="shared" si="6"/>
        <v>78.089999999999989</v>
      </c>
      <c r="T3" s="3">
        <f t="shared" si="7"/>
        <v>34.560601222019052</v>
      </c>
      <c r="U3" s="3">
        <f t="shared" si="8"/>
        <v>525.54976935129287</v>
      </c>
      <c r="V3" s="3">
        <f t="shared" si="9"/>
        <v>3494.6201834301496</v>
      </c>
      <c r="W3" s="3">
        <f t="shared" si="10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1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3">E4*F4</f>
        <v>18.12</v>
      </c>
      <c r="K4" s="1">
        <f t="shared" si="12"/>
        <v>83.699999999999974</v>
      </c>
      <c r="L4" s="3">
        <f t="shared" si="2"/>
        <v>314.46540880503147</v>
      </c>
      <c r="M4" s="3">
        <f t="shared" si="2"/>
        <v>165.01650165016503</v>
      </c>
      <c r="N4" s="3">
        <f t="shared" si="3"/>
        <v>9433.962264150945</v>
      </c>
      <c r="O4" s="3">
        <f t="shared" si="3"/>
        <v>4950.4950495049507</v>
      </c>
      <c r="P4" s="3">
        <f t="shared" si="4"/>
        <v>42.58385744234802</v>
      </c>
      <c r="Q4" s="3">
        <f t="shared" si="4"/>
        <v>22.345984598459847</v>
      </c>
      <c r="R4" s="3">
        <f t="shared" si="5"/>
        <v>9428.9612019182605</v>
      </c>
      <c r="S4" s="3">
        <f t="shared" si="6"/>
        <v>83.699999999999974</v>
      </c>
      <c r="T4" s="3">
        <f t="shared" si="7"/>
        <v>42.561283203103258</v>
      </c>
      <c r="U4" s="3">
        <f t="shared" si="8"/>
        <v>533.91649836277281</v>
      </c>
      <c r="V4" s="3">
        <f t="shared" si="9"/>
        <v>5100.5484588755035</v>
      </c>
      <c r="W4" s="3">
        <f t="shared" si="10"/>
        <v>23.02330901575748</v>
      </c>
      <c r="X4" s="4">
        <f t="shared" si="0"/>
        <v>18.12</v>
      </c>
      <c r="Y4">
        <f t="shared" ref="Y4:Y9" si="14">X4*0.001341022</f>
        <v>2.4299318640000005E-2</v>
      </c>
      <c r="Z4">
        <f t="shared" ref="Z4:Z9" si="15">Y4/N4*5252</f>
        <v>1.3527722278711681E-2</v>
      </c>
      <c r="AA4">
        <f t="shared" ref="AA4:AA9" si="16">-Z4/2/N4</f>
        <v>-7.1696928077171894E-7</v>
      </c>
      <c r="AB4">
        <v>0.18</v>
      </c>
      <c r="AC4">
        <f t="shared" ref="AC4:AC7" si="17">-AB4*AA4</f>
        <v>1.2905447053890941E-7</v>
      </c>
      <c r="AD4">
        <f t="shared" ref="AD4:AD7" si="18">AC4/6.66*2048.5</f>
        <v>3.9694907342185574E-5</v>
      </c>
      <c r="AE4">
        <f t="shared" ref="AE4:AE7" si="19">AD4*144</f>
        <v>5.716066657274723E-3</v>
      </c>
      <c r="AF4" s="97">
        <f t="shared" si="11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3"/>
        <v>36</v>
      </c>
      <c r="K5" s="1">
        <f t="shared" si="12"/>
        <v>102.40000000000002</v>
      </c>
      <c r="L5" s="3">
        <f t="shared" si="2"/>
        <v>408.16326530612247</v>
      </c>
      <c r="M5" s="3">
        <f t="shared" si="2"/>
        <v>260.41666666666669</v>
      </c>
      <c r="N5" s="3">
        <f t="shared" si="3"/>
        <v>12244.897959183674</v>
      </c>
      <c r="O5" s="3">
        <f t="shared" si="3"/>
        <v>7812.5000000000009</v>
      </c>
      <c r="P5" s="3">
        <f t="shared" si="4"/>
        <v>55.272108843537424</v>
      </c>
      <c r="Q5" s="3">
        <f t="shared" si="4"/>
        <v>35.26475694444445</v>
      </c>
      <c r="R5" s="3">
        <f t="shared" si="5"/>
        <v>12463.275113078895</v>
      </c>
      <c r="S5" s="3">
        <f t="shared" si="6"/>
        <v>102.40000000000002</v>
      </c>
      <c r="T5" s="3">
        <f t="shared" si="7"/>
        <v>56.257839052092237</v>
      </c>
      <c r="U5" s="3">
        <f t="shared" si="8"/>
        <v>558.23482705024071</v>
      </c>
      <c r="V5" s="3">
        <f t="shared" si="9"/>
        <v>7804.2947828053293</v>
      </c>
      <c r="W5" s="3">
        <f t="shared" si="10"/>
        <v>35.227719505718504</v>
      </c>
      <c r="X5" s="4">
        <f t="shared" si="0"/>
        <v>36</v>
      </c>
      <c r="Y5">
        <f t="shared" si="14"/>
        <v>4.8276792000000006E-2</v>
      </c>
      <c r="Z5">
        <f t="shared" si="15"/>
        <v>2.070655977936E-2</v>
      </c>
      <c r="AA5">
        <f t="shared" si="16"/>
        <v>-8.4551785765719992E-7</v>
      </c>
      <c r="AB5">
        <v>0.18</v>
      </c>
      <c r="AC5">
        <f t="shared" si="17"/>
        <v>1.5219321437829598E-7</v>
      </c>
      <c r="AD5">
        <f t="shared" si="18"/>
        <v>4.6811981930020919E-5</v>
      </c>
      <c r="AE5">
        <f t="shared" si="19"/>
        <v>6.7409253979230123E-3</v>
      </c>
      <c r="AF5" s="97">
        <f t="shared" si="11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3"/>
        <v>55.199999999999996</v>
      </c>
      <c r="K6" s="1">
        <f t="shared" si="12"/>
        <v>121.10000000000002</v>
      </c>
      <c r="L6" s="3">
        <f t="shared" si="2"/>
        <v>500.00000000000006</v>
      </c>
      <c r="M6" s="3">
        <f t="shared" si="2"/>
        <v>335.57046979865771</v>
      </c>
      <c r="N6" s="3">
        <f t="shared" si="3"/>
        <v>15000.000000000002</v>
      </c>
      <c r="O6" s="3">
        <f t="shared" si="3"/>
        <v>10067.114093959732</v>
      </c>
      <c r="P6" s="3">
        <f t="shared" si="4"/>
        <v>67.708333333333343</v>
      </c>
      <c r="Q6" s="3">
        <f t="shared" si="4"/>
        <v>45.44183445190157</v>
      </c>
      <c r="R6" s="3">
        <f t="shared" si="5"/>
        <v>14853.629786790238</v>
      </c>
      <c r="S6" s="3">
        <f t="shared" si="6"/>
        <v>121.10000000000002</v>
      </c>
      <c r="T6" s="3">
        <f t="shared" si="7"/>
        <v>67.047634454261498</v>
      </c>
      <c r="U6" s="3">
        <f t="shared" si="8"/>
        <v>578.46273469155688</v>
      </c>
      <c r="V6" s="3">
        <f t="shared" si="9"/>
        <v>9885.6944218814369</v>
      </c>
      <c r="W6" s="3">
        <f t="shared" si="10"/>
        <v>44.622926209881491</v>
      </c>
      <c r="X6" s="4">
        <f t="shared" si="0"/>
        <v>55.199999999999996</v>
      </c>
      <c r="Y6">
        <f t="shared" si="14"/>
        <v>7.4024414400000002E-2</v>
      </c>
      <c r="Z6">
        <f t="shared" si="15"/>
        <v>2.5918414961919996E-2</v>
      </c>
      <c r="AA6">
        <f t="shared" si="16"/>
        <v>-8.6394716539733309E-7</v>
      </c>
      <c r="AB6">
        <v>0.14000000000000001</v>
      </c>
      <c r="AC6">
        <f t="shared" si="17"/>
        <v>1.2095260315562663E-7</v>
      </c>
      <c r="AD6">
        <f t="shared" si="18"/>
        <v>3.7202914048693865E-5</v>
      </c>
      <c r="AE6">
        <f t="shared" si="19"/>
        <v>5.3572196230119162E-3</v>
      </c>
      <c r="AF6" s="97">
        <f t="shared" si="11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3"/>
        <v>64.800000000000011</v>
      </c>
      <c r="K7" s="1">
        <f t="shared" si="12"/>
        <v>128.57999999999998</v>
      </c>
      <c r="L7" s="3">
        <f t="shared" si="2"/>
        <v>518.13471502590676</v>
      </c>
      <c r="M7" s="3">
        <f t="shared" si="2"/>
        <v>362.31884057971018</v>
      </c>
      <c r="N7" s="3">
        <f t="shared" si="3"/>
        <v>15544.041450777202</v>
      </c>
      <c r="O7" s="3">
        <f t="shared" si="3"/>
        <v>10869.565217391306</v>
      </c>
      <c r="P7" s="3">
        <f t="shared" si="4"/>
        <v>70.164075993091544</v>
      </c>
      <c r="Q7" s="3">
        <f t="shared" si="4"/>
        <v>49.064009661835762</v>
      </c>
      <c r="R7" s="3">
        <f t="shared" si="5"/>
        <v>15704.393027585378</v>
      </c>
      <c r="S7" s="3">
        <f t="shared" si="6"/>
        <v>128.57999999999998</v>
      </c>
      <c r="T7" s="3">
        <f t="shared" si="7"/>
        <v>70.887885193961779</v>
      </c>
      <c r="U7" s="3">
        <f t="shared" si="8"/>
        <v>585.69073547434391</v>
      </c>
      <c r="V7" s="3">
        <f t="shared" si="9"/>
        <v>10910.72055031222</v>
      </c>
      <c r="W7" s="3">
        <f t="shared" si="10"/>
        <v>49.249780261825997</v>
      </c>
      <c r="X7" s="4">
        <f t="shared" si="0"/>
        <v>64.800000000000011</v>
      </c>
      <c r="Y7">
        <f t="shared" si="14"/>
        <v>8.6898225600000017E-2</v>
      </c>
      <c r="Z7">
        <f t="shared" si="15"/>
        <v>2.9361056601427207E-2</v>
      </c>
      <c r="AA7">
        <f t="shared" si="16"/>
        <v>-9.4444732067924179E-7</v>
      </c>
      <c r="AB7">
        <v>0.12</v>
      </c>
      <c r="AC7">
        <f t="shared" si="17"/>
        <v>1.1333367848150901E-7</v>
      </c>
      <c r="AD7">
        <f t="shared" si="18"/>
        <v>3.4859465520926602E-5</v>
      </c>
      <c r="AE7">
        <f t="shared" si="19"/>
        <v>5.0197630350134305E-3</v>
      </c>
      <c r="AF7" s="97">
        <f t="shared" si="11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3"/>
        <v>104.39999999999999</v>
      </c>
      <c r="K8" s="1">
        <f t="shared" si="12"/>
        <v>153.82499999999999</v>
      </c>
      <c r="L8" s="3">
        <f t="shared" si="2"/>
        <v>621.11801242236027</v>
      </c>
      <c r="M8" s="3">
        <f t="shared" si="2"/>
        <v>458.71559633027528</v>
      </c>
      <c r="N8" s="3">
        <f t="shared" si="3"/>
        <v>18633.540372670806</v>
      </c>
      <c r="O8" s="3">
        <f t="shared" si="3"/>
        <v>13761.467889908257</v>
      </c>
      <c r="P8" s="3">
        <f t="shared" si="4"/>
        <v>84.10973084886129</v>
      </c>
      <c r="Q8" s="3">
        <f t="shared" si="4"/>
        <v>62.117737003058117</v>
      </c>
      <c r="R8" s="3">
        <f t="shared" si="5"/>
        <v>18770.404673520155</v>
      </c>
      <c r="S8" s="3">
        <f t="shared" si="6"/>
        <v>153.82499999999999</v>
      </c>
      <c r="T8" s="3">
        <f t="shared" si="7"/>
        <v>84.727521095750703</v>
      </c>
      <c r="U8" s="3">
        <f t="shared" si="8"/>
        <v>607.30966665297819</v>
      </c>
      <c r="V8" s="3">
        <f t="shared" si="9"/>
        <v>13596.184005950465</v>
      </c>
      <c r="W8" s="3">
        <f t="shared" si="10"/>
        <v>61.371663915748634</v>
      </c>
      <c r="X8" s="4">
        <f t="shared" si="0"/>
        <v>104.39999999999999</v>
      </c>
      <c r="Y8">
        <f t="shared" si="14"/>
        <v>0.14000269679999999</v>
      </c>
      <c r="Z8">
        <f t="shared" si="15"/>
        <v>3.9460786779523201E-2</v>
      </c>
      <c r="AA8">
        <f t="shared" si="16"/>
        <v>-1.0588644452505392E-6</v>
      </c>
      <c r="AF8" s="97">
        <f t="shared" si="11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3"/>
        <v>156</v>
      </c>
      <c r="K9" s="1">
        <f t="shared" si="12"/>
        <v>170.46799999999999</v>
      </c>
      <c r="L9" s="3">
        <f t="shared" si="2"/>
        <v>710.22727272727275</v>
      </c>
      <c r="M9" s="3">
        <f t="shared" si="2"/>
        <v>531.91489361702133</v>
      </c>
      <c r="N9" s="3">
        <f t="shared" si="3"/>
        <v>21306.818181818184</v>
      </c>
      <c r="O9" s="3">
        <f t="shared" si="3"/>
        <v>15957.44680851064</v>
      </c>
      <c r="P9" s="3">
        <f t="shared" si="4"/>
        <v>96.176609848484858</v>
      </c>
      <c r="Q9" s="3">
        <f t="shared" si="4"/>
        <v>72.030141843971634</v>
      </c>
      <c r="R9" s="3">
        <f t="shared" si="5"/>
        <v>21098.594001137539</v>
      </c>
      <c r="S9" s="3">
        <f t="shared" si="6"/>
        <v>170.46799999999999</v>
      </c>
      <c r="T9" s="3">
        <f t="shared" si="7"/>
        <v>95.236709032912501</v>
      </c>
      <c r="U9" s="3">
        <f t="shared" si="8"/>
        <v>619.69894848212812</v>
      </c>
      <c r="V9" s="3">
        <f t="shared" si="9"/>
        <v>16090.182242180526</v>
      </c>
      <c r="W9" s="3">
        <f t="shared" si="10"/>
        <v>72.629294843175998</v>
      </c>
      <c r="X9" s="4">
        <f t="shared" si="0"/>
        <v>156</v>
      </c>
      <c r="Y9">
        <f t="shared" si="14"/>
        <v>0.20919943200000002</v>
      </c>
      <c r="Z9">
        <f t="shared" si="15"/>
        <v>5.1566376898150398E-2</v>
      </c>
      <c r="AA9">
        <f t="shared" si="16"/>
        <v>-1.2100909778765959E-6</v>
      </c>
      <c r="AF9" s="97">
        <f t="shared" si="11"/>
        <v>176.67627097160877</v>
      </c>
    </row>
    <row r="10" spans="1:32" ht="13.95" customHeight="1" x14ac:dyDescent="0.3">
      <c r="N10" s="1">
        <v>9.34</v>
      </c>
      <c r="AB10" t="s">
        <v>65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44</v>
      </c>
      <c r="AC15" t="s">
        <v>45</v>
      </c>
      <c r="AF15" s="30"/>
    </row>
    <row r="16" spans="1:32" ht="13.95" customHeight="1" x14ac:dyDescent="0.3">
      <c r="A16" s="3" t="s">
        <v>40</v>
      </c>
      <c r="B16" s="11" t="s">
        <v>41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32</v>
      </c>
      <c r="AE16" s="7"/>
      <c r="AF16" s="30"/>
    </row>
    <row r="17" spans="1:36" x14ac:dyDescent="0.3">
      <c r="A17" s="3"/>
      <c r="B17" s="13" t="s">
        <v>42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25</v>
      </c>
      <c r="AD17" s="25">
        <v>0</v>
      </c>
      <c r="AF17" s="30"/>
    </row>
    <row r="18" spans="1:36" ht="13.95" customHeight="1" thickBot="1" x14ac:dyDescent="0.35">
      <c r="A18" s="3"/>
      <c r="B18" s="15" t="s">
        <v>43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26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47</v>
      </c>
      <c r="AF20" s="94" t="s">
        <v>71</v>
      </c>
      <c r="AG20" s="5" t="s">
        <v>74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46</v>
      </c>
      <c r="AB21" s="36"/>
      <c r="AC21" s="35"/>
      <c r="AD21" s="35"/>
      <c r="AE21" s="37"/>
      <c r="AG21" s="62" t="s">
        <v>24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23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48</v>
      </c>
      <c r="AG23" s="65" t="s">
        <v>26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14</v>
      </c>
      <c r="AD24" s="41"/>
      <c r="AG24" s="65" t="s">
        <v>25</v>
      </c>
      <c r="AH24" s="66">
        <f>AD17</f>
        <v>0</v>
      </c>
      <c r="AI24" s="30"/>
      <c r="AJ24" s="31"/>
    </row>
    <row r="25" spans="1:36" x14ac:dyDescent="0.3">
      <c r="AG25" s="65" t="s">
        <v>39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49</v>
      </c>
      <c r="AG26" s="65" t="s">
        <v>27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28</v>
      </c>
      <c r="AB27" s="28"/>
      <c r="AC27" s="42" t="s">
        <v>29</v>
      </c>
      <c r="AD27" s="29" t="s">
        <v>50</v>
      </c>
      <c r="AG27" s="65" t="s">
        <v>22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23</v>
      </c>
      <c r="AA28" s="58">
        <v>0</v>
      </c>
      <c r="AB28" s="45" t="s">
        <v>22</v>
      </c>
      <c r="AC28" s="59">
        <v>0</v>
      </c>
      <c r="AD28" s="89">
        <f>AD38/AA24*100</f>
        <v>-17.719588605194325</v>
      </c>
      <c r="AE28" t="s">
        <v>70</v>
      </c>
      <c r="AG28" s="65" t="s">
        <v>18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72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24</v>
      </c>
      <c r="AA29" s="58">
        <v>5</v>
      </c>
      <c r="AB29" s="45" t="s">
        <v>27</v>
      </c>
      <c r="AC29" s="59">
        <v>180</v>
      </c>
      <c r="AD29" s="60">
        <v>77</v>
      </c>
      <c r="AG29" s="65" t="s">
        <v>77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67</v>
      </c>
      <c r="C30" s="6" t="s">
        <v>68</v>
      </c>
      <c r="D30" s="6" t="s">
        <v>69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53</v>
      </c>
      <c r="AB30" s="30"/>
      <c r="AC30" s="61"/>
      <c r="AD30" s="89">
        <f>(AD29-AD28)/(AA29-AA28)</f>
        <v>18.943917721038865</v>
      </c>
      <c r="AG30" s="65" t="s">
        <v>19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20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20">B32/180*(2.4-0.53)+0.53</f>
        <v>1.4649999999999999</v>
      </c>
      <c r="D32" s="88">
        <f t="shared" ref="D32:D37" si="21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19</v>
      </c>
      <c r="AG32" s="70" t="s">
        <v>21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20"/>
        <v>1.568888888888889</v>
      </c>
      <c r="D33" s="88">
        <f t="shared" si="21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20"/>
        <v>1.6727777777777779</v>
      </c>
      <c r="D34" s="88">
        <f t="shared" si="21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51</v>
      </c>
    </row>
    <row r="35" spans="2:40" x14ac:dyDescent="0.3">
      <c r="B35" s="73">
        <v>114</v>
      </c>
      <c r="C35" s="6">
        <f t="shared" si="20"/>
        <v>1.7143333333333333</v>
      </c>
      <c r="D35" s="88">
        <f t="shared" si="21"/>
        <v>128.57999999999998</v>
      </c>
      <c r="Z35" s="49" t="s">
        <v>18</v>
      </c>
      <c r="AA35" s="50">
        <f>INDEX(LINEST($O$3:$O$9,$D$3:$D$9^{1,2},FALSE,FALSE),1)</f>
        <v>-475.97454575994487</v>
      </c>
      <c r="AB35" s="28"/>
      <c r="AC35" s="51" t="s">
        <v>21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20"/>
        <v>1.8545833333333333</v>
      </c>
      <c r="D36" s="88">
        <f t="shared" si="21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20"/>
        <v>1.9470444444444444</v>
      </c>
      <c r="D37" s="88">
        <f t="shared" si="21"/>
        <v>170.46799999999999</v>
      </c>
      <c r="Z37" s="43"/>
      <c r="AA37" s="44">
        <f>INDEX(LINEST($O$3:$O$9,$D$3:$D$9^{1,2},FALSE,FALSE),3)</f>
        <v>0</v>
      </c>
      <c r="AB37" s="30"/>
      <c r="AC37" s="44" t="s">
        <v>20</v>
      </c>
      <c r="AD37" s="46">
        <f>INDEX(LINEST($O$3:$O$9,$N$3:$N$9),1)</f>
        <v>0.94199104022164515</v>
      </c>
    </row>
    <row r="38" spans="2:40" x14ac:dyDescent="0.3">
      <c r="Z38" s="43" t="s">
        <v>77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78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16" sqref="U1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52</v>
      </c>
      <c r="B1" s="82" t="s">
        <v>68</v>
      </c>
      <c r="C1" s="83" t="s">
        <v>0</v>
      </c>
      <c r="D1" s="83" t="s">
        <v>1</v>
      </c>
      <c r="E1" s="83" t="s">
        <v>15</v>
      </c>
      <c r="F1" s="83" t="s">
        <v>16</v>
      </c>
      <c r="G1" s="83" t="s">
        <v>34</v>
      </c>
      <c r="H1" s="83" t="s">
        <v>33</v>
      </c>
      <c r="I1" s="84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8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>E2*F2</f>
        <v>0</v>
      </c>
      <c r="K2" s="1">
        <f t="shared" ref="K2:K9" si="1">C2</f>
        <v>0</v>
      </c>
      <c r="L2" s="3" t="e">
        <f t="shared" ref="L2:M9" si="2">1/G2/0.000001</f>
        <v>#DIV/0!</v>
      </c>
      <c r="M2" s="3">
        <f t="shared" si="2"/>
        <v>0.01</v>
      </c>
      <c r="N2" s="3" t="e">
        <f t="shared" ref="N2:O9" si="3">L2*60/$AA$13</f>
        <v>#DIV/0!</v>
      </c>
      <c r="O2" s="3">
        <f t="shared" si="3"/>
        <v>0.3</v>
      </c>
      <c r="P2" s="3" t="e">
        <f t="shared" ref="P2:Q9" si="4">N2/$AA$21*100</f>
        <v>#DIV/0!</v>
      </c>
      <c r="Q2" s="3">
        <f t="shared" si="4"/>
        <v>1.3541666666666667E-3</v>
      </c>
      <c r="R2" s="3">
        <f t="shared" ref="R2:R9" si="5">O2*$AD$32+$AD$33</f>
        <v>4180.7362821558954</v>
      </c>
      <c r="S2" s="3">
        <f t="shared" ref="S2:S9" si="6">K2</f>
        <v>0</v>
      </c>
      <c r="T2" s="3">
        <f t="shared" ref="T2:T9" si="7">R2/$AA$21*100</f>
        <v>18.87137905139814</v>
      </c>
      <c r="U2" s="3" t="e">
        <f t="shared" ref="U2:U9" si="8">$AA$35*LN(C2)+$AA$36</f>
        <v>#REF!</v>
      </c>
      <c r="V2" s="3">
        <f t="shared" ref="V2:V9" si="9">D2*D2*$AA$32+D2*$AA$33+$AA$34</f>
        <v>0</v>
      </c>
      <c r="W2" s="3">
        <f t="shared" ref="W2:W9" si="10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>E3*F3</f>
        <v>18.954000000000001</v>
      </c>
      <c r="K3" s="1">
        <f t="shared" ref="K3" si="11">C3</f>
        <v>29.47000000000002</v>
      </c>
      <c r="L3" s="3">
        <f t="shared" si="2"/>
        <v>262.41235611095965</v>
      </c>
      <c r="M3" s="3">
        <f t="shared" si="2"/>
        <v>116.07661056297157</v>
      </c>
      <c r="N3" s="3">
        <f t="shared" ref="N3" si="12">L3*60/$AA$13</f>
        <v>7872.3706833287897</v>
      </c>
      <c r="O3" s="3">
        <f t="shared" ref="O3" si="13">M3*60/$AA$13</f>
        <v>3482.2983168891469</v>
      </c>
      <c r="P3" s="3">
        <f t="shared" ref="P3" si="14">N3/$AA$21*100</f>
        <v>35.535006556692458</v>
      </c>
      <c r="Q3" s="3">
        <f t="shared" ref="Q3" si="15">O3/$AA$21*100</f>
        <v>15.7187076804024</v>
      </c>
      <c r="R3" s="3">
        <f t="shared" ref="R3" si="16">O3*$AD$32+$AD$33</f>
        <v>7872.3706833287897</v>
      </c>
      <c r="S3" s="3">
        <f t="shared" si="6"/>
        <v>29.47000000000002</v>
      </c>
      <c r="T3" s="3">
        <f t="shared" ref="T3" si="17">R3/$AA$21*100</f>
        <v>35.535006556692458</v>
      </c>
      <c r="U3" s="3" t="e">
        <f t="shared" si="8"/>
        <v>#REF!</v>
      </c>
      <c r="V3" s="3">
        <f t="shared" si="9"/>
        <v>3895.0045670565864</v>
      </c>
      <c r="W3" s="3">
        <f t="shared" si="10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ref="J4:J8" si="18">E4*F4</f>
        <v>23.065999999999999</v>
      </c>
      <c r="K4" s="1">
        <f t="shared" si="1"/>
        <v>36.950000000000017</v>
      </c>
      <c r="L4" s="3">
        <f t="shared" si="2"/>
        <v>307.90143653592179</v>
      </c>
      <c r="M4" s="3">
        <f t="shared" si="2"/>
        <v>158.98251192368841</v>
      </c>
      <c r="N4" s="3">
        <f t="shared" si="3"/>
        <v>9237.0430960776539</v>
      </c>
      <c r="O4" s="3">
        <f t="shared" si="3"/>
        <v>4769.4753577106521</v>
      </c>
      <c r="P4" s="3">
        <f t="shared" si="4"/>
        <v>41.694986197572746</v>
      </c>
      <c r="Q4" s="3">
        <f t="shared" si="4"/>
        <v>21.528881822999473</v>
      </c>
      <c r="R4" s="3">
        <f t="shared" si="5"/>
        <v>9237.0430960776539</v>
      </c>
      <c r="S4" s="3">
        <f t="shared" si="6"/>
        <v>36.950000000000017</v>
      </c>
      <c r="T4" s="3">
        <f t="shared" si="7"/>
        <v>41.694986197572746</v>
      </c>
      <c r="U4" s="3" t="e">
        <f t="shared" si="8"/>
        <v>#REF!</v>
      </c>
      <c r="V4" s="3">
        <f t="shared" si="9"/>
        <v>4863.4075129077601</v>
      </c>
      <c r="W4" s="3">
        <f t="shared" si="10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8"/>
        <v>44.176200000000001</v>
      </c>
      <c r="K5" s="1">
        <f t="shared" si="1"/>
        <v>59.389999999999986</v>
      </c>
      <c r="L5" s="3">
        <f t="shared" si="2"/>
        <v>431.97925918101981</v>
      </c>
      <c r="M5" s="3">
        <f t="shared" si="2"/>
        <v>276.01435274634281</v>
      </c>
      <c r="N5" s="3">
        <f t="shared" si="3"/>
        <v>12959.377775430594</v>
      </c>
      <c r="O5" s="3">
        <f t="shared" si="3"/>
        <v>8280.4305823902851</v>
      </c>
      <c r="P5" s="3">
        <f t="shared" si="4"/>
        <v>58.497191347429769</v>
      </c>
      <c r="Q5" s="3">
        <f t="shared" si="4"/>
        <v>37.376943601067261</v>
      </c>
      <c r="R5" s="3">
        <f t="shared" si="5"/>
        <v>12959.377775430594</v>
      </c>
      <c r="S5" s="3">
        <f t="shared" si="6"/>
        <v>59.389999999999986</v>
      </c>
      <c r="T5" s="3">
        <f t="shared" si="7"/>
        <v>58.497191347429769</v>
      </c>
      <c r="U5" s="3" t="e">
        <f t="shared" si="8"/>
        <v>#REF!</v>
      </c>
      <c r="V5" s="3">
        <f t="shared" si="9"/>
        <v>8182.7859228288407</v>
      </c>
      <c r="W5" s="3">
        <f t="shared" si="10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8"/>
        <v>77.8596</v>
      </c>
      <c r="K6" s="1">
        <f t="shared" si="1"/>
        <v>79.960000000000008</v>
      </c>
      <c r="L6" s="3">
        <f t="shared" si="2"/>
        <v>528.98552548741941</v>
      </c>
      <c r="M6" s="3">
        <f t="shared" si="2"/>
        <v>367.51194413818456</v>
      </c>
      <c r="N6" s="3">
        <f t="shared" si="3"/>
        <v>15869.565764622583</v>
      </c>
      <c r="O6" s="3">
        <f t="shared" si="3"/>
        <v>11025.358324145536</v>
      </c>
      <c r="P6" s="3">
        <f t="shared" si="4"/>
        <v>71.633456576421381</v>
      </c>
      <c r="Q6" s="3">
        <f t="shared" si="4"/>
        <v>49.76724243537916</v>
      </c>
      <c r="R6" s="3">
        <f t="shared" si="5"/>
        <v>15869.565764622583</v>
      </c>
      <c r="S6" s="3">
        <f t="shared" si="6"/>
        <v>79.960000000000008</v>
      </c>
      <c r="T6" s="3">
        <f t="shared" si="7"/>
        <v>71.633456576421381</v>
      </c>
      <c r="U6" s="3" t="e">
        <f t="shared" si="8"/>
        <v>#REF!</v>
      </c>
      <c r="V6" s="3">
        <f t="shared" si="9"/>
        <v>10620.908743264474</v>
      </c>
      <c r="W6" s="3">
        <f t="shared" si="10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8"/>
        <v>100.6914</v>
      </c>
      <c r="K7" s="1">
        <f t="shared" si="1"/>
        <v>93.05</v>
      </c>
      <c r="L7" s="3">
        <f t="shared" si="2"/>
        <v>576.18521478815251</v>
      </c>
      <c r="M7" s="3">
        <f t="shared" si="2"/>
        <v>412.03131437989288</v>
      </c>
      <c r="N7" s="3">
        <f t="shared" si="3"/>
        <v>17285.556443644575</v>
      </c>
      <c r="O7" s="3">
        <f t="shared" si="3"/>
        <v>12360.939431396786</v>
      </c>
      <c r="P7" s="3">
        <f t="shared" si="4"/>
        <v>78.025081169228997</v>
      </c>
      <c r="Q7" s="3">
        <f t="shared" si="4"/>
        <v>55.795907155610493</v>
      </c>
      <c r="R7" s="3">
        <f t="shared" si="5"/>
        <v>17285.556443644575</v>
      </c>
      <c r="S7" s="3">
        <f t="shared" si="6"/>
        <v>93.05</v>
      </c>
      <c r="T7" s="3">
        <f t="shared" si="7"/>
        <v>78.025081169228997</v>
      </c>
      <c r="U7" s="3" t="e">
        <f t="shared" si="8"/>
        <v>#REF!</v>
      </c>
      <c r="V7" s="3">
        <f t="shared" si="9"/>
        <v>12464.506405406451</v>
      </c>
      <c r="W7" s="3">
        <f t="shared" si="10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8"/>
        <v>155.69400000000002</v>
      </c>
      <c r="K8" s="1">
        <f t="shared" si="1"/>
        <v>111.75</v>
      </c>
      <c r="L8" s="3">
        <f t="shared" si="2"/>
        <v>647.59544384070819</v>
      </c>
      <c r="M8" s="3">
        <f t="shared" si="2"/>
        <v>479.38638542665387</v>
      </c>
      <c r="N8" s="3">
        <f t="shared" si="3"/>
        <v>19427.863315221246</v>
      </c>
      <c r="O8" s="3">
        <f t="shared" si="3"/>
        <v>14381.591562799616</v>
      </c>
      <c r="P8" s="3">
        <f t="shared" si="4"/>
        <v>87.695216353429245</v>
      </c>
      <c r="Q8" s="3">
        <f t="shared" si="4"/>
        <v>64.916906359859382</v>
      </c>
      <c r="R8" s="3">
        <f t="shared" si="5"/>
        <v>19427.863315221246</v>
      </c>
      <c r="S8" s="3">
        <f t="shared" si="6"/>
        <v>111.75</v>
      </c>
      <c r="T8" s="3">
        <f t="shared" si="7"/>
        <v>87.695216353429245</v>
      </c>
      <c r="U8" s="3" t="e">
        <f t="shared" si="8"/>
        <v>#REF!</v>
      </c>
      <c r="V8" s="3">
        <f t="shared" si="9"/>
        <v>14500.533861250387</v>
      </c>
      <c r="W8" s="3">
        <f t="shared" si="10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1"/>
        <v>139.79999999999998</v>
      </c>
      <c r="L9" s="3">
        <f t="shared" si="2"/>
        <v>734.29995766057527</v>
      </c>
      <c r="M9" s="3">
        <f t="shared" si="2"/>
        <v>561.16722783389457</v>
      </c>
      <c r="N9" s="3">
        <f t="shared" si="3"/>
        <v>22028.998729817256</v>
      </c>
      <c r="O9" s="3">
        <f t="shared" si="3"/>
        <v>16835.016835016839</v>
      </c>
      <c r="P9" s="3">
        <f t="shared" si="4"/>
        <v>99.436452599869568</v>
      </c>
      <c r="Q9" s="3">
        <f t="shared" si="4"/>
        <v>75.991395435839905</v>
      </c>
      <c r="R9" s="3">
        <f t="shared" si="5"/>
        <v>22028.99872981726</v>
      </c>
      <c r="S9" s="3">
        <f t="shared" si="6"/>
        <v>139.79999999999998</v>
      </c>
      <c r="T9" s="3">
        <f t="shared" si="7"/>
        <v>99.436452599869583</v>
      </c>
      <c r="U9" s="3" t="e">
        <f t="shared" si="8"/>
        <v>#REF!</v>
      </c>
      <c r="V9" s="3">
        <f t="shared" si="9"/>
        <v>16835.887969335286</v>
      </c>
      <c r="W9" s="3">
        <f t="shared" si="10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54</v>
      </c>
      <c r="O12" s="3" t="s">
        <v>55</v>
      </c>
      <c r="P12" s="3" t="s">
        <v>56</v>
      </c>
      <c r="Q12" s="3"/>
      <c r="R12" s="3"/>
      <c r="S12" s="3"/>
      <c r="T12" s="3"/>
      <c r="U12" s="3"/>
      <c r="V12" s="3"/>
      <c r="W12" s="3"/>
      <c r="X12" s="3"/>
      <c r="Z12" t="s">
        <v>44</v>
      </c>
      <c r="AC12" t="s">
        <v>45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40</v>
      </c>
      <c r="B13" s="11" t="s">
        <v>41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9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32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42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9"/>
        <v>307.90143653592179</v>
      </c>
      <c r="Q14" s="3">
        <f t="shared" ref="Q14:Q19" si="20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25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43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9"/>
        <v>431.97925918101981</v>
      </c>
      <c r="Q15" s="3">
        <f t="shared" si="20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26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9"/>
        <v>528.98552548741941</v>
      </c>
      <c r="Q16" s="3">
        <f t="shared" si="20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9"/>
        <v>576.18521478815251</v>
      </c>
      <c r="Q17" s="3">
        <f t="shared" si="20"/>
        <v>1735.553038041201</v>
      </c>
      <c r="R17" s="3"/>
      <c r="S17" s="3"/>
      <c r="X17" s="3"/>
      <c r="Z17" t="s">
        <v>47</v>
      </c>
      <c r="AF17" s="94" t="s">
        <v>71</v>
      </c>
      <c r="AG17" s="5" t="s">
        <v>75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9"/>
        <v>647.59544384070819</v>
      </c>
      <c r="Q18" s="3">
        <f t="shared" si="20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46</v>
      </c>
      <c r="AB18" s="36"/>
      <c r="AC18" s="35"/>
      <c r="AD18" s="35"/>
      <c r="AE18" s="37"/>
      <c r="AG18" s="62" t="s">
        <v>24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9"/>
        <v>734.29995766057539</v>
      </c>
      <c r="Q19" s="3">
        <f t="shared" si="20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23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48</v>
      </c>
      <c r="AG20" s="65" t="s">
        <v>26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14</v>
      </c>
      <c r="AD21" s="41"/>
      <c r="AE21" s="8"/>
      <c r="AG21" s="65" t="s">
        <v>25</v>
      </c>
      <c r="AH21" s="66">
        <f>AD14</f>
        <v>0</v>
      </c>
      <c r="AI21" s="30"/>
      <c r="AJ21" s="31"/>
    </row>
    <row r="22" spans="2:40" x14ac:dyDescent="0.3">
      <c r="AE22" s="8"/>
      <c r="AG22" s="65" t="s">
        <v>39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49</v>
      </c>
      <c r="AG23" s="65" t="s">
        <v>27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28</v>
      </c>
      <c r="AB24" s="28"/>
      <c r="AC24" s="42" t="s">
        <v>29</v>
      </c>
      <c r="AD24" s="29" t="s">
        <v>50</v>
      </c>
      <c r="AG24" s="65" t="s">
        <v>22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23</v>
      </c>
      <c r="AA25" s="58">
        <v>0</v>
      </c>
      <c r="AB25" s="45" t="s">
        <v>22</v>
      </c>
      <c r="AC25" s="59">
        <v>0</v>
      </c>
      <c r="AD25" s="89">
        <f>AD35/AA21*100</f>
        <v>-17.719588605194325</v>
      </c>
      <c r="AE25" t="s">
        <v>70</v>
      </c>
      <c r="AG25" s="65" t="s">
        <v>18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72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24</v>
      </c>
      <c r="AA26" s="58">
        <v>3.3</v>
      </c>
      <c r="AB26" s="45" t="s">
        <v>27</v>
      </c>
      <c r="AC26" s="59">
        <v>180</v>
      </c>
      <c r="AD26" s="60">
        <v>77</v>
      </c>
      <c r="AG26" s="65" t="s">
        <v>30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67</v>
      </c>
      <c r="C27" s="6" t="s">
        <v>68</v>
      </c>
      <c r="D27" s="6" t="s">
        <v>69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53</v>
      </c>
      <c r="AB27" s="30"/>
      <c r="AC27" s="61"/>
      <c r="AD27" s="89">
        <f>(AD26-AD25)/(AA26-AA25)</f>
        <v>28.702905637937679</v>
      </c>
      <c r="AG27" s="65" t="s">
        <v>19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20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21">B29/180*(2.4-0.53)+0.53</f>
        <v>1.2052777777777779</v>
      </c>
      <c r="D29" s="88">
        <f t="shared" ref="D29:D34" si="22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19</v>
      </c>
      <c r="AG29" s="70" t="s">
        <v>21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21"/>
        <v>1.3299444444444444</v>
      </c>
      <c r="D30" s="88">
        <f t="shared" si="22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21"/>
        <v>1.4442222222222223</v>
      </c>
      <c r="D31" s="88">
        <f t="shared" si="22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51</v>
      </c>
      <c r="AB31" t="s">
        <v>57</v>
      </c>
    </row>
    <row r="32" spans="2:40" x14ac:dyDescent="0.3">
      <c r="B32" s="73">
        <v>95</v>
      </c>
      <c r="C32" s="6">
        <f t="shared" si="21"/>
        <v>1.5169444444444444</v>
      </c>
      <c r="D32" s="88">
        <f t="shared" si="22"/>
        <v>93.05</v>
      </c>
      <c r="Z32" s="49" t="s">
        <v>18</v>
      </c>
      <c r="AA32" s="50">
        <f>INDEX(LINEST($O$2:$O$9,$D$2:$D$9^{1,2},FALSE,FALSE),1)</f>
        <v>-435.01106108560197</v>
      </c>
      <c r="AB32" s="28"/>
      <c r="AC32" s="51" t="s">
        <v>21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21"/>
        <v>1.6208333333333333</v>
      </c>
      <c r="D33" s="88">
        <f t="shared" si="22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21"/>
        <v>1.7766666666666666</v>
      </c>
      <c r="D34" s="88">
        <f t="shared" si="22"/>
        <v>139.79999999999998</v>
      </c>
      <c r="Z34" s="43"/>
      <c r="AA34" s="44">
        <f>INDEX(LINEST($O$2:$O$9,$D$2:$D$9^{1,2},FALSE,FALSE),3)</f>
        <v>0</v>
      </c>
      <c r="AB34" s="30"/>
      <c r="AC34" s="44" t="s">
        <v>20</v>
      </c>
      <c r="AD34" s="46">
        <f>CalArduinoHiTec!AD37</f>
        <v>0.94199104022164515</v>
      </c>
      <c r="AK34" s="3"/>
    </row>
    <row r="35" spans="2:39" x14ac:dyDescent="0.3">
      <c r="Z35" s="43" t="s">
        <v>30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2016-10-16T10:42:06Z</dcterms:modified>
</cp:coreProperties>
</file>