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CalArduinoTurnigy" sheetId="3" r:id="rId1"/>
    <sheet name="CalArduinoHiTec" sheetId="1" r:id="rId2"/>
    <sheet name="CalPhotonHiTec" sheetId="2" r:id="rId3"/>
  </sheets>
  <calcPr calcId="152511"/>
</workbook>
</file>

<file path=xl/calcChain.xml><?xml version="1.0" encoding="utf-8"?>
<calcChain xmlns="http://schemas.openxmlformats.org/spreadsheetml/2006/main">
  <c r="M23" i="3" l="1"/>
  <c r="O23" i="3" s="1"/>
  <c r="Q23" i="3" s="1"/>
  <c r="L23" i="3"/>
  <c r="K23" i="3"/>
  <c r="S23" i="3" s="1"/>
  <c r="J23" i="3"/>
  <c r="T23" i="3" s="1"/>
  <c r="U23" i="3" s="1"/>
  <c r="V23" i="3" s="1"/>
  <c r="W23" i="3" s="1"/>
  <c r="Y23" i="3" s="1"/>
  <c r="Z23" i="3" s="1"/>
  <c r="AA23" i="3" s="1"/>
  <c r="M22" i="3"/>
  <c r="O22" i="3" s="1"/>
  <c r="Q22" i="3" s="1"/>
  <c r="K22" i="3"/>
  <c r="L22" i="3" s="1"/>
  <c r="J22" i="3"/>
  <c r="T22" i="3" s="1"/>
  <c r="U22" i="3" s="1"/>
  <c r="M21" i="3"/>
  <c r="O21" i="3" s="1"/>
  <c r="Q21" i="3" s="1"/>
  <c r="K21" i="3"/>
  <c r="L21" i="3" s="1"/>
  <c r="J21" i="3"/>
  <c r="T21" i="3" s="1"/>
  <c r="U21" i="3" s="1"/>
  <c r="M20" i="3"/>
  <c r="O20" i="3" s="1"/>
  <c r="Q20" i="3" s="1"/>
  <c r="K20" i="3"/>
  <c r="L20" i="3" s="1"/>
  <c r="J20" i="3"/>
  <c r="T20" i="3" s="1"/>
  <c r="U20" i="3" s="1"/>
  <c r="M19" i="3"/>
  <c r="O19" i="3" s="1"/>
  <c r="Q19" i="3" s="1"/>
  <c r="L19" i="3"/>
  <c r="K19" i="3"/>
  <c r="S19" i="3" s="1"/>
  <c r="J19" i="3"/>
  <c r="T19" i="3" s="1"/>
  <c r="U19" i="3" s="1"/>
  <c r="V19" i="3" s="1"/>
  <c r="W19" i="3" s="1"/>
  <c r="Y19" i="3" s="1"/>
  <c r="Z19" i="3" s="1"/>
  <c r="AA19" i="3" s="1"/>
  <c r="M18" i="3"/>
  <c r="O18" i="3" s="1"/>
  <c r="Q18" i="3" s="1"/>
  <c r="L18" i="3"/>
  <c r="K18" i="3"/>
  <c r="S18" i="3" s="1"/>
  <c r="J18" i="3"/>
  <c r="T18" i="3" s="1"/>
  <c r="U18" i="3" s="1"/>
  <c r="M17" i="3"/>
  <c r="O17" i="3" s="1"/>
  <c r="Q17" i="3" s="1"/>
  <c r="K17" i="3"/>
  <c r="L17" i="3" s="1"/>
  <c r="J17" i="3"/>
  <c r="T17" i="3" s="1"/>
  <c r="U17" i="3" s="1"/>
  <c r="O16" i="3"/>
  <c r="Q16" i="3" s="1"/>
  <c r="M16" i="3"/>
  <c r="K16" i="3"/>
  <c r="L16" i="3" s="1"/>
  <c r="J16" i="3"/>
  <c r="T16" i="3" s="1"/>
  <c r="U16" i="3" s="1"/>
  <c r="V16" i="3" s="1"/>
  <c r="W16" i="3" s="1"/>
  <c r="Y16" i="3" s="1"/>
  <c r="Z16" i="3" s="1"/>
  <c r="AA16" i="3" s="1"/>
  <c r="O15" i="3"/>
  <c r="Q15" i="3" s="1"/>
  <c r="M15" i="3"/>
  <c r="K15" i="3"/>
  <c r="L15" i="3" s="1"/>
  <c r="J15" i="3"/>
  <c r="T15" i="3" s="1"/>
  <c r="U15" i="3" s="1"/>
  <c r="B23" i="3"/>
  <c r="B22" i="3"/>
  <c r="B21" i="3"/>
  <c r="B20" i="3"/>
  <c r="B19" i="3"/>
  <c r="B18" i="3"/>
  <c r="B17" i="3"/>
  <c r="B16" i="3"/>
  <c r="B15" i="3"/>
  <c r="V20" i="3" l="1"/>
  <c r="W20" i="3" s="1"/>
  <c r="Y20" i="3" s="1"/>
  <c r="Z20" i="3" s="1"/>
  <c r="AA20" i="3" s="1"/>
  <c r="V15" i="3"/>
  <c r="W15" i="3" s="1"/>
  <c r="Y15" i="3" s="1"/>
  <c r="Z15" i="3" s="1"/>
  <c r="AA15" i="3" s="1"/>
  <c r="V17" i="3"/>
  <c r="W17" i="3" s="1"/>
  <c r="Y17" i="3" s="1"/>
  <c r="Z17" i="3" s="1"/>
  <c r="AA17" i="3" s="1"/>
  <c r="V21" i="3"/>
  <c r="W21" i="3" s="1"/>
  <c r="Y21" i="3" s="1"/>
  <c r="Z21" i="3" s="1"/>
  <c r="AA21" i="3" s="1"/>
  <c r="V18" i="3"/>
  <c r="W18" i="3" s="1"/>
  <c r="Y18" i="3" s="1"/>
  <c r="Z18" i="3" s="1"/>
  <c r="AA18" i="3" s="1"/>
  <c r="V22" i="3"/>
  <c r="W22" i="3" s="1"/>
  <c r="Y22" i="3" s="1"/>
  <c r="Z22" i="3" s="1"/>
  <c r="AA22" i="3" s="1"/>
  <c r="S16" i="3"/>
  <c r="S20" i="3"/>
  <c r="S17" i="3"/>
  <c r="S21" i="3"/>
  <c r="S22" i="3"/>
  <c r="S15" i="3"/>
  <c r="AC9" i="3"/>
  <c r="AD9" i="3" s="1"/>
  <c r="N9" i="3"/>
  <c r="P9" i="3" s="1"/>
  <c r="R9" i="3" s="1"/>
  <c r="M9" i="3"/>
  <c r="O9" i="3" s="1"/>
  <c r="Q9" i="3" s="1"/>
  <c r="K9" i="3"/>
  <c r="L9" i="3" s="1"/>
  <c r="J9" i="3"/>
  <c r="T9" i="3" s="1"/>
  <c r="U9" i="3" s="1"/>
  <c r="B9" i="3"/>
  <c r="V9" i="3" l="1"/>
  <c r="W9" i="3" s="1"/>
  <c r="Y9" i="3" s="1"/>
  <c r="Z9" i="3" s="1"/>
  <c r="AA9" i="3" s="1"/>
  <c r="S9" i="3"/>
  <c r="Z48" i="3"/>
  <c r="Z47" i="3"/>
  <c r="Z46" i="3"/>
  <c r="Z45" i="3"/>
  <c r="W47" i="3"/>
  <c r="W46" i="3"/>
  <c r="W45" i="3"/>
  <c r="N8" i="3"/>
  <c r="P8" i="3" s="1"/>
  <c r="M8" i="3"/>
  <c r="O8" i="3" s="1"/>
  <c r="K8" i="3"/>
  <c r="S8" i="3" s="1"/>
  <c r="J8" i="3"/>
  <c r="T8" i="3" s="1"/>
  <c r="U8" i="3" s="1"/>
  <c r="B8" i="3"/>
  <c r="B6" i="3"/>
  <c r="J6" i="3"/>
  <c r="T6" i="3" s="1"/>
  <c r="U6" i="3" s="1"/>
  <c r="K6" i="3"/>
  <c r="L6" i="3" s="1"/>
  <c r="M6" i="3"/>
  <c r="O6" i="3" s="1"/>
  <c r="N6" i="3"/>
  <c r="P6" i="3" s="1"/>
  <c r="S6" i="3" l="1"/>
  <c r="L8" i="3"/>
  <c r="V8" i="3"/>
  <c r="W8" i="3" s="1"/>
  <c r="Y8" i="3" s="1"/>
  <c r="Z8" i="3" s="1"/>
  <c r="AA8" i="3" s="1"/>
  <c r="V6" i="3"/>
  <c r="W6" i="3" s="1"/>
  <c r="P13" i="3" l="1"/>
  <c r="T13" i="3"/>
  <c r="U13" i="3" s="1"/>
  <c r="K2" i="3"/>
  <c r="S2" i="3" s="1"/>
  <c r="B2" i="3"/>
  <c r="T3" i="3"/>
  <c r="U3" i="3" s="1"/>
  <c r="T2" i="3"/>
  <c r="U2" i="3" s="1"/>
  <c r="B13" i="3"/>
  <c r="K13" i="3"/>
  <c r="L13" i="3" s="1"/>
  <c r="J11" i="3"/>
  <c r="T11" i="3" s="1"/>
  <c r="U11" i="3" s="1"/>
  <c r="B5" i="3"/>
  <c r="B7" i="3"/>
  <c r="B10" i="3"/>
  <c r="B11" i="3"/>
  <c r="B12" i="3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AD32" i="3"/>
  <c r="AD31" i="3"/>
  <c r="AD29" i="3"/>
  <c r="W34" i="3"/>
  <c r="AD28" i="3"/>
  <c r="AD27" i="3"/>
  <c r="AD26" i="3"/>
  <c r="AC5" i="3" s="1"/>
  <c r="AD5" i="3" s="1"/>
  <c r="N12" i="3"/>
  <c r="P12" i="3" s="1"/>
  <c r="M12" i="3"/>
  <c r="O12" i="3" s="1"/>
  <c r="K12" i="3"/>
  <c r="S12" i="3" s="1"/>
  <c r="J12" i="3"/>
  <c r="T12" i="3" s="1"/>
  <c r="U12" i="3" s="1"/>
  <c r="N11" i="3"/>
  <c r="P11" i="3" s="1"/>
  <c r="M11" i="3"/>
  <c r="O11" i="3" s="1"/>
  <c r="K11" i="3"/>
  <c r="S11" i="3" s="1"/>
  <c r="N10" i="3"/>
  <c r="P10" i="3" s="1"/>
  <c r="M10" i="3"/>
  <c r="O10" i="3" s="1"/>
  <c r="K10" i="3"/>
  <c r="S10" i="3" s="1"/>
  <c r="J10" i="3"/>
  <c r="T10" i="3" s="1"/>
  <c r="U10" i="3" s="1"/>
  <c r="N7" i="3"/>
  <c r="P7" i="3" s="1"/>
  <c r="M7" i="3"/>
  <c r="O7" i="3" s="1"/>
  <c r="K7" i="3"/>
  <c r="S7" i="3" s="1"/>
  <c r="J7" i="3"/>
  <c r="T7" i="3" s="1"/>
  <c r="U7" i="3" s="1"/>
  <c r="N5" i="3"/>
  <c r="P5" i="3" s="1"/>
  <c r="M5" i="3"/>
  <c r="O5" i="3" s="1"/>
  <c r="K5" i="3"/>
  <c r="L5" i="3" s="1"/>
  <c r="J5" i="3"/>
  <c r="T5" i="3" s="1"/>
  <c r="U5" i="3" s="1"/>
  <c r="N4" i="3"/>
  <c r="P4" i="3" s="1"/>
  <c r="M4" i="3"/>
  <c r="O4" i="3" s="1"/>
  <c r="K4" i="3"/>
  <c r="S4" i="3" s="1"/>
  <c r="J4" i="3"/>
  <c r="T4" i="3" s="1"/>
  <c r="U4" i="3" s="1"/>
  <c r="B4" i="3"/>
  <c r="T1" i="3"/>
  <c r="V10" i="3" l="1"/>
  <c r="W10" i="3" s="1"/>
  <c r="Y10" i="3" s="1"/>
  <c r="Z10" i="3" s="1"/>
  <c r="AA10" i="3" s="1"/>
  <c r="AC13" i="3"/>
  <c r="AD13" i="3" s="1"/>
  <c r="AD36" i="3"/>
  <c r="AD33" i="3"/>
  <c r="AD30" i="3"/>
  <c r="Q6" i="3"/>
  <c r="R8" i="3"/>
  <c r="Q8" i="3"/>
  <c r="R6" i="3"/>
  <c r="AC10" i="3"/>
  <c r="AD10" i="3" s="1"/>
  <c r="AC8" i="3"/>
  <c r="AD8" i="3" s="1"/>
  <c r="AC6" i="3"/>
  <c r="AD6" i="3" s="1"/>
  <c r="AC7" i="3"/>
  <c r="AD7" i="3" s="1"/>
  <c r="AE35" i="3"/>
  <c r="Q10" i="3"/>
  <c r="Q2" i="3"/>
  <c r="R13" i="3"/>
  <c r="AC12" i="3"/>
  <c r="AD12" i="3" s="1"/>
  <c r="R3" i="3"/>
  <c r="AC11" i="3"/>
  <c r="AD11" i="3" s="1"/>
  <c r="Q3" i="3"/>
  <c r="R2" i="3"/>
  <c r="L2" i="3"/>
  <c r="AC4" i="3"/>
  <c r="AD4" i="3" s="1"/>
  <c r="AC2" i="3"/>
  <c r="AD2" i="3" s="1"/>
  <c r="S13" i="3"/>
  <c r="L12" i="3"/>
  <c r="L11" i="3"/>
  <c r="L10" i="3"/>
  <c r="L4" i="3"/>
  <c r="L7" i="3"/>
  <c r="R4" i="3"/>
  <c r="R10" i="3"/>
  <c r="V7" i="3"/>
  <c r="W7" i="3" s="1"/>
  <c r="Y7" i="3" s="1"/>
  <c r="Z7" i="3" s="1"/>
  <c r="V11" i="3"/>
  <c r="W11" i="3" s="1"/>
  <c r="Y11" i="3" s="1"/>
  <c r="Z11" i="3" s="1"/>
  <c r="AA11" i="3" s="1"/>
  <c r="V5" i="3"/>
  <c r="W5" i="3" s="1"/>
  <c r="V12" i="3"/>
  <c r="W12" i="3" s="1"/>
  <c r="V4" i="3"/>
  <c r="W4" i="3" s="1"/>
  <c r="Q5" i="3"/>
  <c r="R7" i="3"/>
  <c r="Q11" i="3"/>
  <c r="Q7" i="3"/>
  <c r="R11" i="3"/>
  <c r="R12" i="3"/>
  <c r="S5" i="3"/>
  <c r="Q4" i="3"/>
  <c r="R5" i="3"/>
  <c r="Q12" i="3"/>
  <c r="AE33" i="3"/>
  <c r="B2" i="2"/>
  <c r="N3" i="2"/>
  <c r="P3" i="2" s="1"/>
  <c r="M3" i="2"/>
  <c r="O3" i="2" s="1"/>
  <c r="L3" i="2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W49" i="3" l="1"/>
  <c r="W48" i="3"/>
  <c r="AF33" i="3"/>
  <c r="AD35" i="3"/>
  <c r="Z38" i="3"/>
  <c r="Z40" i="3" s="1"/>
  <c r="AE36" i="3"/>
  <c r="AA7" i="3"/>
  <c r="Q3" i="2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Z41" i="3" l="1"/>
  <c r="AD34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AH22" i="2" s="1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E34" i="3" l="1"/>
  <c r="AF13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F9" i="3" l="1"/>
  <c r="AE9" i="3"/>
  <c r="AE4" i="3"/>
  <c r="AF2" i="3"/>
  <c r="AG2" i="3" s="1"/>
  <c r="AH2" i="3" s="1"/>
  <c r="AE11" i="3"/>
  <c r="AE8" i="3"/>
  <c r="AE10" i="3"/>
  <c r="AE13" i="3"/>
  <c r="AE7" i="3"/>
  <c r="AE12" i="3"/>
  <c r="AE2" i="3"/>
  <c r="AE6" i="3"/>
  <c r="AE5" i="3"/>
  <c r="AF6" i="3"/>
  <c r="AF8" i="3"/>
  <c r="AF10" i="3"/>
  <c r="AG10" i="3" s="1"/>
  <c r="AH10" i="3" s="1"/>
  <c r="AF4" i="3"/>
  <c r="AG4" i="3" s="1"/>
  <c r="AH4" i="3" s="1"/>
  <c r="AF11" i="3"/>
  <c r="AG11" i="3" s="1"/>
  <c r="AH11" i="3" s="1"/>
  <c r="C3" i="3"/>
  <c r="AC3" i="3" s="1"/>
  <c r="AD3" i="3" s="1"/>
  <c r="AF7" i="3"/>
  <c r="AG7" i="3" s="1"/>
  <c r="AH7" i="3" s="1"/>
  <c r="AF5" i="3"/>
  <c r="AG5" i="3" s="1"/>
  <c r="AH5" i="3" s="1"/>
  <c r="AF12" i="3"/>
  <c r="AG12" i="3" s="1"/>
  <c r="AH12" i="3" s="1"/>
  <c r="AG13" i="3"/>
  <c r="AH13" i="3" s="1"/>
  <c r="W51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I2" i="3" l="1"/>
  <c r="AI9" i="3"/>
  <c r="AG9" i="3"/>
  <c r="AH9" i="3" s="1"/>
  <c r="AI12" i="3"/>
  <c r="AF3" i="3"/>
  <c r="AG3" i="3" s="1"/>
  <c r="AH3" i="3" s="1"/>
  <c r="AE3" i="3"/>
  <c r="AI10" i="3"/>
  <c r="AI8" i="3"/>
  <c r="AG8" i="3"/>
  <c r="AH8" i="3" s="1"/>
  <c r="AG6" i="3"/>
  <c r="AH6" i="3" s="1"/>
  <c r="AI6" i="3"/>
  <c r="K3" i="3"/>
  <c r="S3" i="3" s="1"/>
  <c r="B3" i="3"/>
  <c r="AI11" i="3"/>
  <c r="AI5" i="3"/>
  <c r="AI4" i="3"/>
  <c r="AI7" i="3"/>
  <c r="O13" i="3"/>
  <c r="Q13" i="3" s="1"/>
  <c r="AI13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I3" i="3" l="1"/>
  <c r="L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U2" i="1" s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AF7" i="1" l="1"/>
  <c r="AF9" i="1"/>
  <c r="AF6" i="1"/>
  <c r="AF5" i="1"/>
  <c r="AF4" i="1"/>
  <c r="AI29" i="1"/>
  <c r="AF2" i="1" s="1"/>
  <c r="AD28" i="2"/>
  <c r="AH27" i="2" s="1"/>
  <c r="AI27" i="2"/>
  <c r="T2" i="2"/>
  <c r="AA35" i="2"/>
  <c r="U3" i="2" s="1"/>
  <c r="AA36" i="2"/>
  <c r="AH26" i="2" s="1"/>
  <c r="U5" i="1"/>
  <c r="U7" i="1"/>
  <c r="U3" i="1"/>
  <c r="U6" i="1"/>
  <c r="U8" i="1"/>
  <c r="U9" i="1"/>
  <c r="U4" i="1"/>
  <c r="AF3" i="1" l="1"/>
  <c r="AF8" i="1"/>
  <c r="AI26" i="2"/>
  <c r="U7" i="2"/>
  <c r="U8" i="2"/>
  <c r="U5" i="2"/>
  <c r="U9" i="2"/>
  <c r="U4" i="2"/>
  <c r="U6" i="2"/>
  <c r="U2" i="2"/>
</calcChain>
</file>

<file path=xl/sharedStrings.xml><?xml version="1.0" encoding="utf-8"?>
<sst xmlns="http://schemas.openxmlformats.org/spreadsheetml/2006/main" count="248" uniqueCount="89">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</sst>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E+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9706971560062"/>
          <c:y val="0.1632962962962963"/>
          <c:w val="0.79740543990220403"/>
          <c:h val="0.69817293671624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CalArduinoTurnigy!$J$4:$J$44</c:f>
              <c:numCache>
                <c:formatCode>0.0</c:formatCode>
                <c:ptCount val="41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  <c:pt idx="11">
                  <c:v>5.8512000000000004</c:v>
                </c:pt>
                <c:pt idx="12">
                  <c:v>7.7969999999999997</c:v>
                </c:pt>
                <c:pt idx="13">
                  <c:v>18.150000000000002</c:v>
                </c:pt>
                <c:pt idx="14">
                  <c:v>28.516800000000003</c:v>
                </c:pt>
                <c:pt idx="15">
                  <c:v>51.68</c:v>
                </c:pt>
                <c:pt idx="16">
                  <c:v>59.349000000000004</c:v>
                </c:pt>
                <c:pt idx="17">
                  <c:v>84.545999999999992</c:v>
                </c:pt>
                <c:pt idx="18">
                  <c:v>153.26999999999998</c:v>
                </c:pt>
                <c:pt idx="19">
                  <c:v>214.45920000000001</c:v>
                </c:pt>
              </c:numCache>
            </c:numRef>
          </c:xVal>
          <c:yVal>
            <c:numRef>
              <c:f>CalArduinoTurnigy!$Q$4:$Q$44</c:f>
              <c:numCache>
                <c:formatCode>0</c:formatCode>
                <c:ptCount val="41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  <c:pt idx="9">
                  <c:v>93.964640386803595</c:v>
                </c:pt>
                <c:pt idx="11">
                  <c:v>20.96861471861472</c:v>
                </c:pt>
                <c:pt idx="12">
                  <c:v>25.426509186351709</c:v>
                </c:pt>
                <c:pt idx="13">
                  <c:v>40.618448637316575</c:v>
                </c:pt>
                <c:pt idx="14">
                  <c:v>48.742138364779883</c:v>
                </c:pt>
                <c:pt idx="15">
                  <c:v>62.399355877616756</c:v>
                </c:pt>
                <c:pt idx="16">
                  <c:v>64.583333333333343</c:v>
                </c:pt>
                <c:pt idx="17">
                  <c:v>73.390151515151516</c:v>
                </c:pt>
                <c:pt idx="18">
                  <c:v>90.326340326340329</c:v>
                </c:pt>
                <c:pt idx="19">
                  <c:v>100.91145833333334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7952"/>
        <c:axId val="137646776"/>
      </c:scatterChart>
      <c:valAx>
        <c:axId val="1376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6776"/>
        <c:crosses val="autoZero"/>
        <c:crossBetween val="midCat"/>
      </c:valAx>
      <c:valAx>
        <c:axId val="1376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1400"/>
        <c:axId val="20915904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5520"/>
        <c:axId val="209160616"/>
      </c:scatterChart>
      <c:valAx>
        <c:axId val="20916140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9048"/>
        <c:crosses val="autoZero"/>
        <c:crossBetween val="midCat"/>
      </c:valAx>
      <c:valAx>
        <c:axId val="2091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1400"/>
        <c:crosses val="autoZero"/>
        <c:crossBetween val="midCat"/>
      </c:valAx>
      <c:valAx>
        <c:axId val="209160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5520"/>
        <c:crosses val="max"/>
        <c:crossBetween val="midCat"/>
      </c:valAx>
      <c:valAx>
        <c:axId val="20915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6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6696"/>
        <c:axId val="209158264"/>
      </c:scatterChart>
      <c:valAx>
        <c:axId val="2091566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9158264"/>
        <c:crosses val="autoZero"/>
        <c:crossBetween val="midCat"/>
      </c:valAx>
      <c:valAx>
        <c:axId val="209158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56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1008"/>
        <c:axId val="208967784"/>
      </c:scatterChart>
      <c:valAx>
        <c:axId val="20916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8967784"/>
        <c:crosses val="autoZero"/>
        <c:crossBetween val="midCat"/>
      </c:valAx>
      <c:valAx>
        <c:axId val="20896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6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1312"/>
        <c:axId val="208970920"/>
      </c:scatterChart>
      <c:valAx>
        <c:axId val="20897131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0920"/>
        <c:crosses val="autoZero"/>
        <c:crossBetween val="midCat"/>
      </c:valAx>
      <c:valAx>
        <c:axId val="2089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131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9352"/>
        <c:axId val="208963864"/>
      </c:scatterChart>
      <c:valAx>
        <c:axId val="2089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3864"/>
        <c:crosses val="autoZero"/>
        <c:crossBetween val="midCat"/>
      </c:valAx>
      <c:valAx>
        <c:axId val="2089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4648"/>
        <c:axId val="208968568"/>
      </c:scatterChart>
      <c:valAx>
        <c:axId val="20896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8568"/>
        <c:crosses val="autoZero"/>
        <c:crossBetween val="midCat"/>
      </c:valAx>
      <c:valAx>
        <c:axId val="2089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5040"/>
        <c:axId val="208967392"/>
      </c:scatterChart>
      <c:valAx>
        <c:axId val="2089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7392"/>
        <c:crosses val="autoZero"/>
        <c:crossBetween val="midCat"/>
      </c:valAx>
      <c:valAx>
        <c:axId val="208967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CalArduinoTurnigy!$O$5:$O$12</c:f>
              <c:numCache>
                <c:formatCode>0</c:formatCode>
                <c:ptCount val="8"/>
                <c:pt idx="0">
                  <c:v>6493.5064935064938</c:v>
                </c:pt>
                <c:pt idx="1">
                  <c:v>9202.4539877300613</c:v>
                </c:pt>
                <c:pt idx="2">
                  <c:v>11194.029850746268</c:v>
                </c:pt>
                <c:pt idx="3">
                  <c:v>13953.488372093025</c:v>
                </c:pt>
                <c:pt idx="4">
                  <c:v>14851.485148514852</c:v>
                </c:pt>
                <c:pt idx="5">
                  <c:v>16949.152542372882</c:v>
                </c:pt>
                <c:pt idx="6">
                  <c:v>20833.333333333332</c:v>
                </c:pt>
                <c:pt idx="7">
                  <c:v>23219.81424148607</c:v>
                </c:pt>
              </c:numCache>
            </c:numRef>
          </c:xVal>
          <c:yVal>
            <c:numRef>
              <c:f>CalArduinoTurnigy!$P$5:$P$12</c:f>
              <c:numCache>
                <c:formatCode>0</c:formatCode>
                <c:ptCount val="8"/>
                <c:pt idx="0">
                  <c:v>0.3</c:v>
                </c:pt>
                <c:pt idx="1">
                  <c:v>4680.1872074882995</c:v>
                </c:pt>
                <c:pt idx="2">
                  <c:v>6619.5939982347754</c:v>
                </c:pt>
                <c:pt idx="3">
                  <c:v>9433.962264150945</c:v>
                </c:pt>
                <c:pt idx="4">
                  <c:v>10526.315789473683</c:v>
                </c:pt>
                <c:pt idx="5">
                  <c:v>12500</c:v>
                </c:pt>
                <c:pt idx="6">
                  <c:v>16120.365394948954</c:v>
                </c:pt>
                <c:pt idx="7">
                  <c:v>18181.818181818184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7168"/>
        <c:axId val="137647560"/>
      </c:scatterChart>
      <c:valAx>
        <c:axId val="1376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7560"/>
        <c:crosses val="autoZero"/>
        <c:crossBetween val="midCat"/>
      </c:valAx>
      <c:valAx>
        <c:axId val="1376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CalArduinoTurnigy!$Q$4:$Q$12</c:f>
              <c:numCache>
                <c:formatCode>0</c:formatCode>
                <c:ptCount val="9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6384"/>
        <c:axId val="13765187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CalArduinoTurnigy!$T$4:$T$12</c:f>
              <c:numCache>
                <c:formatCode>General</c:formatCode>
                <c:ptCount val="9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0696"/>
        <c:axId val="137651088"/>
      </c:scatterChart>
      <c:valAx>
        <c:axId val="137646384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1872"/>
        <c:crossesAt val="-40"/>
        <c:crossBetween val="midCat"/>
        <c:majorUnit val="20"/>
      </c:valAx>
      <c:valAx>
        <c:axId val="1376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6384"/>
        <c:crosses val="autoZero"/>
        <c:crossBetween val="midCat"/>
      </c:valAx>
      <c:valAx>
        <c:axId val="137651088"/>
        <c:scaling>
          <c:orientation val="minMax"/>
          <c:max val="3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0696"/>
        <c:crosses val="max"/>
        <c:crossBetween val="midCat"/>
        <c:majorUnit val="40"/>
      </c:valAx>
      <c:valAx>
        <c:axId val="137650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65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CalArduinoTurnigy!$Q$4:$Q$12</c:f>
              <c:numCache>
                <c:formatCode>0</c:formatCode>
                <c:ptCount val="9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</c:numCache>
            </c:numRef>
          </c:xVal>
          <c:yVal>
            <c:numRef>
              <c:f>CalArduinoTurnigy!$T$4:$T$12</c:f>
              <c:numCache>
                <c:formatCode>General</c:formatCode>
                <c:ptCount val="9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1480"/>
        <c:axId val="137648736"/>
      </c:scatterChart>
      <c:valAx>
        <c:axId val="1376514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7648736"/>
        <c:crosses val="autoZero"/>
        <c:crossBetween val="midCat"/>
      </c:valAx>
      <c:valAx>
        <c:axId val="13764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651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CalArduinoTurnigy!$X$1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CalArduinoTurnigy!$Q$5:$Q$12</c:f>
              <c:numCache>
                <c:formatCode>0</c:formatCode>
                <c:ptCount val="8"/>
                <c:pt idx="0">
                  <c:v>27.958152958152958</c:v>
                </c:pt>
                <c:pt idx="1">
                  <c:v>39.621676891615543</c:v>
                </c:pt>
                <c:pt idx="2">
                  <c:v>48.196517412935322</c:v>
                </c:pt>
                <c:pt idx="3">
                  <c:v>60.077519379844965</c:v>
                </c:pt>
                <c:pt idx="4">
                  <c:v>63.943894389438952</c:v>
                </c:pt>
                <c:pt idx="5">
                  <c:v>72.975517890772139</c:v>
                </c:pt>
                <c:pt idx="6">
                  <c:v>89.699074074074076</c:v>
                </c:pt>
                <c:pt idx="7">
                  <c:v>99.974200206398365</c:v>
                </c:pt>
              </c:numCache>
            </c:numRef>
          </c:xVal>
          <c:yVal>
            <c:numRef>
              <c:f>CalArduinoTurnigy!$X$5:$X$12</c:f>
              <c:numCache>
                <c:formatCode>General</c:formatCode>
                <c:ptCount val="8"/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2656"/>
        <c:axId val="137649912"/>
      </c:scatterChart>
      <c:valAx>
        <c:axId val="13765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7649912"/>
        <c:crosses val="autoZero"/>
        <c:crossBetween val="midCat"/>
      </c:valAx>
      <c:valAx>
        <c:axId val="13764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5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CalArduinoTurnigy!$R$4:$R$12</c:f>
              <c:numCache>
                <c:formatCode>0</c:formatCode>
                <c:ptCount val="9"/>
                <c:pt idx="0">
                  <c:v>1.2916666666666669E-3</c:v>
                </c:pt>
                <c:pt idx="1">
                  <c:v>1.2916666666666669E-3</c:v>
                </c:pt>
                <c:pt idx="2">
                  <c:v>20.150806032241292</c:v>
                </c:pt>
                <c:pt idx="3">
                  <c:v>28.50102971462195</c:v>
                </c:pt>
                <c:pt idx="4">
                  <c:v>40.618448637316575</c:v>
                </c:pt>
                <c:pt idx="5">
                  <c:v>45.321637426900587</c:v>
                </c:pt>
                <c:pt idx="6">
                  <c:v>53.81944444444445</c:v>
                </c:pt>
                <c:pt idx="7">
                  <c:v>69.407128783808005</c:v>
                </c:pt>
                <c:pt idx="8">
                  <c:v>78.282828282828305</c:v>
                </c:pt>
              </c:numCache>
            </c:numRef>
          </c:xVal>
          <c:yVal>
            <c:numRef>
              <c:f>CalArduinoTurnigy!#REF!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CalArduinoTurnigy!#REF!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3048"/>
        <c:axId val="137653440"/>
      </c:scatterChart>
      <c:valAx>
        <c:axId val="13765304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3440"/>
        <c:crosses val="autoZero"/>
        <c:crossBetween val="midCat"/>
      </c:valAx>
      <c:valAx>
        <c:axId val="1376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304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CalArduinoTurnigy!$O$4:$O$12</c:f>
              <c:numCache>
                <c:formatCode>0</c:formatCode>
                <c:ptCount val="9"/>
                <c:pt idx="0">
                  <c:v>4477.6119402985078</c:v>
                </c:pt>
                <c:pt idx="1">
                  <c:v>6493.5064935064938</c:v>
                </c:pt>
                <c:pt idx="2">
                  <c:v>9202.4539877300613</c:v>
                </c:pt>
                <c:pt idx="3">
                  <c:v>11194.029850746268</c:v>
                </c:pt>
                <c:pt idx="4">
                  <c:v>13953.488372093025</c:v>
                </c:pt>
                <c:pt idx="5">
                  <c:v>14851.485148514852</c:v>
                </c:pt>
                <c:pt idx="6">
                  <c:v>16949.152542372882</c:v>
                </c:pt>
                <c:pt idx="7">
                  <c:v>20833.333333333332</c:v>
                </c:pt>
                <c:pt idx="8">
                  <c:v>23219.81424148607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CalArduinoTurnigy!$AE$1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CalArduinoTurnigy!$C$4:$C$12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CalArduinoTurnigy!$AE$4:$AE$12</c:f>
              <c:numCache>
                <c:formatCode>0.00</c:formatCode>
                <c:ptCount val="9"/>
                <c:pt idx="0">
                  <c:v>3219.6332251576841</c:v>
                </c:pt>
                <c:pt idx="1">
                  <c:v>6120.723046429528</c:v>
                </c:pt>
                <c:pt idx="2">
                  <c:v>10028.176967432357</c:v>
                </c:pt>
                <c:pt idx="3">
                  <c:v>12038.723757973157</c:v>
                </c:pt>
                <c:pt idx="4">
                  <c:v>14629.860093054345</c:v>
                </c:pt>
                <c:pt idx="5">
                  <c:v>15645.070044921804</c:v>
                </c:pt>
                <c:pt idx="6">
                  <c:v>17615.468608096002</c:v>
                </c:pt>
                <c:pt idx="7">
                  <c:v>20573.100005910928</c:v>
                </c:pt>
                <c:pt idx="8">
                  <c:v>21304.120161105675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7088"/>
        <c:axId val="209156304"/>
      </c:scatterChart>
      <c:valAx>
        <c:axId val="2091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6304"/>
        <c:crosses val="autoZero"/>
        <c:crossBetween val="midCat"/>
      </c:valAx>
      <c:valAx>
        <c:axId val="209156304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2576"/>
        <c:axId val="209158656"/>
      </c:scatterChart>
      <c:valAx>
        <c:axId val="2091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8656"/>
        <c:crosses val="autoZero"/>
        <c:crossBetween val="midCat"/>
      </c:valAx>
      <c:valAx>
        <c:axId val="2091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1792"/>
        <c:axId val="209157872"/>
      </c:scatterChart>
      <c:valAx>
        <c:axId val="2091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7872"/>
        <c:crosses val="autoZero"/>
        <c:crossBetween val="midCat"/>
      </c:valAx>
      <c:valAx>
        <c:axId val="2091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38100</xdr:rowOff>
    </xdr:from>
    <xdr:to>
      <xdr:col>9</xdr:col>
      <xdr:colOff>411480</xdr:colOff>
      <xdr:row>41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15240</xdr:rowOff>
    </xdr:from>
    <xdr:to>
      <xdr:col>5</xdr:col>
      <xdr:colOff>190500</xdr:colOff>
      <xdr:row>60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217170</xdr:colOff>
      <xdr:row>23</xdr:row>
      <xdr:rowOff>144780</xdr:rowOff>
    </xdr:from>
    <xdr:to>
      <xdr:col>18</xdr:col>
      <xdr:colOff>228600</xdr:colOff>
      <xdr:row>36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272415</xdr:colOff>
      <xdr:row>41</xdr:row>
      <xdr:rowOff>146691</xdr:rowOff>
    </xdr:from>
    <xdr:to>
      <xdr:col>13</xdr:col>
      <xdr:colOff>251460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634365</xdr:colOff>
      <xdr:row>0</xdr:row>
      <xdr:rowOff>510541</xdr:rowOff>
    </xdr:from>
    <xdr:to>
      <xdr:col>41</xdr:col>
      <xdr:colOff>7620</xdr:colOff>
      <xdr:row>23</xdr:row>
      <xdr:rowOff>144781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60</xdr:row>
      <xdr:rowOff>114300</xdr:rowOff>
    </xdr:from>
    <xdr:to>
      <xdr:col>4</xdr:col>
      <xdr:colOff>373380</xdr:colOff>
      <xdr:row>71</xdr:row>
      <xdr:rowOff>99060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7620</xdr:colOff>
      <xdr:row>39</xdr:row>
      <xdr:rowOff>144786</xdr:rowOff>
    </xdr:from>
    <xdr:to>
      <xdr:col>20</xdr:col>
      <xdr:colOff>137160</xdr:colOff>
      <xdr:row>55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workbookViewId="0">
      <pane ySplit="1" topLeftCell="A12" activePane="bottomLeft" state="frozen"/>
      <selection pane="bottomLeft" activeCell="H19" sqref="H19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7773437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7" max="37" width="9.6640625" customWidth="1"/>
  </cols>
  <sheetData>
    <row r="1" spans="1:35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3" si="0">J1</f>
        <v>Charger Pwr, W</v>
      </c>
      <c r="U1" s="4" t="s">
        <v>58</v>
      </c>
      <c r="V1" s="4" t="s">
        <v>59</v>
      </c>
      <c r="W1" s="4" t="s">
        <v>60</v>
      </c>
      <c r="X1" s="4" t="s">
        <v>61</v>
      </c>
      <c r="Y1" s="4" t="s">
        <v>62</v>
      </c>
      <c r="Z1" s="4" t="s">
        <v>63</v>
      </c>
      <c r="AA1" s="4" t="s">
        <v>64</v>
      </c>
      <c r="AB1" s="4"/>
      <c r="AC1" s="4" t="s">
        <v>87</v>
      </c>
      <c r="AD1" s="4" t="s">
        <v>83</v>
      </c>
      <c r="AE1" s="4" t="s">
        <v>88</v>
      </c>
      <c r="AF1" s="4" t="s">
        <v>84</v>
      </c>
      <c r="AG1" s="4" t="s">
        <v>85</v>
      </c>
      <c r="AH1" s="4" t="s">
        <v>82</v>
      </c>
      <c r="AI1" s="4" t="s">
        <v>81</v>
      </c>
    </row>
    <row r="2" spans="1:35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3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Q13" si="4">O2/$W$34*100</f>
        <v>0</v>
      </c>
      <c r="R2" s="3">
        <f t="shared" ref="R2:R13" si="5">P2/$W$34*100</f>
        <v>0</v>
      </c>
      <c r="S2" s="3">
        <f t="shared" ref="S2:S13" si="6">K2</f>
        <v>1E-3</v>
      </c>
      <c r="T2" s="4">
        <f t="shared" si="0"/>
        <v>0</v>
      </c>
      <c r="U2">
        <f t="shared" ref="U2:U3" si="7">T2*0.001341022</f>
        <v>0</v>
      </c>
      <c r="X2" s="4"/>
      <c r="Y2" s="4"/>
      <c r="Z2" s="4"/>
      <c r="AA2" s="4"/>
      <c r="AB2" s="97"/>
      <c r="AC2" s="95">
        <f t="shared" ref="AC2:AC13" si="8">C2/$AD$31*$AD$26</f>
        <v>2.7777777777777779E-5</v>
      </c>
      <c r="AD2" s="95">
        <f t="shared" ref="AD2:AD13" si="9">AC2/$AD$26*$AD$31</f>
        <v>1E-3</v>
      </c>
      <c r="AE2" s="96">
        <f t="shared" ref="AE2:AE13" si="10">MAX(($AD$34+$AE$34*LN($AD2)),0)</f>
        <v>0</v>
      </c>
      <c r="AF2" s="96">
        <f>MAX(($AD$34+$AE$34*LN($AD2))/$AD$30,0)</f>
        <v>0</v>
      </c>
      <c r="AG2" s="96">
        <f t="shared" ref="AG2:AG13" si="11">($AD$35+$AE$35*AF2*$AD$30)/$AD$30</f>
        <v>-22.00681542170738</v>
      </c>
      <c r="AH2" s="96">
        <f t="shared" ref="AH2:AH13" si="12">($AD$36+$AE$36*AG2*$AD$30)/$AD$30</f>
        <v>0.5898040793543039</v>
      </c>
      <c r="AI2">
        <f t="shared" ref="AI2:AI13" si="13">MAX(($AD$35+$AE$35*AF2*$AD$30)/$AD$30, 0)</f>
        <v>0</v>
      </c>
    </row>
    <row r="3" spans="1:35" x14ac:dyDescent="0.3">
      <c r="B3" s="113">
        <f>C3/180+1</f>
        <v>1.0259305748773628</v>
      </c>
      <c r="C3" s="111">
        <f>EXP((0-$AD$34)/$AE$34)</f>
        <v>4.6675034779253295</v>
      </c>
      <c r="D3" s="110"/>
      <c r="E3" s="110"/>
      <c r="F3" s="110"/>
      <c r="G3" s="110"/>
      <c r="H3" s="110"/>
      <c r="I3" s="114"/>
      <c r="J3" s="4"/>
      <c r="K3" s="1">
        <f>C3</f>
        <v>4.6675034779253295</v>
      </c>
      <c r="L3" s="1">
        <f t="shared" si="3"/>
        <v>1.5406243415701164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5"/>
        <v>0</v>
      </c>
      <c r="S3" s="3">
        <f t="shared" si="6"/>
        <v>4.6675034779253295</v>
      </c>
      <c r="T3" s="4">
        <f t="shared" si="0"/>
        <v>0</v>
      </c>
      <c r="U3">
        <f t="shared" si="7"/>
        <v>0</v>
      </c>
      <c r="X3" s="4"/>
      <c r="Y3" s="4"/>
      <c r="Z3" s="4"/>
      <c r="AA3" s="4"/>
      <c r="AB3" s="97"/>
      <c r="AC3" s="95">
        <f t="shared" si="8"/>
        <v>0.12965287438681469</v>
      </c>
      <c r="AD3" s="95">
        <f t="shared" si="9"/>
        <v>4.6675034779253286</v>
      </c>
      <c r="AE3" s="96">
        <f t="shared" si="10"/>
        <v>0</v>
      </c>
      <c r="AF3" s="96">
        <f t="shared" ref="AF3:AF13" si="14">MAX(($AD$34+$AE$34*LN(AD3))/$AD$30,0)</f>
        <v>0</v>
      </c>
      <c r="AG3" s="96">
        <f t="shared" si="11"/>
        <v>-22.00681542170738</v>
      </c>
      <c r="AH3" s="96">
        <f t="shared" si="12"/>
        <v>0.5898040793543039</v>
      </c>
      <c r="AI3">
        <f t="shared" si="13"/>
        <v>0</v>
      </c>
    </row>
    <row r="4" spans="1:3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2" si="15">1/G4/0.000001</f>
        <v>149.25373134328359</v>
      </c>
      <c r="N4" s="3">
        <f t="shared" si="15"/>
        <v>0.01</v>
      </c>
      <c r="O4" s="3">
        <f t="shared" ref="O4:O12" si="16">M4*60/$W$26</f>
        <v>4477.6119402985078</v>
      </c>
      <c r="P4" s="3">
        <f t="shared" ref="P4:P12" si="17">N4*60/$W$26</f>
        <v>0.3</v>
      </c>
      <c r="Q4" s="3">
        <f t="shared" si="4"/>
        <v>19.278606965174134</v>
      </c>
      <c r="R4" s="3">
        <f t="shared" si="5"/>
        <v>1.2916666666666669E-3</v>
      </c>
      <c r="S4" s="3">
        <f t="shared" si="6"/>
        <v>8</v>
      </c>
      <c r="T4" s="4">
        <f t="shared" si="0"/>
        <v>5.9340000000000002</v>
      </c>
      <c r="U4">
        <f>T4*0.001341022</f>
        <v>7.9576245480000012E-3</v>
      </c>
      <c r="V4">
        <f t="shared" ref="V4:V12" si="18">U4/O4*5252</f>
        <v>9.3338691881614411E-3</v>
      </c>
      <c r="W4">
        <f t="shared" ref="W4:W12" si="19">-V4/2/O4</f>
        <v>-1.0422820593446941E-6</v>
      </c>
      <c r="X4" s="4"/>
      <c r="Y4" s="4"/>
      <c r="Z4" s="4"/>
      <c r="AA4" s="4"/>
      <c r="AB4" s="97"/>
      <c r="AC4" s="95">
        <f t="shared" si="8"/>
        <v>0.22222222222222224</v>
      </c>
      <c r="AD4" s="95">
        <f t="shared" si="9"/>
        <v>8</v>
      </c>
      <c r="AE4" s="96">
        <f t="shared" si="10"/>
        <v>3219.6332251576841</v>
      </c>
      <c r="AF4" s="96">
        <f t="shared" si="14"/>
        <v>13.862309719428918</v>
      </c>
      <c r="AG4" s="96">
        <f t="shared" si="11"/>
        <v>-7.8139709144491221</v>
      </c>
      <c r="AH4" s="96">
        <f t="shared" si="12"/>
        <v>14.311073214556124</v>
      </c>
      <c r="AI4">
        <f t="shared" si="13"/>
        <v>0</v>
      </c>
    </row>
    <row r="5" spans="1:35" ht="15" customHeight="1" x14ac:dyDescent="0.3">
      <c r="B5" s="113">
        <f t="shared" ref="B5:B23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3" si="21">LN(K5)</f>
        <v>2.5649493574615367</v>
      </c>
      <c r="M5" s="3">
        <f t="shared" si="15"/>
        <v>216.45021645021646</v>
      </c>
      <c r="N5" s="3">
        <f t="shared" si="15"/>
        <v>0.01</v>
      </c>
      <c r="O5" s="3">
        <f t="shared" si="16"/>
        <v>6493.5064935064938</v>
      </c>
      <c r="P5" s="3">
        <f t="shared" si="17"/>
        <v>0.3</v>
      </c>
      <c r="Q5" s="3">
        <f t="shared" si="4"/>
        <v>27.958152958152958</v>
      </c>
      <c r="R5" s="3">
        <f t="shared" si="5"/>
        <v>1.2916666666666669E-3</v>
      </c>
      <c r="S5" s="3">
        <f t="shared" si="6"/>
        <v>13</v>
      </c>
      <c r="T5" s="4">
        <f t="shared" si="0"/>
        <v>7.3968000000000007</v>
      </c>
      <c r="U5">
        <f>T5*0.001341022</f>
        <v>9.9192715296000013E-3</v>
      </c>
      <c r="V5">
        <f t="shared" si="18"/>
        <v>8.022786167312718E-3</v>
      </c>
      <c r="W5">
        <f t="shared" si="19"/>
        <v>-6.1775453488307925E-7</v>
      </c>
      <c r="AB5" s="97"/>
      <c r="AC5" s="95">
        <f t="shared" si="8"/>
        <v>0.36111111111111105</v>
      </c>
      <c r="AD5" s="95">
        <f t="shared" si="9"/>
        <v>12.999999999999998</v>
      </c>
      <c r="AE5" s="96">
        <f t="shared" si="10"/>
        <v>6120.723046429528</v>
      </c>
      <c r="AF5" s="96">
        <f t="shared" si="14"/>
        <v>26.353113116571581</v>
      </c>
      <c r="AG5" s="96">
        <f t="shared" si="11"/>
        <v>4.9746648882778732</v>
      </c>
      <c r="AH5" s="96">
        <f t="shared" si="12"/>
        <v>26.674790271524927</v>
      </c>
      <c r="AI5">
        <f t="shared" si="13"/>
        <v>4.9746648882778732</v>
      </c>
    </row>
    <row r="6" spans="1:35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 t="shared" ref="K6" si="22">C6</f>
        <v>25</v>
      </c>
      <c r="L6" s="1">
        <f t="shared" ref="L6" si="23">LN(K6)</f>
        <v>3.2188758248682006</v>
      </c>
      <c r="M6" s="3">
        <f t="shared" ref="M6" si="24">1/G6/0.000001</f>
        <v>306.74846625766872</v>
      </c>
      <c r="N6" s="3">
        <f t="shared" ref="N6" si="25">1/H6/0.000001</f>
        <v>156.00624024960999</v>
      </c>
      <c r="O6" s="3">
        <f t="shared" si="16"/>
        <v>9202.4539877300613</v>
      </c>
      <c r="P6" s="3">
        <f t="shared" si="17"/>
        <v>4680.1872074882995</v>
      </c>
      <c r="Q6" s="3">
        <f t="shared" si="4"/>
        <v>39.621676891615543</v>
      </c>
      <c r="R6" s="3">
        <f t="shared" si="5"/>
        <v>20.150806032241292</v>
      </c>
      <c r="S6" s="3">
        <f t="shared" si="6"/>
        <v>25</v>
      </c>
      <c r="T6" s="4">
        <f t="shared" si="0"/>
        <v>20.3796</v>
      </c>
      <c r="U6">
        <f>T6*0.001341022</f>
        <v>2.7329491951200002E-2</v>
      </c>
      <c r="V6">
        <f t="shared" si="18"/>
        <v>1.5597414767743662E-2</v>
      </c>
      <c r="W6">
        <f t="shared" si="19"/>
        <v>-8.4745953571407239E-7</v>
      </c>
      <c r="AB6" s="97"/>
      <c r="AC6" s="95">
        <f t="shared" si="8"/>
        <v>0.69444444444444442</v>
      </c>
      <c r="AD6" s="95">
        <f t="shared" si="9"/>
        <v>25</v>
      </c>
      <c r="AE6" s="96">
        <f t="shared" si="10"/>
        <v>10028.176967432357</v>
      </c>
      <c r="AF6" s="96">
        <f t="shared" si="14"/>
        <v>43.176873054222646</v>
      </c>
      <c r="AG6" s="96">
        <f t="shared" si="11"/>
        <v>22.199572833298117</v>
      </c>
      <c r="AH6" s="96">
        <f t="shared" si="12"/>
        <v>43.327378667165426</v>
      </c>
      <c r="AI6">
        <f t="shared" si="13"/>
        <v>22.199572833298117</v>
      </c>
    </row>
    <row r="7" spans="1:35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2" si="26">E7*F7</f>
        <v>29.981099999999998</v>
      </c>
      <c r="K7" s="1">
        <f t="shared" si="2"/>
        <v>35</v>
      </c>
      <c r="L7" s="1">
        <f t="shared" si="21"/>
        <v>3.5553480614894135</v>
      </c>
      <c r="M7" s="3">
        <f t="shared" si="15"/>
        <v>373.13432835820896</v>
      </c>
      <c r="N7" s="3">
        <f t="shared" si="15"/>
        <v>220.65313327449252</v>
      </c>
      <c r="O7" s="3">
        <f t="shared" si="16"/>
        <v>11194.029850746268</v>
      </c>
      <c r="P7" s="3">
        <f t="shared" si="17"/>
        <v>6619.5939982347754</v>
      </c>
      <c r="Q7" s="3">
        <f t="shared" si="4"/>
        <v>48.196517412935322</v>
      </c>
      <c r="R7" s="3">
        <f t="shared" si="5"/>
        <v>28.50102971462195</v>
      </c>
      <c r="S7" s="3">
        <f t="shared" si="6"/>
        <v>35</v>
      </c>
      <c r="T7" s="4">
        <f t="shared" si="0"/>
        <v>29.981099999999998</v>
      </c>
      <c r="U7">
        <f t="shared" ref="U7:U12" si="27">T7*0.001341022</f>
        <v>4.0205314684200001E-2</v>
      </c>
      <c r="V7">
        <f t="shared" si="18"/>
        <v>1.8863475936446713E-2</v>
      </c>
      <c r="W7">
        <f t="shared" si="19"/>
        <v>-8.4256859182795319E-7</v>
      </c>
      <c r="X7">
        <v>0.18</v>
      </c>
      <c r="Y7">
        <f t="shared" ref="Y7:Y11" si="28">-X7*W7</f>
        <v>1.5166234652903156E-7</v>
      </c>
      <c r="Z7">
        <f t="shared" ref="Z7:Z11" si="29">Y7/6.66*2048.5</f>
        <v>4.6648696225934108E-5</v>
      </c>
      <c r="AA7">
        <f t="shared" ref="AA7:AA11" si="30">Z7*144</f>
        <v>6.7174122565345114E-3</v>
      </c>
      <c r="AB7" s="97"/>
      <c r="AC7" s="95">
        <f t="shared" si="8"/>
        <v>0.97222222222222221</v>
      </c>
      <c r="AD7" s="95">
        <f t="shared" si="9"/>
        <v>35</v>
      </c>
      <c r="AE7" s="96">
        <f t="shared" si="10"/>
        <v>12038.723757973157</v>
      </c>
      <c r="AF7" s="96">
        <f t="shared" si="14"/>
        <v>51.833393957939982</v>
      </c>
      <c r="AG7" s="96">
        <f t="shared" si="11"/>
        <v>31.062500992239318</v>
      </c>
      <c r="AH7" s="96">
        <f t="shared" si="12"/>
        <v>51.895824726910469</v>
      </c>
      <c r="AI7">
        <f t="shared" si="13"/>
        <v>31.062500992239318</v>
      </c>
    </row>
    <row r="8" spans="1:35" ht="13.95" customHeight="1" x14ac:dyDescent="0.3">
      <c r="B8" s="113">
        <f t="shared" ref="B8:B9" si="31"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ref="J8:J9" si="32">E8*F8</f>
        <v>53.526600000000002</v>
      </c>
      <c r="K8" s="1">
        <f t="shared" ref="K8:K9" si="33">C8</f>
        <v>54</v>
      </c>
      <c r="L8" s="1">
        <f t="shared" ref="L8:L9" si="34">LN(K8)</f>
        <v>3.9889840465642745</v>
      </c>
      <c r="M8" s="3">
        <f t="shared" ref="M8:M9" si="35">1/G8/0.000001</f>
        <v>465.11627906976747</v>
      </c>
      <c r="N8" s="3">
        <f t="shared" ref="N8:N9" si="36">1/H8/0.000001</f>
        <v>314.46540880503147</v>
      </c>
      <c r="O8" s="3">
        <f t="shared" si="16"/>
        <v>13953.488372093025</v>
      </c>
      <c r="P8" s="3">
        <f t="shared" si="17"/>
        <v>9433.962264150945</v>
      </c>
      <c r="Q8" s="3">
        <f t="shared" si="4"/>
        <v>60.077519379844965</v>
      </c>
      <c r="R8" s="3">
        <f t="shared" si="5"/>
        <v>40.618448637316575</v>
      </c>
      <c r="S8" s="3">
        <f t="shared" si="6"/>
        <v>54</v>
      </c>
      <c r="T8" s="4">
        <f t="shared" si="0"/>
        <v>53.526600000000002</v>
      </c>
      <c r="U8">
        <f t="shared" ref="U8:U9" si="37">T8*0.001341022</f>
        <v>7.1780348185200002E-2</v>
      </c>
      <c r="V8">
        <f t="shared" si="18"/>
        <v>2.7017644521254706E-2</v>
      </c>
      <c r="W8">
        <f t="shared" si="19"/>
        <v>-9.6813226201162682E-7</v>
      </c>
      <c r="X8">
        <v>0.18</v>
      </c>
      <c r="Y8">
        <f t="shared" ref="Y8:Y9" si="38">-X8*W8</f>
        <v>1.7426380716209282E-7</v>
      </c>
      <c r="Z8">
        <f t="shared" ref="Z8:Z9" si="39">Y8/6.66*2048.5</f>
        <v>5.3600511857589661E-5</v>
      </c>
      <c r="AA8">
        <f t="shared" ref="AA8:AA9" si="40">Z8*144</f>
        <v>7.7184737074929115E-3</v>
      </c>
      <c r="AB8" s="97"/>
      <c r="AC8" s="95">
        <f t="shared" si="8"/>
        <v>1.5</v>
      </c>
      <c r="AD8" s="95">
        <f t="shared" si="9"/>
        <v>54</v>
      </c>
      <c r="AE8" s="96">
        <f t="shared" si="10"/>
        <v>14629.860093054345</v>
      </c>
      <c r="AF8" s="96">
        <f t="shared" si="14"/>
        <v>62.989675400650654</v>
      </c>
      <c r="AG8" s="96">
        <f t="shared" si="11"/>
        <v>42.484794318558556</v>
      </c>
      <c r="AH8" s="96">
        <f t="shared" si="12"/>
        <v>62.938597780014412</v>
      </c>
      <c r="AI8">
        <f t="shared" si="13"/>
        <v>42.484794318558556</v>
      </c>
    </row>
    <row r="9" spans="1:35" ht="13.95" customHeight="1" x14ac:dyDescent="0.3">
      <c r="B9" s="113">
        <f t="shared" si="31"/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 t="shared" si="32"/>
        <v>62.419400000000003</v>
      </c>
      <c r="K9" s="1">
        <f t="shared" si="33"/>
        <v>64</v>
      </c>
      <c r="L9" s="1">
        <f t="shared" si="34"/>
        <v>4.1588830833596715</v>
      </c>
      <c r="M9" s="3">
        <f t="shared" si="35"/>
        <v>495.04950495049508</v>
      </c>
      <c r="N9" s="3">
        <f t="shared" si="36"/>
        <v>350.87719298245611</v>
      </c>
      <c r="O9" s="3">
        <f t="shared" si="16"/>
        <v>14851.485148514852</v>
      </c>
      <c r="P9" s="3">
        <f t="shared" si="17"/>
        <v>10526.315789473683</v>
      </c>
      <c r="Q9" s="3">
        <f t="shared" si="4"/>
        <v>63.943894389438952</v>
      </c>
      <c r="R9" s="3">
        <f t="shared" si="5"/>
        <v>45.321637426900587</v>
      </c>
      <c r="S9" s="3">
        <f t="shared" si="6"/>
        <v>64</v>
      </c>
      <c r="T9" s="4">
        <f t="shared" si="0"/>
        <v>62.419400000000003</v>
      </c>
      <c r="U9">
        <f t="shared" si="37"/>
        <v>8.3705788626800004E-2</v>
      </c>
      <c r="V9">
        <f t="shared" si="18"/>
        <v>2.9601268659108879E-2</v>
      </c>
      <c r="W9">
        <f t="shared" si="19"/>
        <v>-9.9657604485666545E-7</v>
      </c>
      <c r="X9">
        <v>0.18</v>
      </c>
      <c r="Y9">
        <f t="shared" si="38"/>
        <v>1.7938368807419976E-7</v>
      </c>
      <c r="Z9">
        <f t="shared" si="39"/>
        <v>5.5175298051050779E-5</v>
      </c>
      <c r="AA9">
        <f t="shared" si="40"/>
        <v>7.945242919351312E-3</v>
      </c>
      <c r="AB9" s="97"/>
      <c r="AC9" s="95">
        <f t="shared" si="8"/>
        <v>1.7777777777777779</v>
      </c>
      <c r="AD9" s="95">
        <f t="shared" si="9"/>
        <v>64</v>
      </c>
      <c r="AE9" s="96">
        <f t="shared" si="10"/>
        <v>15645.070044921804</v>
      </c>
      <c r="AF9" s="96">
        <f t="shared" si="14"/>
        <v>67.36071824896888</v>
      </c>
      <c r="AG9" s="96">
        <f t="shared" si="11"/>
        <v>46.960060903736228</v>
      </c>
      <c r="AH9" s="96">
        <f t="shared" si="12"/>
        <v>67.265167921439911</v>
      </c>
      <c r="AI9">
        <f t="shared" si="13"/>
        <v>46.960060903736228</v>
      </c>
    </row>
    <row r="10" spans="1:35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2"/>
        <v>89</v>
      </c>
      <c r="L10" s="1">
        <f t="shared" si="21"/>
        <v>4.4886363697321396</v>
      </c>
      <c r="M10" s="3">
        <f t="shared" si="15"/>
        <v>564.9717514124294</v>
      </c>
      <c r="N10" s="3">
        <f t="shared" si="15"/>
        <v>416.66666666666669</v>
      </c>
      <c r="O10" s="3">
        <f t="shared" si="16"/>
        <v>16949.152542372882</v>
      </c>
      <c r="P10" s="3">
        <f t="shared" si="17"/>
        <v>12500</v>
      </c>
      <c r="Q10" s="3">
        <f t="shared" si="4"/>
        <v>72.975517890772139</v>
      </c>
      <c r="R10" s="3">
        <f t="shared" si="5"/>
        <v>53.81944444444445</v>
      </c>
      <c r="S10" s="3">
        <f t="shared" si="6"/>
        <v>89</v>
      </c>
      <c r="T10" s="4">
        <f t="shared" si="0"/>
        <v>88.904499999999999</v>
      </c>
      <c r="U10">
        <f t="shared" si="27"/>
        <v>0.11922289039900001</v>
      </c>
      <c r="V10">
        <f t="shared" si="18"/>
        <v>3.6943358602157333E-2</v>
      </c>
      <c r="W10">
        <f t="shared" si="19"/>
        <v>-1.0898290787636412E-6</v>
      </c>
      <c r="X10">
        <v>0.18</v>
      </c>
      <c r="Y10">
        <f t="shared" si="28"/>
        <v>1.961692341774554E-7</v>
      </c>
      <c r="Z10">
        <f t="shared" si="29"/>
        <v>6.0338239671549158E-5</v>
      </c>
      <c r="AA10">
        <f t="shared" si="30"/>
        <v>8.6887065127030788E-3</v>
      </c>
      <c r="AB10" s="97"/>
      <c r="AC10" s="95">
        <f t="shared" si="8"/>
        <v>2.4722222222222223</v>
      </c>
      <c r="AD10" s="95">
        <f t="shared" si="9"/>
        <v>89</v>
      </c>
      <c r="AE10" s="96">
        <f t="shared" si="10"/>
        <v>17615.468608096002</v>
      </c>
      <c r="AF10" s="96">
        <f t="shared" si="14"/>
        <v>75.844378729302235</v>
      </c>
      <c r="AG10" s="96">
        <f t="shared" si="11"/>
        <v>55.646006931978896</v>
      </c>
      <c r="AH10" s="96">
        <f t="shared" si="12"/>
        <v>75.662512307648399</v>
      </c>
      <c r="AI10">
        <f t="shared" si="13"/>
        <v>55.646006931978896</v>
      </c>
    </row>
    <row r="11" spans="1:35" ht="13.95" customHeight="1" x14ac:dyDescent="0.3">
      <c r="B11" s="113">
        <f t="shared" si="20"/>
        <v>1.8111111111111111</v>
      </c>
      <c r="C11" s="73">
        <v>146</v>
      </c>
      <c r="D11" s="73">
        <v>2.35</v>
      </c>
      <c r="E11" s="73">
        <v>13.12</v>
      </c>
      <c r="F11" s="73">
        <v>12.89</v>
      </c>
      <c r="G11" s="73">
        <v>1440</v>
      </c>
      <c r="H11" s="73">
        <v>1861</v>
      </c>
      <c r="I11" s="78">
        <v>14.4</v>
      </c>
      <c r="J11" s="2">
        <f t="shared" si="26"/>
        <v>169.11679999999998</v>
      </c>
      <c r="K11" s="1">
        <f t="shared" si="2"/>
        <v>146</v>
      </c>
      <c r="L11" s="1">
        <f t="shared" si="21"/>
        <v>4.9836066217083363</v>
      </c>
      <c r="M11" s="3">
        <f t="shared" si="15"/>
        <v>694.44444444444446</v>
      </c>
      <c r="N11" s="3">
        <f t="shared" si="15"/>
        <v>537.34551316496515</v>
      </c>
      <c r="O11" s="3">
        <f t="shared" si="16"/>
        <v>20833.333333333332</v>
      </c>
      <c r="P11" s="3">
        <f t="shared" si="17"/>
        <v>16120.365394948954</v>
      </c>
      <c r="Q11" s="3">
        <f t="shared" si="4"/>
        <v>89.699074074074076</v>
      </c>
      <c r="R11" s="3">
        <f t="shared" si="5"/>
        <v>69.407128783808005</v>
      </c>
      <c r="S11" s="3">
        <f t="shared" si="6"/>
        <v>146</v>
      </c>
      <c r="T11" s="4">
        <f t="shared" si="0"/>
        <v>169.11679999999998</v>
      </c>
      <c r="U11">
        <f t="shared" si="27"/>
        <v>0.22678934936959999</v>
      </c>
      <c r="V11">
        <f t="shared" si="18"/>
        <v>5.717268781867868E-2</v>
      </c>
      <c r="W11">
        <f t="shared" si="19"/>
        <v>-1.3721445076482885E-6</v>
      </c>
      <c r="X11">
        <v>0.14000000000000001</v>
      </c>
      <c r="Y11">
        <f t="shared" si="28"/>
        <v>1.9210023107076041E-7</v>
      </c>
      <c r="Z11">
        <f t="shared" si="29"/>
        <v>5.9086685187455361E-5</v>
      </c>
      <c r="AA11">
        <f t="shared" si="30"/>
        <v>8.5084826669935727E-3</v>
      </c>
      <c r="AB11" s="97"/>
      <c r="AC11" s="95">
        <f t="shared" si="8"/>
        <v>4.0555555555555554</v>
      </c>
      <c r="AD11" s="95">
        <f t="shared" si="9"/>
        <v>146</v>
      </c>
      <c r="AE11" s="96">
        <f t="shared" si="10"/>
        <v>20573.100005910928</v>
      </c>
      <c r="AF11" s="96">
        <f t="shared" si="14"/>
        <v>88.578625025449838</v>
      </c>
      <c r="AG11" s="96">
        <f t="shared" si="11"/>
        <v>68.68389031912038</v>
      </c>
      <c r="AH11" s="96">
        <f t="shared" si="12"/>
        <v>88.267195379942819</v>
      </c>
      <c r="AI11">
        <f t="shared" si="13"/>
        <v>68.68389031912038</v>
      </c>
    </row>
    <row r="12" spans="1:35" ht="13.95" customHeight="1" x14ac:dyDescent="0.3">
      <c r="B12" s="113">
        <f t="shared" si="20"/>
        <v>1.9166666666666665</v>
      </c>
      <c r="C12" s="73">
        <v>165</v>
      </c>
      <c r="D12" s="73">
        <v>2.91</v>
      </c>
      <c r="E12" s="73">
        <v>12.75</v>
      </c>
      <c r="F12" s="73">
        <v>18.95</v>
      </c>
      <c r="G12" s="73">
        <v>1292</v>
      </c>
      <c r="H12" s="73">
        <v>1650</v>
      </c>
      <c r="I12" s="78">
        <v>15.8</v>
      </c>
      <c r="J12" s="2">
        <f t="shared" si="26"/>
        <v>241.61249999999998</v>
      </c>
      <c r="K12" s="1">
        <f t="shared" si="2"/>
        <v>165</v>
      </c>
      <c r="L12" s="1">
        <f t="shared" si="21"/>
        <v>5.1059454739005803</v>
      </c>
      <c r="M12" s="3">
        <f t="shared" si="15"/>
        <v>773.99380804953569</v>
      </c>
      <c r="N12" s="3">
        <f t="shared" si="15"/>
        <v>606.06060606060612</v>
      </c>
      <c r="O12" s="3">
        <f t="shared" si="16"/>
        <v>23219.81424148607</v>
      </c>
      <c r="P12" s="3">
        <f t="shared" si="17"/>
        <v>18181.818181818184</v>
      </c>
      <c r="Q12" s="3">
        <f t="shared" si="4"/>
        <v>99.974200206398365</v>
      </c>
      <c r="R12" s="3">
        <f t="shared" si="5"/>
        <v>78.282828282828305</v>
      </c>
      <c r="S12" s="3">
        <f t="shared" si="6"/>
        <v>165</v>
      </c>
      <c r="T12" s="4">
        <f t="shared" si="0"/>
        <v>241.61249999999998</v>
      </c>
      <c r="U12">
        <f t="shared" si="27"/>
        <v>0.32400767797500002</v>
      </c>
      <c r="V12">
        <f t="shared" si="18"/>
        <v>7.3286043851477078E-2</v>
      </c>
      <c r="W12">
        <f t="shared" si="19"/>
        <v>-1.5780928109351396E-6</v>
      </c>
      <c r="AB12" s="97"/>
      <c r="AC12" s="95">
        <f t="shared" si="8"/>
        <v>4.583333333333333</v>
      </c>
      <c r="AD12" s="95">
        <f t="shared" si="9"/>
        <v>165</v>
      </c>
      <c r="AE12" s="96">
        <f t="shared" si="10"/>
        <v>21304.120161105675</v>
      </c>
      <c r="AF12" s="96">
        <f t="shared" si="14"/>
        <v>91.726072915871654</v>
      </c>
      <c r="AG12" s="96">
        <f t="shared" si="11"/>
        <v>71.906386382734198</v>
      </c>
      <c r="AH12" s="96">
        <f t="shared" si="12"/>
        <v>91.382619899203988</v>
      </c>
      <c r="AI12">
        <f t="shared" si="13"/>
        <v>71.906386382734198</v>
      </c>
    </row>
    <row r="13" spans="1:35" ht="13.95" customHeight="1" thickBot="1" x14ac:dyDescent="0.35">
      <c r="B13" s="116">
        <f t="shared" si="20"/>
        <v>2</v>
      </c>
      <c r="C13" s="117">
        <v>180</v>
      </c>
      <c r="D13" s="117"/>
      <c r="E13" s="117"/>
      <c r="F13" s="117"/>
      <c r="G13" s="117"/>
      <c r="H13" s="117"/>
      <c r="I13" s="118"/>
      <c r="K13" s="1">
        <f t="shared" si="2"/>
        <v>180</v>
      </c>
      <c r="L13" s="1">
        <f t="shared" si="21"/>
        <v>5.1929568508902104</v>
      </c>
      <c r="O13" s="3">
        <f>AF13*$AD$30</f>
        <v>21824.045509193093</v>
      </c>
      <c r="P13" s="3">
        <f>N13*60/$W$26</f>
        <v>0</v>
      </c>
      <c r="Q13" s="3">
        <f t="shared" si="4"/>
        <v>93.964640386803595</v>
      </c>
      <c r="R13" s="3">
        <f t="shared" si="5"/>
        <v>0</v>
      </c>
      <c r="S13" s="1">
        <f t="shared" si="6"/>
        <v>180</v>
      </c>
      <c r="T13" s="4">
        <f t="shared" si="0"/>
        <v>0</v>
      </c>
      <c r="U13">
        <f t="shared" ref="U13" si="41">T13*0.001341022</f>
        <v>0</v>
      </c>
      <c r="AB13" s="97"/>
      <c r="AC13" s="95">
        <f t="shared" si="8"/>
        <v>5</v>
      </c>
      <c r="AD13" s="95">
        <f t="shared" si="9"/>
        <v>180</v>
      </c>
      <c r="AE13" s="96">
        <f t="shared" si="10"/>
        <v>21824.045509193093</v>
      </c>
      <c r="AF13" s="96">
        <f t="shared" si="14"/>
        <v>93.964640386803595</v>
      </c>
      <c r="AG13" s="96">
        <f t="shared" si="11"/>
        <v>74.198330559209566</v>
      </c>
      <c r="AH13" s="96">
        <f t="shared" si="12"/>
        <v>93.598411305373091</v>
      </c>
      <c r="AI13">
        <f t="shared" si="13"/>
        <v>74.198330559209566</v>
      </c>
    </row>
    <row r="14" spans="1:35" ht="13.95" customHeight="1" x14ac:dyDescent="0.3"/>
    <row r="15" spans="1:35" ht="13.95" customHeight="1" x14ac:dyDescent="0.3">
      <c r="B15" s="120">
        <f t="shared" si="20"/>
        <v>1.05</v>
      </c>
      <c r="C15" s="73">
        <v>9</v>
      </c>
      <c r="D15" s="119"/>
      <c r="E15" s="73">
        <v>13.8</v>
      </c>
      <c r="F15" s="73">
        <v>0.42399999999999999</v>
      </c>
      <c r="G15" s="73">
        <v>6160</v>
      </c>
      <c r="H15" s="119"/>
      <c r="I15" s="119"/>
      <c r="J15" s="2">
        <f t="shared" ref="J15" si="42">E15*F15</f>
        <v>5.8512000000000004</v>
      </c>
      <c r="K15" s="1">
        <f t="shared" ref="K15" si="43">C15</f>
        <v>9</v>
      </c>
      <c r="L15" s="1">
        <f t="shared" ref="L15" si="44">LN(K15)</f>
        <v>2.1972245773362196</v>
      </c>
      <c r="M15" s="3">
        <f t="shared" ref="M15" si="45">1/G15/0.000001</f>
        <v>162.33766233766235</v>
      </c>
      <c r="N15" s="3"/>
      <c r="O15" s="3">
        <f t="shared" ref="O15" si="46">M15*60/$W$26</f>
        <v>4870.1298701298701</v>
      </c>
      <c r="P15" s="3"/>
      <c r="Q15" s="3">
        <f t="shared" ref="Q15" si="47">O15/$W$34*100</f>
        <v>20.96861471861472</v>
      </c>
      <c r="R15" s="3"/>
      <c r="S15" s="3">
        <f t="shared" ref="S15" si="48">K15</f>
        <v>9</v>
      </c>
      <c r="T15" s="4">
        <f t="shared" ref="T15" si="49">J15</f>
        <v>5.8512000000000004</v>
      </c>
      <c r="U15">
        <f t="shared" ref="U15" si="50">T15*0.001341022</f>
        <v>7.8465879264000005E-3</v>
      </c>
      <c r="V15">
        <f t="shared" ref="V15" si="51">U15/O15*5252</f>
        <v>8.461844116767642E-3</v>
      </c>
      <c r="W15">
        <f t="shared" ref="W15" si="52">-V15/2/O15</f>
        <v>-8.6874932932147796E-7</v>
      </c>
      <c r="X15">
        <v>0.18</v>
      </c>
      <c r="Y15">
        <f t="shared" ref="Y15" si="53">-X15*W15</f>
        <v>1.5637487927786602E-7</v>
      </c>
      <c r="Z15">
        <f t="shared" ref="Z15" si="54">Y15/6.66*2048.5</f>
        <v>4.8098189219325605E-5</v>
      </c>
      <c r="AA15">
        <f t="shared" ref="AA15" si="55">Z15*144</f>
        <v>6.9261392475828869E-3</v>
      </c>
    </row>
    <row r="16" spans="1:35" ht="13.95" customHeight="1" x14ac:dyDescent="0.3">
      <c r="B16" s="120">
        <f t="shared" si="20"/>
        <v>1.0722222222222222</v>
      </c>
      <c r="C16" s="73">
        <v>13</v>
      </c>
      <c r="D16" s="119"/>
      <c r="E16" s="73">
        <v>13.8</v>
      </c>
      <c r="F16" s="73">
        <v>0.56499999999999995</v>
      </c>
      <c r="G16" s="73">
        <v>5080</v>
      </c>
      <c r="H16" s="119"/>
      <c r="I16" s="119"/>
      <c r="J16" s="2">
        <f t="shared" ref="J16:J24" si="56">E16*F16</f>
        <v>7.7969999999999997</v>
      </c>
      <c r="K16" s="1">
        <f t="shared" ref="K16:K24" si="57">C16</f>
        <v>13</v>
      </c>
      <c r="L16" s="1">
        <f t="shared" ref="L16:L24" si="58">LN(K16)</f>
        <v>2.5649493574615367</v>
      </c>
      <c r="M16" s="3">
        <f t="shared" ref="M16:M24" si="59">1/G16/0.000001</f>
        <v>196.85039370078741</v>
      </c>
      <c r="N16" s="3"/>
      <c r="O16" s="3">
        <f t="shared" ref="O16:O24" si="60">M16*60/$W$26</f>
        <v>5905.5118110236226</v>
      </c>
      <c r="P16" s="3"/>
      <c r="Q16" s="3">
        <f t="shared" ref="Q16:Q24" si="61">O16/$W$34*100</f>
        <v>25.426509186351709</v>
      </c>
      <c r="R16" s="3"/>
      <c r="S16" s="3">
        <f t="shared" ref="S16:S24" si="62">K16</f>
        <v>13</v>
      </c>
      <c r="T16" s="4">
        <f t="shared" ref="T16:T24" si="63">J16</f>
        <v>7.7969999999999997</v>
      </c>
      <c r="U16">
        <f t="shared" ref="U16:U24" si="64">T16*0.001341022</f>
        <v>1.0455948534E-2</v>
      </c>
      <c r="V16">
        <f t="shared" ref="V16:V24" si="65">U16/O16*5252</f>
        <v>9.2988793279628473E-3</v>
      </c>
      <c r="W16">
        <f t="shared" ref="W16:W24" si="66">-V16/2/O16</f>
        <v>-7.873051164341877E-7</v>
      </c>
      <c r="X16">
        <v>0.18</v>
      </c>
      <c r="Y16">
        <f t="shared" ref="Y16:Y24" si="67">-X16*W16</f>
        <v>1.4171492095815379E-7</v>
      </c>
      <c r="Z16">
        <f t="shared" ref="Z16:Z24" si="68">Y16/6.66*2048.5</f>
        <v>4.3589041378795503E-5</v>
      </c>
      <c r="AA16">
        <f t="shared" ref="AA16:AA24" si="69">Z16*144</f>
        <v>6.2768219585465522E-3</v>
      </c>
    </row>
    <row r="17" spans="1:32" ht="13.95" customHeight="1" x14ac:dyDescent="0.3">
      <c r="B17" s="120">
        <f t="shared" si="20"/>
        <v>1.1444444444444444</v>
      </c>
      <c r="C17" s="73">
        <v>26</v>
      </c>
      <c r="D17" s="119"/>
      <c r="E17" s="73">
        <v>13.75</v>
      </c>
      <c r="F17" s="73">
        <v>1.32</v>
      </c>
      <c r="G17" s="73">
        <v>3180</v>
      </c>
      <c r="H17" s="119"/>
      <c r="I17" s="119"/>
      <c r="J17" s="2">
        <f t="shared" si="56"/>
        <v>18.150000000000002</v>
      </c>
      <c r="K17" s="1">
        <f t="shared" si="57"/>
        <v>26</v>
      </c>
      <c r="L17" s="1">
        <f t="shared" si="58"/>
        <v>3.2580965380214821</v>
      </c>
      <c r="M17" s="3">
        <f t="shared" si="59"/>
        <v>314.46540880503147</v>
      </c>
      <c r="N17" s="3"/>
      <c r="O17" s="3">
        <f t="shared" si="60"/>
        <v>9433.962264150945</v>
      </c>
      <c r="P17" s="3"/>
      <c r="Q17" s="3">
        <f t="shared" si="61"/>
        <v>40.618448637316575</v>
      </c>
      <c r="R17" s="3"/>
      <c r="S17" s="3">
        <f t="shared" si="62"/>
        <v>26</v>
      </c>
      <c r="T17" s="4">
        <f t="shared" si="63"/>
        <v>18.150000000000002</v>
      </c>
      <c r="U17">
        <f t="shared" si="64"/>
        <v>2.4339549300000006E-2</v>
      </c>
      <c r="V17">
        <f t="shared" si="65"/>
        <v>1.3550119169901601E-2</v>
      </c>
      <c r="W17">
        <f t="shared" si="66"/>
        <v>-7.1815631600478467E-7</v>
      </c>
      <c r="X17">
        <v>0.18</v>
      </c>
      <c r="Y17">
        <f t="shared" si="67"/>
        <v>1.2926813688086123E-7</v>
      </c>
      <c r="Z17">
        <f t="shared" si="68"/>
        <v>3.9760627387454087E-5</v>
      </c>
      <c r="AA17">
        <f t="shared" si="69"/>
        <v>5.7255303437933882E-3</v>
      </c>
    </row>
    <row r="18" spans="1:32" ht="13.95" customHeight="1" x14ac:dyDescent="0.3">
      <c r="B18" s="120">
        <f t="shared" si="20"/>
        <v>1.2</v>
      </c>
      <c r="C18" s="73">
        <v>36</v>
      </c>
      <c r="D18" s="119"/>
      <c r="E18" s="73">
        <v>13.71</v>
      </c>
      <c r="F18" s="73">
        <v>2.08</v>
      </c>
      <c r="G18" s="73">
        <v>2650</v>
      </c>
      <c r="H18" s="119"/>
      <c r="I18" s="119"/>
      <c r="J18" s="2">
        <f t="shared" si="56"/>
        <v>28.516800000000003</v>
      </c>
      <c r="K18" s="1">
        <f t="shared" si="57"/>
        <v>36</v>
      </c>
      <c r="L18" s="1">
        <f t="shared" si="58"/>
        <v>3.5835189384561099</v>
      </c>
      <c r="M18" s="3">
        <f t="shared" si="59"/>
        <v>377.35849056603774</v>
      </c>
      <c r="N18" s="3"/>
      <c r="O18" s="3">
        <f t="shared" si="60"/>
        <v>11320.754716981133</v>
      </c>
      <c r="P18" s="3"/>
      <c r="Q18" s="3">
        <f t="shared" si="61"/>
        <v>48.742138364779883</v>
      </c>
      <c r="R18" s="3"/>
      <c r="S18" s="3">
        <f t="shared" si="62"/>
        <v>36</v>
      </c>
      <c r="T18" s="4">
        <f t="shared" si="63"/>
        <v>28.516800000000003</v>
      </c>
      <c r="U18">
        <f t="shared" si="64"/>
        <v>3.8241656169600007E-2</v>
      </c>
      <c r="V18">
        <f t="shared" si="65"/>
        <v>1.7741324074575297E-2</v>
      </c>
      <c r="W18">
        <f t="shared" si="66"/>
        <v>-7.8357514662707549E-7</v>
      </c>
      <c r="X18">
        <v>0.18</v>
      </c>
      <c r="Y18">
        <f t="shared" si="67"/>
        <v>1.4104352639287358E-7</v>
      </c>
      <c r="Z18">
        <f t="shared" si="68"/>
        <v>4.3382532104474698E-5</v>
      </c>
      <c r="AA18">
        <f t="shared" si="69"/>
        <v>6.2470846230443565E-3</v>
      </c>
    </row>
    <row r="19" spans="1:32" ht="13.95" customHeight="1" x14ac:dyDescent="0.3">
      <c r="B19" s="120">
        <f t="shared" si="20"/>
        <v>1.3111111111111111</v>
      </c>
      <c r="C19" s="73">
        <v>56</v>
      </c>
      <c r="D19" s="119"/>
      <c r="E19" s="73">
        <v>13.6</v>
      </c>
      <c r="F19" s="73">
        <v>3.8</v>
      </c>
      <c r="G19" s="73">
        <v>2070</v>
      </c>
      <c r="H19" s="119"/>
      <c r="I19" s="119"/>
      <c r="J19" s="2">
        <f t="shared" si="56"/>
        <v>51.68</v>
      </c>
      <c r="K19" s="1">
        <f t="shared" si="57"/>
        <v>56</v>
      </c>
      <c r="L19" s="1">
        <f t="shared" si="58"/>
        <v>4.0253516907351496</v>
      </c>
      <c r="M19" s="3">
        <f t="shared" si="59"/>
        <v>483.09178743961354</v>
      </c>
      <c r="N19" s="3"/>
      <c r="O19" s="3">
        <f t="shared" si="60"/>
        <v>14492.753623188406</v>
      </c>
      <c r="P19" s="3"/>
      <c r="Q19" s="3">
        <f t="shared" si="61"/>
        <v>62.399355877616756</v>
      </c>
      <c r="R19" s="3"/>
      <c r="S19" s="3">
        <f t="shared" si="62"/>
        <v>56</v>
      </c>
      <c r="T19" s="4">
        <f t="shared" si="63"/>
        <v>51.68</v>
      </c>
      <c r="U19">
        <f t="shared" si="64"/>
        <v>6.9304016960000006E-2</v>
      </c>
      <c r="V19">
        <f t="shared" si="65"/>
        <v>2.5114944098100479E-2</v>
      </c>
      <c r="W19">
        <f t="shared" si="66"/>
        <v>-8.6646557138446648E-7</v>
      </c>
      <c r="X19">
        <v>0.18</v>
      </c>
      <c r="Y19">
        <f t="shared" si="67"/>
        <v>1.5596380284920397E-7</v>
      </c>
      <c r="Z19">
        <f t="shared" si="68"/>
        <v>4.7971749269758907E-5</v>
      </c>
      <c r="AA19">
        <f t="shared" si="69"/>
        <v>6.9079318948452829E-3</v>
      </c>
    </row>
    <row r="20" spans="1:32" ht="13.95" customHeight="1" x14ac:dyDescent="0.3">
      <c r="B20" s="120">
        <f t="shared" si="20"/>
        <v>1.3555555555555556</v>
      </c>
      <c r="C20" s="73">
        <v>64</v>
      </c>
      <c r="D20" s="119"/>
      <c r="E20" s="73">
        <v>13.55</v>
      </c>
      <c r="F20" s="73">
        <v>4.38</v>
      </c>
      <c r="G20" s="73">
        <v>2000</v>
      </c>
      <c r="H20" s="119"/>
      <c r="I20" s="119"/>
      <c r="J20" s="2">
        <f t="shared" si="56"/>
        <v>59.349000000000004</v>
      </c>
      <c r="K20" s="1">
        <f t="shared" si="57"/>
        <v>64</v>
      </c>
      <c r="L20" s="1">
        <f t="shared" si="58"/>
        <v>4.1588830833596715</v>
      </c>
      <c r="M20" s="3">
        <f t="shared" si="59"/>
        <v>500.00000000000006</v>
      </c>
      <c r="N20" s="3"/>
      <c r="O20" s="3">
        <f t="shared" si="60"/>
        <v>15000.000000000002</v>
      </c>
      <c r="P20" s="3"/>
      <c r="Q20" s="3">
        <f t="shared" si="61"/>
        <v>64.583333333333343</v>
      </c>
      <c r="R20" s="3"/>
      <c r="S20" s="3">
        <f t="shared" si="62"/>
        <v>64</v>
      </c>
      <c r="T20" s="4">
        <f t="shared" si="63"/>
        <v>59.349000000000004</v>
      </c>
      <c r="U20">
        <f t="shared" si="64"/>
        <v>7.9588314678000011E-2</v>
      </c>
      <c r="V20">
        <f t="shared" si="65"/>
        <v>2.7866521912590401E-2</v>
      </c>
      <c r="W20">
        <f t="shared" si="66"/>
        <v>-9.2888406375301325E-7</v>
      </c>
      <c r="X20">
        <v>0.18</v>
      </c>
      <c r="Y20">
        <f t="shared" si="67"/>
        <v>1.6719913147554239E-7</v>
      </c>
      <c r="Z20">
        <f t="shared" si="68"/>
        <v>5.1427540664812096E-5</v>
      </c>
      <c r="AA20">
        <f t="shared" si="69"/>
        <v>7.4055658557329422E-3</v>
      </c>
    </row>
    <row r="21" spans="1:32" ht="13.95" customHeight="1" x14ac:dyDescent="0.3">
      <c r="B21" s="120">
        <f t="shared" si="20"/>
        <v>1.4944444444444445</v>
      </c>
      <c r="C21" s="73">
        <v>89</v>
      </c>
      <c r="D21" s="119"/>
      <c r="E21" s="73">
        <v>13.42</v>
      </c>
      <c r="F21" s="73">
        <v>6.3</v>
      </c>
      <c r="G21" s="73">
        <v>1760</v>
      </c>
      <c r="H21" s="119"/>
      <c r="I21" s="119"/>
      <c r="J21" s="2">
        <f t="shared" si="56"/>
        <v>84.545999999999992</v>
      </c>
      <c r="K21" s="1">
        <f t="shared" si="57"/>
        <v>89</v>
      </c>
      <c r="L21" s="1">
        <f t="shared" si="58"/>
        <v>4.4886363697321396</v>
      </c>
      <c r="M21" s="3">
        <f t="shared" si="59"/>
        <v>568.18181818181813</v>
      </c>
      <c r="N21" s="3"/>
      <c r="O21" s="3">
        <f t="shared" si="60"/>
        <v>17045.454545454544</v>
      </c>
      <c r="P21" s="3"/>
      <c r="Q21" s="3">
        <f t="shared" si="61"/>
        <v>73.390151515151516</v>
      </c>
      <c r="R21" s="3"/>
      <c r="S21" s="3">
        <f t="shared" si="62"/>
        <v>89</v>
      </c>
      <c r="T21" s="4">
        <f t="shared" si="63"/>
        <v>84.545999999999992</v>
      </c>
      <c r="U21">
        <f t="shared" si="64"/>
        <v>0.11337804601199999</v>
      </c>
      <c r="V21">
        <f t="shared" si="65"/>
        <v>3.4933741195761404E-2</v>
      </c>
      <c r="W21">
        <f t="shared" si="66"/>
        <v>-1.0247230750756679E-6</v>
      </c>
      <c r="X21">
        <v>0.18</v>
      </c>
      <c r="Y21">
        <f t="shared" si="67"/>
        <v>1.844501535136202E-7</v>
      </c>
      <c r="Z21">
        <f t="shared" si="68"/>
        <v>5.6733654575473117E-5</v>
      </c>
      <c r="AA21">
        <f t="shared" si="69"/>
        <v>8.1696462588681292E-3</v>
      </c>
    </row>
    <row r="22" spans="1:32" ht="13.95" customHeight="1" x14ac:dyDescent="0.3">
      <c r="B22" s="120">
        <f t="shared" si="20"/>
        <v>1.7944444444444443</v>
      </c>
      <c r="C22" s="73">
        <v>143</v>
      </c>
      <c r="D22" s="119"/>
      <c r="E22" s="73">
        <v>13.1</v>
      </c>
      <c r="F22" s="73">
        <v>11.7</v>
      </c>
      <c r="G22" s="73">
        <v>1430</v>
      </c>
      <c r="H22" s="119"/>
      <c r="I22" s="119"/>
      <c r="J22" s="2">
        <f t="shared" si="56"/>
        <v>153.26999999999998</v>
      </c>
      <c r="K22" s="1">
        <f t="shared" si="57"/>
        <v>143</v>
      </c>
      <c r="L22" s="1">
        <f t="shared" si="58"/>
        <v>4.962844630259907</v>
      </c>
      <c r="M22" s="3">
        <f t="shared" si="59"/>
        <v>699.30069930069931</v>
      </c>
      <c r="N22" s="3"/>
      <c r="O22" s="3">
        <f t="shared" si="60"/>
        <v>20979.020979020977</v>
      </c>
      <c r="P22" s="3"/>
      <c r="Q22" s="3">
        <f t="shared" si="61"/>
        <v>90.326340326340329</v>
      </c>
      <c r="R22" s="3"/>
      <c r="S22" s="3">
        <f t="shared" si="62"/>
        <v>143</v>
      </c>
      <c r="T22" s="4">
        <f t="shared" si="63"/>
        <v>153.26999999999998</v>
      </c>
      <c r="U22">
        <f t="shared" si="64"/>
        <v>0.20553844193999998</v>
      </c>
      <c r="V22">
        <f t="shared" si="65"/>
        <v>5.1455589760283277E-2</v>
      </c>
      <c r="W22">
        <f t="shared" si="66"/>
        <v>-1.226358222620085E-6</v>
      </c>
      <c r="X22">
        <v>0.18</v>
      </c>
      <c r="Y22">
        <f t="shared" si="67"/>
        <v>2.2074448007161529E-7</v>
      </c>
      <c r="Z22">
        <f t="shared" si="68"/>
        <v>6.7897157271276857E-5</v>
      </c>
      <c r="AA22">
        <f t="shared" si="69"/>
        <v>9.7771906470638676E-3</v>
      </c>
      <c r="AB22" s="97"/>
      <c r="AC22" s="97"/>
      <c r="AD22" s="97"/>
      <c r="AE22" s="97"/>
      <c r="AF22" s="97"/>
    </row>
    <row r="23" spans="1:32" ht="13.95" customHeight="1" x14ac:dyDescent="0.3">
      <c r="B23" s="120">
        <f t="shared" si="20"/>
        <v>1.9166666666666665</v>
      </c>
      <c r="C23" s="73">
        <v>165</v>
      </c>
      <c r="D23" s="119"/>
      <c r="E23" s="73">
        <v>12.72</v>
      </c>
      <c r="F23" s="73">
        <v>16.86</v>
      </c>
      <c r="G23" s="73">
        <v>1280</v>
      </c>
      <c r="H23" s="119"/>
      <c r="I23" s="119"/>
      <c r="J23" s="2">
        <f t="shared" si="56"/>
        <v>214.45920000000001</v>
      </c>
      <c r="K23" s="1">
        <f t="shared" si="57"/>
        <v>165</v>
      </c>
      <c r="L23" s="1">
        <f t="shared" si="58"/>
        <v>5.1059454739005803</v>
      </c>
      <c r="M23" s="3">
        <f t="shared" si="59"/>
        <v>781.25000000000011</v>
      </c>
      <c r="N23" s="3"/>
      <c r="O23" s="3">
        <f t="shared" si="60"/>
        <v>23437.500000000004</v>
      </c>
      <c r="P23" s="3"/>
      <c r="Q23" s="3">
        <f t="shared" si="61"/>
        <v>100.91145833333334</v>
      </c>
      <c r="R23" s="3"/>
      <c r="S23" s="3">
        <f t="shared" si="62"/>
        <v>165</v>
      </c>
      <c r="T23" s="4">
        <f t="shared" si="63"/>
        <v>214.45920000000001</v>
      </c>
      <c r="U23">
        <f t="shared" si="64"/>
        <v>0.28759450530240005</v>
      </c>
      <c r="V23">
        <f t="shared" si="65"/>
        <v>6.4445710585523411E-2</v>
      </c>
      <c r="W23">
        <f t="shared" si="66"/>
        <v>-1.3748418258244993E-6</v>
      </c>
      <c r="X23">
        <v>0.18</v>
      </c>
      <c r="Y23">
        <f t="shared" si="67"/>
        <v>2.4747152864840988E-7</v>
      </c>
      <c r="Z23">
        <f t="shared" si="68"/>
        <v>7.6117931897337472E-5</v>
      </c>
      <c r="AA23">
        <f t="shared" si="69"/>
        <v>1.0960982193216597E-2</v>
      </c>
    </row>
    <row r="24" spans="1:32" ht="13.95" customHeight="1" x14ac:dyDescent="0.3">
      <c r="B24" s="5"/>
      <c r="C24" s="6"/>
      <c r="D24" s="6"/>
      <c r="E24" s="6"/>
      <c r="F24" s="6"/>
      <c r="G24" s="6"/>
      <c r="H24" s="6"/>
      <c r="I24" s="6"/>
      <c r="J24" s="2"/>
      <c r="M24" s="3"/>
      <c r="N24" s="3"/>
      <c r="O24" s="3"/>
      <c r="P24" s="3"/>
      <c r="Q24" s="3"/>
      <c r="R24" s="3"/>
      <c r="S24" s="3"/>
      <c r="T24" s="4"/>
    </row>
    <row r="25" spans="1:32" ht="13.95" customHeight="1" thickBot="1" x14ac:dyDescent="0.35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3"/>
      <c r="V25" t="s">
        <v>44</v>
      </c>
      <c r="Y25" t="s">
        <v>45</v>
      </c>
      <c r="AB25" s="30"/>
      <c r="AC25" s="5" t="s">
        <v>74</v>
      </c>
      <c r="AD25" s="5"/>
      <c r="AE25" s="5"/>
      <c r="AF25" s="5"/>
    </row>
    <row r="26" spans="1:32" ht="13.95" customHeight="1" x14ac:dyDescent="0.3">
      <c r="A26" s="3" t="s">
        <v>40</v>
      </c>
      <c r="B26" s="11" t="s">
        <v>41</v>
      </c>
      <c r="C26" s="12"/>
      <c r="D26" s="12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s="17" t="s">
        <v>3</v>
      </c>
      <c r="W26" s="18">
        <v>2</v>
      </c>
      <c r="Y26" s="17"/>
      <c r="Z26" s="23" t="s">
        <v>32</v>
      </c>
      <c r="AA26" s="7"/>
      <c r="AB26" s="30"/>
      <c r="AC26" s="62" t="s">
        <v>24</v>
      </c>
      <c r="AD26" s="63">
        <f>W39</f>
        <v>5</v>
      </c>
      <c r="AE26" s="64"/>
      <c r="AF26" s="29"/>
    </row>
    <row r="27" spans="1:32" x14ac:dyDescent="0.3">
      <c r="A27" s="3"/>
      <c r="B27" s="13" t="s">
        <v>42</v>
      </c>
      <c r="C27" s="14"/>
      <c r="D27" s="14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9" t="s">
        <v>4</v>
      </c>
      <c r="W27" s="20">
        <v>4800</v>
      </c>
      <c r="Y27" s="24" t="s">
        <v>25</v>
      </c>
      <c r="Z27" s="25">
        <v>0</v>
      </c>
      <c r="AB27" s="30"/>
      <c r="AC27" s="65" t="s">
        <v>23</v>
      </c>
      <c r="AD27" s="66">
        <f>W38</f>
        <v>0</v>
      </c>
      <c r="AE27" s="45"/>
      <c r="AF27" s="31"/>
    </row>
    <row r="28" spans="1:32" ht="13.95" customHeight="1" thickBot="1" x14ac:dyDescent="0.35">
      <c r="A28" s="3"/>
      <c r="B28" s="15" t="s">
        <v>43</v>
      </c>
      <c r="C28" s="16"/>
      <c r="D28" s="16"/>
      <c r="E28" s="6"/>
      <c r="F28" s="6"/>
      <c r="G28" s="6"/>
      <c r="H28" s="6"/>
      <c r="I28" s="6"/>
      <c r="J28" s="2"/>
      <c r="M28" s="3"/>
      <c r="N28" s="3"/>
      <c r="O28" s="3"/>
      <c r="P28" s="2"/>
      <c r="Q28" s="3"/>
      <c r="R28" s="3"/>
      <c r="S28" s="3"/>
      <c r="T28" s="3"/>
      <c r="V28" s="21" t="s">
        <v>5</v>
      </c>
      <c r="W28" s="22">
        <v>12</v>
      </c>
      <c r="Y28" s="26" t="s">
        <v>26</v>
      </c>
      <c r="Z28" s="27">
        <v>5</v>
      </c>
      <c r="AB28" s="30"/>
      <c r="AC28" s="65" t="s">
        <v>26</v>
      </c>
      <c r="AD28" s="66">
        <f>Z28</f>
        <v>5</v>
      </c>
      <c r="AE28" s="30"/>
      <c r="AF28" s="31"/>
    </row>
    <row r="29" spans="1:32" ht="13.95" customHeight="1" x14ac:dyDescent="0.3">
      <c r="B29" s="5"/>
      <c r="C29" s="6"/>
      <c r="D29" s="6"/>
      <c r="E29" s="6"/>
      <c r="F29" s="6"/>
      <c r="G29" s="6"/>
      <c r="H29" s="6"/>
      <c r="I29" s="6"/>
      <c r="J29" s="2"/>
      <c r="M29" s="3"/>
      <c r="N29" s="3"/>
      <c r="O29" s="3"/>
      <c r="P29" s="3"/>
      <c r="Q29" s="3"/>
      <c r="R29" s="3"/>
      <c r="S29" s="3"/>
      <c r="T29" s="3"/>
      <c r="AB29" s="30"/>
      <c r="AC29" s="65" t="s">
        <v>25</v>
      </c>
      <c r="AD29" s="66">
        <f>Z27</f>
        <v>0</v>
      </c>
      <c r="AE29" s="30"/>
      <c r="AF29" s="31"/>
    </row>
    <row r="30" spans="1:32" ht="24" thickBot="1" x14ac:dyDescent="0.5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t="s">
        <v>47</v>
      </c>
      <c r="AB30" s="94" t="s">
        <v>71</v>
      </c>
      <c r="AC30" s="65" t="s">
        <v>39</v>
      </c>
      <c r="AD30" s="66">
        <f>W34/100</f>
        <v>232.25806451612902</v>
      </c>
      <c r="AE30" s="30"/>
      <c r="AF30" s="31"/>
    </row>
    <row r="31" spans="1:32" ht="15" thickBot="1" x14ac:dyDescent="0.3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34">
        <v>240</v>
      </c>
      <c r="W31" s="35" t="s">
        <v>46</v>
      </c>
      <c r="X31" s="36"/>
      <c r="Y31" s="35"/>
      <c r="Z31" s="35"/>
      <c r="AA31" s="37"/>
      <c r="AC31" s="65" t="s">
        <v>27</v>
      </c>
      <c r="AD31" s="66">
        <f>Y39</f>
        <v>180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8"/>
      <c r="X32" s="8"/>
      <c r="Y32" s="8"/>
      <c r="AC32" s="65" t="s">
        <v>22</v>
      </c>
      <c r="AD32" s="66">
        <f>Y38</f>
        <v>0</v>
      </c>
      <c r="AE32" s="30"/>
      <c r="AF32" s="31"/>
    </row>
    <row r="33" spans="2:41" ht="15" thickBot="1" x14ac:dyDescent="0.35"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t="s">
        <v>48</v>
      </c>
      <c r="AC33" s="65" t="s">
        <v>18</v>
      </c>
      <c r="AD33" s="66">
        <f>W47</f>
        <v>0</v>
      </c>
      <c r="AE33" s="67">
        <f>W46</f>
        <v>7538.711197196546</v>
      </c>
      <c r="AF33" s="68">
        <f>W45</f>
        <v>-396.83873454558267</v>
      </c>
    </row>
    <row r="34" spans="2:41" ht="15" thickBot="1" x14ac:dyDescent="0.35">
      <c r="V34" s="38" t="s">
        <v>6</v>
      </c>
      <c r="W34" s="39">
        <f>W27*W28/X34</f>
        <v>23225.806451612902</v>
      </c>
      <c r="X34" s="40">
        <v>2.48</v>
      </c>
      <c r="Y34" s="35" t="s">
        <v>14</v>
      </c>
      <c r="Z34" s="41"/>
      <c r="AC34" s="65" t="s">
        <v>30</v>
      </c>
      <c r="AD34" s="66">
        <f>W49</f>
        <v>-9205.8035946064356</v>
      </c>
      <c r="AE34" s="67">
        <f>W48</f>
        <v>5975.3720269176101</v>
      </c>
      <c r="AF34" s="31"/>
    </row>
    <row r="35" spans="2:41" x14ac:dyDescent="0.3">
      <c r="AC35" s="65" t="s">
        <v>20</v>
      </c>
      <c r="AD35" s="66">
        <f>Z48</f>
        <v>-5111.2603560094558</v>
      </c>
      <c r="AE35" s="69">
        <f>Z47</f>
        <v>1.0238441352501362</v>
      </c>
      <c r="AF35" s="31"/>
    </row>
    <row r="36" spans="2:41" ht="15" thickBot="1" x14ac:dyDescent="0.35">
      <c r="C36" s="6"/>
      <c r="D36" s="6"/>
      <c r="E36" s="6"/>
      <c r="F36" s="6"/>
      <c r="G36" s="6"/>
      <c r="H36" s="6"/>
      <c r="I36" s="6"/>
      <c r="J36" s="9"/>
      <c r="K36" s="6"/>
      <c r="L36" s="6"/>
      <c r="M36" s="10"/>
      <c r="N36" s="10"/>
      <c r="O36" s="10"/>
      <c r="P36" s="10"/>
      <c r="Q36" s="10"/>
      <c r="R36" s="10"/>
      <c r="S36" s="10"/>
      <c r="T36" s="10"/>
      <c r="V36" t="s">
        <v>49</v>
      </c>
      <c r="AC36" s="70" t="s">
        <v>21</v>
      </c>
      <c r="AD36" s="71">
        <f>Z46</f>
        <v>5078.4189614630086</v>
      </c>
      <c r="AE36" s="72">
        <f>Z45</f>
        <v>0.96677372377219584</v>
      </c>
      <c r="AF36" s="33"/>
    </row>
    <row r="37" spans="2:41" ht="28.8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17"/>
      <c r="W37" s="42" t="s">
        <v>28</v>
      </c>
      <c r="X37" s="28"/>
      <c r="Y37" s="42" t="s">
        <v>29</v>
      </c>
      <c r="Z37" s="29" t="s">
        <v>50</v>
      </c>
    </row>
    <row r="38" spans="2:41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57" t="s">
        <v>23</v>
      </c>
      <c r="W38" s="58">
        <v>0</v>
      </c>
      <c r="X38" s="45" t="s">
        <v>22</v>
      </c>
      <c r="Y38" s="59">
        <v>0</v>
      </c>
      <c r="Z38" s="89">
        <f>Z48/W34*100</f>
        <v>-22.006815421707383</v>
      </c>
      <c r="AA38" t="s">
        <v>70</v>
      </c>
    </row>
    <row r="39" spans="2:41" x14ac:dyDescent="0.3">
      <c r="B39" t="s">
        <v>72</v>
      </c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s="57" t="s">
        <v>24</v>
      </c>
      <c r="W39" s="58">
        <v>5</v>
      </c>
      <c r="X39" s="45" t="s">
        <v>27</v>
      </c>
      <c r="Y39" s="59">
        <v>180</v>
      </c>
      <c r="Z39" s="60">
        <v>77</v>
      </c>
    </row>
    <row r="40" spans="2:41" x14ac:dyDescent="0.3">
      <c r="B40" t="s">
        <v>67</v>
      </c>
      <c r="C40" s="6" t="s">
        <v>68</v>
      </c>
      <c r="D40" s="6" t="s">
        <v>69</v>
      </c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19"/>
      <c r="W40" s="30" t="s">
        <v>53</v>
      </c>
      <c r="X40" s="30"/>
      <c r="Y40" s="61"/>
      <c r="Z40" s="89">
        <f>(Z39-Z38)/(W39-W38)</f>
        <v>19.801363084341478</v>
      </c>
    </row>
    <row r="41" spans="2:41" x14ac:dyDescent="0.3">
      <c r="B41" s="73">
        <v>87</v>
      </c>
      <c r="C41" s="6">
        <f>B41/180*(2.4-0.53)+0.53</f>
        <v>1.4338333333333333</v>
      </c>
      <c r="D41" s="88">
        <f>(C41-1)*180</f>
        <v>78.089999999999989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V41" s="19"/>
      <c r="W41" s="30"/>
      <c r="X41" s="30"/>
      <c r="Y41" s="61"/>
      <c r="Z41" s="89">
        <f>Z39-Z40*(W39-W38)</f>
        <v>-22.006815421707387</v>
      </c>
    </row>
    <row r="42" spans="2:41" ht="15" thickBot="1" x14ac:dyDescent="0.35">
      <c r="B42" s="73">
        <v>90</v>
      </c>
      <c r="C42" s="6">
        <f t="shared" ref="C42:C47" si="70">B42/180*(2.4-0.53)+0.53</f>
        <v>1.4649999999999999</v>
      </c>
      <c r="D42" s="88">
        <f t="shared" ref="D42:D47" si="71">(C42-1)*180</f>
        <v>83.699999999999974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s="21"/>
      <c r="W42" s="32"/>
      <c r="X42" s="32"/>
      <c r="Y42" s="47"/>
      <c r="Z42" s="48" t="s">
        <v>19</v>
      </c>
    </row>
    <row r="43" spans="2:41" x14ac:dyDescent="0.3">
      <c r="B43" s="73">
        <v>100</v>
      </c>
      <c r="C43" s="6">
        <f t="shared" si="70"/>
        <v>1.568888888888889</v>
      </c>
      <c r="D43" s="88">
        <f t="shared" si="71"/>
        <v>102.40000000000002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</row>
    <row r="44" spans="2:41" ht="15" thickBot="1" x14ac:dyDescent="0.35">
      <c r="B44" s="73">
        <v>110</v>
      </c>
      <c r="C44" s="6">
        <f t="shared" si="70"/>
        <v>1.6727777777777779</v>
      </c>
      <c r="D44" s="88">
        <f t="shared" si="71"/>
        <v>121.10000000000002</v>
      </c>
      <c r="E44" s="6"/>
      <c r="F44" s="6"/>
      <c r="G44" s="6"/>
      <c r="H44" s="6"/>
      <c r="I44" s="6"/>
      <c r="J44" s="2"/>
      <c r="M44" s="3"/>
      <c r="N44" s="3"/>
      <c r="O44" s="3"/>
      <c r="P44" s="3"/>
      <c r="Q44" s="3"/>
      <c r="R44" s="3"/>
      <c r="S44" s="3"/>
      <c r="T44" s="3"/>
      <c r="V44" t="s">
        <v>51</v>
      </c>
    </row>
    <row r="45" spans="2:41" x14ac:dyDescent="0.3">
      <c r="B45" s="73">
        <v>114</v>
      </c>
      <c r="C45" s="6">
        <f t="shared" si="70"/>
        <v>1.7143333333333333</v>
      </c>
      <c r="D45" s="88">
        <f t="shared" si="71"/>
        <v>128.57999999999998</v>
      </c>
      <c r="V45" s="49" t="s">
        <v>18</v>
      </c>
      <c r="W45" s="50">
        <f>INDEX(LINEST($P$4:$P$12,$D$4:$D$12^{1,2},FALSE,FALSE),1)</f>
        <v>-396.83873454558267</v>
      </c>
      <c r="X45" s="28"/>
      <c r="Y45" s="51" t="s">
        <v>21</v>
      </c>
      <c r="Z45" s="52">
        <f>INDEX(LINEST($O$4:$O$12,$P$4:$P$12),1)</f>
        <v>0.96677372377219584</v>
      </c>
      <c r="AG45" s="104"/>
      <c r="AH45" s="104"/>
      <c r="AN45" s="3"/>
      <c r="AO45" s="3"/>
    </row>
    <row r="46" spans="2:41" x14ac:dyDescent="0.3">
      <c r="B46" s="73">
        <v>127.5</v>
      </c>
      <c r="C46" s="6">
        <f t="shared" si="70"/>
        <v>1.8545833333333333</v>
      </c>
      <c r="D46" s="88">
        <f t="shared" si="71"/>
        <v>153.82499999999999</v>
      </c>
      <c r="V46" s="43"/>
      <c r="W46" s="54">
        <f>INDEX(LINEST($P$4:$P$12,$D$4:$D$12^{1,2},FALSE,FALSE),2)</f>
        <v>7538.711197196546</v>
      </c>
      <c r="X46" s="30"/>
      <c r="Y46" s="44"/>
      <c r="Z46" s="46">
        <f>INDEX(LINEST($O$4:$O$12,$P$4:$P$12),2)</f>
        <v>5078.4189614630086</v>
      </c>
    </row>
    <row r="47" spans="2:41" ht="15" thickBot="1" x14ac:dyDescent="0.35">
      <c r="B47" s="80">
        <v>136.4</v>
      </c>
      <c r="C47" s="6">
        <f t="shared" si="70"/>
        <v>1.9470444444444444</v>
      </c>
      <c r="D47" s="88">
        <f t="shared" si="71"/>
        <v>170.46799999999999</v>
      </c>
      <c r="V47" s="43"/>
      <c r="W47" s="54">
        <f>INDEX(LINEST($P$4:$P$12,$D$4:$D$12^{1,2},FALSE,FALSE),3)</f>
        <v>0</v>
      </c>
      <c r="X47" s="30"/>
      <c r="Y47" s="44" t="s">
        <v>20</v>
      </c>
      <c r="Z47" s="46">
        <f>INDEX(LINEST($P$4:$P$12,$O$4:$O$12),1)</f>
        <v>1.0238441352501362</v>
      </c>
    </row>
    <row r="48" spans="2:41" x14ac:dyDescent="0.3">
      <c r="V48" s="43" t="s">
        <v>30</v>
      </c>
      <c r="W48" s="54">
        <f>INDEX(LINEST($O$4:$O$12,$L$4:$L$12),1)</f>
        <v>5975.3720269176101</v>
      </c>
      <c r="X48" s="30"/>
      <c r="Y48" s="44"/>
      <c r="Z48" s="46">
        <f>INDEX(LINEST($P$4:$P$12,$O$4:$O$12),2)</f>
        <v>-5111.2603560094558</v>
      </c>
      <c r="AA48" t="s">
        <v>78</v>
      </c>
    </row>
    <row r="49" spans="22:27" x14ac:dyDescent="0.3">
      <c r="V49" s="43"/>
      <c r="W49" s="54">
        <f>INDEX(LINEST($O$4:$O$12,$L$4:$L$12),2)</f>
        <v>-9205.8035946064356</v>
      </c>
      <c r="X49" s="30"/>
      <c r="Y49" s="30"/>
      <c r="Z49" s="31"/>
    </row>
    <row r="50" spans="22:27" x14ac:dyDescent="0.3">
      <c r="V50" s="19"/>
      <c r="W50" s="30"/>
      <c r="X50" s="30"/>
      <c r="Y50" s="30"/>
      <c r="Z50" s="31"/>
    </row>
    <row r="51" spans="22:27" ht="15" thickBot="1" x14ac:dyDescent="0.35">
      <c r="V51" s="107" t="s">
        <v>80</v>
      </c>
      <c r="W51" s="108">
        <f>EXP((0-$AD$34)/$AE$34)</f>
        <v>4.6675034779253295</v>
      </c>
      <c r="X51" s="32"/>
      <c r="Y51" s="32"/>
      <c r="Z51" s="33"/>
      <c r="AA51" t="s">
        <v>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7773437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2016-10-16T17:30:02Z</dcterms:modified>
</cp:coreProperties>
</file>