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66.xml" ContentType="application/vnd.openxmlformats-officedocument.drawingml.chart+xml"/>
  <Override PartName="/xl/drawings/drawing11.xml" ContentType="application/vnd.openxmlformats-officedocument.drawing+xml"/>
  <Override PartName="/xl/charts/chart6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12.xml" ContentType="application/vnd.openxmlformats-officedocument.drawing+xml"/>
  <Override PartName="/xl/charts/chart7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8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8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8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4" activeTab="4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x_Turnx_ESCx_Gxb_Txa" sheetId="16" r:id="rId8"/>
    <sheet name="CalPhotonTurnigy" sheetId="4" r:id="rId9"/>
    <sheet name="TauPhotonTurnigy" sheetId="5" r:id="rId10"/>
    <sheet name="CalArduinoTurnigy" sheetId="3" r:id="rId11"/>
    <sheet name="CalArduinoHiTec" sheetId="1" r:id="rId12"/>
    <sheet name="CalPhotonHiTec" sheetId="2" r:id="rId13"/>
  </sheets>
  <definedNames>
    <definedName name="Meas_TauT__s" localSheetId="2">Ard0_Turn0_ESC0_G0b_T0a!$K$38:$K$43</definedName>
    <definedName name="Meas_TauT__s" localSheetId="3">Ard1_Turn1x_ESC1_G1b_T1a!$K$38:$K$43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Ard4_Turn4_ESC4_G4b_T4a!$K$37:$K$42</definedName>
    <definedName name="Meas_TauT__s" localSheetId="7">Ardx_Turnx_ESCx_Gxb_Txa!$K$39:$K$44</definedName>
    <definedName name="Meas_TauT__s">#REF!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7">Ardx_Turnx_ESCx_Gxb_Txa!$I$39:$I$44</definedName>
    <definedName name="MeasNt">#REF!</definedName>
    <definedName name="MeasTauT" localSheetId="2">Ard0_Turn0_ESC0_G0b_T0a!$K$38:$K$43</definedName>
    <definedName name="MeasTauT" localSheetId="3">Ard1_Turn1x_ESC1_G1b_T1a!$K$38:$K$43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Ard4_Turn4_ESC4_G4b_T4a!$K$37:$K$42</definedName>
    <definedName name="MeasTauT" localSheetId="7">Ardx_Turnx_ESCx_Gxb_Txa!$K$39:$K$44</definedName>
    <definedName name="MeasTauT">#REF!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7">Ardx_Turnx_ESCx_Gxb_Txa!$I$39:$I$44</definedName>
    <definedName name="Nt">#REF!</definedName>
  </definedNames>
  <calcPr calcId="152511"/>
</workbook>
</file>

<file path=xl/calcChain.xml><?xml version="1.0" encoding="utf-8"?>
<calcChain xmlns="http://schemas.openxmlformats.org/spreadsheetml/2006/main">
  <c r="Q42" i="8" l="1"/>
  <c r="Q41" i="8"/>
  <c r="R41" i="8"/>
  <c r="V57" i="16" l="1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Q33" i="16"/>
  <c r="C33" i="16"/>
  <c r="Q32" i="16"/>
  <c r="AH14" i="16" s="1"/>
  <c r="AI14" i="16" s="1"/>
  <c r="C32" i="16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Z14" i="16"/>
  <c r="AA14" i="16" s="1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M13" i="16"/>
  <c r="L13" i="16"/>
  <c r="T13" i="16" s="1"/>
  <c r="K13" i="16"/>
  <c r="U13" i="16" s="1"/>
  <c r="C13" i="16"/>
  <c r="U12" i="16"/>
  <c r="O12" i="16"/>
  <c r="Q12" i="16" s="1"/>
  <c r="N12" i="16"/>
  <c r="P12" i="16" s="1"/>
  <c r="R12" i="16" s="1"/>
  <c r="L12" i="16"/>
  <c r="K12" i="16"/>
  <c r="C12" i="16"/>
  <c r="AH11" i="16"/>
  <c r="AI11" i="16" s="1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W6" i="16" s="1"/>
  <c r="C6" i="16"/>
  <c r="U5" i="16"/>
  <c r="T5" i="16"/>
  <c r="O5" i="16"/>
  <c r="Q5" i="16" s="1"/>
  <c r="AE5" i="16" s="1"/>
  <c r="N5" i="16"/>
  <c r="P5" i="16" s="1"/>
  <c r="R5" i="16" s="1"/>
  <c r="M5" i="16"/>
  <c r="L5" i="16"/>
  <c r="K5" i="16"/>
  <c r="C5" i="16"/>
  <c r="T4" i="16"/>
  <c r="O4" i="16"/>
  <c r="Q4" i="16" s="1"/>
  <c r="N4" i="16"/>
  <c r="P4" i="16" s="1"/>
  <c r="L4" i="16"/>
  <c r="M4" i="16" s="1"/>
  <c r="K4" i="16"/>
  <c r="U4" i="16" s="1"/>
  <c r="C4" i="16"/>
  <c r="T3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AE4" i="16" l="1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BC42" i="16" s="1"/>
  <c r="AE7" i="16"/>
  <c r="S7" i="16"/>
  <c r="R43" i="16"/>
  <c r="Q43" i="16"/>
  <c r="R4" i="16"/>
  <c r="AB14" i="16"/>
  <c r="W14" i="16"/>
  <c r="X14" i="16" s="1"/>
  <c r="V14" i="16"/>
  <c r="T6" i="16"/>
  <c r="M6" i="16"/>
  <c r="R42" i="16" s="1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Y4" i="16" s="1"/>
  <c r="V4" i="16"/>
  <c r="AE10" i="16"/>
  <c r="S10" i="16"/>
  <c r="T12" i="16"/>
  <c r="M12" i="16"/>
  <c r="S9" i="16"/>
  <c r="AE9" i="16"/>
  <c r="AF14" i="16"/>
  <c r="W3" i="16"/>
  <c r="X3" i="16" s="1"/>
  <c r="Y3" i="16" s="1"/>
  <c r="V3" i="16"/>
  <c r="X9" i="16"/>
  <c r="S3" i="16"/>
  <c r="S13" i="16"/>
  <c r="AE13" i="16"/>
  <c r="R41" i="16"/>
  <c r="S41" i="16"/>
  <c r="Q41" i="16"/>
  <c r="S5" i="16"/>
  <c r="Q44" i="16"/>
  <c r="Q36" i="16"/>
  <c r="J36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/>
  <c r="K13" i="15"/>
  <c r="N13" i="15" s="1"/>
  <c r="O13" i="15" s="1"/>
  <c r="Z6" i="15"/>
  <c r="AC6" i="15"/>
  <c r="Z7" i="15"/>
  <c r="AC7" i="15" s="1"/>
  <c r="Z8" i="15"/>
  <c r="AC8" i="15" s="1"/>
  <c r="Z9" i="15"/>
  <c r="Z10" i="15"/>
  <c r="AC10" i="15"/>
  <c r="Z11" i="15"/>
  <c r="AC11" i="15" s="1"/>
  <c r="AD11" i="15" s="1"/>
  <c r="Z12" i="15"/>
  <c r="AC12" i="15" s="1"/>
  <c r="AD12" i="15" l="1"/>
  <c r="O11" i="15"/>
  <c r="Y7" i="16"/>
  <c r="Y8" i="16"/>
  <c r="Y14" i="16"/>
  <c r="Y9" i="16"/>
  <c r="Y6" i="16"/>
  <c r="J41" i="16"/>
  <c r="J40" i="16"/>
  <c r="J43" i="16"/>
  <c r="Z12" i="16"/>
  <c r="Z6" i="16"/>
  <c r="Z2" i="16"/>
  <c r="Z9" i="16"/>
  <c r="Z5" i="16"/>
  <c r="Z11" i="16"/>
  <c r="Z4" i="16"/>
  <c r="Z8" i="16"/>
  <c r="Z3" i="16"/>
  <c r="Z13" i="16"/>
  <c r="Z10" i="16"/>
  <c r="Z7" i="16"/>
  <c r="J44" i="16"/>
  <c r="J45" i="16"/>
  <c r="Y11" i="16"/>
  <c r="L42" i="16"/>
  <c r="M42" i="16" s="1"/>
  <c r="Y13" i="16"/>
  <c r="Q42" i="16"/>
  <c r="K48" i="16"/>
  <c r="Y5" i="16"/>
  <c r="J42" i="16"/>
  <c r="Y10" i="16"/>
  <c r="O12" i="15"/>
  <c r="AD7" i="15"/>
  <c r="AD8" i="15"/>
  <c r="AC9" i="15"/>
  <c r="AD9" i="15" s="1"/>
  <c r="AD10" i="15" l="1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P13" i="16" s="1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P9" i="16" s="1"/>
  <c r="AJ6" i="16"/>
  <c r="AP6" i="16" s="1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P3" i="16" s="1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O5" i="16" l="1"/>
  <c r="AN5" i="16" s="1"/>
  <c r="AD10" i="16"/>
  <c r="AF10" i="16"/>
  <c r="AP7" i="16"/>
  <c r="AR8" i="16"/>
  <c r="AS8" i="16" s="1"/>
  <c r="AD11" i="16"/>
  <c r="AF11" i="16"/>
  <c r="AO10" i="16"/>
  <c r="AN10" i="16" s="1"/>
  <c r="AD8" i="16"/>
  <c r="AF8" i="16"/>
  <c r="AD5" i="16"/>
  <c r="AF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Q11" i="16" s="1"/>
  <c r="AD13" i="16"/>
  <c r="AF13" i="16"/>
  <c r="AR7" i="16"/>
  <c r="AS7" i="16" s="1"/>
  <c r="AQ6" i="16"/>
  <c r="AO6" i="16"/>
  <c r="AN6" i="16" s="1"/>
  <c r="AD7" i="16"/>
  <c r="AF7" i="16"/>
  <c r="AQ3" i="16"/>
  <c r="AO3" i="16"/>
  <c r="AD12" i="16"/>
  <c r="AF12" i="16"/>
  <c r="AF2" i="16"/>
  <c r="AD2" i="16"/>
  <c r="AQ13" i="16"/>
  <c r="AO13" i="16"/>
  <c r="AN13" i="16" s="1"/>
  <c r="AO8" i="16"/>
  <c r="AN8" i="16" s="1"/>
  <c r="AO14" i="16"/>
  <c r="AN14" i="16" s="1"/>
  <c r="AD4" i="16"/>
  <c r="AF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Y5" i="15" s="1"/>
  <c r="X7" i="15"/>
  <c r="X9" i="15"/>
  <c r="Y9" i="15" s="1"/>
  <c r="X11" i="15"/>
  <c r="Y11" i="15" s="1"/>
  <c r="X13" i="15"/>
  <c r="S5" i="15"/>
  <c r="S9" i="15"/>
  <c r="S3" i="15"/>
  <c r="S7" i="15"/>
  <c r="S11" i="15"/>
  <c r="S13" i="15"/>
  <c r="S4" i="15"/>
  <c r="S6" i="15"/>
  <c r="T6" i="15" s="1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AT5" i="16" l="1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AH12" i="14" s="1"/>
  <c r="AI12" i="14" s="1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S5" i="14"/>
  <c r="O5" i="14"/>
  <c r="Q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E5" i="14" l="1"/>
  <c r="Q43" i="14"/>
  <c r="R43" i="14"/>
  <c r="AH11" i="14"/>
  <c r="AI11" i="14" s="1"/>
  <c r="S12" i="14"/>
  <c r="R12" i="14"/>
  <c r="G5" i="15"/>
  <c r="R42" i="14"/>
  <c r="Q42" i="14"/>
  <c r="W2" i="14"/>
  <c r="W12" i="14"/>
  <c r="X12" i="14" s="1"/>
  <c r="V12" i="14"/>
  <c r="Q40" i="14"/>
  <c r="R11" i="14"/>
  <c r="R6" i="14"/>
  <c r="G6" i="15"/>
  <c r="M3" i="14"/>
  <c r="AF22" i="15"/>
  <c r="H5" i="15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Y12" i="14" l="1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M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AF41" i="15" l="1"/>
  <c r="L12" i="15"/>
  <c r="M10" i="15"/>
  <c r="AH9" i="13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F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M13" i="15" l="1"/>
  <c r="M12" i="15"/>
  <c r="AF5" i="15"/>
  <c r="R41" i="13"/>
  <c r="Q41" i="13"/>
  <c r="AF31" i="15"/>
  <c r="AF38" i="15"/>
  <c r="Q35" i="13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L41" i="13" l="1"/>
  <c r="M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AB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AB6" i="15" s="1"/>
  <c r="L6" i="10"/>
  <c r="K6" i="10"/>
  <c r="U6" i="10" s="1"/>
  <c r="C6" i="10"/>
  <c r="O5" i="10"/>
  <c r="Q5" i="10" s="1"/>
  <c r="N5" i="10"/>
  <c r="P5" i="10" s="1"/>
  <c r="AA5" i="15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B8" i="15" l="1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R42" i="10"/>
  <c r="Q42" i="10"/>
  <c r="R39" i="10"/>
  <c r="AE4" i="10"/>
  <c r="S4" i="10"/>
  <c r="S39" i="10"/>
  <c r="Q39" i="10"/>
  <c r="W4" i="10"/>
  <c r="X4" i="10" s="1"/>
  <c r="V4" i="10"/>
  <c r="V5" i="10"/>
  <c r="T6" i="10"/>
  <c r="M6" i="10"/>
  <c r="V7" i="10"/>
  <c r="W7" i="10"/>
  <c r="X7" i="10" s="1"/>
  <c r="R3" i="10"/>
  <c r="Q41" i="10"/>
  <c r="R4" i="10"/>
  <c r="R41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V4" i="15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AH6" i="9" l="1"/>
  <c r="AI6" i="9" s="1"/>
  <c r="AH14" i="9"/>
  <c r="AI14" i="9" s="1"/>
  <c r="AF57" i="15"/>
  <c r="W4" i="15"/>
  <c r="AH4" i="9"/>
  <c r="AI4" i="9" s="1"/>
  <c r="R5" i="9"/>
  <c r="V5" i="15"/>
  <c r="AF61" i="15"/>
  <c r="AH10" i="9"/>
  <c r="AI10" i="9" s="1"/>
  <c r="R11" i="9"/>
  <c r="V11" i="15"/>
  <c r="AH13" i="9"/>
  <c r="AI13" i="9" s="1"/>
  <c r="W14" i="15"/>
  <c r="AF67" i="15"/>
  <c r="R7" i="9"/>
  <c r="V7" i="15"/>
  <c r="AF56" i="15"/>
  <c r="W6" i="15"/>
  <c r="AF59" i="15"/>
  <c r="AF62" i="15"/>
  <c r="W9" i="15"/>
  <c r="AF65" i="15"/>
  <c r="W12" i="15"/>
  <c r="Q40" i="10"/>
  <c r="W10" i="15"/>
  <c r="AF63" i="15"/>
  <c r="AF66" i="15"/>
  <c r="W13" i="15"/>
  <c r="Z9" i="9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D2" i="10" l="1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D2" i="9" l="1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M2" i="10" l="1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Q45" i="9" s="1"/>
  <c r="AG9" i="9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3" i="9" l="1"/>
  <c r="AU13" i="9" s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Q4" i="15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R7" i="8" l="1"/>
  <c r="R40" i="8"/>
  <c r="S40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11" i="15" l="1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E43" i="15" l="1"/>
  <c r="R3" i="15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S2" i="3" l="1"/>
  <c r="V12" i="3"/>
  <c r="W12" i="3" s="1"/>
  <c r="Y12" i="3" s="1"/>
  <c r="Z12" i="3" s="1"/>
  <c r="AA12" i="3" s="1"/>
  <c r="AG6" i="4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AF33" i="4" s="1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l="1"/>
  <c r="Z12" i="14"/>
  <c r="Z8" i="14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AA4" i="14"/>
  <c r="AB4" i="14" s="1"/>
  <c r="Z10" i="14"/>
  <c r="AA5" i="14"/>
  <c r="AB5" i="14" s="1"/>
  <c r="Z3" i="14"/>
  <c r="AA8" i="14"/>
  <c r="AB8" i="14" s="1"/>
  <c r="Z2" i="14"/>
  <c r="AA12" i="14" l="1"/>
  <c r="AB12" i="14" s="1"/>
  <c r="AC12" i="14"/>
  <c r="AC11" i="14"/>
  <c r="AD11" i="14" s="1"/>
  <c r="AC9" i="14"/>
  <c r="AF8" i="14"/>
  <c r="AC7" i="14"/>
  <c r="AF7" i="14" s="1"/>
  <c r="AC6" i="14"/>
  <c r="AD6" i="14" s="1"/>
  <c r="AD5" i="14"/>
  <c r="AC3" i="14"/>
  <c r="AA3" i="14"/>
  <c r="AB3" i="14" s="1"/>
  <c r="AD9" i="14"/>
  <c r="AF9" i="14"/>
  <c r="AD4" i="14"/>
  <c r="AF4" i="14"/>
  <c r="AA2" i="14"/>
  <c r="AC2" i="14"/>
  <c r="AC10" i="14"/>
  <c r="AA10" i="14"/>
  <c r="AB10" i="14" s="1"/>
  <c r="AD12" i="14" l="1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<sst xmlns="http://schemas.openxmlformats.org/spreadsheetml/2006/main" count="1817" uniqueCount="344">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</sst>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8.7271708346327035</c:v>
                </c:pt>
                <c:pt idx="54" formatCode="0.00">
                  <c:v>14</c:v>
                </c:pt>
                <c:pt idx="55" formatCode="0.00">
                  <c:v>18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175</c:v>
                </c:pt>
                <c:pt idx="66" formatCode="0.00">
                  <c:v>9.1059042173196207</c:v>
                </c:pt>
                <c:pt idx="67" formatCode="0.00">
                  <c:v>11</c:v>
                </c:pt>
                <c:pt idx="68" formatCode="0.00">
                  <c:v>15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178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9316.7701863354032</c:v>
                </c:pt>
                <c:pt idx="55">
                  <c:v>12000.000000000002</c:v>
                </c:pt>
                <c:pt idx="56">
                  <c:v>14851.485148514852</c:v>
                </c:pt>
                <c:pt idx="57">
                  <c:v>16574.585635359115</c:v>
                </c:pt>
                <c:pt idx="58">
                  <c:v>20134.228187919463</c:v>
                </c:pt>
                <c:pt idx="59">
                  <c:v>24193.548387096776</c:v>
                </c:pt>
                <c:pt idx="60">
                  <c:v>28571.428571428572</c:v>
                </c:pt>
                <c:pt idx="61">
                  <c:v>33333.333333333336</c:v>
                </c:pt>
                <c:pt idx="62">
                  <c:v>34090.909090909088</c:v>
                </c:pt>
                <c:pt idx="63">
                  <c:v>36585.365853658535</c:v>
                </c:pt>
                <c:pt idx="64">
                  <c:v>41095.890410958906</c:v>
                </c:pt>
                <c:pt idx="65">
                  <c:v>44117.647058823532</c:v>
                </c:pt>
                <c:pt idx="66">
                  <c:v>5.9999999999999995E-25</c:v>
                </c:pt>
                <c:pt idx="67">
                  <c:v>7936.5079365079364</c:v>
                </c:pt>
                <c:pt idx="68">
                  <c:v>9933.7748344370866</c:v>
                </c:pt>
                <c:pt idx="69">
                  <c:v>14150.943396226416</c:v>
                </c:pt>
                <c:pt idx="70">
                  <c:v>17910.447761194031</c:v>
                </c:pt>
                <c:pt idx="71">
                  <c:v>22900.763358778626</c:v>
                </c:pt>
                <c:pt idx="72">
                  <c:v>28571.428571428572</c:v>
                </c:pt>
                <c:pt idx="73">
                  <c:v>32085.561497326202</c:v>
                </c:pt>
                <c:pt idx="74">
                  <c:v>35087.719298245618</c:v>
                </c:pt>
                <c:pt idx="75">
                  <c:v>40000</c:v>
                </c:pt>
                <c:pt idx="76">
                  <c:v>44117.647058823532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5344"/>
        <c:axId val="158928872"/>
      </c:scatterChart>
      <c:valAx>
        <c:axId val="1589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28872"/>
        <c:crosses val="autoZero"/>
        <c:crossBetween val="midCat"/>
      </c:valAx>
      <c:valAx>
        <c:axId val="158928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92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3384"/>
        <c:axId val="158924560"/>
      </c:scatterChart>
      <c:valAx>
        <c:axId val="15892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24560"/>
        <c:crosses val="autoZero"/>
        <c:crossBetween val="midCat"/>
      </c:valAx>
      <c:valAx>
        <c:axId val="1589245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9233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9656"/>
        <c:axId val="158670864"/>
      </c:scatterChart>
      <c:valAx>
        <c:axId val="15892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70864"/>
        <c:crosses val="autoZero"/>
        <c:crossBetween val="midCat"/>
      </c:valAx>
      <c:valAx>
        <c:axId val="1586708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9296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3928"/>
        <c:axId val="160385496"/>
      </c:scatterChart>
      <c:valAx>
        <c:axId val="16038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5496"/>
        <c:crosses val="autoZero"/>
        <c:crossBetween val="midCat"/>
      </c:valAx>
      <c:valAx>
        <c:axId val="1603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1968"/>
        <c:axId val="160378832"/>
      </c:scatterChart>
      <c:valAx>
        <c:axId val="16038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0378832"/>
        <c:crosses val="autoZero"/>
        <c:crossBetween val="midCat"/>
      </c:valAx>
      <c:valAx>
        <c:axId val="1603788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03819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5888"/>
        <c:axId val="160385104"/>
      </c:scatterChart>
      <c:valAx>
        <c:axId val="1603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5104"/>
        <c:crosses val="autoZero"/>
        <c:crossBetween val="midCat"/>
      </c:valAx>
      <c:valAx>
        <c:axId val="1603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9224"/>
        <c:axId val="160381184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1576"/>
        <c:axId val="160380400"/>
      </c:scatterChart>
      <c:valAx>
        <c:axId val="1603792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1184"/>
        <c:crossesAt val="-40"/>
        <c:crossBetween val="midCat"/>
        <c:majorUnit val="20"/>
      </c:valAx>
      <c:valAx>
        <c:axId val="1603811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79224"/>
        <c:crosses val="autoZero"/>
        <c:crossBetween val="midCat"/>
      </c:valAx>
      <c:valAx>
        <c:axId val="16038040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1576"/>
        <c:crosses val="max"/>
        <c:crossBetween val="midCat"/>
        <c:majorUnit val="40"/>
      </c:valAx>
      <c:valAx>
        <c:axId val="16038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3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4712"/>
        <c:axId val="160379616"/>
      </c:scatterChart>
      <c:valAx>
        <c:axId val="160384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0379616"/>
        <c:crosses val="autoZero"/>
        <c:crossBetween val="midCat"/>
      </c:valAx>
      <c:valAx>
        <c:axId val="160379616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8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2752"/>
        <c:axId val="160383144"/>
      </c:scatterChart>
      <c:valAx>
        <c:axId val="1603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3144"/>
        <c:crosses val="autoZero"/>
        <c:crossBetween val="midCat"/>
      </c:valAx>
      <c:valAx>
        <c:axId val="160383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8224"/>
        <c:axId val="219421360"/>
      </c:scatterChart>
      <c:valAx>
        <c:axId val="21941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421360"/>
        <c:crosses val="autoZero"/>
        <c:crossBetween val="midCat"/>
      </c:valAx>
      <c:valAx>
        <c:axId val="21942136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41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7440"/>
        <c:axId val="219419792"/>
      </c:scatterChart>
      <c:valAx>
        <c:axId val="2194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19792"/>
        <c:crosses val="autoZero"/>
        <c:crossBetween val="midCat"/>
      </c:valAx>
      <c:valAx>
        <c:axId val="21941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1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8.7271708346327035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175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1766.9395108662529</c:v>
                </c:pt>
                <c:pt idx="1">
                  <c:v>1766.9395108662529</c:v>
                </c:pt>
                <c:pt idx="2">
                  <c:v>670.80745341614966</c:v>
                </c:pt>
                <c:pt idx="3">
                  <c:v>475.24752475247504</c:v>
                </c:pt>
                <c:pt idx="4">
                  <c:v>430.77512171106582</c:v>
                </c:pt>
                <c:pt idx="5">
                  <c:v>444.95531907004352</c:v>
                </c:pt>
                <c:pt idx="6">
                  <c:v>253.70751244858207</c:v>
                </c:pt>
                <c:pt idx="7">
                  <c:v>208.47048496818076</c:v>
                </c:pt>
                <c:pt idx="8">
                  <c:v>226.75736961451253</c:v>
                </c:pt>
                <c:pt idx="9">
                  <c:v>151.51515151515051</c:v>
                </c:pt>
                <c:pt idx="10">
                  <c:v>226.76879661358609</c:v>
                </c:pt>
                <c:pt idx="11">
                  <c:v>205.02384351365319</c:v>
                </c:pt>
                <c:pt idx="12">
                  <c:v>70.273410415456411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9.1059042173196207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4190.1301977858784</c:v>
                </c:pt>
                <c:pt idx="1">
                  <c:v>4190.1301977858784</c:v>
                </c:pt>
                <c:pt idx="2">
                  <c:v>499.31672448228755</c:v>
                </c:pt>
                <c:pt idx="3">
                  <c:v>383.37896016266626</c:v>
                </c:pt>
                <c:pt idx="4">
                  <c:v>469.93804562095193</c:v>
                </c:pt>
                <c:pt idx="5">
                  <c:v>293.54797632850557</c:v>
                </c:pt>
                <c:pt idx="6">
                  <c:v>226.82660850599785</c:v>
                </c:pt>
                <c:pt idx="7">
                  <c:v>234.27552839317528</c:v>
                </c:pt>
                <c:pt idx="8">
                  <c:v>200.14385339462777</c:v>
                </c:pt>
                <c:pt idx="9">
                  <c:v>188.93387314439931</c:v>
                </c:pt>
                <c:pt idx="10">
                  <c:v>89.514066496163736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7696"/>
        <c:axId val="158930440"/>
      </c:scatterChart>
      <c:valAx>
        <c:axId val="15892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30440"/>
        <c:crosses val="autoZero"/>
        <c:crossBetween val="midCat"/>
      </c:valAx>
      <c:valAx>
        <c:axId val="15893044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92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22144"/>
        <c:axId val="219420184"/>
      </c:scatterChart>
      <c:valAx>
        <c:axId val="2194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20184"/>
        <c:crosses val="autoZero"/>
        <c:crossBetween val="midCat"/>
      </c:valAx>
      <c:valAx>
        <c:axId val="2194201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4221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9008"/>
        <c:axId val="219420968"/>
      </c:scatterChart>
      <c:valAx>
        <c:axId val="2194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20968"/>
        <c:crosses val="autoZero"/>
        <c:crossBetween val="midCat"/>
      </c:valAx>
      <c:valAx>
        <c:axId val="2194209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4190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7048"/>
        <c:axId val="219416656"/>
      </c:scatterChart>
      <c:valAx>
        <c:axId val="21941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6656"/>
        <c:crosses val="autoZero"/>
        <c:crossBetween val="midCat"/>
      </c:valAx>
      <c:valAx>
        <c:axId val="2194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3125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9400"/>
        <c:axId val="219421752"/>
      </c:scatterChart>
      <c:valAx>
        <c:axId val="219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421752"/>
        <c:crosses val="autoZero"/>
        <c:crossBetween val="midCat"/>
      </c:valAx>
      <c:valAx>
        <c:axId val="2194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5088"/>
        <c:axId val="21935895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480"/>
        <c:axId val="219358560"/>
      </c:scatterChart>
      <c:valAx>
        <c:axId val="2194150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358952"/>
        <c:crossesAt val="-40"/>
        <c:crossBetween val="midCat"/>
        <c:majorUnit val="20"/>
      </c:valAx>
      <c:valAx>
        <c:axId val="2193589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415088"/>
        <c:crosses val="autoZero"/>
        <c:crossBetween val="midCat"/>
      </c:valAx>
      <c:valAx>
        <c:axId val="2193585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362480"/>
        <c:crosses val="max"/>
        <c:crossBetween val="midCat"/>
        <c:majorUnit val="40"/>
      </c:valAx>
      <c:valAx>
        <c:axId val="21936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3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8168"/>
        <c:axId val="219362872"/>
      </c:scatterChart>
      <c:valAx>
        <c:axId val="2193581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9362872"/>
        <c:crosses val="autoZero"/>
        <c:crossBetween val="midCat"/>
      </c:valAx>
      <c:valAx>
        <c:axId val="219362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935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9344"/>
        <c:axId val="219363656"/>
      </c:scatterChart>
      <c:valAx>
        <c:axId val="2193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363656"/>
        <c:crosses val="autoZero"/>
        <c:crossBetween val="midCat"/>
      </c:valAx>
      <c:valAx>
        <c:axId val="219363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35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4440"/>
        <c:axId val="219359736"/>
      </c:scatterChart>
      <c:valAx>
        <c:axId val="21936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9359736"/>
        <c:crosses val="autoZero"/>
        <c:crossBetween val="midCat"/>
      </c:valAx>
      <c:valAx>
        <c:axId val="2193597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364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0520"/>
        <c:axId val="219360912"/>
      </c:scatterChart>
      <c:valAx>
        <c:axId val="21936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360912"/>
        <c:crosses val="autoZero"/>
        <c:crossBetween val="midCat"/>
      </c:valAx>
      <c:valAx>
        <c:axId val="219360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936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1304"/>
        <c:axId val="219361696"/>
      </c:scatterChart>
      <c:valAx>
        <c:axId val="21936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361696"/>
        <c:crosses val="autoZero"/>
        <c:crossBetween val="midCat"/>
      </c:valAx>
      <c:valAx>
        <c:axId val="2193616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3613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91.763321955226317</c:v>
                </c:pt>
                <c:pt idx="1">
                  <c:v>79.502892729656168</c:v>
                </c:pt>
                <c:pt idx="2">
                  <c:v>64.483866928332702</c:v>
                </c:pt>
                <c:pt idx="3">
                  <c:v>39.809753111872752</c:v>
                </c:pt>
                <c:pt idx="4">
                  <c:v>34.445815325685807</c:v>
                </c:pt>
                <c:pt idx="5">
                  <c:v>28.622111443539978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88.314953905624549</c:v>
                </c:pt>
                <c:pt idx="1">
                  <c:v>77.520773378818305</c:v>
                </c:pt>
                <c:pt idx="2">
                  <c:v>63.714263402670746</c:v>
                </c:pt>
                <c:pt idx="3">
                  <c:v>41.032139870428352</c:v>
                </c:pt>
                <c:pt idx="4">
                  <c:v>32.156526314333505</c:v>
                </c:pt>
                <c:pt idx="5">
                  <c:v>28.292313609639148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8088"/>
        <c:axId val="158925736"/>
      </c:scatterChart>
      <c:valAx>
        <c:axId val="15892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5736"/>
        <c:crosses val="autoZero"/>
        <c:crossBetween val="midCat"/>
      </c:valAx>
      <c:valAx>
        <c:axId val="1589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5.8023808601098592</c:v>
                </c:pt>
                <c:pt idx="1">
                  <c:v>22.811576153900912</c:v>
                </c:pt>
                <c:pt idx="2">
                  <c:v>26.594292280271613</c:v>
                </c:pt>
                <c:pt idx="3">
                  <c:v>29.871030033381423</c:v>
                </c:pt>
                <c:pt idx="4">
                  <c:v>40.822505706375907</c:v>
                </c:pt>
                <c:pt idx="5">
                  <c:v>51.734687405081729</c:v>
                </c:pt>
                <c:pt idx="6">
                  <c:v>61.261330722642697</c:v>
                </c:pt>
                <c:pt idx="7">
                  <c:v>66.088420704350938</c:v>
                </c:pt>
                <c:pt idx="8">
                  <c:v>68.586074555654932</c:v>
                </c:pt>
                <c:pt idx="9">
                  <c:v>72.255445992290788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9864"/>
        <c:axId val="219993592"/>
      </c:scatterChart>
      <c:valAx>
        <c:axId val="21999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993592"/>
        <c:crosses val="autoZero"/>
        <c:crossBetween val="midCat"/>
      </c:valAx>
      <c:valAx>
        <c:axId val="2199935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9998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3200"/>
        <c:axId val="219998688"/>
      </c:scatterChart>
      <c:valAx>
        <c:axId val="2199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8688"/>
        <c:crosses val="autoZero"/>
        <c:crossBetween val="midCat"/>
      </c:valAx>
      <c:valAx>
        <c:axId val="219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9080"/>
        <c:axId val="21999594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3984"/>
        <c:axId val="219995160"/>
      </c:scatterChart>
      <c:valAx>
        <c:axId val="2199990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5944"/>
        <c:crossesAt val="-40"/>
        <c:crossBetween val="midCat"/>
        <c:majorUnit val="20"/>
      </c:valAx>
      <c:valAx>
        <c:axId val="219995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9080"/>
        <c:crosses val="autoZero"/>
        <c:crossBetween val="midCat"/>
      </c:valAx>
      <c:valAx>
        <c:axId val="2199951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3984"/>
        <c:crosses val="max"/>
        <c:crossBetween val="midCat"/>
        <c:majorUnit val="40"/>
      </c:valAx>
      <c:valAx>
        <c:axId val="21999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99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2808"/>
        <c:axId val="219994376"/>
      </c:scatterChart>
      <c:valAx>
        <c:axId val="2199928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994376"/>
        <c:crosses val="autoZero"/>
        <c:crossBetween val="midCat"/>
      </c:valAx>
      <c:valAx>
        <c:axId val="219994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9992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7904"/>
        <c:axId val="219995552"/>
      </c:scatterChart>
      <c:valAx>
        <c:axId val="2199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5552"/>
        <c:crosses val="autoZero"/>
        <c:crossBetween val="midCat"/>
      </c:valAx>
      <c:valAx>
        <c:axId val="219995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7120"/>
        <c:axId val="219997512"/>
      </c:scatterChart>
      <c:valAx>
        <c:axId val="2199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997512"/>
        <c:crosses val="autoZero"/>
        <c:crossBetween val="midCat"/>
      </c:valAx>
      <c:valAx>
        <c:axId val="21999751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997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2184"/>
        <c:axId val="221110224"/>
      </c:scatterChart>
      <c:valAx>
        <c:axId val="2211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110224"/>
        <c:crosses val="autoZero"/>
        <c:crossBetween val="midCat"/>
      </c:valAx>
      <c:valAx>
        <c:axId val="22111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112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0.37438991313445885</c:v>
                </c:pt>
                <c:pt idx="1">
                  <c:v>0.24775550192291343</c:v>
                </c:pt>
                <c:pt idx="2">
                  <c:v>0.17399992676254664</c:v>
                </c:pt>
                <c:pt idx="3">
                  <c:v>0.12885988030816492</c:v>
                </c:pt>
                <c:pt idx="4">
                  <c:v>9.8693403584901765E-2</c:v>
                </c:pt>
                <c:pt idx="5">
                  <c:v>9.5000000000000001E-2</c:v>
                </c:pt>
                <c:pt idx="6">
                  <c:v>8.4357997881938471E-2</c:v>
                </c:pt>
                <c:pt idx="7">
                  <c:v>6.958273851598254E-2</c:v>
                </c:pt>
                <c:pt idx="8">
                  <c:v>5.7743711469960261E-2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9440"/>
        <c:axId val="221106696"/>
      </c:scatterChart>
      <c:valAx>
        <c:axId val="22110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106696"/>
        <c:crosses val="autoZero"/>
        <c:crossBetween val="midCat"/>
      </c:valAx>
      <c:valAx>
        <c:axId val="2211066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1094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0.37438991313445885</c:v>
                </c:pt>
                <c:pt idx="1">
                  <c:v>0.24775550192291343</c:v>
                </c:pt>
                <c:pt idx="2">
                  <c:v>0.17399992676254664</c:v>
                </c:pt>
                <c:pt idx="3">
                  <c:v>0.12885988030816492</c:v>
                </c:pt>
                <c:pt idx="4">
                  <c:v>9.8693403584901765E-2</c:v>
                </c:pt>
                <c:pt idx="5">
                  <c:v>9.5000000000000001E-2</c:v>
                </c:pt>
                <c:pt idx="6">
                  <c:v>8.4357997881938471E-2</c:v>
                </c:pt>
                <c:pt idx="7">
                  <c:v>6.958273851598254E-2</c:v>
                </c:pt>
                <c:pt idx="8">
                  <c:v>5.7743711469960261E-2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9048"/>
        <c:axId val="221109832"/>
      </c:scatterChart>
      <c:valAx>
        <c:axId val="22110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109832"/>
        <c:crosses val="autoZero"/>
        <c:crossBetween val="midCat"/>
      </c:valAx>
      <c:valAx>
        <c:axId val="2211098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1090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Ard4_Turn4_ESC4_G4b_T4a!$P$4:$P$12</c:f>
              <c:numCache>
                <c:formatCode>0</c:formatCode>
                <c:ptCount val="9"/>
                <c:pt idx="0">
                  <c:v>9933.7748344370866</c:v>
                </c:pt>
                <c:pt idx="1">
                  <c:v>14150.943396226416</c:v>
                </c:pt>
                <c:pt idx="2">
                  <c:v>17910.447761194031</c:v>
                </c:pt>
                <c:pt idx="3">
                  <c:v>22900.763358778626</c:v>
                </c:pt>
                <c:pt idx="4">
                  <c:v>28571.428571428572</c:v>
                </c:pt>
                <c:pt idx="5">
                  <c:v>32085.561497326202</c:v>
                </c:pt>
                <c:pt idx="6">
                  <c:v>35087.719298245618</c:v>
                </c:pt>
                <c:pt idx="7">
                  <c:v>40000</c:v>
                </c:pt>
                <c:pt idx="8">
                  <c:v>44117.647058823532</c:v>
                </c:pt>
              </c:numCache>
            </c:numRef>
          </c:xVal>
          <c:yVal>
            <c:numRef>
              <c:f>Ard4_Turn4_ESC4_G4b_T4a!$Q$4:$Q$12</c:f>
              <c:numCache>
                <c:formatCode>0</c:formatCode>
                <c:ptCount val="9"/>
                <c:pt idx="0">
                  <c:v>750.00000000000011</c:v>
                </c:pt>
                <c:pt idx="1">
                  <c:v>7317.0731707317073</c:v>
                </c:pt>
                <c:pt idx="2">
                  <c:v>11194.029850746268</c:v>
                </c:pt>
                <c:pt idx="3">
                  <c:v>16483.516483516483</c:v>
                </c:pt>
                <c:pt idx="4">
                  <c:v>21897.810218978102</c:v>
                </c:pt>
                <c:pt idx="5">
                  <c:v>24793.388429752067</c:v>
                </c:pt>
                <c:pt idx="6">
                  <c:v>27906.976744186049</c:v>
                </c:pt>
                <c:pt idx="7">
                  <c:v>32608.695652173916</c:v>
                </c:pt>
                <c:pt idx="8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0616"/>
        <c:axId val="221107872"/>
      </c:scatterChart>
      <c:valAx>
        <c:axId val="22111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07872"/>
        <c:crosses val="autoZero"/>
        <c:crossBetween val="midCat"/>
      </c:valAx>
      <c:valAx>
        <c:axId val="2211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1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7320"/>
        <c:axId val="158671648"/>
      </c:scatterChart>
      <c:valAx>
        <c:axId val="12631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671648"/>
        <c:crosses val="autoZero"/>
        <c:crossBetween val="midCat"/>
      </c:valAx>
      <c:valAx>
        <c:axId val="1586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631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15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178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21.557671081677704</c:v>
                </c:pt>
                <c:pt idx="1">
                  <c:v>30.709512578616351</c:v>
                </c:pt>
                <c:pt idx="2">
                  <c:v>38.868159203980099</c:v>
                </c:pt>
                <c:pt idx="3">
                  <c:v>49.697837150127228</c:v>
                </c:pt>
                <c:pt idx="4">
                  <c:v>62.003968253968253</c:v>
                </c:pt>
                <c:pt idx="5">
                  <c:v>69.630124777183596</c:v>
                </c:pt>
                <c:pt idx="6">
                  <c:v>76.145224171539965</c:v>
                </c:pt>
                <c:pt idx="7">
                  <c:v>86.805555555555557</c:v>
                </c:pt>
                <c:pt idx="8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1792"/>
        <c:axId val="221111008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16.175039999999999</c:v>
                </c:pt>
                <c:pt idx="4">
                  <c:v>30.835600000000003</c:v>
                </c:pt>
                <c:pt idx="5">
                  <c:v>53.8322</c:v>
                </c:pt>
                <c:pt idx="6">
                  <c:v>69.72</c:v>
                </c:pt>
                <c:pt idx="7">
                  <c:v>90.417600000000007</c:v>
                </c:pt>
                <c:pt idx="8">
                  <c:v>124.68819999999999</c:v>
                </c:pt>
                <c:pt idx="9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7480"/>
        <c:axId val="221105128"/>
      </c:scatterChart>
      <c:valAx>
        <c:axId val="2211117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11008"/>
        <c:crossesAt val="-40"/>
        <c:crossBetween val="midCat"/>
        <c:majorUnit val="20"/>
      </c:valAx>
      <c:valAx>
        <c:axId val="221111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11792"/>
        <c:crosses val="autoZero"/>
        <c:crossBetween val="midCat"/>
      </c:valAx>
      <c:valAx>
        <c:axId val="2211051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07480"/>
        <c:crosses val="max"/>
        <c:crossBetween val="midCat"/>
        <c:majorUnit val="40"/>
      </c:valAx>
      <c:valAx>
        <c:axId val="221107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10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76.145224171539965</c:v>
                </c:pt>
                <c:pt idx="8">
                  <c:v>86.805555555555557</c:v>
                </c:pt>
                <c:pt idx="9">
                  <c:v>95.741421568627459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2.0444631362320002E-2</c:v>
                </c:pt>
                <c:pt idx="4">
                  <c:v>4.0104764854640006E-2</c:v>
                </c:pt>
                <c:pt idx="5">
                  <c:v>7.0943711379840013E-2</c:v>
                </c:pt>
                <c:pt idx="6">
                  <c:v>9.2249600711440005E-2</c:v>
                </c:pt>
                <c:pt idx="7">
                  <c:v>0.12000553765864003</c:v>
                </c:pt>
                <c:pt idx="8">
                  <c:v>0.16596316621184001</c:v>
                </c:pt>
                <c:pt idx="9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5912"/>
        <c:axId val="221106304"/>
      </c:scatterChart>
      <c:valAx>
        <c:axId val="221105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1106304"/>
        <c:crosses val="autoZero"/>
        <c:crossBetween val="midCat"/>
      </c:valAx>
      <c:valAx>
        <c:axId val="22110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1105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2702.6697175951012</c:v>
                </c:pt>
                <c:pt idx="1">
                  <c:v>7138.4866811744396</c:v>
                </c:pt>
                <c:pt idx="2">
                  <c:v>15005.216013525915</c:v>
                </c:pt>
                <c:pt idx="3">
                  <c:v>18841.911270834102</c:v>
                </c:pt>
                <c:pt idx="4">
                  <c:v>24640.848642300854</c:v>
                </c:pt>
                <c:pt idx="5">
                  <c:v>30346.002469076866</c:v>
                </c:pt>
                <c:pt idx="6">
                  <c:v>32922.1559679731</c:v>
                </c:pt>
                <c:pt idx="7">
                  <c:v>35104.339970826579</c:v>
                </c:pt>
                <c:pt idx="8">
                  <c:v>38241.653832148877</c:v>
                </c:pt>
                <c:pt idx="9">
                  <c:v>42517.670928599298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5512"/>
        <c:axId val="220814336"/>
      </c:scatterChart>
      <c:valAx>
        <c:axId val="22081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14336"/>
        <c:crosses val="autoZero"/>
        <c:crossBetween val="midCat"/>
      </c:valAx>
      <c:valAx>
        <c:axId val="22081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3.273865381871955E-3</c:v>
                </c:pt>
                <c:pt idx="4">
                  <c:v>6.4762696556799728E-3</c:v>
                </c:pt>
                <c:pt idx="5">
                  <c:v>1.0319622855798637E-2</c:v>
                </c:pt>
                <c:pt idx="6">
                  <c:v>1.2378840971476832E-2</c:v>
                </c:pt>
                <c:pt idx="7">
                  <c:v>1.5241418717777001E-2</c:v>
                </c:pt>
                <c:pt idx="8">
                  <c:v>1.9069713553571042E-2</c:v>
                </c:pt>
                <c:pt idx="9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5904"/>
        <c:axId val="220810808"/>
      </c:scatterChart>
      <c:valAx>
        <c:axId val="2208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810808"/>
        <c:crosses val="autoZero"/>
        <c:crossBetween val="midCat"/>
      </c:valAx>
      <c:valAx>
        <c:axId val="2208108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081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Ard4_Turn4_ESC4_G4b_T4a!$E$2:$E$12</c:f>
              <c:numCache>
                <c:formatCode>General</c:formatCode>
                <c:ptCount val="11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0.88100000000000001</c:v>
                </c:pt>
                <c:pt idx="5">
                  <c:v>1.2849999999999999</c:v>
                </c:pt>
                <c:pt idx="6">
                  <c:v>1.702</c:v>
                </c:pt>
                <c:pt idx="7">
                  <c:v>1.9330000000000001</c:v>
                </c:pt>
                <c:pt idx="8">
                  <c:v>2.1789999999999998</c:v>
                </c:pt>
                <c:pt idx="9">
                  <c:v>2.5299999999999998</c:v>
                </c:pt>
                <c:pt idx="10">
                  <c:v>2.82</c:v>
                </c:pt>
              </c:numCache>
            </c:numRef>
          </c:xVal>
          <c:yVal>
            <c:numRef>
              <c:f>Ard4_Turn4_ESC4_G4b_T4a!$Q$2:$Q$12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11194.029850746268</c:v>
                </c:pt>
                <c:pt idx="5">
                  <c:v>16483.516483516483</c:v>
                </c:pt>
                <c:pt idx="6">
                  <c:v>21897.810218978102</c:v>
                </c:pt>
                <c:pt idx="7">
                  <c:v>24793.388429752067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3160"/>
        <c:axId val="220812376"/>
      </c:scatterChart>
      <c:valAx>
        <c:axId val="22081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812376"/>
        <c:crosses val="autoZero"/>
        <c:crossBetween val="midCat"/>
      </c:valAx>
      <c:valAx>
        <c:axId val="2208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13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3944"/>
        <c:axId val="220811984"/>
      </c:scatterChart>
      <c:valAx>
        <c:axId val="22081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811984"/>
        <c:crosses val="autoZero"/>
        <c:crossBetween val="midCat"/>
      </c:valAx>
      <c:valAx>
        <c:axId val="2208119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08139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0</c:v>
                </c:pt>
                <c:pt idx="1">
                  <c:v>16.540096866619763</c:v>
                </c:pt>
                <c:pt idx="2">
                  <c:v>24.942809896736904</c:v>
                </c:pt>
                <c:pt idx="3">
                  <c:v>37.643012374179307</c:v>
                </c:pt>
                <c:pt idx="4">
                  <c:v>50.137820323223224</c:v>
                </c:pt>
                <c:pt idx="5">
                  <c:v>55.779831773448365</c:v>
                </c:pt>
                <c:pt idx="6">
                  <c:v>60.559014044952193</c:v>
                </c:pt>
                <c:pt idx="7">
                  <c:v>67.430017941309458</c:v>
                </c:pt>
                <c:pt idx="8">
                  <c:v>76.794885923698061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0.125818603177664</c:v>
                </c:pt>
                <c:pt idx="1">
                  <c:v>8.4651014853752968E-2</c:v>
                </c:pt>
                <c:pt idx="2">
                  <c:v>7.3001555323770131E-2</c:v>
                </c:pt>
                <c:pt idx="3">
                  <c:v>6.0431717885961765E-2</c:v>
                </c:pt>
                <c:pt idx="4">
                  <c:v>5.167748909954361E-2</c:v>
                </c:pt>
                <c:pt idx="5">
                  <c:v>4.8504700353765438E-2</c:v>
                </c:pt>
                <c:pt idx="6">
                  <c:v>4.6106835515446754E-2</c:v>
                </c:pt>
                <c:pt idx="7">
                  <c:v>4.3047313865158747E-2</c:v>
                </c:pt>
                <c:pt idx="8">
                  <c:v>3.9476944024845896E-2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0024"/>
        <c:axId val="220813552"/>
      </c:scatterChart>
      <c:valAx>
        <c:axId val="22081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813552"/>
        <c:crosses val="autoZero"/>
        <c:crossBetween val="midCat"/>
      </c:valAx>
      <c:valAx>
        <c:axId val="2208135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0810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5120"/>
        <c:axId val="220808456"/>
      </c:scatterChart>
      <c:valAx>
        <c:axId val="2208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08456"/>
        <c:crosses val="autoZero"/>
        <c:crossBetween val="midCat"/>
      </c:valAx>
      <c:valAx>
        <c:axId val="2208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09240"/>
        <c:axId val="220810416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0328"/>
        <c:axId val="219667976"/>
      </c:scatterChart>
      <c:valAx>
        <c:axId val="2208092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10416"/>
        <c:crossesAt val="-40"/>
        <c:crossBetween val="midCat"/>
        <c:majorUnit val="20"/>
      </c:valAx>
      <c:valAx>
        <c:axId val="220810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09240"/>
        <c:crosses val="autoZero"/>
        <c:crossBetween val="midCat"/>
      </c:valAx>
      <c:valAx>
        <c:axId val="2196679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670328"/>
        <c:crosses val="max"/>
        <c:crossBetween val="midCat"/>
        <c:majorUnit val="40"/>
      </c:valAx>
      <c:valAx>
        <c:axId val="219670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66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1896"/>
        <c:axId val="219663664"/>
      </c:scatterChart>
      <c:valAx>
        <c:axId val="2196718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663664"/>
        <c:crosses val="autoZero"/>
        <c:crossBetween val="midCat"/>
      </c:valAx>
      <c:valAx>
        <c:axId val="21966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967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1256"/>
        <c:axId val="158672040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2432"/>
        <c:axId val="158673216"/>
      </c:scatterChart>
      <c:valAx>
        <c:axId val="1586712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672040"/>
        <c:crossesAt val="-40"/>
        <c:crossBetween val="midCat"/>
        <c:majorUnit val="20"/>
      </c:valAx>
      <c:valAx>
        <c:axId val="158672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671256"/>
        <c:crosses val="autoZero"/>
        <c:crossBetween val="midCat"/>
      </c:valAx>
      <c:valAx>
        <c:axId val="1586732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672432"/>
        <c:crosses val="max"/>
        <c:crossBetween val="midCat"/>
        <c:majorUnit val="40"/>
      </c:valAx>
      <c:valAx>
        <c:axId val="15867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6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0720"/>
        <c:axId val="219662096"/>
      </c:scatterChart>
      <c:valAx>
        <c:axId val="2196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662096"/>
        <c:crosses val="autoZero"/>
        <c:crossBetween val="midCat"/>
      </c:valAx>
      <c:valAx>
        <c:axId val="21966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6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6016"/>
        <c:axId val="219660920"/>
      </c:scatterChart>
      <c:valAx>
        <c:axId val="2196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660920"/>
        <c:crosses val="autoZero"/>
        <c:crossBetween val="midCat"/>
      </c:valAx>
      <c:valAx>
        <c:axId val="2196609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66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8760"/>
        <c:axId val="219667192"/>
      </c:scatterChart>
      <c:valAx>
        <c:axId val="21966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67192"/>
        <c:crosses val="autoZero"/>
        <c:crossBetween val="midCat"/>
      </c:valAx>
      <c:valAx>
        <c:axId val="21966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68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3272"/>
        <c:axId val="219666408"/>
      </c:scatterChart>
      <c:valAx>
        <c:axId val="21966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666408"/>
        <c:crosses val="autoZero"/>
        <c:crossBetween val="midCat"/>
      </c:valAx>
      <c:valAx>
        <c:axId val="2196664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6632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2488"/>
        <c:axId val="219671112"/>
      </c:scatterChart>
      <c:valAx>
        <c:axId val="21966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71112"/>
        <c:crosses val="autoZero"/>
        <c:crossBetween val="midCat"/>
      </c:valAx>
      <c:valAx>
        <c:axId val="2196711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6624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59744"/>
        <c:axId val="219660136"/>
      </c:scatterChart>
      <c:valAx>
        <c:axId val="2196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0136"/>
        <c:crosses val="autoZero"/>
        <c:crossBetween val="midCat"/>
      </c:valAx>
      <c:valAx>
        <c:axId val="2196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5232"/>
        <c:axId val="21966288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1312"/>
        <c:axId val="219664840"/>
      </c:scatterChart>
      <c:valAx>
        <c:axId val="2196652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2880"/>
        <c:crossesAt val="-40"/>
        <c:crossBetween val="midCat"/>
        <c:majorUnit val="20"/>
      </c:valAx>
      <c:valAx>
        <c:axId val="219662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5232"/>
        <c:crosses val="autoZero"/>
        <c:crossBetween val="midCat"/>
      </c:valAx>
      <c:valAx>
        <c:axId val="2196648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1312"/>
        <c:crosses val="max"/>
        <c:crossBetween val="midCat"/>
        <c:majorUnit val="40"/>
      </c:valAx>
      <c:valAx>
        <c:axId val="21966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66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0528"/>
        <c:axId val="219665624"/>
      </c:scatterChart>
      <c:valAx>
        <c:axId val="2196605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9665624"/>
        <c:crosses val="autoZero"/>
        <c:crossBetween val="midCat"/>
      </c:valAx>
      <c:valAx>
        <c:axId val="219665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6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3072"/>
        <c:axId val="219673856"/>
      </c:scatterChart>
      <c:valAx>
        <c:axId val="2196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3856"/>
        <c:crosses val="autoZero"/>
        <c:crossBetween val="midCat"/>
      </c:valAx>
      <c:valAx>
        <c:axId val="219673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5424"/>
        <c:axId val="219672288"/>
      </c:scatterChart>
      <c:valAx>
        <c:axId val="2196754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9672288"/>
        <c:crosses val="autoZero"/>
        <c:crossBetween val="midCat"/>
      </c:valAx>
      <c:valAx>
        <c:axId val="2196722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67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3608"/>
        <c:axId val="158670080"/>
      </c:scatterChart>
      <c:valAx>
        <c:axId val="1586736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670080"/>
        <c:crosses val="autoZero"/>
        <c:crossBetween val="midCat"/>
      </c:valAx>
      <c:valAx>
        <c:axId val="158670080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73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4640"/>
        <c:axId val="219674248"/>
      </c:scatterChart>
      <c:valAx>
        <c:axId val="21967464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674248"/>
        <c:crosses val="autoZero"/>
        <c:crossBetween val="midCat"/>
      </c:valAx>
      <c:valAx>
        <c:axId val="21967424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9674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7160"/>
        <c:axId val="223439120"/>
      </c:scatterChart>
      <c:valAx>
        <c:axId val="22343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9120"/>
        <c:crosses val="autoZero"/>
        <c:crossBetween val="midCat"/>
      </c:valAx>
      <c:valAx>
        <c:axId val="2234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5592"/>
        <c:axId val="223435984"/>
      </c:scatterChart>
      <c:valAx>
        <c:axId val="2234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5984"/>
        <c:crosses val="autoZero"/>
        <c:crossBetween val="midCat"/>
      </c:valAx>
      <c:valAx>
        <c:axId val="223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6376"/>
        <c:axId val="223427752"/>
      </c:scatterChart>
      <c:valAx>
        <c:axId val="2234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7752"/>
        <c:crosses val="autoZero"/>
        <c:crossBetween val="midCat"/>
      </c:valAx>
      <c:valAx>
        <c:axId val="223427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28144"/>
        <c:axId val="223430888"/>
      </c:scatterChart>
      <c:valAx>
        <c:axId val="223428144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23430888"/>
        <c:crosses val="autoZero"/>
        <c:crossBetween val="midCat"/>
        <c:minorUnit val="2"/>
      </c:valAx>
      <c:valAx>
        <c:axId val="22343088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2342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7552"/>
        <c:axId val="223432456"/>
      </c:scatterChart>
      <c:valAx>
        <c:axId val="2234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2456"/>
        <c:crosses val="autoZero"/>
        <c:crossBetween val="midCat"/>
      </c:valAx>
      <c:valAx>
        <c:axId val="2234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6768"/>
        <c:axId val="223437944"/>
      </c:scatterChart>
      <c:valAx>
        <c:axId val="2234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7944"/>
        <c:crosses val="autoZero"/>
        <c:crossBetween val="midCat"/>
      </c:valAx>
      <c:valAx>
        <c:axId val="2234379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4024"/>
        <c:axId val="223434808"/>
      </c:scatterChart>
      <c:valAx>
        <c:axId val="22343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4808"/>
        <c:crosses val="autoZero"/>
        <c:crossBetween val="midCat"/>
      </c:valAx>
      <c:valAx>
        <c:axId val="2234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5200"/>
        <c:axId val="22343951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27360"/>
        <c:axId val="223433240"/>
      </c:scatterChart>
      <c:valAx>
        <c:axId val="2234352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9512"/>
        <c:crossesAt val="-40"/>
        <c:crossBetween val="midCat"/>
        <c:majorUnit val="20"/>
      </c:valAx>
      <c:valAx>
        <c:axId val="223439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5200"/>
        <c:crosses val="autoZero"/>
        <c:crossBetween val="midCat"/>
      </c:valAx>
      <c:valAx>
        <c:axId val="2234332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7360"/>
        <c:crosses val="max"/>
        <c:crossBetween val="midCat"/>
        <c:majorUnit val="40"/>
      </c:valAx>
      <c:valAx>
        <c:axId val="22342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43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28928"/>
        <c:axId val="223429320"/>
      </c:scatterChart>
      <c:valAx>
        <c:axId val="2234289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429320"/>
        <c:crosses val="autoZero"/>
        <c:crossBetween val="midCat"/>
      </c:valAx>
      <c:valAx>
        <c:axId val="22342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42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2096"/>
        <c:axId val="159573272"/>
      </c:scatterChart>
      <c:valAx>
        <c:axId val="1595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9573272"/>
        <c:crosses val="autoZero"/>
        <c:crossBetween val="midCat"/>
      </c:valAx>
      <c:valAx>
        <c:axId val="159573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95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0104"/>
        <c:axId val="223430496"/>
      </c:scatterChart>
      <c:valAx>
        <c:axId val="22343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0496"/>
        <c:crosses val="autoZero"/>
        <c:crossBetween val="midCat"/>
      </c:valAx>
      <c:valAx>
        <c:axId val="22343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3040"/>
        <c:axId val="223440296"/>
      </c:scatterChart>
      <c:valAx>
        <c:axId val="2234430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3440296"/>
        <c:crosses val="autoZero"/>
        <c:crossBetween val="midCat"/>
      </c:valAx>
      <c:valAx>
        <c:axId val="22344029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34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0688"/>
        <c:axId val="223441472"/>
      </c:scatterChart>
      <c:valAx>
        <c:axId val="223440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3441472"/>
        <c:crosses val="autoZero"/>
        <c:crossBetween val="midCat"/>
        <c:dispUnits>
          <c:builtInUnit val="thousands"/>
          <c:dispUnitsLbl/>
        </c:dispUnits>
      </c:valAx>
      <c:valAx>
        <c:axId val="2234414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344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1864"/>
        <c:axId val="223442256"/>
      </c:scatterChart>
      <c:valAx>
        <c:axId val="22344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442256"/>
        <c:crosses val="autoZero"/>
        <c:crossBetween val="midCat"/>
      </c:valAx>
      <c:valAx>
        <c:axId val="22344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1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2376"/>
        <c:axId val="223871592"/>
      </c:scatterChart>
      <c:valAx>
        <c:axId val="223872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3871592"/>
        <c:crosses val="autoZero"/>
        <c:crossBetween val="midCat"/>
      </c:valAx>
      <c:valAx>
        <c:axId val="2238715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3872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8848"/>
        <c:axId val="223866496"/>
      </c:scatterChart>
      <c:valAx>
        <c:axId val="2238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6496"/>
        <c:crosses val="autoZero"/>
        <c:crossBetween val="midCat"/>
      </c:valAx>
      <c:valAx>
        <c:axId val="2238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9240"/>
        <c:axId val="223867672"/>
      </c:scatterChart>
      <c:valAx>
        <c:axId val="2238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7672"/>
        <c:crosses val="autoZero"/>
        <c:crossBetween val="midCat"/>
      </c:valAx>
      <c:valAx>
        <c:axId val="2238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6888"/>
        <c:axId val="22387198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8064"/>
        <c:axId val="223867280"/>
      </c:scatterChart>
      <c:valAx>
        <c:axId val="2238668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71984"/>
        <c:crosses val="autoZero"/>
        <c:crossBetween val="midCat"/>
      </c:valAx>
      <c:valAx>
        <c:axId val="2238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6888"/>
        <c:crosses val="autoZero"/>
        <c:crossBetween val="midCat"/>
      </c:valAx>
      <c:valAx>
        <c:axId val="22386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8064"/>
        <c:crosses val="max"/>
        <c:crossBetween val="midCat"/>
      </c:valAx>
      <c:valAx>
        <c:axId val="2238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3160"/>
        <c:axId val="223869632"/>
      </c:scatterChart>
      <c:valAx>
        <c:axId val="2238731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869632"/>
        <c:crosses val="autoZero"/>
        <c:crossBetween val="midCat"/>
      </c:valAx>
      <c:valAx>
        <c:axId val="22386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873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0808"/>
        <c:axId val="223870416"/>
      </c:scatterChart>
      <c:valAx>
        <c:axId val="22387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870416"/>
        <c:crosses val="autoZero"/>
        <c:crossBetween val="midCat"/>
      </c:valAx>
      <c:valAx>
        <c:axId val="22387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70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2488"/>
        <c:axId val="159571704"/>
      </c:scatterChart>
      <c:valAx>
        <c:axId val="15957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9571704"/>
        <c:crosses val="autoZero"/>
        <c:crossBetween val="midCat"/>
      </c:valAx>
      <c:valAx>
        <c:axId val="15957170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59572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6128"/>
        <c:axId val="224638528"/>
      </c:scatterChart>
      <c:valAx>
        <c:axId val="15892612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8528"/>
        <c:crosses val="autoZero"/>
        <c:crossBetween val="midCat"/>
      </c:valAx>
      <c:valAx>
        <c:axId val="2246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12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40488"/>
        <c:axId val="224634608"/>
      </c:scatterChart>
      <c:valAx>
        <c:axId val="2246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4608"/>
        <c:crosses val="autoZero"/>
        <c:crossBetween val="midCat"/>
      </c:valAx>
      <c:valAx>
        <c:axId val="224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43232"/>
        <c:axId val="224635000"/>
      </c:scatterChart>
      <c:valAx>
        <c:axId val="2246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5000"/>
        <c:crosses val="autoZero"/>
        <c:crossBetween val="midCat"/>
      </c:valAx>
      <c:valAx>
        <c:axId val="2246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39312"/>
        <c:axId val="224641272"/>
      </c:scatterChart>
      <c:valAx>
        <c:axId val="224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1272"/>
        <c:crosses val="autoZero"/>
        <c:crossBetween val="midCat"/>
      </c:valAx>
      <c:valAx>
        <c:axId val="224641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0528"/>
        <c:axId val="159570920"/>
      </c:scatterChart>
      <c:valAx>
        <c:axId val="1595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70920"/>
        <c:crosses val="autoZero"/>
        <c:crossBetween val="midCat"/>
      </c:valAx>
      <c:valAx>
        <c:axId val="15957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7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4.4" x14ac:dyDescent="0.3"/>
  <sheetData>
    <row r="1" spans="1:32" x14ac:dyDescent="0.3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x14ac:dyDescent="0.3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9" si="2">LN(K2)*$C$21+$B$21</f>
        <v>-3475.6059285425108</v>
      </c>
      <c r="O2" s="174">
        <f>O3</f>
        <v>1977.8033061988792</v>
      </c>
      <c r="P2" s="96">
        <f>Ard2_Turn2_ESC2_G2b_T2a!D2</f>
        <v>5.7969930558608072</v>
      </c>
      <c r="Q2" s="174">
        <f>Ard2_Turn2_ESC2_G2b_T2a!P2</f>
        <v>5.9999999999999995E-25</v>
      </c>
      <c r="R2" s="174">
        <f>R3</f>
        <v>2676.0568181447202</v>
      </c>
      <c r="S2" s="174">
        <f t="shared" ref="S2:S13" si="3">LN(P2)*$C$21+$B$21</f>
        <v>-2501.3908218524557</v>
      </c>
      <c r="T2" s="174">
        <f>T3</f>
        <v>1793.7335530769128</v>
      </c>
      <c r="U2" s="96">
        <f>Ard3_Turn3_ESC3_G3b_T3a!D2</f>
        <v>8.7271708346327035</v>
      </c>
      <c r="V2" s="174">
        <f>Ard3_Turn3_ESC3_G3b_T3a!P2</f>
        <v>5.9999999999999995E-25</v>
      </c>
      <c r="W2" s="174">
        <f>W3</f>
        <v>1766.9395108662529</v>
      </c>
      <c r="X2" s="174">
        <f t="shared" ref="X2:X14" si="4">LN(U2)*$C$21+$B$21</f>
        <v>2841.8890800862428</v>
      </c>
      <c r="Y2" s="174">
        <f>Y3</f>
        <v>1170.6881653899857</v>
      </c>
      <c r="Z2" s="96">
        <f>Ard4_Turn4_ESC4_G4b_T4a!D2</f>
        <v>9.1059042173196207</v>
      </c>
      <c r="AA2" s="174">
        <f>Ard4_Turn4_ESC4_G4b_T4a!P2</f>
        <v>5.9999999999999995E-25</v>
      </c>
      <c r="AB2" s="174">
        <f>AB3</f>
        <v>4190.1301977858784</v>
      </c>
      <c r="AC2" s="174">
        <f t="shared" ref="AC2:AC5" si="5">LN(Z2)*$C$21+$B$21</f>
        <v>3396.7435410153012</v>
      </c>
      <c r="AD2" s="174">
        <f>AD3</f>
        <v>1303.0843738596254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3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9</v>
      </c>
      <c r="Q3" s="174">
        <f>Ard2_Turn2_ESC2_G2b_T2a!P3</f>
        <v>8571.4285714285725</v>
      </c>
      <c r="R3" s="174">
        <f>(Q3-Q2)/(P3-P2)</f>
        <v>2676.0568181447202</v>
      </c>
      <c r="S3" s="174">
        <f t="shared" si="3"/>
        <v>3243.9502045883637</v>
      </c>
      <c r="T3" s="174">
        <f>(S3-S2)/(P3-P2)</f>
        <v>1793.7335530769128</v>
      </c>
      <c r="U3" s="96">
        <f>Ard3_Turn3_ESC3_G3b_T3a!D3</f>
        <v>14</v>
      </c>
      <c r="V3" s="174">
        <f>Ard3_Turn3_ESC3_G3b_T3a!P3</f>
        <v>9316.7701863354032</v>
      </c>
      <c r="W3" s="174">
        <f>(V3-V2)/(U3-U2)</f>
        <v>1766.9395108662529</v>
      </c>
      <c r="X3" s="174">
        <f t="shared" si="4"/>
        <v>9014.727782104892</v>
      </c>
      <c r="Y3" s="174">
        <f>(X3-X2)/(U3-U2)</f>
        <v>1170.6881653899857</v>
      </c>
      <c r="Z3" s="96">
        <f>Ard4_Turn4_ESC4_G4b_T4a!D3</f>
        <v>11</v>
      </c>
      <c r="AA3" s="174">
        <f>Ard4_Turn4_ESC4_G4b_T4a!P3</f>
        <v>7936.5079365079364</v>
      </c>
      <c r="AB3" s="174">
        <f>(AA3-AA2)/(Z3-Z2)</f>
        <v>4190.1301977858784</v>
      </c>
      <c r="AC3" s="174">
        <f t="shared" si="5"/>
        <v>5864.9101580195202</v>
      </c>
      <c r="AD3" s="174">
        <f>(AC3-AC2)/(Z3-Z2)</f>
        <v>1303.0843738596254</v>
      </c>
      <c r="AE3">
        <f t="shared" si="6"/>
        <v>15</v>
      </c>
      <c r="AF3" s="174">
        <f t="shared" si="7"/>
        <v>8287.2928176795576</v>
      </c>
    </row>
    <row r="4" spans="1:32" x14ac:dyDescent="0.3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9" si="12">(L4-L3)/(K4-K3)</f>
        <v>832.58122743682293</v>
      </c>
      <c r="N4" s="174">
        <f t="shared" si="2"/>
        <v>7001.3657528810727</v>
      </c>
      <c r="O4" s="174">
        <f t="shared" ref="O4:O9" si="13">(N4-N3)/(K4-K3)</f>
        <v>1323.9449442501846</v>
      </c>
      <c r="P4" s="96">
        <f>Ard2_Turn2_ESC2_G2b_T2a!D4</f>
        <v>12</v>
      </c>
      <c r="Q4" s="174">
        <f>Ard2_Turn2_ESC2_G2b_T2a!P4</f>
        <v>9933.7748344370866</v>
      </c>
      <c r="R4" s="174">
        <f t="shared" ref="R4:R13" si="14">(Q4-Q3)/(P4-P3)</f>
        <v>454.11542100283805</v>
      </c>
      <c r="S4" s="174">
        <f t="shared" si="3"/>
        <v>7001.3657528810727</v>
      </c>
      <c r="T4" s="174">
        <f t="shared" ref="T4:T13" si="15">(S4-S3)/(P4-P3)</f>
        <v>1252.4718494309029</v>
      </c>
      <c r="U4" s="96">
        <f>Ard3_Turn3_ESC3_G3b_T3a!D4</f>
        <v>18</v>
      </c>
      <c r="V4" s="174">
        <f>Ard3_Turn3_ESC3_G3b_T3a!P4</f>
        <v>12000.000000000002</v>
      </c>
      <c r="W4" s="174">
        <f t="shared" ref="W4:W14" si="16">(V4-V3)/(U4-U3)</f>
        <v>670.80745341614966</v>
      </c>
      <c r="X4" s="174">
        <f t="shared" si="4"/>
        <v>12297.145529881804</v>
      </c>
      <c r="Y4" s="174">
        <f t="shared" ref="Y4:Y14" si="17">(X4-X3)/(U4-U3)</f>
        <v>820.60443694422793</v>
      </c>
      <c r="Z4" s="96">
        <f>Ard4_Turn4_ESC4_G4b_T4a!D4</f>
        <v>15</v>
      </c>
      <c r="AA4" s="174">
        <f>Ard4_Turn4_ESC4_G4b_T4a!P4</f>
        <v>9933.7748344370866</v>
      </c>
      <c r="AB4" s="174">
        <f t="shared" ref="AB4:AB5" si="18">(AA4-AA3)/(Z4-Z3)</f>
        <v>499.31672448228755</v>
      </c>
      <c r="AC4" s="174">
        <f t="shared" si="5"/>
        <v>9915.8436765959632</v>
      </c>
      <c r="AD4" s="174">
        <f t="shared" ref="AD4:AD5" si="19">(AC4-AC3)/(Z4-Z3)</f>
        <v>1012.7333796441108</v>
      </c>
      <c r="AE4">
        <f t="shared" si="6"/>
        <v>17</v>
      </c>
      <c r="AF4" s="174">
        <f t="shared" si="7"/>
        <v>9375</v>
      </c>
    </row>
    <row r="5" spans="1:32" x14ac:dyDescent="0.3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16129.032258064515</v>
      </c>
      <c r="R5" s="174">
        <f t="shared" si="14"/>
        <v>516.27145196895242</v>
      </c>
      <c r="S5" s="174">
        <f t="shared" si="3"/>
        <v>16054.56107817452</v>
      </c>
      <c r="T5" s="174">
        <f t="shared" si="15"/>
        <v>754.43294377445397</v>
      </c>
      <c r="U5" s="96">
        <f>Ard3_Turn3_ESC3_G3b_T3a!D5</f>
        <v>24</v>
      </c>
      <c r="V5" s="174">
        <f>Ard3_Turn3_ESC3_G3b_T3a!P5</f>
        <v>14851.485148514852</v>
      </c>
      <c r="W5" s="174">
        <f t="shared" si="16"/>
        <v>475.24752475247504</v>
      </c>
      <c r="X5" s="174">
        <f t="shared" si="4"/>
        <v>16054.56107817452</v>
      </c>
      <c r="Y5" s="174">
        <f t="shared" si="17"/>
        <v>626.23592471545271</v>
      </c>
      <c r="Z5" s="96">
        <f>Ard4_Turn4_ESC4_G4b_T4a!D5</f>
        <v>26</v>
      </c>
      <c r="AA5" s="174">
        <f>Ard4_Turn4_ESC4_G4b_T4a!P5</f>
        <v>14150.943396226416</v>
      </c>
      <c r="AB5" s="174">
        <f t="shared" si="18"/>
        <v>383.37896016266626</v>
      </c>
      <c r="AC5" s="174">
        <f t="shared" si="5"/>
        <v>17099.998883098575</v>
      </c>
      <c r="AD5" s="174">
        <f t="shared" si="19"/>
        <v>653.10501877296474</v>
      </c>
      <c r="AE5">
        <f t="shared" si="6"/>
        <v>20</v>
      </c>
      <c r="AF5" s="174">
        <f t="shared" si="7"/>
        <v>11811.023622047245</v>
      </c>
    </row>
    <row r="6" spans="1:32" x14ac:dyDescent="0.3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17341.040462427747</v>
      </c>
      <c r="R6" s="174">
        <f t="shared" si="14"/>
        <v>303.00205109080798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16574.585635359115</v>
      </c>
      <c r="W6" s="174">
        <f t="shared" si="16"/>
        <v>430.77512171106582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17910.447761194031</v>
      </c>
      <c r="AB6" s="174">
        <f t="shared" ref="AB6:AB12" si="20">(AA6-AA5)/(Z6-Z5)</f>
        <v>469.93804562095193</v>
      </c>
      <c r="AC6" s="174">
        <f t="shared" ref="AC6:AC12" si="21">LN(Z6)*$C$21+$B$21</f>
        <v>20603.794812011685</v>
      </c>
      <c r="AD6" s="174">
        <f t="shared" ref="AD6:AD12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x14ac:dyDescent="0.3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18867.92452830189</v>
      </c>
      <c r="R7" s="174">
        <f t="shared" si="14"/>
        <v>381.72101646853571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444.95531907004352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22900.763358778626</v>
      </c>
      <c r="AB7" s="174">
        <f t="shared" si="20"/>
        <v>293.54797632850557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x14ac:dyDescent="0.3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24193.548387096776</v>
      </c>
      <c r="R8" s="174">
        <f t="shared" si="14"/>
        <v>295.86799215527145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24193.548387096776</v>
      </c>
      <c r="W8" s="174">
        <f t="shared" si="16"/>
        <v>253.70751244858207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28571.428571428572</v>
      </c>
      <c r="AB8" s="174">
        <f t="shared" si="20"/>
        <v>226.82660850599785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x14ac:dyDescent="0.3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30150.753768844224</v>
      </c>
      <c r="R9" s="174">
        <f t="shared" si="14"/>
        <v>212.75733506240886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28571.428571428572</v>
      </c>
      <c r="W9" s="174">
        <f t="shared" si="16"/>
        <v>208.47048496818076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32085.561497326202</v>
      </c>
      <c r="AB9" s="174">
        <f t="shared" si="20"/>
        <v>234.27552839317528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x14ac:dyDescent="0.3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35294.117647058825</v>
      </c>
      <c r="R10" s="174">
        <f t="shared" si="14"/>
        <v>139.00983454634056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33333.333333333336</v>
      </c>
      <c r="W10" s="174">
        <f t="shared" si="16"/>
        <v>226.75736961451253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35087.719298245618</v>
      </c>
      <c r="AB10" s="174">
        <f t="shared" si="20"/>
        <v>200.14385339462777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x14ac:dyDescent="0.3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38709.677419354841</v>
      </c>
      <c r="R11" s="174">
        <f t="shared" si="14"/>
        <v>136.62239089184061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34090.909090909088</v>
      </c>
      <c r="W11" s="174">
        <f t="shared" si="16"/>
        <v>151.51515151515051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40000</v>
      </c>
      <c r="AB11" s="174">
        <f t="shared" si="20"/>
        <v>188.93387314439931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x14ac:dyDescent="0.3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41958.041958041955</v>
      </c>
      <c r="R12" s="174">
        <f t="shared" si="14"/>
        <v>216.55763591247427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36585.365853658535</v>
      </c>
      <c r="W12" s="174">
        <f t="shared" si="16"/>
        <v>226.76879661358609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178</v>
      </c>
      <c r="AA12" s="174">
        <f>Ard4_Turn4_ESC4_G4b_T4a!P12</f>
        <v>44117.647058823532</v>
      </c>
      <c r="AB12" s="174">
        <f t="shared" si="20"/>
        <v>89.514066496163736</v>
      </c>
      <c r="AC12" s="174">
        <f t="shared" si="21"/>
        <v>42225.274950364925</v>
      </c>
      <c r="AD12" s="174">
        <f t="shared" si="22"/>
        <v>84.891283466616073</v>
      </c>
      <c r="AE12">
        <f t="shared" si="6"/>
        <v>125</v>
      </c>
      <c r="AF12" s="174">
        <f t="shared" si="7"/>
        <v>37500</v>
      </c>
    </row>
    <row r="13" spans="1:32" x14ac:dyDescent="0.3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180</v>
      </c>
      <c r="Q13" s="174">
        <f>Ard2_Turn2_ESC2_G2b_T2a!P13</f>
        <v>44444.444444444445</v>
      </c>
      <c r="R13" s="174">
        <f t="shared" si="14"/>
        <v>99.456099456099622</v>
      </c>
      <c r="S13" s="174">
        <f t="shared" si="3"/>
        <v>42371.209429477036</v>
      </c>
      <c r="T13" s="174">
        <f t="shared" si="15"/>
        <v>78.121359095789956</v>
      </c>
      <c r="U13" s="96">
        <f>Ard3_Turn3_ESC3_G3b_T3a!D13</f>
        <v>132</v>
      </c>
      <c r="V13" s="174">
        <f>Ard3_Turn3_ESC3_G3b_T3a!P13</f>
        <v>41095.890410958906</v>
      </c>
      <c r="W13" s="174">
        <f t="shared" si="16"/>
        <v>205.02384351365319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x14ac:dyDescent="0.3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175</v>
      </c>
      <c r="V14" s="174">
        <f>Ard3_Turn3_ESC3_G3b_T3a!P14</f>
        <v>44117.647058823532</v>
      </c>
      <c r="W14" s="174">
        <f t="shared" si="16"/>
        <v>70.273410415456411</v>
      </c>
      <c r="X14" s="174">
        <f t="shared" si="4"/>
        <v>42003.269605415029</v>
      </c>
      <c r="Y14" s="174">
        <f t="shared" si="17"/>
        <v>85.651016151498695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x14ac:dyDescent="0.3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3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3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3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3">
      <c r="K19" s="96"/>
      <c r="L19" s="174"/>
      <c r="M19" s="174"/>
      <c r="P19" s="174"/>
      <c r="T19" s="96"/>
      <c r="U19" s="174"/>
      <c r="AE19" s="96">
        <f t="shared" ref="AE19:AE29" si="26">F2</f>
        <v>6.0661220353948684</v>
      </c>
      <c r="AF19" s="174">
        <f t="shared" ref="AF19:AF29" si="27">G2</f>
        <v>5.9999999999999995E-25</v>
      </c>
    </row>
    <row r="20" spans="1:32" x14ac:dyDescent="0.3">
      <c r="K20" s="96"/>
      <c r="L20" s="174"/>
      <c r="M20" s="174"/>
      <c r="P20" s="174"/>
      <c r="T20" s="96"/>
      <c r="U20" s="174"/>
      <c r="AE20" s="96">
        <f t="shared" si="26"/>
        <v>9</v>
      </c>
      <c r="AF20" s="174">
        <f t="shared" si="27"/>
        <v>8474.5762711864409</v>
      </c>
    </row>
    <row r="21" spans="1:32" x14ac:dyDescent="0.3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14851.485148514852</v>
      </c>
    </row>
    <row r="22" spans="1:32" x14ac:dyDescent="0.3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16304.347826086958</v>
      </c>
    </row>
    <row r="23" spans="1:32" x14ac:dyDescent="0.3">
      <c r="T23" s="96"/>
      <c r="U23" s="174"/>
      <c r="AE23" s="96">
        <f t="shared" si="26"/>
        <v>35</v>
      </c>
      <c r="AF23" s="174">
        <f t="shared" si="27"/>
        <v>20134.228187919463</v>
      </c>
    </row>
    <row r="24" spans="1:32" x14ac:dyDescent="0.3">
      <c r="AE24" s="96">
        <f t="shared" si="26"/>
        <v>54</v>
      </c>
      <c r="AF24" s="174">
        <f t="shared" si="27"/>
        <v>25104.602510460249</v>
      </c>
    </row>
    <row r="25" spans="1:32" x14ac:dyDescent="0.3">
      <c r="AE25" s="96">
        <f t="shared" si="26"/>
        <v>64</v>
      </c>
      <c r="AF25" s="174">
        <f t="shared" si="27"/>
        <v>27649.76958525346</v>
      </c>
    </row>
    <row r="26" spans="1:32" x14ac:dyDescent="0.3">
      <c r="AE26" s="96">
        <f t="shared" si="26"/>
        <v>90</v>
      </c>
      <c r="AF26" s="174">
        <f t="shared" si="27"/>
        <v>32258.06451612903</v>
      </c>
    </row>
    <row r="27" spans="1:32" x14ac:dyDescent="0.3">
      <c r="AE27" s="96">
        <f t="shared" si="26"/>
        <v>125</v>
      </c>
      <c r="AF27" s="174">
        <f t="shared" si="27"/>
        <v>37037.037037037036</v>
      </c>
    </row>
    <row r="28" spans="1:32" x14ac:dyDescent="0.3">
      <c r="AE28" s="96">
        <f t="shared" si="26"/>
        <v>155</v>
      </c>
      <c r="AF28" s="174">
        <f t="shared" si="27"/>
        <v>41958.041958041955</v>
      </c>
    </row>
    <row r="29" spans="1:32" x14ac:dyDescent="0.3">
      <c r="AE29" s="96">
        <f t="shared" si="26"/>
        <v>180</v>
      </c>
      <c r="AF29" s="174">
        <f t="shared" si="27"/>
        <v>43859.649122807015</v>
      </c>
    </row>
    <row r="30" spans="1:32" x14ac:dyDescent="0.3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x14ac:dyDescent="0.3">
      <c r="AE31" s="96">
        <f t="shared" si="28"/>
        <v>8</v>
      </c>
      <c r="AF31" s="174">
        <f t="shared" si="29"/>
        <v>7500.0000000000009</v>
      </c>
    </row>
    <row r="32" spans="1:32" x14ac:dyDescent="0.3">
      <c r="AE32" s="96">
        <f t="shared" si="28"/>
        <v>12</v>
      </c>
      <c r="AF32" s="174">
        <f t="shared" si="29"/>
        <v>10830.324909747293</v>
      </c>
    </row>
    <row r="33" spans="31:32" x14ac:dyDescent="0.3">
      <c r="AE33" s="96">
        <f t="shared" si="28"/>
        <v>17</v>
      </c>
      <c r="AF33" s="174">
        <f t="shared" si="29"/>
        <v>12244.897959183674</v>
      </c>
    </row>
    <row r="34" spans="31:32" x14ac:dyDescent="0.3">
      <c r="AE34" s="96">
        <f t="shared" si="28"/>
        <v>21</v>
      </c>
      <c r="AF34" s="174">
        <f t="shared" si="29"/>
        <v>14354.066985645934</v>
      </c>
    </row>
    <row r="35" spans="31:32" x14ac:dyDescent="0.3">
      <c r="AE35" s="96">
        <f t="shared" si="28"/>
        <v>27</v>
      </c>
      <c r="AF35" s="174">
        <f t="shared" si="29"/>
        <v>16949.152542372882</v>
      </c>
    </row>
    <row r="36" spans="31:32" x14ac:dyDescent="0.3">
      <c r="AE36" s="96">
        <f t="shared" si="28"/>
        <v>42</v>
      </c>
      <c r="AF36" s="174">
        <f t="shared" si="29"/>
        <v>21660.649819494585</v>
      </c>
    </row>
    <row r="37" spans="31:32" x14ac:dyDescent="0.3">
      <c r="AE37" s="96">
        <f t="shared" si="28"/>
        <v>67</v>
      </c>
      <c r="AF37" s="174">
        <f t="shared" si="29"/>
        <v>27649.76958525346</v>
      </c>
    </row>
    <row r="38" spans="31:32" x14ac:dyDescent="0.3">
      <c r="AE38" s="96">
        <f t="shared" si="28"/>
        <v>79</v>
      </c>
      <c r="AF38" s="174">
        <f t="shared" si="29"/>
        <v>29702.970297029704</v>
      </c>
    </row>
    <row r="39" spans="31:32" x14ac:dyDescent="0.3">
      <c r="AE39" s="96">
        <f t="shared" si="28"/>
        <v>84</v>
      </c>
      <c r="AF39" s="174">
        <f t="shared" si="29"/>
        <v>30456.852791878177</v>
      </c>
    </row>
    <row r="40" spans="31:32" x14ac:dyDescent="0.3">
      <c r="AE40" s="96">
        <f t="shared" si="28"/>
        <v>121</v>
      </c>
      <c r="AF40" s="174">
        <f t="shared" si="29"/>
        <v>36363.636363636368</v>
      </c>
    </row>
    <row r="41" spans="31:32" x14ac:dyDescent="0.3">
      <c r="AE41" s="96">
        <f t="shared" si="28"/>
        <v>175</v>
      </c>
      <c r="AF41" s="174">
        <f t="shared" si="29"/>
        <v>44117.647058823532</v>
      </c>
    </row>
    <row r="42" spans="31:32" x14ac:dyDescent="0.3">
      <c r="AE42" s="96">
        <f t="shared" si="28"/>
        <v>0</v>
      </c>
      <c r="AF42" s="174">
        <f t="shared" si="29"/>
        <v>0</v>
      </c>
    </row>
    <row r="43" spans="31:32" x14ac:dyDescent="0.3">
      <c r="AE43" s="96">
        <f t="shared" ref="AE43:AE54" si="30">P2</f>
        <v>5.7969930558608072</v>
      </c>
      <c r="AF43" s="174">
        <f t="shared" ref="AF43:AF54" si="31">Q2</f>
        <v>5.9999999999999995E-25</v>
      </c>
    </row>
    <row r="44" spans="31:32" x14ac:dyDescent="0.3">
      <c r="AE44" s="96">
        <f t="shared" si="30"/>
        <v>9</v>
      </c>
      <c r="AF44" s="174">
        <f t="shared" si="31"/>
        <v>8571.4285714285725</v>
      </c>
    </row>
    <row r="45" spans="31:32" x14ac:dyDescent="0.3">
      <c r="AE45" s="96">
        <f t="shared" si="30"/>
        <v>12</v>
      </c>
      <c r="AF45" s="174">
        <f t="shared" si="31"/>
        <v>9933.7748344370866</v>
      </c>
    </row>
    <row r="46" spans="31:32" x14ac:dyDescent="0.3">
      <c r="AE46" s="96">
        <f t="shared" si="30"/>
        <v>24</v>
      </c>
      <c r="AF46" s="174">
        <f t="shared" si="31"/>
        <v>16129.032258064515</v>
      </c>
    </row>
    <row r="47" spans="31:32" x14ac:dyDescent="0.3">
      <c r="AE47" s="96">
        <f t="shared" si="30"/>
        <v>28</v>
      </c>
      <c r="AF47" s="174">
        <f t="shared" si="31"/>
        <v>17341.040462427747</v>
      </c>
    </row>
    <row r="48" spans="31:32" x14ac:dyDescent="0.3">
      <c r="AE48" s="96">
        <f t="shared" si="30"/>
        <v>32</v>
      </c>
      <c r="AF48" s="174">
        <f t="shared" si="31"/>
        <v>18867.92452830189</v>
      </c>
    </row>
    <row r="49" spans="31:32" x14ac:dyDescent="0.3">
      <c r="AE49" s="96">
        <f t="shared" si="30"/>
        <v>50</v>
      </c>
      <c r="AF49" s="174">
        <f t="shared" si="31"/>
        <v>24193.548387096776</v>
      </c>
    </row>
    <row r="50" spans="31:32" x14ac:dyDescent="0.3">
      <c r="AE50" s="96">
        <f t="shared" si="30"/>
        <v>78</v>
      </c>
      <c r="AF50" s="174">
        <f t="shared" si="31"/>
        <v>30150.753768844224</v>
      </c>
    </row>
    <row r="51" spans="31:32" x14ac:dyDescent="0.3">
      <c r="AE51" s="96">
        <f t="shared" si="30"/>
        <v>115</v>
      </c>
      <c r="AF51" s="174">
        <f t="shared" si="31"/>
        <v>35294.117647058825</v>
      </c>
    </row>
    <row r="52" spans="31:32" x14ac:dyDescent="0.3">
      <c r="AE52" s="96">
        <f t="shared" si="30"/>
        <v>140</v>
      </c>
      <c r="AF52" s="174">
        <f t="shared" si="31"/>
        <v>38709.677419354841</v>
      </c>
    </row>
    <row r="53" spans="31:32" x14ac:dyDescent="0.3">
      <c r="AE53" s="96">
        <f t="shared" si="30"/>
        <v>155</v>
      </c>
      <c r="AF53" s="174">
        <f t="shared" si="31"/>
        <v>41958.041958041955</v>
      </c>
    </row>
    <row r="54" spans="31:32" x14ac:dyDescent="0.3">
      <c r="AE54" s="96">
        <f t="shared" si="30"/>
        <v>180</v>
      </c>
      <c r="AF54" s="174">
        <f t="shared" si="31"/>
        <v>44444.444444444445</v>
      </c>
    </row>
    <row r="55" spans="31:32" x14ac:dyDescent="0.3">
      <c r="AE55" s="96">
        <f t="shared" ref="AE55:AE67" si="32">U2</f>
        <v>8.7271708346327035</v>
      </c>
      <c r="AF55" s="174">
        <f t="shared" ref="AF55:AF67" si="33">V2</f>
        <v>5.9999999999999995E-25</v>
      </c>
    </row>
    <row r="56" spans="31:32" x14ac:dyDescent="0.3">
      <c r="AE56" s="96">
        <f t="shared" si="32"/>
        <v>14</v>
      </c>
      <c r="AF56" s="174">
        <f t="shared" si="33"/>
        <v>9316.7701863354032</v>
      </c>
    </row>
    <row r="57" spans="31:32" x14ac:dyDescent="0.3">
      <c r="AE57" s="96">
        <f t="shared" si="32"/>
        <v>18</v>
      </c>
      <c r="AF57" s="174">
        <f t="shared" si="33"/>
        <v>12000.000000000002</v>
      </c>
    </row>
    <row r="58" spans="31:32" x14ac:dyDescent="0.3">
      <c r="AE58" s="96">
        <f t="shared" si="32"/>
        <v>24</v>
      </c>
      <c r="AF58" s="174">
        <f t="shared" si="33"/>
        <v>14851.485148514852</v>
      </c>
    </row>
    <row r="59" spans="31:32" x14ac:dyDescent="0.3">
      <c r="AE59" s="96">
        <f t="shared" si="32"/>
        <v>28</v>
      </c>
      <c r="AF59" s="174">
        <f t="shared" si="33"/>
        <v>16574.585635359115</v>
      </c>
    </row>
    <row r="60" spans="31:32" x14ac:dyDescent="0.3">
      <c r="AE60" s="96">
        <f t="shared" si="32"/>
        <v>36</v>
      </c>
      <c r="AF60" s="174">
        <f t="shared" si="33"/>
        <v>20134.228187919463</v>
      </c>
    </row>
    <row r="61" spans="31:32" x14ac:dyDescent="0.3">
      <c r="AE61" s="96">
        <f t="shared" si="32"/>
        <v>52</v>
      </c>
      <c r="AF61" s="174">
        <f t="shared" si="33"/>
        <v>24193.548387096776</v>
      </c>
    </row>
    <row r="62" spans="31:32" x14ac:dyDescent="0.3">
      <c r="AE62" s="96">
        <f t="shared" si="32"/>
        <v>73</v>
      </c>
      <c r="AF62" s="174">
        <f t="shared" si="33"/>
        <v>28571.428571428572</v>
      </c>
    </row>
    <row r="63" spans="31:32" x14ac:dyDescent="0.3">
      <c r="AE63" s="96">
        <f t="shared" si="32"/>
        <v>94</v>
      </c>
      <c r="AF63" s="174">
        <f t="shared" si="33"/>
        <v>33333.333333333336</v>
      </c>
    </row>
    <row r="64" spans="31:32" x14ac:dyDescent="0.3">
      <c r="AE64" s="96">
        <f t="shared" si="32"/>
        <v>99</v>
      </c>
      <c r="AF64" s="174">
        <f t="shared" si="33"/>
        <v>34090.909090909088</v>
      </c>
    </row>
    <row r="65" spans="31:32" x14ac:dyDescent="0.3">
      <c r="AE65" s="96">
        <f t="shared" si="32"/>
        <v>110</v>
      </c>
      <c r="AF65" s="174">
        <f t="shared" si="33"/>
        <v>36585.365853658535</v>
      </c>
    </row>
    <row r="66" spans="31:32" x14ac:dyDescent="0.3">
      <c r="AE66" s="96">
        <f t="shared" si="32"/>
        <v>132</v>
      </c>
      <c r="AF66" s="174">
        <f t="shared" si="33"/>
        <v>41095.890410958906</v>
      </c>
    </row>
    <row r="67" spans="31:32" x14ac:dyDescent="0.3">
      <c r="AE67" s="96">
        <f t="shared" si="32"/>
        <v>175</v>
      </c>
      <c r="AF67" s="174">
        <f t="shared" si="33"/>
        <v>44117.647058823532</v>
      </c>
    </row>
    <row r="68" spans="31:32" x14ac:dyDescent="0.3">
      <c r="AE68" s="96">
        <f t="shared" ref="AE68:AE80" si="34">Z2</f>
        <v>9.1059042173196207</v>
      </c>
      <c r="AF68" s="174">
        <f t="shared" ref="AF68:AF80" si="35">AA2</f>
        <v>5.9999999999999995E-25</v>
      </c>
    </row>
    <row r="69" spans="31:32" x14ac:dyDescent="0.3">
      <c r="AE69" s="96">
        <f t="shared" si="34"/>
        <v>11</v>
      </c>
      <c r="AF69" s="174">
        <f t="shared" si="35"/>
        <v>7936.5079365079364</v>
      </c>
    </row>
    <row r="70" spans="31:32" x14ac:dyDescent="0.3">
      <c r="AE70" s="96">
        <f t="shared" si="34"/>
        <v>15</v>
      </c>
      <c r="AF70" s="174">
        <f t="shared" si="35"/>
        <v>9933.7748344370866</v>
      </c>
    </row>
    <row r="71" spans="31:32" x14ac:dyDescent="0.3">
      <c r="AE71" s="96">
        <f t="shared" si="34"/>
        <v>26</v>
      </c>
      <c r="AF71" s="174">
        <f t="shared" si="35"/>
        <v>14150.943396226416</v>
      </c>
    </row>
    <row r="72" spans="31:32" x14ac:dyDescent="0.3">
      <c r="AE72" s="96">
        <f t="shared" si="34"/>
        <v>34</v>
      </c>
      <c r="AF72" s="174">
        <f t="shared" si="35"/>
        <v>17910.447761194031</v>
      </c>
    </row>
    <row r="73" spans="31:32" x14ac:dyDescent="0.3">
      <c r="AE73" s="96">
        <f t="shared" si="34"/>
        <v>51</v>
      </c>
      <c r="AF73" s="174">
        <f t="shared" si="35"/>
        <v>22900.763358778626</v>
      </c>
    </row>
    <row r="74" spans="31:32" x14ac:dyDescent="0.3">
      <c r="AE74" s="96">
        <f t="shared" si="34"/>
        <v>76</v>
      </c>
      <c r="AF74" s="174">
        <f t="shared" si="35"/>
        <v>28571.428571428572</v>
      </c>
    </row>
    <row r="75" spans="31:32" x14ac:dyDescent="0.3">
      <c r="AE75" s="96">
        <f t="shared" si="34"/>
        <v>91</v>
      </c>
      <c r="AF75" s="174">
        <f t="shared" si="35"/>
        <v>32085.561497326202</v>
      </c>
    </row>
    <row r="76" spans="31:32" x14ac:dyDescent="0.3">
      <c r="AE76" s="96">
        <f t="shared" si="34"/>
        <v>106</v>
      </c>
      <c r="AF76" s="174">
        <f t="shared" si="35"/>
        <v>35087.719298245618</v>
      </c>
    </row>
    <row r="77" spans="31:32" x14ac:dyDescent="0.3">
      <c r="AE77" s="96">
        <f t="shared" si="34"/>
        <v>132</v>
      </c>
      <c r="AF77" s="174">
        <f t="shared" si="35"/>
        <v>40000</v>
      </c>
    </row>
    <row r="78" spans="31:32" x14ac:dyDescent="0.3">
      <c r="AE78" s="96">
        <f t="shared" si="34"/>
        <v>178</v>
      </c>
      <c r="AF78" s="174">
        <f t="shared" si="35"/>
        <v>44117.647058823532</v>
      </c>
    </row>
    <row r="79" spans="31:32" x14ac:dyDescent="0.3">
      <c r="AE79" s="96">
        <f t="shared" si="34"/>
        <v>0</v>
      </c>
      <c r="AF79" s="174">
        <f t="shared" si="35"/>
        <v>0</v>
      </c>
    </row>
    <row r="80" spans="31:32" x14ac:dyDescent="0.3">
      <c r="AE80" s="96">
        <f t="shared" si="34"/>
        <v>0</v>
      </c>
      <c r="AF80" s="174">
        <f t="shared" si="35"/>
        <v>0</v>
      </c>
    </row>
    <row r="81" spans="23:23" x14ac:dyDescent="0.3">
      <c r="W81" s="96"/>
    </row>
    <row r="82" spans="23:23" x14ac:dyDescent="0.3">
      <c r="W82" s="96"/>
    </row>
    <row r="83" spans="23:23" x14ac:dyDescent="0.3">
      <c r="W83" s="96"/>
    </row>
    <row r="84" spans="23:23" x14ac:dyDescent="0.3">
      <c r="W84" s="96"/>
    </row>
    <row r="85" spans="23:23" x14ac:dyDescent="0.3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P1" zoomScale="90" zoomScaleNormal="90" workbookViewId="0">
      <selection activeCell="Z48" sqref="Z4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" style="1" bestFit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5" customHeight="1" x14ac:dyDescent="0.3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5" customHeight="1" x14ac:dyDescent="0.3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E1" zoomScale="70" zoomScaleNormal="70" workbookViewId="0">
      <selection activeCell="AX5" sqref="AX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3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332031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15.8867187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9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0.14945361227299461</v>
      </c>
      <c r="AI2" s="228">
        <f t="shared" ref="AI2:AI13" si="16">AH2/$Q$23*$Q$31</f>
        <v>5.3803300418278059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-12.585815469150777</v>
      </c>
      <c r="AM2" s="229">
        <f t="shared" ref="AM2:AM13" si="20">($Q$43+$R$43*AL2*$Q$30)/$Q$30</f>
        <v>3.923181115926945E-2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3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3" si="24">($U3-$U$2)</f>
        <v>3.1551500000000003</v>
      </c>
      <c r="W3" s="234">
        <f t="shared" ref="W3:W13" si="25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3" si="26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si="17"/>
        <v>4555.170672024622</v>
      </c>
      <c r="AK3" s="229">
        <f t="shared" si="18"/>
        <v>9.8853530208867664</v>
      </c>
      <c r="AL3" s="229">
        <f t="shared" si="19"/>
        <v>-2.9289255895124828</v>
      </c>
      <c r="AM3" s="229">
        <f t="shared" si="20"/>
        <v>9.9172706414521858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2.8272318367231825E-7</v>
      </c>
      <c r="AS3" s="228"/>
      <c r="AT3" s="1"/>
      <c r="AU3" s="228"/>
      <c r="AV3">
        <f t="shared" si="22"/>
        <v>4.5999999999999999E-3</v>
      </c>
      <c r="AX3" s="128">
        <f>0.21/0.15*9-25</f>
        <v>-12.4</v>
      </c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3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4"/>
        <v>6.2354399999999996</v>
      </c>
      <c r="W4" s="234">
        <f t="shared" si="25"/>
        <v>8.3618622196799993E-3</v>
      </c>
      <c r="X4" s="230">
        <f t="shared" ref="X4:X13" si="29">$W4/$P4*5252</f>
        <v>4.0549568682131136E-3</v>
      </c>
      <c r="Y4" s="230">
        <f t="shared" ref="Y4:Y13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1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6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9211.0840546388536</v>
      </c>
      <c r="AK4" s="229">
        <f t="shared" si="18"/>
        <v>19.989331715796123</v>
      </c>
      <c r="AL4" s="229">
        <f t="shared" si="19"/>
        <v>6.941537245430192</v>
      </c>
      <c r="AM4" s="229">
        <f t="shared" si="20"/>
        <v>20.013773384235744</v>
      </c>
      <c r="AN4" s="2">
        <f t="shared" ref="AN4:AN13" si="32">AO4/$Q$30</f>
        <v>6.941537245430192</v>
      </c>
      <c r="AO4" s="3">
        <f t="shared" si="21"/>
        <v>3198.6603626942324</v>
      </c>
      <c r="AP4" s="227">
        <f t="shared" si="27"/>
        <v>3.2994267727491818E-4</v>
      </c>
      <c r="AQ4" s="227">
        <f t="shared" ref="AQ4:AQ13" si="33">AJ4*AP4/5252</f>
        <v>5.7866141157499084E-4</v>
      </c>
      <c r="AR4" s="231">
        <f t="shared" si="28"/>
        <v>3.6957404609849427E-7</v>
      </c>
      <c r="AS4" s="228">
        <f t="shared" ref="AS4:AS13" si="34">$Q$35/AR4</f>
        <v>0.10127014572560596</v>
      </c>
      <c r="AT4" s="1"/>
      <c r="AU4" s="228"/>
      <c r="AV4">
        <f t="shared" si="22"/>
        <v>0.23799999999999999</v>
      </c>
      <c r="AX4" s="127">
        <f>47+0.085/0.05*15</f>
        <v>72.5</v>
      </c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3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4"/>
        <v>7.7846400000000004</v>
      </c>
      <c r="W5" s="234">
        <f t="shared" si="25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6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17"/>
        <v>13210.653355839728</v>
      </c>
      <c r="AK5" s="229">
        <f t="shared" si="18"/>
        <v>28.668952595138297</v>
      </c>
      <c r="AL5" s="229">
        <f t="shared" si="19"/>
        <v>15.420560994174144</v>
      </c>
      <c r="AM5" s="229">
        <f t="shared" si="20"/>
        <v>28.686972196378115</v>
      </c>
      <c r="AN5" s="2">
        <f t="shared" si="32"/>
        <v>15.420560994174144</v>
      </c>
      <c r="AO5" s="3">
        <f t="shared" si="21"/>
        <v>7105.794506115446</v>
      </c>
      <c r="AP5" s="227">
        <f t="shared" si="27"/>
        <v>1.9572786136409217E-3</v>
      </c>
      <c r="AQ5" s="227">
        <f t="shared" si="33"/>
        <v>4.9232538624540689E-3</v>
      </c>
      <c r="AR5" s="231">
        <f t="shared" si="28"/>
        <v>4.4418154297325635E-7</v>
      </c>
      <c r="AS5" s="228">
        <f t="shared" si="34"/>
        <v>8.4260181668669082E-2</v>
      </c>
      <c r="AT5" s="232"/>
      <c r="AU5" s="165"/>
      <c r="AV5">
        <f t="shared" si="22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3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4"/>
        <v>10.50192</v>
      </c>
      <c r="W6" s="234">
        <f t="shared" si="25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6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17"/>
        <v>15637.093553526916</v>
      </c>
      <c r="AK6" s="229">
        <f t="shared" si="18"/>
        <v>33.934664829702506</v>
      </c>
      <c r="AL6" s="229">
        <f t="shared" si="19"/>
        <v>20.56457588970785</v>
      </c>
      <c r="AM6" s="229">
        <f t="shared" si="20"/>
        <v>33.948788320928394</v>
      </c>
      <c r="AN6" s="2">
        <f t="shared" si="32"/>
        <v>20.564575889707857</v>
      </c>
      <c r="AO6" s="3">
        <f t="shared" si="21"/>
        <v>9476.1565699773801</v>
      </c>
      <c r="AP6" s="227">
        <f t="shared" si="27"/>
        <v>3.0899719769106734E-3</v>
      </c>
      <c r="AQ6" s="227">
        <f t="shared" si="33"/>
        <v>9.1999582788897007E-3</v>
      </c>
      <c r="AR6" s="231">
        <f t="shared" si="28"/>
        <v>4.8944407396912864E-7</v>
      </c>
      <c r="AS6" s="228">
        <f t="shared" si="34"/>
        <v>7.6468016460562963E-2</v>
      </c>
      <c r="AT6" s="232">
        <f t="shared" ref="AT6:AT13" si="35">$Q$44*$Q$27*$Q$36^2*$Q$33*PI()/240*($AC6-$Q$46)/$Q$45*$Q$34</f>
        <v>-1.0314509239179901E-7</v>
      </c>
      <c r="AU6" s="165">
        <f t="shared" ref="AU6:AU13" si="36">-$Q$35/AT6</f>
        <v>0.36285601803166451</v>
      </c>
      <c r="AV6">
        <f t="shared" si="22"/>
        <v>0.58599999999999997</v>
      </c>
      <c r="AW6">
        <v>0.44</v>
      </c>
      <c r="AX6" s="232">
        <f>-$Q$35/AW6</f>
        <v>-8.5060948874537106E-8</v>
      </c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3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4"/>
        <v>14.81034</v>
      </c>
      <c r="W7" s="234">
        <f t="shared" si="25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6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17"/>
        <v>18522.910819867313</v>
      </c>
      <c r="AK7" s="233">
        <f t="shared" si="18"/>
        <v>40.197289105614828</v>
      </c>
      <c r="AL7" s="233">
        <f t="shared" si="19"/>
        <v>26.682462915315533</v>
      </c>
      <c r="AM7" s="233">
        <f t="shared" si="20"/>
        <v>40.206778869802854</v>
      </c>
      <c r="AN7" s="9">
        <f t="shared" si="32"/>
        <v>26.682462915315533</v>
      </c>
      <c r="AO7" s="10">
        <f t="shared" si="21"/>
        <v>12295.278911377398</v>
      </c>
      <c r="AP7" s="230">
        <f t="shared" si="27"/>
        <v>4.5800923567918947E-3</v>
      </c>
      <c r="AQ7" s="230">
        <f t="shared" si="33"/>
        <v>1.6153206830086093E-2</v>
      </c>
      <c r="AR7" s="232">
        <f t="shared" si="28"/>
        <v>5.432757709508463E-7</v>
      </c>
      <c r="AS7" s="228">
        <f t="shared" si="34"/>
        <v>6.889101172189506E-2</v>
      </c>
      <c r="AT7" s="232">
        <f t="shared" si="35"/>
        <v>-1.4363199490561306E-7</v>
      </c>
      <c r="AU7" s="165">
        <f t="shared" si="36"/>
        <v>0.26057437640820308</v>
      </c>
      <c r="AV7">
        <f t="shared" si="22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3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4"/>
        <v>29.145340000000001</v>
      </c>
      <c r="W8" s="234">
        <f t="shared" si="25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6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17"/>
        <v>23596.430052660289</v>
      </c>
      <c r="AK8" s="229">
        <f t="shared" si="18"/>
        <v>51.207530496224585</v>
      </c>
      <c r="AL8" s="229">
        <f t="shared" si="19"/>
        <v>37.438243556907246</v>
      </c>
      <c r="AM8" s="229">
        <f t="shared" si="20"/>
        <v>51.208873762877822</v>
      </c>
      <c r="AN8" s="2">
        <f t="shared" si="32"/>
        <v>37.438243556907246</v>
      </c>
      <c r="AO8" s="3">
        <f t="shared" si="21"/>
        <v>17251.542631022858</v>
      </c>
      <c r="AP8" s="227">
        <f t="shared" si="27"/>
        <v>7.5764934726365541E-3</v>
      </c>
      <c r="AQ8" s="227">
        <f t="shared" si="33"/>
        <v>3.4040022519327057E-2</v>
      </c>
      <c r="AR8" s="231">
        <f t="shared" si="28"/>
        <v>6.3791660395028843E-7</v>
      </c>
      <c r="AS8" s="228">
        <f t="shared" si="34"/>
        <v>5.8670392451037258E-2</v>
      </c>
      <c r="AT8" s="232">
        <f t="shared" si="35"/>
        <v>-2.2523954563406911E-7</v>
      </c>
      <c r="AU8" s="165">
        <f t="shared" si="36"/>
        <v>0.16616450454753204</v>
      </c>
      <c r="AV8">
        <f t="shared" si="22"/>
        <v>1.175</v>
      </c>
      <c r="AW8">
        <v>0.28899999999999998</v>
      </c>
      <c r="AX8" s="232">
        <f>-$Q$35/AW8</f>
        <v>-1.2950455884012569E-7</v>
      </c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3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4"/>
        <v>51.562539999999998</v>
      </c>
      <c r="W9" s="234">
        <f t="shared" si="25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6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17"/>
        <v>28959.20627523346</v>
      </c>
      <c r="AK9" s="229">
        <f t="shared" si="18"/>
        <v>62.845499729239279</v>
      </c>
      <c r="AL9" s="229">
        <f t="shared" si="19"/>
        <v>48.807244448264356</v>
      </c>
      <c r="AM9" s="229">
        <f t="shared" si="20"/>
        <v>62.838232041390853</v>
      </c>
      <c r="AN9" s="2">
        <f t="shared" si="32"/>
        <v>48.807244448264363</v>
      </c>
      <c r="AO9" s="3">
        <f t="shared" si="21"/>
        <v>22490.37824176022</v>
      </c>
      <c r="AP9" s="227">
        <f t="shared" si="27"/>
        <v>1.1265734415476743E-2</v>
      </c>
      <c r="AQ9" s="227">
        <f t="shared" si="33"/>
        <v>6.2118569455405115E-2</v>
      </c>
      <c r="AR9" s="231">
        <f t="shared" si="28"/>
        <v>7.3795320292746935E-7</v>
      </c>
      <c r="AS9" s="228">
        <f t="shared" si="34"/>
        <v>5.0717060860124577E-2</v>
      </c>
      <c r="AT9" s="232">
        <f t="shared" si="35"/>
        <v>-3.4247459958818648E-7</v>
      </c>
      <c r="AU9" s="165">
        <f t="shared" si="36"/>
        <v>0.10928348423445342</v>
      </c>
      <c r="AV9">
        <f t="shared" si="22"/>
        <v>1.6240000000000001</v>
      </c>
      <c r="AX9" s="127"/>
      <c r="AY9" s="96"/>
    </row>
    <row r="10" spans="1:51" ht="13.95" customHeight="1" x14ac:dyDescent="0.3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3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58">
        <f t="shared" ref="U10:U12" si="39">K10</f>
        <v>64.318799999999996</v>
      </c>
      <c r="V10" s="229">
        <f t="shared" si="24"/>
        <v>64.086239999999989</v>
      </c>
      <c r="W10" s="234">
        <f t="shared" si="25"/>
        <v>8.5941057737279988E-2</v>
      </c>
      <c r="X10" s="230">
        <f t="shared" si="29"/>
        <v>1.5195868652951881E-2</v>
      </c>
      <c r="Y10" s="230">
        <f t="shared" ref="Y10:Y12" si="40">X10-$X$3</f>
        <v>1.2232952458491667E-2</v>
      </c>
      <c r="Z10" s="228">
        <f t="shared" si="10"/>
        <v>1.1851433231911994</v>
      </c>
      <c r="AA10" s="229">
        <f t="shared" si="11"/>
        <v>12.654676236558226</v>
      </c>
      <c r="AB10" s="2">
        <f t="shared" si="31"/>
        <v>19.674925895007721</v>
      </c>
      <c r="AC10" s="158">
        <f t="shared" si="12"/>
        <v>21.355520448756128</v>
      </c>
      <c r="AD10" s="175">
        <f t="shared" ref="AD10:AD13" si="41">AC10*1/1.6/1000*3600</f>
        <v>48.049921009701286</v>
      </c>
      <c r="AE10" s="175">
        <f t="shared" si="14"/>
        <v>67.495154666968219</v>
      </c>
      <c r="AF10" s="163">
        <f t="shared" ref="AF10:AF12" si="42">AE10/AC10</f>
        <v>3.1605483382588102</v>
      </c>
      <c r="AG10" s="159">
        <f>$M$41/($Q$27*$Q$36*$Q$33*($AC10-$Q$46)^2/4/$AF10)/(PI()*$Q$36/60/($AC10-$Q$46))</f>
        <v>-0.83001462470815057</v>
      </c>
      <c r="AH10" s="228">
        <f t="shared" si="15"/>
        <v>2.1944444444444446</v>
      </c>
      <c r="AI10" s="228">
        <f t="shared" si="16"/>
        <v>79.000000000000014</v>
      </c>
      <c r="AJ10" s="229">
        <f t="shared" si="17"/>
        <v>30851.073366124794</v>
      </c>
      <c r="AK10" s="229">
        <f t="shared" si="18"/>
        <v>66.951114075791651</v>
      </c>
      <c r="AL10" s="229">
        <f t="shared" si="19"/>
        <v>52.817972800519279</v>
      </c>
      <c r="AM10" s="229">
        <f t="shared" si="20"/>
        <v>66.940808636456552</v>
      </c>
      <c r="AN10" s="2">
        <f t="shared" si="32"/>
        <v>52.817972800519286</v>
      </c>
      <c r="AO10" s="3">
        <f t="shared" si="21"/>
        <v>24338.521866479288</v>
      </c>
      <c r="AP10" s="227">
        <f t="shared" si="27"/>
        <v>1.2695226420403077E-2</v>
      </c>
      <c r="AQ10" s="227">
        <f t="shared" ref="AQ10:AQ12" si="43">AJ10*AP10/5252</f>
        <v>7.4573755082905785E-2</v>
      </c>
      <c r="AR10" s="231">
        <f t="shared" si="28"/>
        <v>7.7324386985722134E-7</v>
      </c>
      <c r="AS10" s="228">
        <f t="shared" si="34"/>
        <v>4.8402346224493374E-2</v>
      </c>
      <c r="AT10" s="232">
        <f t="shared" si="35"/>
        <v>-3.8584347943088994E-7</v>
      </c>
      <c r="AU10" s="165">
        <f t="shared" si="36"/>
        <v>9.7000000000000003E-2</v>
      </c>
      <c r="AV10">
        <f t="shared" si="22"/>
        <v>1.786</v>
      </c>
      <c r="AX10" s="127"/>
      <c r="AY10" s="96"/>
    </row>
    <row r="11" spans="1:51" ht="13.95" customHeight="1" x14ac:dyDescent="0.3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3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58">
        <f t="shared" si="39"/>
        <v>68.010400000000004</v>
      </c>
      <c r="V11" s="229">
        <f t="shared" si="24"/>
        <v>67.777839999999998</v>
      </c>
      <c r="W11" s="234">
        <f t="shared" si="25"/>
        <v>9.0891574552480009E-2</v>
      </c>
      <c r="X11" s="230">
        <f t="shared" si="29"/>
        <v>1.5673403710212686E-2</v>
      </c>
      <c r="Y11" s="230">
        <f t="shared" si="40"/>
        <v>1.2710487515752471E-2</v>
      </c>
      <c r="Z11" s="228">
        <f t="shared" si="10"/>
        <v>1.2776923778889189</v>
      </c>
      <c r="AA11" s="229">
        <f t="shared" si="11"/>
        <v>14.165574197505515</v>
      </c>
      <c r="AB11" s="2">
        <f t="shared" si="31"/>
        <v>20.828541219439252</v>
      </c>
      <c r="AC11" s="158">
        <f t="shared" si="12"/>
        <v>22.173685063239933</v>
      </c>
      <c r="AD11" s="175">
        <f t="shared" si="41"/>
        <v>49.890791392289849</v>
      </c>
      <c r="AE11" s="175">
        <f t="shared" si="14"/>
        <v>69.672417720741393</v>
      </c>
      <c r="AF11" s="165">
        <f t="shared" si="42"/>
        <v>3.1421217322260069</v>
      </c>
      <c r="AG11" s="151"/>
      <c r="AH11" s="228">
        <f t="shared" si="15"/>
        <v>2.3333333333333335</v>
      </c>
      <c r="AI11" s="228">
        <f t="shared" si="16"/>
        <v>84</v>
      </c>
      <c r="AJ11" s="229">
        <f t="shared" si="17"/>
        <v>31555.766551793655</v>
      </c>
      <c r="AK11" s="229">
        <f t="shared" si="18"/>
        <v>68.480396162746644</v>
      </c>
      <c r="AL11" s="229">
        <f t="shared" si="19"/>
        <v>54.311911224106609</v>
      </c>
      <c r="AM11" s="229">
        <f t="shared" si="20"/>
        <v>68.468959204827215</v>
      </c>
      <c r="AN11" s="2">
        <f t="shared" si="32"/>
        <v>54.311911224106609</v>
      </c>
      <c r="AO11" s="3">
        <f t="shared" si="21"/>
        <v>25026.928692068326</v>
      </c>
      <c r="AP11" s="227">
        <f t="shared" si="27"/>
        <v>1.3244757795360145E-2</v>
      </c>
      <c r="AQ11" s="227">
        <f t="shared" si="43"/>
        <v>7.9578919464096329E-2</v>
      </c>
      <c r="AR11" s="231">
        <f t="shared" si="28"/>
        <v>7.863891339314479E-7</v>
      </c>
      <c r="AS11" s="228">
        <f t="shared" si="34"/>
        <v>4.7593253632188338E-2</v>
      </c>
      <c r="AT11" s="232">
        <f t="shared" si="35"/>
        <v>-4.0215321816591598E-7</v>
      </c>
      <c r="AU11" s="165">
        <f t="shared" si="36"/>
        <v>9.3066064908015181E-2</v>
      </c>
      <c r="AV11">
        <f t="shared" si="22"/>
        <v>1.8420000000000001</v>
      </c>
      <c r="AW11">
        <v>8.5000000000000006E-2</v>
      </c>
      <c r="AX11" s="232">
        <f>-$Q$35/AW11</f>
        <v>-4.4031550005642732E-7</v>
      </c>
      <c r="AY11" s="96"/>
    </row>
    <row r="12" spans="1:51" ht="13.95" customHeight="1" x14ac:dyDescent="0.3">
      <c r="A12" t="s">
        <v>232</v>
      </c>
      <c r="B12" s="176">
        <v>62</v>
      </c>
      <c r="C12" s="220">
        <f t="shared" ref="C12" si="44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45">F12*G12</f>
        <v>103.6602</v>
      </c>
      <c r="L12" s="1">
        <f t="shared" ref="L12" si="46">D12</f>
        <v>121</v>
      </c>
      <c r="M12" s="23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3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58">
        <f t="shared" si="39"/>
        <v>103.6602</v>
      </c>
      <c r="V12" s="229">
        <f t="shared" si="24"/>
        <v>103.42764</v>
      </c>
      <c r="W12" s="234">
        <f t="shared" si="25"/>
        <v>0.13869874064807999</v>
      </c>
      <c r="X12" s="230">
        <f t="shared" si="29"/>
        <v>2.0032259111802193E-2</v>
      </c>
      <c r="Y12" s="230">
        <f t="shared" si="40"/>
        <v>1.7069342917341978E-2</v>
      </c>
      <c r="Z12" s="228">
        <f t="shared" si="10"/>
        <v>2.174568786090711</v>
      </c>
      <c r="AA12" s="229">
        <f t="shared" si="11"/>
        <v>31.452447925513269</v>
      </c>
      <c r="AB12" s="2">
        <f t="shared" ref="AB12" si="49">AA12/U12*100</f>
        <v>30.341874630295202</v>
      </c>
      <c r="AC12" s="158">
        <f t="shared" si="12"/>
        <v>28.927526346091174</v>
      </c>
      <c r="AD12" s="175">
        <f t="shared" si="41"/>
        <v>65.086934278705144</v>
      </c>
      <c r="AE12" s="175">
        <f t="shared" si="14"/>
        <v>84.699801935018925</v>
      </c>
      <c r="AF12" s="165">
        <f t="shared" si="42"/>
        <v>2.9280001657128891</v>
      </c>
      <c r="AG12" s="151"/>
      <c r="AH12" s="228">
        <f t="shared" si="15"/>
        <v>3.3611111111111116</v>
      </c>
      <c r="AI12" s="228">
        <f t="shared" si="16"/>
        <v>121.00000000000001</v>
      </c>
      <c r="AJ12" s="229">
        <f t="shared" si="17"/>
        <v>35746.721871576265</v>
      </c>
      <c r="AK12" s="229">
        <f t="shared" si="18"/>
        <v>77.575351283802661</v>
      </c>
      <c r="AL12" s="229">
        <f t="shared" si="19"/>
        <v>63.196670309464153</v>
      </c>
      <c r="AM12" s="229">
        <f t="shared" si="20"/>
        <v>77.557184952126192</v>
      </c>
      <c r="AN12" s="2">
        <f t="shared" si="32"/>
        <v>63.196670309464153</v>
      </c>
      <c r="AO12" s="3">
        <f t="shared" si="21"/>
        <v>29121.025678601083</v>
      </c>
      <c r="AP12" s="227">
        <f t="shared" si="27"/>
        <v>1.6704298911363304E-2</v>
      </c>
      <c r="AQ12" s="227">
        <f t="shared" si="43"/>
        <v>0.11369457868320224</v>
      </c>
      <c r="AR12" s="231">
        <f t="shared" si="28"/>
        <v>8.6456672316063497E-7</v>
      </c>
      <c r="AS12" s="228">
        <f t="shared" si="34"/>
        <v>4.3289680833392991E-2</v>
      </c>
      <c r="AT12" s="232">
        <f t="shared" si="35"/>
        <v>-5.3678796627297485E-7</v>
      </c>
      <c r="AU12" s="165">
        <f t="shared" si="36"/>
        <v>6.9723652273090492E-2</v>
      </c>
      <c r="AV12">
        <f t="shared" si="22"/>
        <v>2.19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3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58">
        <f t="shared" si="0"/>
        <v>172.22399999999999</v>
      </c>
      <c r="V13" s="229">
        <f t="shared" si="24"/>
        <v>171.99143999999998</v>
      </c>
      <c r="W13" s="234">
        <f t="shared" si="25"/>
        <v>0.23064430485168</v>
      </c>
      <c r="X13" s="230">
        <f t="shared" si="29"/>
        <v>2.7457128152503195E-2</v>
      </c>
      <c r="Y13" s="230">
        <f t="shared" si="30"/>
        <v>2.449421195804298E-2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53.010758622096731</v>
      </c>
      <c r="AC13" s="158">
        <f t="shared" si="12"/>
        <v>41.264733453849395</v>
      </c>
      <c r="AD13" s="175">
        <f t="shared" si="41"/>
        <v>92.845650271161119</v>
      </c>
      <c r="AE13" s="175">
        <f t="shared" si="14"/>
        <v>106.65900984409792</v>
      </c>
      <c r="AF13" s="165">
        <f t="shared" si="26"/>
        <v>2.5847497588560868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39983.857739779705</v>
      </c>
      <c r="AK13" s="229">
        <f t="shared" si="18"/>
        <v>86.770524608896935</v>
      </c>
      <c r="AL13" s="229">
        <f t="shared" si="19"/>
        <v>72.179331428091302</v>
      </c>
      <c r="AM13" s="229">
        <f t="shared" si="20"/>
        <v>86.745554751832856</v>
      </c>
      <c r="AN13" s="2">
        <f t="shared" si="32"/>
        <v>72.179331428091302</v>
      </c>
      <c r="AO13" s="3">
        <f t="shared" si="21"/>
        <v>33260.235922064472</v>
      </c>
      <c r="AP13" s="227">
        <f t="shared" si="27"/>
        <v>2.0535035151237838E-2</v>
      </c>
      <c r="AQ13" s="227">
        <f t="shared" si="33"/>
        <v>0.15633471518820818</v>
      </c>
      <c r="AR13" s="231">
        <f t="shared" si="28"/>
        <v>9.4360575892631468E-7</v>
      </c>
      <c r="AS13" s="228">
        <f t="shared" si="34"/>
        <v>3.9663617088753857E-2</v>
      </c>
      <c r="AT13" s="232">
        <f t="shared" si="35"/>
        <v>-7.8272456764309463E-7</v>
      </c>
      <c r="AU13" s="165">
        <f t="shared" si="36"/>
        <v>4.7816076116652749E-2</v>
      </c>
      <c r="AV13">
        <f t="shared" si="22"/>
        <v>2.66</v>
      </c>
      <c r="AW13">
        <v>3.5000000000000003E-2</v>
      </c>
      <c r="AX13" s="232">
        <f>-$Q$35/AW13</f>
        <v>-1.0693376429941806E-6</v>
      </c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50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50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50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50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50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50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51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51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51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51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51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51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abSelected="1" topLeftCell="J29" zoomScale="90" zoomScaleNormal="90" workbookViewId="0">
      <selection activeCell="Q47" sqref="Q47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1.0322055169770046</v>
      </c>
      <c r="D2" s="262">
        <f>EXP((0-$Q$41)/$R$41)</f>
        <v>5.7969930558608072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5.7969930558608072</v>
      </c>
      <c r="M2" s="234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0.16102758488502239</v>
      </c>
      <c r="AI2" s="228">
        <f t="shared" ref="AI2:AI13" si="16">AH2/$Q$23*$Q$31</f>
        <v>5.7969930558608063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-12.051452687191878</v>
      </c>
      <c r="AM2" s="229">
        <f t="shared" ref="AM2:AM13" si="20">($Q$43+$R$43*AL2*$Q$30)/$Q$30</f>
        <v>6.141569148348304E-2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3.0000000000000001E-3</v>
      </c>
      <c r="F3" s="73">
        <v>12.2</v>
      </c>
      <c r="G3" s="106">
        <v>0.39</v>
      </c>
      <c r="H3" s="73">
        <v>7000</v>
      </c>
      <c r="I3" s="191">
        <v>1.0000000000000001E+32</v>
      </c>
      <c r="J3" s="61"/>
      <c r="K3" s="2">
        <f t="shared" si="2"/>
        <v>4.758</v>
      </c>
      <c r="L3" s="1">
        <f t="shared" si="3"/>
        <v>9</v>
      </c>
      <c r="M3" s="234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2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58">
        <f>K3</f>
        <v>4.758</v>
      </c>
      <c r="V3" s="1">
        <f t="shared" ref="V3:V13" si="23">($U3-$U$2)</f>
        <v>4.1347800000000001</v>
      </c>
      <c r="W3" s="234">
        <f t="shared" ref="W3:W13" si="24">($U3-$U$2)*0.001341022</f>
        <v>5.5448309451600003E-3</v>
      </c>
      <c r="X3" s="230">
        <f>$W3/$P3*5252</f>
        <v>3.3975027477977041E-3</v>
      </c>
      <c r="Y3" s="230">
        <f>X3-$X$3</f>
        <v>0</v>
      </c>
      <c r="Z3" s="228">
        <f t="shared" si="10"/>
        <v>2.8479401773229537E-2</v>
      </c>
      <c r="AA3" s="229">
        <f t="shared" si="11"/>
        <v>4.71401565954883E-2</v>
      </c>
      <c r="AB3" s="2">
        <f>AA3/U3*100</f>
        <v>0.9907557081859667</v>
      </c>
      <c r="AC3" s="158">
        <f t="shared" si="12"/>
        <v>3.3104737923111678</v>
      </c>
      <c r="AD3" s="175">
        <f t="shared" si="13"/>
        <v>7.4485660327001275</v>
      </c>
      <c r="AE3" s="4">
        <f t="shared" si="14"/>
        <v>1.7278759594743859E-27</v>
      </c>
      <c r="AF3" s="158">
        <f t="shared" ref="AF3:AF13" si="25">AE3/AC3</f>
        <v>5.2194219555143798E-28</v>
      </c>
      <c r="AH3" s="228">
        <f t="shared" si="15"/>
        <v>0.25</v>
      </c>
      <c r="AI3" s="228">
        <f t="shared" si="16"/>
        <v>9</v>
      </c>
      <c r="AJ3" s="229">
        <f t="shared" si="17"/>
        <v>5341.5559957732476</v>
      </c>
      <c r="AK3" s="229">
        <f t="shared" si="18"/>
        <v>11.591918393605138</v>
      </c>
      <c r="AL3" s="229">
        <f t="shared" si="19"/>
        <v>-1.2570730193706521</v>
      </c>
      <c r="AM3" s="229">
        <f t="shared" si="20"/>
        <v>11.641491887218354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2.511671370675344E-7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0.46200000000000002</v>
      </c>
      <c r="F4" s="73">
        <v>12.19</v>
      </c>
      <c r="G4" s="106">
        <v>0.44</v>
      </c>
      <c r="H4" s="73">
        <v>6040</v>
      </c>
      <c r="I4" s="78">
        <v>19200</v>
      </c>
      <c r="J4" s="61"/>
      <c r="K4" s="2">
        <f t="shared" si="2"/>
        <v>5.3635999999999999</v>
      </c>
      <c r="L4" s="1">
        <f t="shared" si="3"/>
        <v>12</v>
      </c>
      <c r="M4" s="234">
        <f t="shared" si="4"/>
        <v>2.4849066497880004</v>
      </c>
      <c r="N4" s="3">
        <f t="shared" si="5"/>
        <v>165.56291390728478</v>
      </c>
      <c r="O4" s="3">
        <f t="shared" si="5"/>
        <v>52.083333333333336</v>
      </c>
      <c r="P4" s="3">
        <f t="shared" si="6"/>
        <v>9933.7748344370866</v>
      </c>
      <c r="Q4" s="3">
        <f t="shared" si="22"/>
        <v>3125</v>
      </c>
      <c r="R4" s="3">
        <f t="shared" si="7"/>
        <v>21.557671081677704</v>
      </c>
      <c r="S4" s="3">
        <f t="shared" si="8"/>
        <v>6.7816840277777777</v>
      </c>
      <c r="T4" s="3">
        <f t="shared" si="9"/>
        <v>12</v>
      </c>
      <c r="U4" s="158">
        <f t="shared" si="0"/>
        <v>5.3635999999999999</v>
      </c>
      <c r="V4" s="229">
        <f t="shared" si="23"/>
        <v>4.74038</v>
      </c>
      <c r="W4" s="234">
        <f t="shared" si="24"/>
        <v>6.3569538683600005E-3</v>
      </c>
      <c r="X4" s="230">
        <f t="shared" ref="X4:X13" si="28">$W4/$P4*5252</f>
        <v>3.3609299861404236E-3</v>
      </c>
      <c r="Y4" s="230">
        <f t="shared" ref="Y4:Y13" si="29">X4-$X$3</f>
        <v>-3.6572761657280555E-5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2" si="30">AA4/U4*100</f>
        <v>1.706905960862604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8.9993539555957618</v>
      </c>
      <c r="AF4" s="158">
        <f t="shared" si="25"/>
        <v>2.1788610095230641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8834.8987683306477</v>
      </c>
      <c r="AK4" s="229">
        <f t="shared" si="18"/>
        <v>19.172957396550885</v>
      </c>
      <c r="AL4" s="229">
        <f t="shared" si="19"/>
        <v>5.8023808601098592</v>
      </c>
      <c r="AM4" s="229">
        <f t="shared" si="20"/>
        <v>19.214786170016261</v>
      </c>
      <c r="AN4" s="2">
        <f t="shared" ref="AN4:AN13" si="31">AO4/$Q$30</f>
        <v>5.8023808601098592</v>
      </c>
      <c r="AO4" s="3">
        <f t="shared" si="21"/>
        <v>2673.7371003386233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3.1894909088325442E-7</v>
      </c>
      <c r="AS4" s="228">
        <f t="shared" ref="AS4:AS13" si="33">$Q$35/AR4</f>
        <v>0.11734417364586795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0.72499999999999998</v>
      </c>
      <c r="F5" s="73">
        <v>12.17</v>
      </c>
      <c r="G5" s="73">
        <v>1.1299999999999999</v>
      </c>
      <c r="H5" s="73">
        <v>3720</v>
      </c>
      <c r="I5" s="78">
        <v>6440</v>
      </c>
      <c r="J5" s="61"/>
      <c r="K5" s="2">
        <f t="shared" si="2"/>
        <v>13.752099999999999</v>
      </c>
      <c r="L5" s="1">
        <f t="shared" si="3"/>
        <v>24</v>
      </c>
      <c r="M5" s="234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2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58">
        <f t="shared" si="0"/>
        <v>13.752099999999999</v>
      </c>
      <c r="V5" s="229">
        <f t="shared" si="23"/>
        <v>13.128879999999999</v>
      </c>
      <c r="W5" s="234">
        <f t="shared" si="24"/>
        <v>1.7606116915360001E-2</v>
      </c>
      <c r="X5" s="230">
        <f t="shared" si="28"/>
        <v>5.7329742144471858E-3</v>
      </c>
      <c r="Y5" s="230">
        <f t="shared" si="29"/>
        <v>2.3354714666494816E-3</v>
      </c>
      <c r="Z5" s="228">
        <f t="shared" si="10"/>
        <v>0.18975628219609206</v>
      </c>
      <c r="AA5" s="229">
        <f t="shared" si="11"/>
        <v>0.81075376002805499</v>
      </c>
      <c r="AB5" s="2">
        <f t="shared" si="30"/>
        <v>5.8954905798245729</v>
      </c>
      <c r="AC5" s="158">
        <f t="shared" si="12"/>
        <v>8.5452112641017166</v>
      </c>
      <c r="AD5" s="175">
        <f t="shared" si="13"/>
        <v>19.226725344228864</v>
      </c>
      <c r="AE5" s="175">
        <f t="shared" si="14"/>
        <v>26.830372041527738</v>
      </c>
      <c r="AF5" s="158">
        <f t="shared" si="25"/>
        <v>3.1398137754933764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17251.831644582377</v>
      </c>
      <c r="AK5" s="229">
        <f t="shared" si="18"/>
        <v>37.43887075647217</v>
      </c>
      <c r="AL5" s="229">
        <f t="shared" si="19"/>
        <v>22.811576153900912</v>
      </c>
      <c r="AM5" s="229">
        <f t="shared" si="20"/>
        <v>37.462039239816058</v>
      </c>
      <c r="AN5" s="2">
        <f t="shared" si="31"/>
        <v>22.811576153900912</v>
      </c>
      <c r="AO5" s="3">
        <f t="shared" si="21"/>
        <v>10511.574291717541</v>
      </c>
      <c r="AP5" s="227">
        <f t="shared" si="26"/>
        <v>3.0617544365980232E-3</v>
      </c>
      <c r="AQ5" s="227">
        <f t="shared" si="32"/>
        <v>1.0057287143420081E-2</v>
      </c>
      <c r="AR5" s="231">
        <f t="shared" si="27"/>
        <v>4.822643429592618E-7</v>
      </c>
      <c r="AS5" s="228">
        <f t="shared" si="33"/>
        <v>7.7606437322607261E-2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0.81899999999999995</v>
      </c>
      <c r="F6" s="73">
        <v>12.16</v>
      </c>
      <c r="G6" s="73">
        <v>1.33</v>
      </c>
      <c r="H6" s="73">
        <v>3460</v>
      </c>
      <c r="I6" s="78">
        <v>5580</v>
      </c>
      <c r="J6" s="61"/>
      <c r="K6" s="2">
        <f t="shared" si="2"/>
        <v>16.172800000000002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2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58">
        <f t="shared" si="0"/>
        <v>16.172800000000002</v>
      </c>
      <c r="V6" s="229">
        <f t="shared" si="23"/>
        <v>15.549580000000002</v>
      </c>
      <c r="W6" s="234">
        <f t="shared" si="24"/>
        <v>2.0852328870760006E-2</v>
      </c>
      <c r="X6" s="230">
        <f t="shared" si="28"/>
        <v>6.3154475342190189E-3</v>
      </c>
      <c r="Y6" s="230">
        <f t="shared" si="29"/>
        <v>2.9179447864213148E-3</v>
      </c>
      <c r="Z6" s="228">
        <f t="shared" si="10"/>
        <v>0.23582871582730708</v>
      </c>
      <c r="AA6" s="229">
        <f t="shared" si="11"/>
        <v>1.1232844746570794</v>
      </c>
      <c r="AB6" s="2">
        <f t="shared" si="30"/>
        <v>6.9455163895990752</v>
      </c>
      <c r="AC6" s="158">
        <f t="shared" si="12"/>
        <v>9.526273937561017</v>
      </c>
      <c r="AD6" s="175">
        <f t="shared" si="13"/>
        <v>21.434116359512288</v>
      </c>
      <c r="AE6" s="175">
        <f t="shared" si="14"/>
        <v>30.965518986996173</v>
      </c>
      <c r="AF6" s="158">
        <f t="shared" si="25"/>
        <v>3.2505383731306159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19123.693727158348</v>
      </c>
      <c r="AK6" s="229">
        <f t="shared" si="18"/>
        <v>41.501071456506828</v>
      </c>
      <c r="AL6" s="229">
        <f t="shared" si="19"/>
        <v>26.594292280271606</v>
      </c>
      <c r="AM6" s="229">
        <f t="shared" si="20"/>
        <v>41.520090032747753</v>
      </c>
      <c r="AN6" s="2">
        <f t="shared" si="31"/>
        <v>26.594292280271613</v>
      </c>
      <c r="AO6" s="3">
        <f t="shared" si="21"/>
        <v>12254.64988274916</v>
      </c>
      <c r="AP6" s="227">
        <f t="shared" si="26"/>
        <v>3.9984798589682664E-3</v>
      </c>
      <c r="AQ6" s="227">
        <f t="shared" si="32"/>
        <v>1.4559349618644407E-2</v>
      </c>
      <c r="AR6" s="231">
        <f t="shared" si="27"/>
        <v>5.1858441730961745E-7</v>
      </c>
      <c r="AS6" s="228">
        <f t="shared" si="33"/>
        <v>7.2171118636699963E-2</v>
      </c>
      <c r="AT6" s="232">
        <f t="shared" ref="AT6:AT13" si="34">$Q$44*$Q$27*$Q$36^2*$Q$33*PI()/240*($AC6-$Q$46)/$Q$45*$Q$34</f>
        <v>-1.3026398899235102E-7</v>
      </c>
      <c r="AU6" s="165">
        <f t="shared" ref="AU6:AU13" si="35">-$Q$35/AT6</f>
        <v>0.28731514975327521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0.94799999999999995</v>
      </c>
      <c r="F7" s="73">
        <v>12.16</v>
      </c>
      <c r="G7" s="73">
        <v>1.607</v>
      </c>
      <c r="H7" s="73">
        <v>3180</v>
      </c>
      <c r="I7" s="78">
        <v>4940</v>
      </c>
      <c r="J7" s="61"/>
      <c r="K7" s="2">
        <f t="shared" si="2"/>
        <v>19.541119999999999</v>
      </c>
      <c r="L7" s="1">
        <f t="shared" si="3"/>
        <v>32</v>
      </c>
      <c r="M7" s="234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2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58">
        <f t="shared" si="0"/>
        <v>19.541119999999999</v>
      </c>
      <c r="V7" s="229">
        <f t="shared" si="23"/>
        <v>18.917899999999999</v>
      </c>
      <c r="W7" s="234">
        <f t="shared" si="24"/>
        <v>2.53693200938E-2</v>
      </c>
      <c r="X7" s="230">
        <f t="shared" si="28"/>
        <v>7.0617024640297916E-3</v>
      </c>
      <c r="Y7" s="230">
        <f t="shared" si="29"/>
        <v>3.6641997162320875E-3</v>
      </c>
      <c r="Z7" s="228">
        <f t="shared" si="10"/>
        <v>0.30376911963050202</v>
      </c>
      <c r="AA7" s="229">
        <f t="shared" si="11"/>
        <v>1.6421399283325013</v>
      </c>
      <c r="AB7" s="2">
        <f t="shared" si="30"/>
        <v>8.4035097698212873</v>
      </c>
      <c r="AC7" s="158">
        <f t="shared" si="12"/>
        <v>10.811763423023141</v>
      </c>
      <c r="AD7" s="175">
        <f t="shared" si="13"/>
        <v>24.326467701802066</v>
      </c>
      <c r="AE7" s="175">
        <f t="shared" si="14"/>
        <v>34.977246143206202</v>
      </c>
      <c r="AF7" s="158">
        <f t="shared" si="25"/>
        <v>3.2351102012391246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20745.174417139777</v>
      </c>
      <c r="AK7" s="233">
        <f t="shared" si="18"/>
        <v>45.019909759417921</v>
      </c>
      <c r="AL7" s="233">
        <f t="shared" si="19"/>
        <v>29.87103003338143</v>
      </c>
      <c r="AM7" s="233">
        <f t="shared" si="20"/>
        <v>45.035333522613982</v>
      </c>
      <c r="AN7" s="9">
        <f t="shared" si="31"/>
        <v>29.871030033381423</v>
      </c>
      <c r="AO7" s="10">
        <f t="shared" si="21"/>
        <v>13764.57063938216</v>
      </c>
      <c r="AP7" s="230">
        <f t="shared" si="26"/>
        <v>4.8648618927728876E-3</v>
      </c>
      <c r="AQ7" s="230">
        <f t="shared" si="32"/>
        <v>1.9215995521871726E-2</v>
      </c>
      <c r="AR7" s="232">
        <f t="shared" si="27"/>
        <v>5.5004629677498183E-7</v>
      </c>
      <c r="AS7" s="228">
        <f t="shared" si="33"/>
        <v>6.8043031512504196E-2</v>
      </c>
      <c r="AT7" s="232">
        <f t="shared" si="34"/>
        <v>-1.6056523537933803E-7</v>
      </c>
      <c r="AU7" s="165">
        <f t="shared" si="35"/>
        <v>0.23309415276834272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1.343</v>
      </c>
      <c r="F8" s="73">
        <v>12.11</v>
      </c>
      <c r="G8" s="73">
        <v>2.95</v>
      </c>
      <c r="H8" s="73">
        <v>2480</v>
      </c>
      <c r="I8" s="78">
        <v>3420</v>
      </c>
      <c r="J8" s="61"/>
      <c r="K8" s="2">
        <f t="shared" si="2"/>
        <v>35.724499999999999</v>
      </c>
      <c r="L8" s="1">
        <f t="shared" si="3"/>
        <v>50</v>
      </c>
      <c r="M8" s="234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2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58">
        <f t="shared" si="0"/>
        <v>35.724499999999999</v>
      </c>
      <c r="V8" s="229">
        <f t="shared" si="23"/>
        <v>35.101279999999996</v>
      </c>
      <c r="W8" s="234">
        <f t="shared" si="24"/>
        <v>4.707158870816E-2</v>
      </c>
      <c r="X8" s="230">
        <f t="shared" si="28"/>
        <v>1.0218426001003927E-2</v>
      </c>
      <c r="Y8" s="230">
        <f t="shared" si="29"/>
        <v>6.8209232532062229E-3</v>
      </c>
      <c r="Z8" s="228">
        <f t="shared" si="10"/>
        <v>0.64042745241181076</v>
      </c>
      <c r="AA8" s="229">
        <f t="shared" si="11"/>
        <v>5.0268929546262759</v>
      </c>
      <c r="AB8" s="2">
        <f t="shared" si="30"/>
        <v>14.071275888049591</v>
      </c>
      <c r="AC8" s="158">
        <f t="shared" si="12"/>
        <v>15.698555505999325</v>
      </c>
      <c r="AD8" s="175">
        <f t="shared" si="13"/>
        <v>35.321749888498474</v>
      </c>
      <c r="AE8" s="175">
        <f t="shared" si="14"/>
        <v>50.522688873520067</v>
      </c>
      <c r="AF8" s="158">
        <f t="shared" si="25"/>
        <v>3.21830176376498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26164.468748432828</v>
      </c>
      <c r="AK8" s="229">
        <f t="shared" si="18"/>
        <v>56.780531138092073</v>
      </c>
      <c r="AL8" s="229">
        <f t="shared" si="19"/>
        <v>40.822505706375907</v>
      </c>
      <c r="AM8" s="229">
        <f t="shared" si="20"/>
        <v>56.78394035799041</v>
      </c>
      <c r="AN8" s="2">
        <f t="shared" si="31"/>
        <v>40.822505706375907</v>
      </c>
      <c r="AO8" s="3">
        <f t="shared" si="21"/>
        <v>18811.010629498018</v>
      </c>
      <c r="AP8" s="227">
        <f t="shared" si="26"/>
        <v>8.1306482321405645E-3</v>
      </c>
      <c r="AQ8" s="227">
        <f t="shared" si="32"/>
        <v>4.0505348738450575E-2</v>
      </c>
      <c r="AR8" s="231">
        <f t="shared" si="27"/>
        <v>6.5519783270873869E-7</v>
      </c>
      <c r="AS8" s="228">
        <f t="shared" si="33"/>
        <v>5.7122926292453143E-2</v>
      </c>
      <c r="AT8" s="232">
        <f t="shared" si="34"/>
        <v>-2.7575551318624402E-7</v>
      </c>
      <c r="AU8" s="165">
        <f t="shared" si="35"/>
        <v>0.13572463909186985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1.74</v>
      </c>
      <c r="F9" s="73">
        <v>12.04</v>
      </c>
      <c r="G9" s="73">
        <v>5.14</v>
      </c>
      <c r="H9" s="73">
        <v>1990</v>
      </c>
      <c r="I9" s="78">
        <v>2650</v>
      </c>
      <c r="J9" s="61"/>
      <c r="K9" s="2">
        <f t="shared" si="2"/>
        <v>61.88559999999999</v>
      </c>
      <c r="L9" s="1">
        <f t="shared" si="3"/>
        <v>78</v>
      </c>
      <c r="M9" s="234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2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58">
        <f t="shared" si="0"/>
        <v>61.88559999999999</v>
      </c>
      <c r="V9" s="229">
        <f t="shared" si="23"/>
        <v>61.262379999999986</v>
      </c>
      <c r="W9" s="234">
        <f t="shared" si="24"/>
        <v>8.2154199352359986E-2</v>
      </c>
      <c r="X9" s="230">
        <f t="shared" si="28"/>
        <v>1.4310549524120055E-2</v>
      </c>
      <c r="Y9" s="230">
        <f t="shared" si="29"/>
        <v>1.0913046776322351E-2</v>
      </c>
      <c r="Z9" s="228">
        <f t="shared" si="10"/>
        <v>1.2395548622912713</v>
      </c>
      <c r="AA9" s="229">
        <f t="shared" si="11"/>
        <v>13.536093859157535</v>
      </c>
      <c r="AB9" s="2">
        <f t="shared" si="30"/>
        <v>21.87276823551446</v>
      </c>
      <c r="AC9" s="158">
        <f t="shared" si="12"/>
        <v>21.84024970728051</v>
      </c>
      <c r="AD9" s="175">
        <f t="shared" si="13"/>
        <v>49.14056184138115</v>
      </c>
      <c r="AE9" s="175">
        <f t="shared" si="14"/>
        <v>65.202866395259861</v>
      </c>
      <c r="AF9" s="163">
        <f t="shared" si="25"/>
        <v>2.9854450965148214</v>
      </c>
      <c r="AG9" s="159">
        <f>$M$41/($Q$27*$Q$36*$Q$33*($AC9-$Q$46)^2/4/$AF9)/(PI()*$Q$36/60/($AC9-$Q$46))</f>
        <v>-0.92708178600141067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31564.318612288345</v>
      </c>
      <c r="AK9" s="229">
        <f t="shared" si="18"/>
        <v>68.498955321806307</v>
      </c>
      <c r="AL9" s="229">
        <f t="shared" si="19"/>
        <v>51.734687405081729</v>
      </c>
      <c r="AM9" s="229">
        <f t="shared" si="20"/>
        <v>68.490393106675569</v>
      </c>
      <c r="AN9" s="2">
        <f t="shared" si="31"/>
        <v>51.734687405081729</v>
      </c>
      <c r="AO9" s="3">
        <f t="shared" si="21"/>
        <v>23839.343956261662</v>
      </c>
      <c r="AP9" s="227">
        <f t="shared" si="26"/>
        <v>1.1951500773628936E-2</v>
      </c>
      <c r="AQ9" s="227">
        <f t="shared" si="32"/>
        <v>7.1828061369732368E-2</v>
      </c>
      <c r="AR9" s="231">
        <f t="shared" si="27"/>
        <v>7.5997208416752902E-7</v>
      </c>
      <c r="AS9" s="228">
        <f t="shared" si="33"/>
        <v>4.9247621438349994E-2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2.08</v>
      </c>
      <c r="F10" s="73">
        <v>11.94</v>
      </c>
      <c r="G10" s="73">
        <v>7.9</v>
      </c>
      <c r="H10" s="73">
        <v>1700</v>
      </c>
      <c r="I10" s="78">
        <v>2175</v>
      </c>
      <c r="J10" s="61"/>
      <c r="K10" s="2">
        <f t="shared" si="2"/>
        <v>94.325999999999993</v>
      </c>
      <c r="L10" s="1">
        <f t="shared" si="3"/>
        <v>115</v>
      </c>
      <c r="M10" s="234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2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58">
        <f t="shared" si="0"/>
        <v>94.325999999999993</v>
      </c>
      <c r="V10" s="229">
        <f t="shared" si="23"/>
        <v>93.70277999999999</v>
      </c>
      <c r="W10" s="234">
        <f t="shared" si="24"/>
        <v>0.12565748944116001</v>
      </c>
      <c r="X10" s="230">
        <f t="shared" si="28"/>
        <v>1.8698672145440881E-2</v>
      </c>
      <c r="Y10" s="230">
        <f t="shared" si="29"/>
        <v>1.5301169397643177E-2</v>
      </c>
      <c r="Z10" s="228">
        <f t="shared" si="10"/>
        <v>1.9882830873636748</v>
      </c>
      <c r="AA10" s="229">
        <f t="shared" si="11"/>
        <v>27.498693141424127</v>
      </c>
      <c r="AB10" s="2">
        <f t="shared" si="30"/>
        <v>29.152824397752614</v>
      </c>
      <c r="AC10" s="158">
        <f t="shared" si="12"/>
        <v>27.660742392458292</v>
      </c>
      <c r="AD10" s="175">
        <f t="shared" si="13"/>
        <v>62.236670383031161</v>
      </c>
      <c r="AE10" s="175">
        <f t="shared" si="14"/>
        <v>79.442572849397052</v>
      </c>
      <c r="AF10" s="165">
        <f t="shared" si="25"/>
        <v>2.872033285377658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36278.540299728964</v>
      </c>
      <c r="AK10" s="229">
        <f t="shared" si="18"/>
        <v>78.729471136564584</v>
      </c>
      <c r="AL10" s="229">
        <f t="shared" si="19"/>
        <v>61.261330722642683</v>
      </c>
      <c r="AM10" s="229">
        <f t="shared" si="20"/>
        <v>78.710457519993682</v>
      </c>
      <c r="AN10" s="2">
        <f t="shared" si="31"/>
        <v>61.261330722642697</v>
      </c>
      <c r="AO10" s="3">
        <f t="shared" si="21"/>
        <v>28229.221196993756</v>
      </c>
      <c r="AP10" s="227">
        <f t="shared" si="26"/>
        <v>1.5749784670713377E-2</v>
      </c>
      <c r="AQ10" s="227">
        <f t="shared" si="32"/>
        <v>0.10879268809758733</v>
      </c>
      <c r="AR10" s="231">
        <f t="shared" si="27"/>
        <v>8.5144296964872615E-7</v>
      </c>
      <c r="AS10" s="228">
        <f t="shared" si="33"/>
        <v>4.39569282253129E-2</v>
      </c>
      <c r="AT10" s="232">
        <f t="shared" si="34"/>
        <v>-5.5772528133527934E-7</v>
      </c>
      <c r="AU10" s="165">
        <f t="shared" si="35"/>
        <v>6.7106187862222805E-2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2.2999999999999998</v>
      </c>
      <c r="F11" s="73">
        <v>11.86</v>
      </c>
      <c r="G11" s="73">
        <v>10.14</v>
      </c>
      <c r="H11" s="73">
        <v>1550</v>
      </c>
      <c r="I11" s="78">
        <v>1955</v>
      </c>
      <c r="J11" s="61"/>
      <c r="K11" s="2">
        <f t="shared" si="2"/>
        <v>120.2604</v>
      </c>
      <c r="L11" s="1">
        <f t="shared" si="3"/>
        <v>140</v>
      </c>
      <c r="M11" s="234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2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58">
        <f t="shared" si="0"/>
        <v>120.2604</v>
      </c>
      <c r="V11" s="229">
        <f t="shared" si="23"/>
        <v>119.63718</v>
      </c>
      <c r="W11" s="234">
        <f t="shared" si="24"/>
        <v>0.16043609039796</v>
      </c>
      <c r="X11" s="230">
        <f t="shared" si="28"/>
        <v>2.1767433958227219E-2</v>
      </c>
      <c r="Y11" s="230">
        <f t="shared" si="29"/>
        <v>1.8369931210429513E-2</v>
      </c>
      <c r="Z11" s="228">
        <f t="shared" si="10"/>
        <v>2.6231908450787782</v>
      </c>
      <c r="AA11" s="229">
        <f t="shared" si="11"/>
        <v>41.671540842096242</v>
      </c>
      <c r="AB11" s="2">
        <f t="shared" si="30"/>
        <v>34.651091167247273</v>
      </c>
      <c r="AC11" s="158">
        <f t="shared" si="12"/>
        <v>31.77164247906239</v>
      </c>
      <c r="AD11" s="175">
        <f t="shared" si="13"/>
        <v>71.486195577890371</v>
      </c>
      <c r="AE11" s="175">
        <f t="shared" si="14"/>
        <v>88.382402019150192</v>
      </c>
      <c r="AF11" s="165">
        <f t="shared" si="25"/>
        <v>2.7818014783905007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38667.206645308324</v>
      </c>
      <c r="AK11" s="229">
        <f t="shared" si="18"/>
        <v>83.913208865686471</v>
      </c>
      <c r="AL11" s="229">
        <f t="shared" si="19"/>
        <v>66.088420704350938</v>
      </c>
      <c r="AM11" s="229">
        <f t="shared" si="20"/>
        <v>83.88889959003555</v>
      </c>
      <c r="AN11" s="2">
        <f t="shared" si="31"/>
        <v>66.088420704350938</v>
      </c>
      <c r="AO11" s="3">
        <f t="shared" si="21"/>
        <v>30453.544260564915</v>
      </c>
      <c r="AP11" s="227">
        <f t="shared" si="26"/>
        <v>1.7838952456709595E-2</v>
      </c>
      <c r="AQ11" s="227">
        <f t="shared" si="32"/>
        <v>0.13133710224284473</v>
      </c>
      <c r="AR11" s="231">
        <f t="shared" si="27"/>
        <v>8.9779068942851048E-7</v>
      </c>
      <c r="AS11" s="228">
        <f t="shared" si="33"/>
        <v>4.1687687281119393E-2</v>
      </c>
      <c r="AT11" s="232">
        <f t="shared" si="34"/>
        <v>-6.5462642117750578E-7</v>
      </c>
      <c r="AU11" s="165">
        <f t="shared" si="35"/>
        <v>5.7172787858875355E-2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2.71</v>
      </c>
      <c r="F12" s="73">
        <v>11.76</v>
      </c>
      <c r="G12" s="73">
        <v>12.23</v>
      </c>
      <c r="H12" s="73">
        <v>1430</v>
      </c>
      <c r="I12" s="78">
        <v>1800</v>
      </c>
      <c r="J12" s="61"/>
      <c r="K12" s="2">
        <f t="shared" si="2"/>
        <v>143.82480000000001</v>
      </c>
      <c r="L12" s="1">
        <f t="shared" si="3"/>
        <v>155</v>
      </c>
      <c r="M12" s="234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2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58">
        <f t="shared" si="0"/>
        <v>143.82480000000001</v>
      </c>
      <c r="V12" s="229">
        <f t="shared" si="23"/>
        <v>143.20158000000001</v>
      </c>
      <c r="W12" s="234">
        <f t="shared" si="24"/>
        <v>0.19203646921476003</v>
      </c>
      <c r="X12" s="230">
        <f t="shared" si="28"/>
        <v>2.4037716948862753E-2</v>
      </c>
      <c r="Y12" s="230">
        <f t="shared" si="29"/>
        <v>2.0640214201065051E-2</v>
      </c>
      <c r="Z12" s="228">
        <f t="shared" si="10"/>
        <v>3.3405414897843171</v>
      </c>
      <c r="AA12" s="229">
        <f t="shared" si="11"/>
        <v>59.885272810955158</v>
      </c>
      <c r="AB12" s="2">
        <f t="shared" si="30"/>
        <v>41.637654153494495</v>
      </c>
      <c r="AC12" s="158">
        <f t="shared" si="12"/>
        <v>35.853632109698282</v>
      </c>
      <c r="AD12" s="175">
        <f t="shared" si="13"/>
        <v>80.670672246821127</v>
      </c>
      <c r="AE12" s="175">
        <f t="shared" si="14"/>
        <v>95.993108859688135</v>
      </c>
      <c r="AF12" s="165">
        <f t="shared" si="25"/>
        <v>2.677360791955087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39903.160754331417</v>
      </c>
      <c r="AK12" s="229">
        <f t="shared" si="18"/>
        <v>86.595400942559493</v>
      </c>
      <c r="AL12" s="229">
        <f t="shared" si="19"/>
        <v>68.586074555654932</v>
      </c>
      <c r="AM12" s="229">
        <f t="shared" si="20"/>
        <v>86.568351564000523</v>
      </c>
      <c r="AN12" s="2">
        <f t="shared" si="31"/>
        <v>68.586074555654932</v>
      </c>
      <c r="AO12" s="3">
        <f t="shared" si="21"/>
        <v>31604.463155245794</v>
      </c>
      <c r="AP12" s="227">
        <f t="shared" si="26"/>
        <v>1.8963400526986033E-2</v>
      </c>
      <c r="AQ12" s="227">
        <f t="shared" si="32"/>
        <v>0.14407837389129793</v>
      </c>
      <c r="AR12" s="231">
        <f t="shared" si="27"/>
        <v>9.2177212777869636E-7</v>
      </c>
      <c r="AS12" s="228">
        <f t="shared" si="33"/>
        <v>4.060311260982491E-2</v>
      </c>
      <c r="AT12" s="232">
        <f t="shared" si="34"/>
        <v>-7.5084609076318016E-7</v>
      </c>
      <c r="AU12" s="165">
        <f t="shared" si="35"/>
        <v>4.9846190804236197E-2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2</v>
      </c>
      <c r="D13" s="80">
        <v>180</v>
      </c>
      <c r="E13" s="80">
        <v>3.57</v>
      </c>
      <c r="F13" s="80">
        <v>11.66</v>
      </c>
      <c r="G13" s="80">
        <v>14.37</v>
      </c>
      <c r="H13" s="80">
        <v>1350</v>
      </c>
      <c r="I13" s="81">
        <v>1700</v>
      </c>
      <c r="J13" s="61"/>
      <c r="K13" s="2">
        <f t="shared" si="2"/>
        <v>167.55419999999998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2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58">
        <f t="shared" si="0"/>
        <v>167.55419999999998</v>
      </c>
      <c r="V13" s="229">
        <f t="shared" si="23"/>
        <v>166.93097999999998</v>
      </c>
      <c r="W13" s="234">
        <f t="shared" si="24"/>
        <v>0.22385811666156</v>
      </c>
      <c r="X13" s="230">
        <f t="shared" si="28"/>
        <v>2.6453313645896544E-2</v>
      </c>
      <c r="Y13" s="230">
        <f t="shared" si="29"/>
        <v>2.3055810898098841E-2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54.488188854304987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101.6397623220227</v>
      </c>
      <c r="AF13" s="165">
        <f t="shared" si="25"/>
        <v>2.4631144760863881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41718.934666426678</v>
      </c>
      <c r="AK13" s="229">
        <f t="shared" si="18"/>
        <v>90.535882522627332</v>
      </c>
      <c r="AL13" s="229">
        <f t="shared" si="19"/>
        <v>72.255445992290788</v>
      </c>
      <c r="AM13" s="229">
        <f t="shared" si="20"/>
        <v>90.504807584105748</v>
      </c>
      <c r="AN13" s="2">
        <f t="shared" si="31"/>
        <v>72.255445992290788</v>
      </c>
      <c r="AO13" s="3">
        <f t="shared" si="21"/>
        <v>33295.309513247594</v>
      </c>
      <c r="AP13" s="227">
        <f t="shared" si="26"/>
        <v>2.0669116788051091E-2</v>
      </c>
      <c r="AQ13" s="227">
        <f t="shared" si="32"/>
        <v>0.16418384099265923</v>
      </c>
      <c r="AR13" s="231">
        <f t="shared" si="27"/>
        <v>9.5700391333844219E-7</v>
      </c>
      <c r="AS13" s="228">
        <f t="shared" si="33"/>
        <v>3.9108322320475633E-2</v>
      </c>
      <c r="AT13" s="232">
        <f t="shared" si="34"/>
        <v>-8.7839525931599473E-7</v>
      </c>
      <c r="AU13" s="165">
        <f t="shared" si="35"/>
        <v>4.2608173379647493E-2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91.763321955226317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79.502892729656168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15929.364786667767</v>
      </c>
      <c r="S40" s="67">
        <f>INDEX(LINEST($Q$5:$Q$13,$E$5:$E$13^{1,2},FALSE,FALSE),1)</f>
        <v>-1553.3720910828754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64.483866928332702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INDEX(LINEST($P$3:$P$13,$M$3:$M$13),2)</f>
        <v>-21339.489964118849</v>
      </c>
      <c r="R41" s="67">
        <f>INDEX(LINEST($P$3:$P$13,$M$3:$M$13),1)</f>
        <v>12143.067320063643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39.809753111872752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-5553.3093982580176</v>
      </c>
      <c r="R42" s="69">
        <f>INDEX(LINEST($Q$4:$Q$13,$P$4:$P$13),1)</f>
        <v>0.93119872839823603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34.445815325685807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5985.8215745762427</v>
      </c>
      <c r="R43" s="69">
        <f>INDEX(LINEST($P$4:$P$13,$Q$4:$Q$13),1)</f>
        <v>1.0727875572373891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28.622111443539978</v>
      </c>
      <c r="K44" s="246">
        <v>0.5</v>
      </c>
      <c r="L44" s="255"/>
      <c r="M44" s="256"/>
      <c r="P44" s="65" t="s">
        <v>180</v>
      </c>
      <c r="Q44" s="206">
        <f>AG9</f>
        <v>-0.92708178600141067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2.9854450965148214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4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-2.3707465536193552E-3</v>
      </c>
      <c r="K47" s="180">
        <f>INDEX(LINEST($Y$3:$Y$13,$P$3:$P$13^{1,2}),2)</f>
        <v>1.4752397194391045E-7</v>
      </c>
      <c r="L47" s="180">
        <f>INDEX(LINEST($Y$3:$Y$13,$P$3:$P$13^{1,2}),1)</f>
        <v>9.7015893127055435E-12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E4" zoomScale="70" zoomScaleNormal="70" workbookViewId="0">
      <selection activeCell="AW16" sqref="AW1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-9.9967483609407002E-8</v>
      </c>
      <c r="AU6" s="165">
        <f t="shared" ref="AU6:AU14" si="33">-$Q$36/AT6</f>
        <v>0.37438991313445885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-1.5106351711390569E-7</v>
      </c>
      <c r="AU7" s="165">
        <f t="shared" si="33"/>
        <v>0.24775550192291343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-2.1509674286168966E-7</v>
      </c>
      <c r="AU8" s="165">
        <f t="shared" si="33"/>
        <v>0.17399992676254664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-0.92054666413148112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-2.9044585029328838E-7</v>
      </c>
      <c r="AU9" s="165">
        <f t="shared" si="33"/>
        <v>0.12885988030816492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-3.7922309035172362E-7</v>
      </c>
      <c r="AU10" s="165">
        <f t="shared" si="33"/>
        <v>9.8693403584901765E-2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-0.63292590793276615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-3.9396650005048765E-7</v>
      </c>
      <c r="AU11" s="165">
        <f t="shared" si="33"/>
        <v>9.5000000000000001E-2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-4.4366649807379579E-7</v>
      </c>
      <c r="AU12" s="165">
        <f t="shared" si="33"/>
        <v>8.4357997881938471E-2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-5.3787502910940639E-7</v>
      </c>
      <c r="AU13" s="165">
        <f t="shared" si="33"/>
        <v>6.958273851598254E-2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-6.4815399897297392E-7</v>
      </c>
      <c r="AU14" s="165">
        <f t="shared" si="33"/>
        <v>5.7743711469960261E-2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AG11</f>
        <v>-0.63292590793276615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A14" zoomScale="90" zoomScaleNormal="90" workbookViewId="0">
      <selection activeCell="Q46" sqref="Q4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2" si="1">D2/180+1</f>
        <v>1.0505883567628869</v>
      </c>
      <c r="D2" s="262">
        <f>EXP((0-$Q$40)/$R$40)</f>
        <v>9.1059042173196207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9.1059042173196207</v>
      </c>
      <c r="M2" s="234">
        <f t="shared" ref="M2:M12" si="4">LN(L2)</f>
        <v>2.2089230182233597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9.1059042173196207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1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3" si="15">D2/$Q$30*$Q$22</f>
        <v>0.25294178381443388</v>
      </c>
      <c r="AI2" s="228">
        <f t="shared" ref="AI2:AI13" si="16">AH2/$Q$22*$Q$30</f>
        <v>9.105904217319619</v>
      </c>
      <c r="AJ2" s="229">
        <f t="shared" ref="AJ2:AJ13" si="17">MAX(($Q$40+$R$40*LN($AI2)),0)</f>
        <v>0</v>
      </c>
      <c r="AK2" s="229">
        <f t="shared" ref="AK2:AK13" si="18">MAX(($Q$40+$R$40*LN(AI2))/$Q$29,0)</f>
        <v>0</v>
      </c>
      <c r="AL2" s="229">
        <f t="shared" ref="AL2:AL13" si="19">($Q$41+$R$41*AK2*$Q$29)/$Q$29</f>
        <v>-16.322696673317804</v>
      </c>
      <c r="AM2" s="229">
        <f t="shared" ref="AM2:AM13" si="20">($Q$42+$R$42*AL2*$Q$29)/$Q$29</f>
        <v>0.28055245175112969</v>
      </c>
      <c r="AN2" s="1"/>
      <c r="AO2" s="1">
        <f t="shared" ref="AO2:AO13" si="21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ref="Q3:Q12" si="22">O3*60/$C$24</f>
        <v>5.9999999999999995E-25</v>
      </c>
      <c r="R3" s="3">
        <f t="shared" si="7"/>
        <v>17.22332451499118</v>
      </c>
      <c r="S3" s="3">
        <f t="shared" si="8"/>
        <v>1.3020833333333332E-27</v>
      </c>
      <c r="T3" s="3">
        <f>L3</f>
        <v>11</v>
      </c>
      <c r="U3" s="158">
        <f>K3</f>
        <v>3.9959400000000005</v>
      </c>
      <c r="V3" s="1">
        <f t="shared" ref="V3:V12" si="23">($U3-$U$2)</f>
        <v>3.0664600000000006</v>
      </c>
      <c r="W3" s="234">
        <f t="shared" ref="W3:W12" si="24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10"/>
        <v>2.2607867332556594E-2</v>
      </c>
      <c r="AA3" s="229">
        <f t="shared" si="11"/>
        <v>3.3341422214415065E-2</v>
      </c>
      <c r="AB3" s="2">
        <f>AA3/U3*100</f>
        <v>0.83438245355073049</v>
      </c>
      <c r="AC3" s="158">
        <f t="shared" si="12"/>
        <v>2.9495415665679845</v>
      </c>
      <c r="AD3" s="175">
        <f t="shared" si="13"/>
        <v>6.636468524777964</v>
      </c>
      <c r="AE3" s="4">
        <f t="shared" si="14"/>
        <v>1.7278759594743859E-27</v>
      </c>
      <c r="AF3" s="158">
        <f t="shared" ref="AF3:AF12" si="25">AE3/AC3</f>
        <v>5.8581170004832332E-28</v>
      </c>
      <c r="AH3" s="228">
        <f t="shared" si="15"/>
        <v>0.30555555555555552</v>
      </c>
      <c r="AI3" s="228">
        <f t="shared" si="16"/>
        <v>10.999999999999998</v>
      </c>
      <c r="AJ3" s="229">
        <f t="shared" si="17"/>
        <v>2702.6697175951012</v>
      </c>
      <c r="AK3" s="229">
        <f t="shared" si="18"/>
        <v>5.86516865797548</v>
      </c>
      <c r="AL3" s="229">
        <f t="shared" si="19"/>
        <v>-10.403603149045443</v>
      </c>
      <c r="AM3" s="229">
        <f t="shared" si="20"/>
        <v>6.117839865509465</v>
      </c>
      <c r="AN3" s="1"/>
      <c r="AO3" s="1">
        <f t="shared" si="21"/>
        <v>0</v>
      </c>
      <c r="AP3" s="227">
        <f t="shared" ref="AP3:AP13" si="26">MAX($J$46+$AJ3*($K$46+$AJ3*$L$46), 0)</f>
        <v>0</v>
      </c>
      <c r="AQ3" s="227">
        <f>AJ3*AP3/5252</f>
        <v>0</v>
      </c>
      <c r="AR3" s="231">
        <f t="shared" ref="AR3:AR13" si="27">MAX($K$46+$L$46*2*AJ3,1E-32)</f>
        <v>2.1589455983921055E-7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22"/>
        <v>750.00000000000011</v>
      </c>
      <c r="R4" s="3">
        <f t="shared" si="7"/>
        <v>21.557671081677704</v>
      </c>
      <c r="S4" s="3">
        <f t="shared" si="8"/>
        <v>1.627604166666667</v>
      </c>
      <c r="T4" s="3">
        <f t="shared" si="9"/>
        <v>15</v>
      </c>
      <c r="U4" s="158">
        <f t="shared" si="0"/>
        <v>5.16906</v>
      </c>
      <c r="V4" s="229">
        <f t="shared" si="23"/>
        <v>4.2395800000000001</v>
      </c>
      <c r="W4" s="234">
        <f t="shared" si="24"/>
        <v>5.6853700507600007E-3</v>
      </c>
      <c r="X4" s="230">
        <f t="shared" ref="X4:X12" si="28">$W4/$P4*5252</f>
        <v>3.0058627263302132E-3</v>
      </c>
      <c r="Y4" s="230">
        <f t="shared" ref="Y4:Y12" si="29">X4-$X$3</f>
        <v>2.8461255628665872E-4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1" si="30">AA4/U4*100</f>
        <v>1.7711461681007112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2.1598449493429834</v>
      </c>
      <c r="AF4" s="158">
        <f t="shared" si="25"/>
        <v>0.52292664228553554</v>
      </c>
      <c r="AG4" s="151"/>
      <c r="AH4" s="228">
        <f t="shared" si="15"/>
        <v>0.41666666666666663</v>
      </c>
      <c r="AI4" s="228">
        <f t="shared" si="16"/>
        <v>15</v>
      </c>
      <c r="AJ4" s="229">
        <f t="shared" si="17"/>
        <v>7138.4866811744396</v>
      </c>
      <c r="AK4" s="229">
        <f t="shared" si="18"/>
        <v>15.49150755463203</v>
      </c>
      <c r="AL4" s="229">
        <f t="shared" si="19"/>
        <v>-0.68875886265473696</v>
      </c>
      <c r="AM4" s="229">
        <f t="shared" si="20"/>
        <v>15.698418048136123</v>
      </c>
      <c r="AN4" s="2">
        <f t="shared" ref="AN4:AN13" si="31">AO4/$Q$29</f>
        <v>0</v>
      </c>
      <c r="AO4" s="3">
        <f t="shared" si="21"/>
        <v>0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2.9746648396618457E-7</v>
      </c>
      <c r="AS4" s="228">
        <f t="shared" ref="AS4:AS13" si="33">$Q$34/AR4</f>
        <v>0.125818603177664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22"/>
        <v>7317.0731707317073</v>
      </c>
      <c r="R5" s="3">
        <f t="shared" si="7"/>
        <v>30.709512578616351</v>
      </c>
      <c r="S5" s="3">
        <f t="shared" si="8"/>
        <v>15.879065040650406</v>
      </c>
      <c r="T5" s="3">
        <f t="shared" si="9"/>
        <v>26</v>
      </c>
      <c r="U5" s="158">
        <f t="shared" si="0"/>
        <v>9.6257999999999999</v>
      </c>
      <c r="V5" s="229">
        <f t="shared" si="23"/>
        <v>8.6963200000000001</v>
      </c>
      <c r="W5" s="234">
        <f t="shared" si="24"/>
        <v>1.1661956439040002E-2</v>
      </c>
      <c r="X5" s="230">
        <f t="shared" si="28"/>
        <v>4.3282340620605583E-3</v>
      </c>
      <c r="Y5" s="230">
        <f t="shared" si="29"/>
        <v>1.6069838920170039E-3</v>
      </c>
      <c r="Z5" s="228">
        <f t="shared" si="10"/>
        <v>0.12815259734411796</v>
      </c>
      <c r="AA5" s="229">
        <f t="shared" si="11"/>
        <v>0.44997236896437842</v>
      </c>
      <c r="AB5" s="2">
        <f t="shared" si="30"/>
        <v>4.6746490573705914</v>
      </c>
      <c r="AC5" s="158">
        <f t="shared" si="12"/>
        <v>7.0224463380340776</v>
      </c>
      <c r="AD5" s="175">
        <f t="shared" si="13"/>
        <v>15.800504260576671</v>
      </c>
      <c r="AE5" s="175">
        <f t="shared" si="14"/>
        <v>21.071658042370565</v>
      </c>
      <c r="AF5" s="158">
        <f t="shared" si="25"/>
        <v>3.0006150318650269</v>
      </c>
      <c r="AG5" s="151"/>
      <c r="AH5" s="228">
        <f t="shared" si="15"/>
        <v>0.7222222222222221</v>
      </c>
      <c r="AI5" s="228">
        <f t="shared" si="16"/>
        <v>25.999999999999996</v>
      </c>
      <c r="AJ5" s="229">
        <f t="shared" si="17"/>
        <v>15005.216013525915</v>
      </c>
      <c r="AK5" s="229">
        <f t="shared" si="18"/>
        <v>32.563402807130892</v>
      </c>
      <c r="AL5" s="229">
        <f t="shared" si="19"/>
        <v>16.540096866619766</v>
      </c>
      <c r="AM5" s="229">
        <f t="shared" si="20"/>
        <v>32.689158655552923</v>
      </c>
      <c r="AN5" s="2">
        <f t="shared" si="31"/>
        <v>16.540096866619763</v>
      </c>
      <c r="AO5" s="3">
        <f t="shared" si="21"/>
        <v>7621.676636138387</v>
      </c>
      <c r="AP5" s="227">
        <f t="shared" si="26"/>
        <v>2.3095905283023526E-3</v>
      </c>
      <c r="AQ5" s="227">
        <f t="shared" si="32"/>
        <v>6.5986109634368307E-3</v>
      </c>
      <c r="AR5" s="231">
        <f t="shared" si="27"/>
        <v>4.4213075967791568E-7</v>
      </c>
      <c r="AS5" s="228">
        <f t="shared" si="33"/>
        <v>8.4651014853752968E-2</v>
      </c>
      <c r="AT5" s="232"/>
      <c r="AU5" s="165"/>
      <c r="AX5" s="127"/>
      <c r="AY5" s="96"/>
    </row>
    <row r="6" spans="1:51" ht="13.95" customHeight="1" x14ac:dyDescent="0.3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0.88100000000000001</v>
      </c>
      <c r="F6" s="73">
        <v>12.18</v>
      </c>
      <c r="G6" s="73">
        <v>1.3280000000000001</v>
      </c>
      <c r="H6" s="73">
        <v>3350</v>
      </c>
      <c r="I6" s="78">
        <v>5360</v>
      </c>
      <c r="J6" s="61"/>
      <c r="K6" s="2">
        <f t="shared" si="2"/>
        <v>16.175039999999999</v>
      </c>
      <c r="L6" s="1">
        <f t="shared" si="3"/>
        <v>34</v>
      </c>
      <c r="M6" s="234">
        <f t="shared" si="4"/>
        <v>3.5263605246161616</v>
      </c>
      <c r="N6" s="3">
        <f t="shared" si="5"/>
        <v>298.50746268656718</v>
      </c>
      <c r="O6" s="3">
        <f t="shared" si="5"/>
        <v>186.56716417910448</v>
      </c>
      <c r="P6" s="3">
        <f t="shared" si="6"/>
        <v>17910.447761194031</v>
      </c>
      <c r="Q6" s="3">
        <f t="shared" si="22"/>
        <v>11194.029850746268</v>
      </c>
      <c r="R6" s="3">
        <f t="shared" si="7"/>
        <v>38.868159203980099</v>
      </c>
      <c r="S6" s="3">
        <f t="shared" si="8"/>
        <v>24.292599502487562</v>
      </c>
      <c r="T6" s="3">
        <f t="shared" si="9"/>
        <v>34</v>
      </c>
      <c r="U6" s="158">
        <f t="shared" si="0"/>
        <v>16.175039999999999</v>
      </c>
      <c r="V6" s="229">
        <f t="shared" si="23"/>
        <v>15.245559999999999</v>
      </c>
      <c r="W6" s="234">
        <f t="shared" si="24"/>
        <v>2.0444631362320002E-2</v>
      </c>
      <c r="X6" s="230">
        <f t="shared" si="28"/>
        <v>5.9951155519155095E-3</v>
      </c>
      <c r="Y6" s="230">
        <f t="shared" si="29"/>
        <v>3.273865381871955E-3</v>
      </c>
      <c r="Z6" s="228">
        <f t="shared" si="10"/>
        <v>0.25983075865629035</v>
      </c>
      <c r="AA6" s="229">
        <f t="shared" si="11"/>
        <v>1.2990640646721523</v>
      </c>
      <c r="AB6" s="2">
        <f t="shared" si="30"/>
        <v>8.0312881122529056</v>
      </c>
      <c r="AC6" s="158">
        <f t="shared" si="12"/>
        <v>9.9993093303520837</v>
      </c>
      <c r="AD6" s="175">
        <f t="shared" si="13"/>
        <v>22.49844599329219</v>
      </c>
      <c r="AE6" s="175">
        <f t="shared" si="14"/>
        <v>32.236491781238549</v>
      </c>
      <c r="AF6" s="158">
        <f t="shared" si="25"/>
        <v>3.2238718411668015</v>
      </c>
      <c r="AG6" s="151"/>
      <c r="AH6" s="228">
        <f t="shared" si="15"/>
        <v>0.94444444444444442</v>
      </c>
      <c r="AI6" s="228">
        <f t="shared" si="16"/>
        <v>34</v>
      </c>
      <c r="AJ6" s="233">
        <f t="shared" si="17"/>
        <v>18841.911270834102</v>
      </c>
      <c r="AK6" s="233">
        <f t="shared" si="18"/>
        <v>40.889564389830952</v>
      </c>
      <c r="AL6" s="233">
        <f t="shared" si="19"/>
        <v>24.942809896736911</v>
      </c>
      <c r="AM6" s="233">
        <f t="shared" si="20"/>
        <v>40.975740175339872</v>
      </c>
      <c r="AN6" s="9">
        <f t="shared" si="31"/>
        <v>24.942809896736904</v>
      </c>
      <c r="AO6" s="10">
        <f t="shared" si="21"/>
        <v>11493.646800416365</v>
      </c>
      <c r="AP6" s="230">
        <f t="shared" si="26"/>
        <v>4.1412594738406304E-3</v>
      </c>
      <c r="AQ6" s="230">
        <f t="shared" si="32"/>
        <v>1.485705322840942E-2</v>
      </c>
      <c r="AR6" s="232">
        <f t="shared" si="27"/>
        <v>5.1268520703160597E-7</v>
      </c>
      <c r="AS6" s="228">
        <f t="shared" si="33"/>
        <v>7.3001555323770131E-2</v>
      </c>
      <c r="AT6" s="232">
        <f t="shared" ref="AT6:AT12" si="34">$Q$43*$Q$26*$Q$35^2*$Q$32*PI()/240*($AC6-$Q$45)/$Q$44*$Q$33</f>
        <v>-1.2605004939959085E-7</v>
      </c>
      <c r="AU6" s="165">
        <f t="shared" ref="AU6:AU12" si="35">-$Q$34/AT6</f>
        <v>0.29692029224161343</v>
      </c>
      <c r="AX6" s="127"/>
      <c r="AY6" s="96"/>
    </row>
    <row r="7" spans="1:51" ht="13.95" customHeight="1" x14ac:dyDescent="0.3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1.2849999999999999</v>
      </c>
      <c r="F7" s="73">
        <v>12.14</v>
      </c>
      <c r="G7" s="73">
        <v>2.54</v>
      </c>
      <c r="H7" s="73">
        <v>2620</v>
      </c>
      <c r="I7" s="78">
        <v>3640</v>
      </c>
      <c r="J7" s="61"/>
      <c r="K7" s="2">
        <f t="shared" si="2"/>
        <v>30.835600000000003</v>
      </c>
      <c r="L7" s="1">
        <f t="shared" si="3"/>
        <v>51</v>
      </c>
      <c r="M7" s="234">
        <f t="shared" si="4"/>
        <v>3.9318256327243257</v>
      </c>
      <c r="N7" s="3">
        <f t="shared" si="5"/>
        <v>381.67938931297709</v>
      </c>
      <c r="O7" s="3">
        <f t="shared" si="5"/>
        <v>274.72527472527474</v>
      </c>
      <c r="P7" s="3">
        <f t="shared" si="6"/>
        <v>22900.763358778626</v>
      </c>
      <c r="Q7" s="3">
        <f t="shared" si="22"/>
        <v>16483.516483516483</v>
      </c>
      <c r="R7" s="3">
        <f t="shared" si="7"/>
        <v>49.697837150127228</v>
      </c>
      <c r="S7" s="3">
        <f t="shared" si="8"/>
        <v>35.771520146520146</v>
      </c>
      <c r="T7" s="3">
        <f t="shared" si="9"/>
        <v>51</v>
      </c>
      <c r="U7" s="158">
        <f t="shared" si="0"/>
        <v>30.835600000000003</v>
      </c>
      <c r="V7" s="229">
        <f t="shared" si="23"/>
        <v>29.906120000000001</v>
      </c>
      <c r="W7" s="234">
        <f t="shared" si="24"/>
        <v>4.0104764854640006E-2</v>
      </c>
      <c r="X7" s="230">
        <f t="shared" si="28"/>
        <v>9.1975198257235272E-3</v>
      </c>
      <c r="Y7" s="230">
        <f t="shared" si="29"/>
        <v>6.4762696556799728E-3</v>
      </c>
      <c r="Z7" s="228">
        <f t="shared" si="10"/>
        <v>0.54315165668436749</v>
      </c>
      <c r="AA7" s="229">
        <f t="shared" si="11"/>
        <v>3.9262359022114204</v>
      </c>
      <c r="AB7" s="2">
        <f t="shared" si="30"/>
        <v>12.732802028212262</v>
      </c>
      <c r="AC7" s="158">
        <f t="shared" si="12"/>
        <v>14.457236220833282</v>
      </c>
      <c r="AD7" s="175">
        <f t="shared" si="13"/>
        <v>32.528781496874885</v>
      </c>
      <c r="AE7" s="175">
        <f t="shared" si="14"/>
        <v>47.469119765779844</v>
      </c>
      <c r="AF7" s="158">
        <f t="shared" si="25"/>
        <v>3.2834159337713187</v>
      </c>
      <c r="AG7" s="151"/>
      <c r="AH7" s="228">
        <f t="shared" si="15"/>
        <v>1.4166666666666665</v>
      </c>
      <c r="AI7" s="228">
        <f t="shared" si="16"/>
        <v>51</v>
      </c>
      <c r="AJ7" s="229">
        <f t="shared" si="17"/>
        <v>24640.848642300854</v>
      </c>
      <c r="AK7" s="229">
        <f t="shared" si="18"/>
        <v>53.474063893882061</v>
      </c>
      <c r="AL7" s="229">
        <f t="shared" si="19"/>
        <v>37.643012374179307</v>
      </c>
      <c r="AM7" s="229">
        <f t="shared" si="20"/>
        <v>53.500416761332886</v>
      </c>
      <c r="AN7" s="2">
        <f t="shared" si="31"/>
        <v>37.643012374179307</v>
      </c>
      <c r="AO7" s="3">
        <f t="shared" si="21"/>
        <v>17345.900102021824</v>
      </c>
      <c r="AP7" s="227">
        <f t="shared" si="26"/>
        <v>7.4234849258282935E-3</v>
      </c>
      <c r="AQ7" s="227">
        <f t="shared" si="32"/>
        <v>3.4828821107337579E-2</v>
      </c>
      <c r="AR7" s="231">
        <f t="shared" si="27"/>
        <v>6.1932407043968115E-7</v>
      </c>
      <c r="AS7" s="228">
        <f t="shared" si="33"/>
        <v>6.0431717885961765E-2</v>
      </c>
      <c r="AT7" s="232">
        <f t="shared" si="34"/>
        <v>-2.3844995659344025E-7</v>
      </c>
      <c r="AU7" s="165">
        <f t="shared" si="35"/>
        <v>0.15695879353255432</v>
      </c>
      <c r="AX7" s="127"/>
      <c r="AY7" s="96"/>
    </row>
    <row r="8" spans="1:51" ht="13.95" customHeight="1" x14ac:dyDescent="0.3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1.702</v>
      </c>
      <c r="F8" s="73">
        <v>12.07</v>
      </c>
      <c r="G8" s="73">
        <v>4.46</v>
      </c>
      <c r="H8" s="73">
        <v>2100</v>
      </c>
      <c r="I8" s="78">
        <v>2740</v>
      </c>
      <c r="J8" s="61"/>
      <c r="K8" s="2">
        <f t="shared" si="2"/>
        <v>53.8322</v>
      </c>
      <c r="L8" s="1">
        <f t="shared" si="3"/>
        <v>76</v>
      </c>
      <c r="M8" s="234">
        <f t="shared" si="4"/>
        <v>4.3307333402863311</v>
      </c>
      <c r="N8" s="3">
        <f t="shared" si="5"/>
        <v>476.1904761904762</v>
      </c>
      <c r="O8" s="3">
        <f t="shared" si="5"/>
        <v>364.96350364963502</v>
      </c>
      <c r="P8" s="3">
        <f t="shared" si="6"/>
        <v>28571.428571428572</v>
      </c>
      <c r="Q8" s="3">
        <f t="shared" si="22"/>
        <v>21897.810218978102</v>
      </c>
      <c r="R8" s="3">
        <f t="shared" si="7"/>
        <v>62.003968253968253</v>
      </c>
      <c r="S8" s="3">
        <f t="shared" si="8"/>
        <v>47.521289537712896</v>
      </c>
      <c r="T8" s="3">
        <f t="shared" si="9"/>
        <v>76</v>
      </c>
      <c r="U8" s="158">
        <f t="shared" si="0"/>
        <v>53.8322</v>
      </c>
      <c r="V8" s="229">
        <f t="shared" si="23"/>
        <v>52.902720000000002</v>
      </c>
      <c r="W8" s="234">
        <f t="shared" si="24"/>
        <v>7.0943711379840013E-2</v>
      </c>
      <c r="X8" s="230">
        <f t="shared" si="28"/>
        <v>1.3040873025842191E-2</v>
      </c>
      <c r="Y8" s="230">
        <f t="shared" si="29"/>
        <v>1.0319622855798637E-2</v>
      </c>
      <c r="Z8" s="228">
        <f t="shared" si="10"/>
        <v>1.0547926582677607</v>
      </c>
      <c r="AA8" s="229">
        <f t="shared" si="11"/>
        <v>10.62540211180036</v>
      </c>
      <c r="AB8" s="2">
        <f t="shared" si="30"/>
        <v>19.73800459910678</v>
      </c>
      <c r="AC8" s="158">
        <f t="shared" si="12"/>
        <v>20.146901911983324</v>
      </c>
      <c r="AD8" s="175">
        <f t="shared" si="13"/>
        <v>45.330529301962478</v>
      </c>
      <c r="AE8" s="175">
        <f t="shared" si="14"/>
        <v>63.061166404174671</v>
      </c>
      <c r="AF8" s="163">
        <f t="shared" si="25"/>
        <v>3.1300676739119901</v>
      </c>
      <c r="AG8" s="159">
        <f>$M$40/($Q$26*$Q$35*$Q$32*($AC8-$Q$45)^2/4/$AF8)/(PI()*$Q$35/60/($AC8-$Q$45))</f>
        <v>-1.0396896822678605</v>
      </c>
      <c r="AH8" s="228">
        <f t="shared" si="15"/>
        <v>2.1111111111111112</v>
      </c>
      <c r="AI8" s="228">
        <f t="shared" si="16"/>
        <v>76</v>
      </c>
      <c r="AJ8" s="229">
        <f t="shared" si="17"/>
        <v>30346.002469076866</v>
      </c>
      <c r="AK8" s="229">
        <f t="shared" si="18"/>
        <v>65.855040080461947</v>
      </c>
      <c r="AL8" s="229">
        <f t="shared" si="19"/>
        <v>50.137820323223224</v>
      </c>
      <c r="AM8" s="229">
        <f t="shared" si="20"/>
        <v>65.822537518370197</v>
      </c>
      <c r="AN8" s="2">
        <f t="shared" si="31"/>
        <v>50.137820323223224</v>
      </c>
      <c r="AO8" s="3">
        <f t="shared" si="21"/>
        <v>23103.507604941264</v>
      </c>
      <c r="AP8" s="227">
        <f t="shared" si="26"/>
        <v>1.1256099961380434E-2</v>
      </c>
      <c r="AQ8" s="227">
        <f t="shared" si="32"/>
        <v>6.5037630849243466E-2</v>
      </c>
      <c r="AR8" s="231">
        <f t="shared" si="27"/>
        <v>7.2423831259879962E-7</v>
      </c>
      <c r="AS8" s="228">
        <f t="shared" si="33"/>
        <v>5.167748909954361E-2</v>
      </c>
      <c r="AT8" s="232">
        <f t="shared" si="34"/>
        <v>-3.8190630106935038E-7</v>
      </c>
      <c r="AU8" s="165">
        <f t="shared" si="35"/>
        <v>9.7999999999999962E-2</v>
      </c>
      <c r="AX8" s="127"/>
      <c r="AY8" s="96"/>
    </row>
    <row r="9" spans="1:51" ht="13.95" customHeight="1" x14ac:dyDescent="0.3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1.9330000000000001</v>
      </c>
      <c r="F9" s="73">
        <v>12</v>
      </c>
      <c r="G9" s="73">
        <v>5.81</v>
      </c>
      <c r="H9" s="73">
        <v>1870</v>
      </c>
      <c r="I9" s="78">
        <v>2420</v>
      </c>
      <c r="J9" s="61"/>
      <c r="K9" s="2">
        <f t="shared" si="2"/>
        <v>69.72</v>
      </c>
      <c r="L9" s="1">
        <f t="shared" si="3"/>
        <v>91</v>
      </c>
      <c r="M9" s="234">
        <f t="shared" si="4"/>
        <v>4.5108595065168497</v>
      </c>
      <c r="N9" s="3">
        <f t="shared" si="5"/>
        <v>534.75935828877004</v>
      </c>
      <c r="O9" s="3">
        <f t="shared" si="5"/>
        <v>413.22314049586777</v>
      </c>
      <c r="P9" s="3">
        <f t="shared" si="6"/>
        <v>32085.561497326202</v>
      </c>
      <c r="Q9" s="3">
        <f t="shared" si="22"/>
        <v>24793.388429752067</v>
      </c>
      <c r="R9" s="3">
        <f t="shared" si="7"/>
        <v>69.630124777183596</v>
      </c>
      <c r="S9" s="3">
        <f t="shared" si="8"/>
        <v>53.805096418732781</v>
      </c>
      <c r="T9" s="3">
        <f t="shared" si="9"/>
        <v>91</v>
      </c>
      <c r="U9" s="158">
        <f t="shared" si="0"/>
        <v>69.72</v>
      </c>
      <c r="V9" s="229">
        <f t="shared" si="23"/>
        <v>68.790520000000001</v>
      </c>
      <c r="W9" s="234">
        <f t="shared" si="24"/>
        <v>9.2249600711440005E-2</v>
      </c>
      <c r="X9" s="230">
        <f t="shared" si="28"/>
        <v>1.5100091141520385E-2</v>
      </c>
      <c r="Y9" s="230">
        <f t="shared" si="29"/>
        <v>1.2378840971476832E-2</v>
      </c>
      <c r="Z9" s="228">
        <f t="shared" si="10"/>
        <v>1.4938265119186129</v>
      </c>
      <c r="AA9" s="229">
        <f t="shared" si="11"/>
        <v>17.907912822547804</v>
      </c>
      <c r="AB9" s="2">
        <f t="shared" si="30"/>
        <v>25.685474501646304</v>
      </c>
      <c r="AC9" s="158">
        <f t="shared" si="12"/>
        <v>23.975893692698723</v>
      </c>
      <c r="AD9" s="175">
        <f t="shared" si="13"/>
        <v>53.945760808572125</v>
      </c>
      <c r="AE9" s="175">
        <f t="shared" si="14"/>
        <v>71.399833036131668</v>
      </c>
      <c r="AF9" s="165">
        <f t="shared" si="25"/>
        <v>2.9779842182848331</v>
      </c>
      <c r="AG9" s="151"/>
      <c r="AH9" s="228">
        <f t="shared" si="15"/>
        <v>2.5277777777777777</v>
      </c>
      <c r="AI9" s="228">
        <f t="shared" si="16"/>
        <v>91</v>
      </c>
      <c r="AJ9" s="229">
        <f t="shared" si="17"/>
        <v>32922.1559679731</v>
      </c>
      <c r="AK9" s="229">
        <f t="shared" si="18"/>
        <v>71.445650972163847</v>
      </c>
      <c r="AL9" s="229">
        <f t="shared" si="19"/>
        <v>55.779831773448365</v>
      </c>
      <c r="AM9" s="229">
        <f t="shared" si="20"/>
        <v>71.386572330732491</v>
      </c>
      <c r="AN9" s="2">
        <f t="shared" si="31"/>
        <v>55.779831773448365</v>
      </c>
      <c r="AO9" s="3">
        <f t="shared" si="21"/>
        <v>25703.346481205008</v>
      </c>
      <c r="AP9" s="227">
        <f t="shared" si="26"/>
        <v>1.3182870199544647E-2</v>
      </c>
      <c r="AQ9" s="227">
        <f t="shared" si="32"/>
        <v>8.2636806705055896E-2</v>
      </c>
      <c r="AR9" s="231">
        <f t="shared" si="27"/>
        <v>7.7161217844511155E-7</v>
      </c>
      <c r="AS9" s="228">
        <f t="shared" si="33"/>
        <v>4.8504700353765438E-2</v>
      </c>
      <c r="AT9" s="232">
        <f t="shared" si="34"/>
        <v>-4.7844855745255605E-7</v>
      </c>
      <c r="AU9" s="165">
        <f t="shared" si="35"/>
        <v>7.8225374330881212E-2</v>
      </c>
      <c r="AX9" s="150"/>
      <c r="AY9" s="152"/>
    </row>
    <row r="10" spans="1:51" ht="13.95" customHeight="1" x14ac:dyDescent="0.3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2.1789999999999998</v>
      </c>
      <c r="F10" s="73">
        <v>11.96</v>
      </c>
      <c r="G10" s="73">
        <v>7.56</v>
      </c>
      <c r="H10" s="73">
        <v>1710</v>
      </c>
      <c r="I10" s="78">
        <v>2150</v>
      </c>
      <c r="J10" s="61"/>
      <c r="K10" s="2">
        <f t="shared" si="2"/>
        <v>90.417600000000007</v>
      </c>
      <c r="L10" s="1">
        <f t="shared" si="3"/>
        <v>106</v>
      </c>
      <c r="M10" s="234">
        <f t="shared" si="4"/>
        <v>4.6634390941120669</v>
      </c>
      <c r="N10" s="3">
        <f t="shared" si="5"/>
        <v>584.79532163742692</v>
      </c>
      <c r="O10" s="3">
        <f t="shared" si="5"/>
        <v>465.11627906976747</v>
      </c>
      <c r="P10" s="3">
        <f t="shared" si="6"/>
        <v>35087.719298245618</v>
      </c>
      <c r="Q10" s="3">
        <f t="shared" si="22"/>
        <v>27906.976744186049</v>
      </c>
      <c r="R10" s="3">
        <f t="shared" si="7"/>
        <v>76.145224171539965</v>
      </c>
      <c r="S10" s="3">
        <f t="shared" si="8"/>
        <v>60.562015503875976</v>
      </c>
      <c r="T10" s="3">
        <f t="shared" si="9"/>
        <v>106</v>
      </c>
      <c r="U10" s="158">
        <f t="shared" si="0"/>
        <v>90.417600000000007</v>
      </c>
      <c r="V10" s="229">
        <f t="shared" si="23"/>
        <v>89.488120000000009</v>
      </c>
      <c r="W10" s="234">
        <f t="shared" si="24"/>
        <v>0.12000553765864003</v>
      </c>
      <c r="X10" s="230">
        <f t="shared" si="28"/>
        <v>1.7962668887820554E-2</v>
      </c>
      <c r="Y10" s="230">
        <f t="shared" si="29"/>
        <v>1.5241418717777001E-2</v>
      </c>
      <c r="Z10" s="228">
        <f t="shared" si="10"/>
        <v>1.953604519532822</v>
      </c>
      <c r="AA10" s="229">
        <f t="shared" si="11"/>
        <v>26.782413083507471</v>
      </c>
      <c r="AB10" s="2">
        <f t="shared" si="30"/>
        <v>29.620796264784143</v>
      </c>
      <c r="AC10" s="158">
        <f t="shared" si="12"/>
        <v>27.418459381852905</v>
      </c>
      <c r="AD10" s="175">
        <f t="shared" si="13"/>
        <v>61.691533609169035</v>
      </c>
      <c r="AE10" s="175">
        <f t="shared" si="14"/>
        <v>80.366323696483093</v>
      </c>
      <c r="AF10" s="165">
        <f t="shared" si="25"/>
        <v>2.9311028230008462</v>
      </c>
      <c r="AG10" s="151"/>
      <c r="AH10" s="228">
        <f t="shared" si="15"/>
        <v>2.9444444444444446</v>
      </c>
      <c r="AI10" s="228">
        <f t="shared" si="16"/>
        <v>106</v>
      </c>
      <c r="AJ10" s="229">
        <f t="shared" si="17"/>
        <v>35104.339970826579</v>
      </c>
      <c r="AK10" s="229">
        <f t="shared" si="18"/>
        <v>76.181293339467402</v>
      </c>
      <c r="AL10" s="229">
        <f t="shared" si="19"/>
        <v>60.559014044952193</v>
      </c>
      <c r="AM10" s="229">
        <f t="shared" si="20"/>
        <v>76.09970288140002</v>
      </c>
      <c r="AN10" s="2">
        <f t="shared" si="31"/>
        <v>60.559014044952193</v>
      </c>
      <c r="AO10" s="3">
        <f t="shared" si="21"/>
        <v>27905.593671913972</v>
      </c>
      <c r="AP10" s="227">
        <f t="shared" si="26"/>
        <v>1.4910454394727607E-2</v>
      </c>
      <c r="AQ10" s="227">
        <f t="shared" si="32"/>
        <v>9.9661397599395116E-2</v>
      </c>
      <c r="AR10" s="231">
        <f t="shared" si="27"/>
        <v>8.1174118948713279E-7</v>
      </c>
      <c r="AS10" s="228">
        <f t="shared" si="33"/>
        <v>4.6106835515446754E-2</v>
      </c>
      <c r="AT10" s="232">
        <f t="shared" si="34"/>
        <v>-5.6524766238984967E-7</v>
      </c>
      <c r="AU10" s="165">
        <f t="shared" si="35"/>
        <v>6.6213130977944956E-2</v>
      </c>
      <c r="AX10" s="127"/>
      <c r="AY10" s="96"/>
    </row>
    <row r="11" spans="1:51" ht="13.95" customHeight="1" x14ac:dyDescent="0.3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2.5299999999999998</v>
      </c>
      <c r="F11" s="73">
        <v>11.83</v>
      </c>
      <c r="G11" s="73">
        <v>10.54</v>
      </c>
      <c r="H11" s="73">
        <v>1500</v>
      </c>
      <c r="I11" s="78">
        <v>1840</v>
      </c>
      <c r="J11" s="61"/>
      <c r="K11" s="2">
        <f t="shared" si="2"/>
        <v>124.68819999999999</v>
      </c>
      <c r="L11" s="1">
        <f t="shared" si="3"/>
        <v>132</v>
      </c>
      <c r="M11" s="234">
        <f t="shared" si="4"/>
        <v>4.8828019225863706</v>
      </c>
      <c r="N11" s="3">
        <f t="shared" si="5"/>
        <v>666.66666666666663</v>
      </c>
      <c r="O11" s="3">
        <f t="shared" si="5"/>
        <v>543.47826086956525</v>
      </c>
      <c r="P11" s="3">
        <f t="shared" si="6"/>
        <v>40000</v>
      </c>
      <c r="Q11" s="3">
        <f t="shared" si="22"/>
        <v>32608.695652173916</v>
      </c>
      <c r="R11" s="3">
        <f t="shared" si="7"/>
        <v>86.805555555555557</v>
      </c>
      <c r="S11" s="3">
        <f t="shared" si="8"/>
        <v>70.76539855072464</v>
      </c>
      <c r="T11" s="3">
        <f t="shared" si="9"/>
        <v>132</v>
      </c>
      <c r="U11" s="158">
        <f t="shared" si="0"/>
        <v>124.68819999999999</v>
      </c>
      <c r="V11" s="229">
        <f t="shared" si="23"/>
        <v>123.75872</v>
      </c>
      <c r="W11" s="234">
        <f t="shared" si="24"/>
        <v>0.16596316621184001</v>
      </c>
      <c r="X11" s="230">
        <f t="shared" si="28"/>
        <v>2.1790963723614595E-2</v>
      </c>
      <c r="Y11" s="230">
        <f t="shared" si="29"/>
        <v>1.9069713553571042E-2</v>
      </c>
      <c r="Z11" s="228">
        <f t="shared" si="10"/>
        <v>2.894351054286735</v>
      </c>
      <c r="AA11" s="229">
        <f t="shared" si="11"/>
        <v>48.297153477389912</v>
      </c>
      <c r="AB11" s="2">
        <f t="shared" si="30"/>
        <v>38.734341723908052</v>
      </c>
      <c r="AC11" s="158">
        <f t="shared" si="12"/>
        <v>33.373390146201146</v>
      </c>
      <c r="AD11" s="175">
        <f t="shared" si="13"/>
        <v>75.090127828952575</v>
      </c>
      <c r="AE11" s="175">
        <f t="shared" si="14"/>
        <v>93.906302145347084</v>
      </c>
      <c r="AF11" s="165">
        <f t="shared" si="25"/>
        <v>2.8138076993066985</v>
      </c>
      <c r="AG11" s="151"/>
      <c r="AH11" s="228">
        <f t="shared" si="15"/>
        <v>3.6666666666666665</v>
      </c>
      <c r="AI11" s="228">
        <f t="shared" si="16"/>
        <v>132</v>
      </c>
      <c r="AJ11" s="229">
        <f t="shared" si="17"/>
        <v>38241.653832148877</v>
      </c>
      <c r="AK11" s="229">
        <f t="shared" si="18"/>
        <v>82.989700156573079</v>
      </c>
      <c r="AL11" s="229">
        <f t="shared" si="19"/>
        <v>67.430017941309458</v>
      </c>
      <c r="AM11" s="229">
        <f t="shared" si="20"/>
        <v>82.875744584343238</v>
      </c>
      <c r="AN11" s="2">
        <f t="shared" si="31"/>
        <v>67.430017941309458</v>
      </c>
      <c r="AO11" s="3">
        <f t="shared" si="21"/>
        <v>31071.752267355398</v>
      </c>
      <c r="AP11" s="227">
        <f t="shared" si="26"/>
        <v>1.7547642207818674E-2</v>
      </c>
      <c r="AQ11" s="227">
        <f t="shared" si="32"/>
        <v>0.12777053672540106</v>
      </c>
      <c r="AR11" s="231">
        <f t="shared" si="27"/>
        <v>8.6943444652625607E-7</v>
      </c>
      <c r="AS11" s="228">
        <f t="shared" si="33"/>
        <v>4.3047313865158747E-2</v>
      </c>
      <c r="AT11" s="232">
        <f t="shared" si="34"/>
        <v>-7.1539226585738016E-7</v>
      </c>
      <c r="AU11" s="165">
        <f t="shared" si="35"/>
        <v>5.2316497243566365E-2</v>
      </c>
      <c r="AX11" s="127"/>
      <c r="AY11" s="96"/>
    </row>
    <row r="12" spans="1:51" ht="13.95" customHeight="1" thickBot="1" x14ac:dyDescent="0.35">
      <c r="A12" t="s">
        <v>233</v>
      </c>
      <c r="B12" t="s">
        <v>234</v>
      </c>
      <c r="C12" s="221">
        <f t="shared" si="1"/>
        <v>1.9888888888888889</v>
      </c>
      <c r="D12" s="80">
        <v>178</v>
      </c>
      <c r="E12" s="80">
        <v>2.82</v>
      </c>
      <c r="F12" s="80">
        <v>11.66</v>
      </c>
      <c r="G12" s="80">
        <v>13.79</v>
      </c>
      <c r="H12" s="80">
        <v>1360</v>
      </c>
      <c r="I12" s="81">
        <v>1650</v>
      </c>
      <c r="J12" s="61"/>
      <c r="K12" s="2">
        <f t="shared" si="2"/>
        <v>160.79139999999998</v>
      </c>
      <c r="L12" s="1">
        <f t="shared" si="3"/>
        <v>178</v>
      </c>
      <c r="M12" s="234">
        <f t="shared" si="4"/>
        <v>5.181783550292085</v>
      </c>
      <c r="N12" s="3">
        <f t="shared" si="5"/>
        <v>735.2941176470589</v>
      </c>
      <c r="O12" s="3">
        <f t="shared" si="5"/>
        <v>606.06060606060612</v>
      </c>
      <c r="P12" s="3">
        <f t="shared" si="6"/>
        <v>44117.647058823532</v>
      </c>
      <c r="Q12" s="3">
        <f t="shared" si="22"/>
        <v>36363.636363636368</v>
      </c>
      <c r="R12" s="3">
        <f t="shared" si="7"/>
        <v>95.741421568627459</v>
      </c>
      <c r="S12" s="3">
        <f t="shared" si="8"/>
        <v>78.914141414141426</v>
      </c>
      <c r="T12" s="3">
        <f t="shared" si="9"/>
        <v>178</v>
      </c>
      <c r="U12" s="158">
        <f t="shared" si="0"/>
        <v>160.79139999999998</v>
      </c>
      <c r="V12" s="229">
        <f t="shared" si="23"/>
        <v>159.86191999999997</v>
      </c>
      <c r="W12" s="234">
        <f t="shared" si="24"/>
        <v>0.21437835168223998</v>
      </c>
      <c r="X12" s="230">
        <f t="shared" si="28"/>
        <v>2.5520742335462816E-2</v>
      </c>
      <c r="Y12" s="230">
        <f t="shared" si="29"/>
        <v>2.2799492165419263E-2</v>
      </c>
      <c r="Z12" s="163">
        <f>C32/0.224</f>
        <v>4.4249528005034611</v>
      </c>
      <c r="AA12" s="229">
        <f t="shared" si="11"/>
        <v>91.297248929319878</v>
      </c>
      <c r="AB12" s="2">
        <f>AA12/U12*100</f>
        <v>56.779932838024848</v>
      </c>
      <c r="AC12" s="158">
        <f t="shared" si="12"/>
        <v>41.264733453849395</v>
      </c>
      <c r="AD12" s="175">
        <f>AC12*1/1.6/1000*3600</f>
        <v>92.845650271161119</v>
      </c>
      <c r="AE12" s="175">
        <f t="shared" si="14"/>
        <v>104.71975511965978</v>
      </c>
      <c r="AF12" s="165">
        <f t="shared" si="25"/>
        <v>2.5377543086950669</v>
      </c>
      <c r="AG12" s="151"/>
      <c r="AH12" s="228">
        <f t="shared" si="15"/>
        <v>4.9444444444444446</v>
      </c>
      <c r="AI12" s="228">
        <f t="shared" si="16"/>
        <v>178</v>
      </c>
      <c r="AJ12" s="229">
        <f t="shared" si="17"/>
        <v>42517.670928599298</v>
      </c>
      <c r="AK12" s="229">
        <f t="shared" si="18"/>
        <v>92.269251147133886</v>
      </c>
      <c r="AL12" s="229">
        <f t="shared" si="19"/>
        <v>76.794885923698061</v>
      </c>
      <c r="AM12" s="229">
        <f t="shared" si="20"/>
        <v>92.111183386068433</v>
      </c>
      <c r="AN12" s="2">
        <f t="shared" si="31"/>
        <v>76.794885923698061</v>
      </c>
      <c r="AO12" s="3">
        <f t="shared" si="21"/>
        <v>35387.083433640066</v>
      </c>
      <c r="AP12" s="227">
        <f t="shared" si="26"/>
        <v>2.1433477440750276E-2</v>
      </c>
      <c r="AQ12" s="227">
        <f t="shared" si="32"/>
        <v>0.17351514483651501</v>
      </c>
      <c r="AR12" s="231">
        <f t="shared" si="27"/>
        <v>9.4806775015920004E-7</v>
      </c>
      <c r="AS12" s="228">
        <f t="shared" si="33"/>
        <v>3.9476944024845896E-2</v>
      </c>
      <c r="AT12" s="232">
        <f t="shared" si="34"/>
        <v>-9.1436059288589362E-7</v>
      </c>
      <c r="AU12" s="165">
        <f t="shared" si="35"/>
        <v>4.0932229358955928E-2</v>
      </c>
      <c r="AX12" s="127"/>
      <c r="AY12" s="96"/>
    </row>
    <row r="13" spans="1:51" ht="13.95" customHeight="1" x14ac:dyDescent="0.3">
      <c r="C13" s="267"/>
      <c r="AE13" s="45"/>
      <c r="AF13" s="30"/>
      <c r="AH13" s="228">
        <f t="shared" si="15"/>
        <v>0</v>
      </c>
      <c r="AI13" s="228">
        <f t="shared" si="16"/>
        <v>0</v>
      </c>
      <c r="AJ13" s="229" t="e">
        <f t="shared" si="17"/>
        <v>#NUM!</v>
      </c>
      <c r="AK13" s="229" t="e">
        <f t="shared" si="18"/>
        <v>#NUM!</v>
      </c>
      <c r="AL13" s="229" t="e">
        <f t="shared" si="19"/>
        <v>#NUM!</v>
      </c>
      <c r="AM13" s="229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227" t="e">
        <f t="shared" si="26"/>
        <v>#NUM!</v>
      </c>
      <c r="AQ13" s="227" t="e">
        <f t="shared" si="32"/>
        <v>#NUM!</v>
      </c>
      <c r="AR13" s="231" t="e">
        <f t="shared" si="27"/>
        <v>#NUM!</v>
      </c>
      <c r="AS13" s="228" t="e">
        <f t="shared" si="33"/>
        <v>#NUM!</v>
      </c>
      <c r="AV13" s="146"/>
      <c r="AW13" s="95"/>
      <c r="AX13" s="128"/>
      <c r="AY13" s="96"/>
    </row>
    <row r="14" spans="1:51" x14ac:dyDescent="0.3">
      <c r="A14" t="s">
        <v>235</v>
      </c>
      <c r="AE14" s="194"/>
      <c r="AF14" s="30"/>
    </row>
    <row r="15" spans="1:51" ht="13.95" customHeight="1" x14ac:dyDescent="0.3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5" customHeight="1" x14ac:dyDescent="0.3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5" customHeight="1" x14ac:dyDescent="0.3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5" customHeight="1" x14ac:dyDescent="0.3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5" customHeight="1" x14ac:dyDescent="0.3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5" customHeight="1" thickBot="1" x14ac:dyDescent="0.35">
      <c r="A20">
        <v>6</v>
      </c>
      <c r="C20" t="s">
        <v>241</v>
      </c>
      <c r="O20" s="188"/>
      <c r="AN20" s="45"/>
      <c r="AO20" s="5"/>
      <c r="AV20" s="5"/>
    </row>
    <row r="21" spans="1:48" ht="13.95" customHeight="1" x14ac:dyDescent="0.3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5" customHeight="1" x14ac:dyDescent="0.3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5" customHeight="1" thickBot="1" x14ac:dyDescent="0.35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5" customHeight="1" x14ac:dyDescent="0.3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5" customHeight="1" x14ac:dyDescent="0.3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5" customHeight="1" x14ac:dyDescent="0.3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5" customHeight="1" x14ac:dyDescent="0.3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3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5" customHeight="1" x14ac:dyDescent="0.3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5" customHeight="1" thickBot="1" x14ac:dyDescent="0.35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5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5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3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" thickBot="1" x14ac:dyDescent="0.35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3.8" thickBot="1" x14ac:dyDescent="0.35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" x14ac:dyDescent="0.35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36">(I38*$Q$29*$R$42+$Q$42)/$Q$29</f>
        <v>88.314953905624549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" thickBot="1" x14ac:dyDescent="0.35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6"/>
        <v>77.520773378818305</v>
      </c>
      <c r="K39" s="243">
        <v>4.2999999999999997E-2</v>
      </c>
      <c r="L39" s="249"/>
      <c r="M39" s="250"/>
      <c r="P39" s="65" t="s">
        <v>121</v>
      </c>
      <c r="Q39" s="205">
        <f>INDEX(LINEST($Q$4:$Q$12,$E$4:$E$12^{1,2},FALSE,FALSE),3)</f>
        <v>0</v>
      </c>
      <c r="R39" s="67">
        <f>INDEX(LINEST($Q$4:$Q$12,$E$4:$E$12^{1,2},FALSE,FALSE),2)</f>
        <v>12813.411080914857</v>
      </c>
      <c r="S39" s="67">
        <f>INDEX(LINEST($Q$4:$Q$12,$E$4:$E$12^{1,2},FALSE,FALSE),1)</f>
        <v>22.268575818648586</v>
      </c>
      <c r="T39" s="31" t="s">
        <v>267</v>
      </c>
      <c r="AI39" s="5"/>
    </row>
    <row r="40" spans="1:50" ht="15" thickBot="1" x14ac:dyDescent="0.35">
      <c r="B40" s="30"/>
      <c r="C40" s="201"/>
      <c r="D40"/>
      <c r="E40"/>
      <c r="H40" s="10"/>
      <c r="I40" s="241">
        <v>48</v>
      </c>
      <c r="J40" s="253">
        <f t="shared" si="36"/>
        <v>63.714263402670746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-31591.882963333705</v>
      </c>
      <c r="R40" s="67">
        <f>INDEX(LINEST($P$4:$P$12,$M$4:$M$12),1)</f>
        <v>14301.939317352539</v>
      </c>
      <c r="S40" s="30"/>
      <c r="T40" s="31" t="s">
        <v>267</v>
      </c>
      <c r="AI40" s="5"/>
      <c r="AW40" s="151"/>
      <c r="AX40" s="164"/>
    </row>
    <row r="41" spans="1:50" ht="15" thickBot="1" x14ac:dyDescent="0.35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6"/>
        <v>41.032139870428352</v>
      </c>
      <c r="K41" s="243">
        <v>0.28899999999999998</v>
      </c>
      <c r="L41" s="61"/>
      <c r="M41" s="250"/>
      <c r="P41" s="65" t="s">
        <v>122</v>
      </c>
      <c r="Q41" s="205">
        <f>INDEX(LINEST($Q$4:$Q$12,$P$4:$P$12),2)</f>
        <v>-7521.4986270648442</v>
      </c>
      <c r="R41" s="69">
        <f>INDEX(LINEST($Q$4:$Q$12,$P$4:$P$12),1)</f>
        <v>1.0091940862132847</v>
      </c>
      <c r="S41" s="30"/>
      <c r="T41" s="31" t="s">
        <v>267</v>
      </c>
      <c r="AI41" s="5"/>
    </row>
    <row r="42" spans="1:50" ht="15" thickBot="1" x14ac:dyDescent="0.35">
      <c r="C42" s="198"/>
      <c r="D42"/>
      <c r="E42"/>
      <c r="G42" s="6"/>
      <c r="I42" s="241">
        <v>16</v>
      </c>
      <c r="J42" s="253">
        <f t="shared" si="36"/>
        <v>32.156526314333505</v>
      </c>
      <c r="K42" s="243">
        <v>0.436</v>
      </c>
      <c r="L42" s="61"/>
      <c r="M42" s="250"/>
      <c r="P42" s="65" t="s">
        <v>123</v>
      </c>
      <c r="Q42" s="205">
        <f>INDEX(LINEST($P$4:$P$12,$Q$4:$Q$12),2)</f>
        <v>7546.8247004919795</v>
      </c>
      <c r="R42" s="69">
        <f>INDEX(LINEST($P$4:$P$12,$Q$4:$Q$12),1)</f>
        <v>0.98617928401053878</v>
      </c>
      <c r="S42" s="30"/>
      <c r="T42" s="31" t="s">
        <v>267</v>
      </c>
      <c r="AI42" s="5"/>
    </row>
    <row r="43" spans="1:50" ht="15" thickBot="1" x14ac:dyDescent="0.35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36"/>
        <v>28.292313609639148</v>
      </c>
      <c r="K43" s="246">
        <v>0.5</v>
      </c>
      <c r="L43" s="255"/>
      <c r="M43" s="256"/>
      <c r="P43" s="65" t="s">
        <v>180</v>
      </c>
      <c r="Q43" s="206">
        <f>AG8</f>
        <v>-1.0396896822678605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3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3.1300676739119901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" thickBot="1" x14ac:dyDescent="0.35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" thickBot="1" x14ac:dyDescent="0.35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-2.2544327284355296E-3</v>
      </c>
      <c r="K46" s="180">
        <f>INDEX(LINEST($Y$3:$Y$12,$P$3:$P$12^{1,2}),2)</f>
        <v>1.6619413916043592E-7</v>
      </c>
      <c r="L46" s="180">
        <f>INDEX(LINEST($Y$3:$Y$12,$P$3:$P$12^{1,2}),1)</f>
        <v>9.1946900420742566E-12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" thickBot="1" x14ac:dyDescent="0.35">
      <c r="Q47" s="61"/>
      <c r="R47" s="213"/>
      <c r="T47" s="213"/>
      <c r="U47" s="188"/>
      <c r="V47" s="30"/>
    </row>
    <row r="48" spans="1:50" ht="15" thickBot="1" x14ac:dyDescent="0.35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3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3">
      <c r="I50" s="241">
        <v>0</v>
      </c>
      <c r="J50" s="253">
        <f t="shared" ref="J50:J55" ca="1" si="37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3">
      <c r="I51" s="241">
        <v>0.02</v>
      </c>
      <c r="J51" s="253">
        <f t="shared" ca="1" si="37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3">
      <c r="I52" s="241">
        <v>8.5000000000000006E-2</v>
      </c>
      <c r="J52" s="253">
        <f t="shared" ca="1" si="37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3">
      <c r="I53" s="241">
        <v>0.185</v>
      </c>
      <c r="J53" s="253">
        <f t="shared" ca="1" si="37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3">
      <c r="I54" s="241">
        <v>0.34399999999999997</v>
      </c>
      <c r="J54" s="253">
        <f t="shared" ca="1" si="37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" thickBot="1" x14ac:dyDescent="0.35">
      <c r="I55" s="245">
        <v>0.5</v>
      </c>
      <c r="J55" s="257">
        <f t="shared" ca="1" si="37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3">
      <c r="V56" s="45"/>
      <c r="W56" s="45"/>
      <c r="X56" s="196"/>
      <c r="Y56" s="45"/>
    </row>
    <row r="57" spans="8:45" x14ac:dyDescent="0.3">
      <c r="W57" s="45"/>
      <c r="X57" s="196"/>
      <c r="Y57" s="45"/>
    </row>
    <row r="58" spans="8:45" x14ac:dyDescent="0.3">
      <c r="W58" s="45"/>
      <c r="X58" s="149"/>
      <c r="Y58" s="45"/>
    </row>
    <row r="59" spans="8:45" x14ac:dyDescent="0.3">
      <c r="W59" s="45"/>
      <c r="X59" s="149"/>
      <c r="Y59" s="45"/>
    </row>
    <row r="60" spans="8:45" x14ac:dyDescent="0.3">
      <c r="W60" s="45"/>
      <c r="X60" s="149"/>
      <c r="Y60" s="45"/>
    </row>
    <row r="61" spans="8:45" x14ac:dyDescent="0.3">
      <c r="H61" s="176"/>
    </row>
    <row r="63" spans="8:45" x14ac:dyDescent="0.3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3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3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A7" zoomScale="70" zoomScaleNormal="70" workbookViewId="0">
      <selection activeCell="Q20" sqref="Q20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2.332031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  <col min="52" max="52" width="9.44140625" bestFit="1" customWidth="1"/>
    <col min="53" max="53" width="7.33203125" customWidth="1"/>
    <col min="54" max="54" width="16.88671875" bestFit="1" customWidth="1"/>
    <col min="55" max="57" width="13.44140625" bestFit="1" customWidth="1"/>
    <col min="58" max="58" width="14.33203125" bestFit="1" customWidth="1"/>
    <col min="59" max="59" width="13.88671875" bestFit="1" customWidth="1"/>
    <col min="60" max="60" width="14.33203125" bestFit="1" customWidth="1"/>
    <col min="61" max="61" width="13.88671875" bestFit="1" customWidth="1"/>
    <col min="62" max="62" width="13.44140625" bestFit="1" customWidth="1"/>
    <col min="63" max="64" width="13.88671875" bestFit="1" customWidth="1"/>
    <col min="65" max="65" width="13.441406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232">
        <f t="shared" ref="AT4:AT14" si="32">$Q$45*$Q$28*$Q$37^2*$Q$34*PI()/240*($AC4-$Q$47)/$Q$46*$Q$35</f>
        <v>-2.4892694785652227E-8</v>
      </c>
      <c r="AU4" s="165">
        <f t="shared" ref="AU4:AU5" si="33">-$Q$36/AT4</f>
        <v>1.5035261480154642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>
        <f t="shared" si="32"/>
        <v>-7.718033804874377E-8</v>
      </c>
      <c r="AU5" s="165">
        <f t="shared" si="33"/>
        <v>0.48492684083813109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si="32"/>
        <v>-1.1137431073219437E-7</v>
      </c>
      <c r="AU6" s="165">
        <f t="shared" ref="AU6:AU14" si="34">-$Q$36/AT6</f>
        <v>0.33604533450080026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-1.8769976975472293E-7</v>
      </c>
      <c r="AU7" s="165">
        <f t="shared" si="34"/>
        <v>0.19939724781604101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-2.8335035185837123E-7</v>
      </c>
      <c r="AU8" s="165">
        <f t="shared" si="34"/>
        <v>0.13208671617779957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-1.1274772604941929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-3.9590420031215084E-7</v>
      </c>
      <c r="AU9" s="165">
        <f t="shared" si="34"/>
        <v>9.4535035180953214E-2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-5.2851652133735734E-7</v>
      </c>
      <c r="AU10" s="165">
        <f t="shared" si="34"/>
        <v>7.0814848720512219E-2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-0.75615431600062422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-5.5053970857196504E-7</v>
      </c>
      <c r="AU11" s="165">
        <f t="shared" si="34"/>
        <v>6.7982049109367726E-2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-6.247798188578991E-7</v>
      </c>
      <c r="AU12" s="165">
        <f t="shared" si="34"/>
        <v>5.990401158157245E-2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-7.6550521145609418E-7</v>
      </c>
      <c r="AU13" s="165">
        <f t="shared" si="34"/>
        <v>4.8891656052354585E-2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-9.3023606076218221E-7</v>
      </c>
      <c r="AU14" s="165">
        <f t="shared" si="34"/>
        <v>4.0233677325012464E-2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65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65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65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65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65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65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65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65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65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65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  <c r="AY27" t="s">
        <v>326</v>
      </c>
      <c r="AZ27">
        <v>-25454</v>
      </c>
      <c r="BA27">
        <v>13061</v>
      </c>
    </row>
    <row r="28" spans="1:65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65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65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65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65" ht="15" thickBot="1" x14ac:dyDescent="0.3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  <c r="AY32" t="s">
        <v>342</v>
      </c>
      <c r="AZ32" s="262">
        <v>7.0220000000000002</v>
      </c>
      <c r="BA32" s="73">
        <v>14</v>
      </c>
      <c r="BB32" s="73">
        <v>18</v>
      </c>
      <c r="BC32" s="73">
        <v>24</v>
      </c>
      <c r="BD32" s="73">
        <v>28</v>
      </c>
      <c r="BE32" s="73">
        <v>36</v>
      </c>
      <c r="BF32" s="73">
        <v>52</v>
      </c>
      <c r="BG32" s="73">
        <v>73</v>
      </c>
      <c r="BH32" s="73">
        <v>94</v>
      </c>
      <c r="BI32" s="73">
        <v>99</v>
      </c>
      <c r="BJ32" s="73">
        <v>110</v>
      </c>
      <c r="BK32" s="73">
        <v>132</v>
      </c>
      <c r="BL32" s="80">
        <v>175</v>
      </c>
      <c r="BM32">
        <v>180</v>
      </c>
    </row>
    <row r="33" spans="1:65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  <c r="AZ33" s="174">
        <v>-0.27337168179292348</v>
      </c>
      <c r="BA33" s="174">
        <v>9014.727782104892</v>
      </c>
      <c r="BB33" s="174">
        <v>12297.145529881804</v>
      </c>
      <c r="BC33" s="174">
        <v>16054.56107817452</v>
      </c>
      <c r="BD33" s="174">
        <v>18067.923107398339</v>
      </c>
      <c r="BE33" s="174">
        <v>21350.340855175251</v>
      </c>
      <c r="BF33" s="174">
        <v>26153.194208392022</v>
      </c>
      <c r="BG33" s="174">
        <v>30583.69076083913</v>
      </c>
      <c r="BH33" s="174">
        <v>33885.973151228522</v>
      </c>
      <c r="BI33" s="174">
        <v>34562.860362607877</v>
      </c>
      <c r="BJ33" s="174">
        <v>35938.974057614752</v>
      </c>
      <c r="BK33" s="174">
        <v>38320.275910900586</v>
      </c>
      <c r="BL33" s="174">
        <v>42003.269605415029</v>
      </c>
      <c r="BM33" s="174">
        <v>42371.209429477036</v>
      </c>
    </row>
    <row r="34" spans="1:65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  <c r="AY34" s="262">
        <v>7.0205000000000002</v>
      </c>
      <c r="AZ34">
        <f>(LN($AY34)*$BA$27+$AZ$27)/$Q$31</f>
        <v>-5.9325451777978181E-4</v>
      </c>
      <c r="BA34" s="174">
        <f>AZ34*$Q$31</f>
        <v>-0.27337168179292348</v>
      </c>
      <c r="BB34" s="174">
        <v>-0.27337168179292348</v>
      </c>
    </row>
    <row r="35" spans="1:65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  <c r="AY35" s="73">
        <v>14</v>
      </c>
      <c r="AZ35">
        <f t="shared" ref="AZ35:AZ47" si="35">(LN($AY35)*$BA$27+$AZ$27)/$Q$31</f>
        <v>19.563211332692909</v>
      </c>
      <c r="BA35" s="174">
        <f t="shared" ref="BA35:BA47" si="36">AZ35*$Q$31</f>
        <v>9014.727782104892</v>
      </c>
      <c r="BB35" s="174">
        <v>9014.727782104892</v>
      </c>
    </row>
    <row r="36" spans="1:65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  <c r="AY36" s="73">
        <v>18</v>
      </c>
      <c r="AZ36">
        <f t="shared" si="35"/>
        <v>26.686513736722663</v>
      </c>
      <c r="BA36" s="174">
        <f t="shared" si="36"/>
        <v>12297.145529881804</v>
      </c>
      <c r="BB36" s="174">
        <v>12297.145529881804</v>
      </c>
    </row>
    <row r="37" spans="1:65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  <c r="AY37" s="73">
        <v>24</v>
      </c>
      <c r="AZ37">
        <f t="shared" si="35"/>
        <v>34.840627339788455</v>
      </c>
      <c r="BA37" s="174">
        <f t="shared" si="36"/>
        <v>16054.56107817452</v>
      </c>
      <c r="BB37" s="174">
        <v>16054.56107817452</v>
      </c>
    </row>
    <row r="38" spans="1:65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  <c r="AY38" s="73">
        <v>28</v>
      </c>
      <c r="AZ38">
        <f t="shared" si="35"/>
        <v>39.20990257681931</v>
      </c>
      <c r="BA38" s="174">
        <f t="shared" si="36"/>
        <v>18067.923107398339</v>
      </c>
      <c r="BB38" s="174">
        <v>18067.923107398339</v>
      </c>
    </row>
    <row r="39" spans="1:65" ht="43.8" thickBot="1" x14ac:dyDescent="0.35">
      <c r="I39" s="193" t="s">
        <v>100</v>
      </c>
      <c r="J39" s="236" t="s">
        <v>294</v>
      </c>
      <c r="K39" s="292" t="s">
        <v>341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  <c r="AY39" s="73">
        <v>36</v>
      </c>
      <c r="AZ39">
        <f t="shared" si="35"/>
        <v>46.333204980849068</v>
      </c>
      <c r="BA39" s="174">
        <f t="shared" si="36"/>
        <v>21350.340855175251</v>
      </c>
      <c r="BB39" s="174">
        <v>21350.340855175251</v>
      </c>
      <c r="BC39" s="45"/>
      <c r="BD39" s="45"/>
      <c r="BE39" s="45"/>
    </row>
    <row r="40" spans="1:65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v>72.5</v>
      </c>
      <c r="J40" s="253">
        <f t="shared" ref="J40:J45" si="37">(I40*$Q$31*$R$44+$Q$44)/$Q$31</f>
        <v>90.170631844457375</v>
      </c>
      <c r="K40" s="242">
        <v>0</v>
      </c>
      <c r="L40" s="213"/>
      <c r="M40" s="216"/>
      <c r="P40" s="226" t="s">
        <v>343</v>
      </c>
      <c r="Q40" s="58"/>
      <c r="R40" s="58"/>
      <c r="S40" s="58"/>
      <c r="T40" s="25"/>
      <c r="AI40" s="5"/>
      <c r="AY40" s="73">
        <v>52</v>
      </c>
      <c r="AZ40">
        <f t="shared" si="35"/>
        <v>56.756063820295182</v>
      </c>
      <c r="BA40" s="174">
        <f t="shared" si="36"/>
        <v>26153.194208392022</v>
      </c>
      <c r="BB40" s="174">
        <v>26153.194208392022</v>
      </c>
      <c r="BC40" s="45"/>
      <c r="BD40" s="195"/>
      <c r="BE40" s="45"/>
    </row>
    <row r="41" spans="1:65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7"/>
        <v>79.438383345784871</v>
      </c>
      <c r="K41" s="243">
        <v>3.5000000000000003E-2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  <c r="AY41" s="73">
        <v>73</v>
      </c>
      <c r="AZ41">
        <f t="shared" si="35"/>
        <v>66.370856685848807</v>
      </c>
      <c r="BA41" s="174">
        <f t="shared" si="36"/>
        <v>30583.69076083913</v>
      </c>
      <c r="BB41" s="174">
        <v>30583.69076083913</v>
      </c>
      <c r="BC41" s="45"/>
      <c r="BD41" s="61"/>
      <c r="BE41" s="45"/>
    </row>
    <row r="42" spans="1:65" ht="15" thickBot="1" x14ac:dyDescent="0.35">
      <c r="B42" s="30"/>
      <c r="C42" s="201"/>
      <c r="D42"/>
      <c r="E42"/>
      <c r="H42" s="10"/>
      <c r="I42" s="241">
        <v>47</v>
      </c>
      <c r="J42" s="253">
        <f t="shared" si="37"/>
        <v>64.106599776252708</v>
      </c>
      <c r="K42" s="243">
        <v>8.5000000000000006E-2</v>
      </c>
      <c r="L42" s="251">
        <f>$Q$36/K42</f>
        <v>4.4031550005642732E-7</v>
      </c>
      <c r="M42" s="252">
        <f>-L42/$Q$35</f>
        <v>-5.9689169187649285E-7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  <c r="AY42" s="73">
        <v>94</v>
      </c>
      <c r="AZ42">
        <f t="shared" si="35"/>
        <v>73.537268123325788</v>
      </c>
      <c r="BA42" s="174">
        <f t="shared" si="36"/>
        <v>33885.973151228522</v>
      </c>
      <c r="BB42" s="174">
        <v>33885.973151228522</v>
      </c>
      <c r="BC42" s="45">
        <f>(32000-BA41)/(BA42-BA41)*(AY42-AY41)+AY41</f>
        <v>82.006647677660041</v>
      </c>
      <c r="BD42" s="61"/>
      <c r="BE42" s="45"/>
    </row>
    <row r="43" spans="1:65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7"/>
        <v>41.619983874272194</v>
      </c>
      <c r="K43" s="243">
        <v>0.28999999999999998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  <c r="AY43" s="73">
        <v>99</v>
      </c>
      <c r="AZ43">
        <f t="shared" si="35"/>
        <v>75.00620738413167</v>
      </c>
      <c r="BA43" s="174">
        <f t="shared" si="36"/>
        <v>34562.860362607877</v>
      </c>
      <c r="BB43" s="174">
        <v>34562.860362607877</v>
      </c>
      <c r="BC43" s="45"/>
      <c r="BD43" s="61"/>
      <c r="BE43" s="45"/>
    </row>
    <row r="44" spans="1:65" ht="15" thickBot="1" x14ac:dyDescent="0.35">
      <c r="C44" s="198"/>
      <c r="D44"/>
      <c r="E44"/>
      <c r="G44" s="6"/>
      <c r="I44" s="241">
        <v>16</v>
      </c>
      <c r="J44" s="253">
        <f t="shared" si="37"/>
        <v>32.420913732552897</v>
      </c>
      <c r="K44" s="243">
        <v>0.44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  <c r="AY44" s="73">
        <v>110</v>
      </c>
      <c r="AZ44">
        <f t="shared" si="35"/>
        <v>77.992565229198675</v>
      </c>
      <c r="BA44" s="174">
        <f t="shared" si="36"/>
        <v>35938.974057614752</v>
      </c>
      <c r="BB44" s="174">
        <v>35938.974057614752</v>
      </c>
      <c r="BC44" s="45"/>
      <c r="BD44" s="61"/>
      <c r="BE44" s="45"/>
    </row>
    <row r="45" spans="1:65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12.4</v>
      </c>
      <c r="J45" s="257">
        <f t="shared" si="37"/>
        <v>28.741285675865178</v>
      </c>
      <c r="K45" s="246">
        <v>0.5</v>
      </c>
      <c r="L45" s="255"/>
      <c r="M45" s="256"/>
      <c r="P45" s="65" t="s">
        <v>180</v>
      </c>
      <c r="Q45" s="293">
        <v>-2</v>
      </c>
      <c r="R45" s="30"/>
      <c r="S45" s="30"/>
      <c r="T45" s="31" t="s">
        <v>261</v>
      </c>
      <c r="U45" s="5"/>
      <c r="AI45" s="5"/>
      <c r="AJ45" s="5"/>
      <c r="AK45" s="151"/>
      <c r="AY45" s="73">
        <v>132</v>
      </c>
      <c r="AZ45">
        <f t="shared" si="35"/>
        <v>83.160320987197451</v>
      </c>
      <c r="BA45" s="174">
        <f t="shared" si="36"/>
        <v>38320.275910900586</v>
      </c>
      <c r="BB45" s="174">
        <v>38320.275910900586</v>
      </c>
      <c r="BC45" s="45"/>
      <c r="BD45" s="61"/>
      <c r="BE45" s="45"/>
    </row>
    <row r="46" spans="1:65" ht="15" thickBot="1" x14ac:dyDescent="0.3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94">
        <v>6</v>
      </c>
      <c r="R46" s="30"/>
      <c r="S46" s="30"/>
      <c r="T46" s="31" t="s">
        <v>261</v>
      </c>
      <c r="AI46" s="5"/>
      <c r="AJ46" s="5"/>
      <c r="AK46" s="151"/>
      <c r="AX46" s="164"/>
      <c r="AY46" s="80">
        <v>175</v>
      </c>
      <c r="AZ46">
        <f t="shared" si="35"/>
        <v>91.152928831195808</v>
      </c>
      <c r="BA46" s="174">
        <f t="shared" si="36"/>
        <v>42003.269605415029</v>
      </c>
      <c r="BB46" s="174">
        <v>42003.269605415029</v>
      </c>
      <c r="BC46" s="45"/>
      <c r="BD46" s="61"/>
      <c r="BE46" s="45"/>
    </row>
    <row r="47" spans="1:65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95">
        <v>4.5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  <c r="AY47">
        <v>180</v>
      </c>
      <c r="AZ47">
        <f t="shared" si="35"/>
        <v>91.951409352163708</v>
      </c>
      <c r="BA47" s="174">
        <f t="shared" si="36"/>
        <v>42371.209429477036</v>
      </c>
      <c r="BB47" s="174">
        <v>42371.209429477036</v>
      </c>
      <c r="BC47" s="45"/>
      <c r="BD47" s="61"/>
      <c r="BE47" s="45"/>
    </row>
    <row r="48" spans="1:65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  <c r="BC48" s="45"/>
      <c r="BD48" s="61"/>
      <c r="BE48" s="45"/>
    </row>
    <row r="49" spans="1:57" ht="15" thickBot="1" x14ac:dyDescent="0.35">
      <c r="Q49" s="61"/>
      <c r="R49" s="213"/>
      <c r="T49" s="213"/>
      <c r="U49" s="188"/>
      <c r="V49" s="30"/>
      <c r="BC49" s="45"/>
      <c r="BD49" s="61"/>
      <c r="BE49" s="45"/>
    </row>
    <row r="50" spans="1:57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  <c r="BC50" s="45"/>
      <c r="BD50" s="61"/>
      <c r="BE50" s="45"/>
    </row>
    <row r="51" spans="1:57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21.759999999999998</v>
      </c>
      <c r="S51" s="258">
        <f ca="1">J55</f>
        <v>36.268292682926827</v>
      </c>
      <c r="T51" s="258">
        <f ca="1">J54</f>
        <v>47</v>
      </c>
      <c r="U51" s="259">
        <f ca="1">J53</f>
        <v>66.5</v>
      </c>
      <c r="V51" s="261">
        <v>80</v>
      </c>
      <c r="W51" s="45"/>
      <c r="X51" s="45"/>
      <c r="Y51" s="45"/>
      <c r="BC51" s="45"/>
      <c r="BD51" s="61"/>
      <c r="BE51" s="45"/>
    </row>
    <row r="52" spans="1:57" x14ac:dyDescent="0.3">
      <c r="I52" s="241">
        <v>0</v>
      </c>
      <c r="J52" s="253">
        <f t="shared" ref="J52:J57" ca="1" si="38">FORECAST(I52,OFFSET(MeasNt,MATCH(I52,MeasTauT,1)-1,0,2),OFFSET(MeasTauT,MATCH(I52,MeasTauT,1)-1,0,2))</f>
        <v>72.5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  <c r="BC52" s="45"/>
      <c r="BD52" s="61"/>
      <c r="BE52" s="45"/>
    </row>
    <row r="53" spans="1:57" x14ac:dyDescent="0.3">
      <c r="I53" s="241">
        <v>0.02</v>
      </c>
      <c r="J53" s="253">
        <f t="shared" ca="1" si="38"/>
        <v>66.5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3">
      <c r="I54" s="241">
        <v>8.5000000000000006E-2</v>
      </c>
      <c r="J54" s="253">
        <f t="shared" ca="1" si="38"/>
        <v>47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  <c r="BC54" s="45"/>
      <c r="BD54" s="45"/>
      <c r="BE54" s="45"/>
    </row>
    <row r="55" spans="1:57" x14ac:dyDescent="0.3">
      <c r="I55" s="241">
        <v>0.185</v>
      </c>
      <c r="J55" s="253">
        <f t="shared" ca="1" si="38"/>
        <v>36.268292682926827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57" x14ac:dyDescent="0.3">
      <c r="I56" s="241">
        <v>0.34399999999999997</v>
      </c>
      <c r="J56" s="253">
        <f t="shared" ca="1" si="38"/>
        <v>21.759999999999998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57" ht="15" thickBot="1" x14ac:dyDescent="0.35">
      <c r="I57" s="245">
        <v>0.5</v>
      </c>
      <c r="J57" s="257">
        <f t="shared" ca="1" si="38"/>
        <v>12.399999999999995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57" x14ac:dyDescent="0.3">
      <c r="V58" s="45"/>
      <c r="W58" s="45"/>
      <c r="X58" s="196"/>
      <c r="Y58" s="45"/>
    </row>
    <row r="59" spans="1:57" x14ac:dyDescent="0.3">
      <c r="W59" s="45"/>
      <c r="X59" s="196"/>
      <c r="Y59" s="45"/>
    </row>
    <row r="60" spans="1:57" x14ac:dyDescent="0.3">
      <c r="W60" s="45"/>
      <c r="X60" s="149"/>
      <c r="Y60" s="45"/>
    </row>
    <row r="61" spans="1:57" x14ac:dyDescent="0.3">
      <c r="W61" s="45"/>
      <c r="X61" s="149"/>
      <c r="Y61" s="45"/>
    </row>
    <row r="62" spans="1:57" x14ac:dyDescent="0.3">
      <c r="W62" s="45"/>
      <c r="X62" s="149"/>
      <c r="Y62" s="45"/>
    </row>
    <row r="63" spans="1:57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3320312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Ardx_Turnx_ESCx_Gxb_Txa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2017-01-12T23:18:15Z</dcterms:modified>
</cp:coreProperties>
</file>