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7.xml" ContentType="application/vnd.openxmlformats-officedocument.drawing+xml"/>
  <Override PartName="/xl/charts/chart44.xml" ContentType="application/vnd.openxmlformats-officedocument.drawingml.chart+xml"/>
  <Override PartName="/xl/drawings/drawing8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9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0.xml" ContentType="application/vnd.openxmlformats-officedocument.drawing+xml"/>
  <Override PartName="/xl/charts/chart6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15" yWindow="45" windowWidth="24030" windowHeight="4995" activeTab="1"/>
  </bookViews>
  <sheets>
    <sheet name="Time Const Comp" sheetId="11" r:id="rId1"/>
    <sheet name="Ard1_Turn1_ESC1_G1b_T1a" sheetId="7" r:id="rId2"/>
    <sheet name="Ard2_Turn2_ESC2_G2b_T2a" sheetId="8" r:id="rId3"/>
    <sheet name="Ard3_Turn3_ESC3_G3b_T3a" sheetId="9" r:id="rId4"/>
    <sheet name="Ard4_Turn4_ESC4_G4b_T4a" sheetId="10" r:id="rId5"/>
    <sheet name="CalPhotonTurnigy" sheetId="4" r:id="rId6"/>
    <sheet name="TauPhotonTurnigy" sheetId="5" r:id="rId7"/>
    <sheet name="CalArduinoTurnigy" sheetId="3" r:id="rId8"/>
    <sheet name="CalArduinoHiTec" sheetId="1" r:id="rId9"/>
    <sheet name="CalPhotonHiTec" sheetId="2" r:id="rId10"/>
  </sheets>
  <definedNames>
    <definedName name="Meas_TauT__s" localSheetId="2">Ard2_Turn2_ESC2_G2b_T2a!$K$38:$K$43</definedName>
    <definedName name="Meas_TauT__s" localSheetId="3">Ard3_Turn3_ESC3_G3b_T3a!$K$39:$K$44</definedName>
    <definedName name="Meas_TauT__s" localSheetId="4">Ard4_Turn4_ESC4_G4b_T4a!$K$39:$K$44</definedName>
    <definedName name="Meas_TauT__s">Ard1_Turn1_ESC1_G1b_T1a!$K$39:$K$44</definedName>
    <definedName name="MeasNt" localSheetId="2">Ard2_Turn2_ESC2_G2b_T2a!$I$38:$I$43</definedName>
    <definedName name="MeasNt" localSheetId="3">Ard3_Turn3_ESC3_G3b_T3a!$I$39:$I$44</definedName>
    <definedName name="MeasNt" localSheetId="4">Ard4_Turn4_ESC4_G4b_T4a!$I$39:$I$44</definedName>
    <definedName name="MeasNt">Ard1_Turn1_ESC1_G1b_T1a!$I$39:$I$44</definedName>
    <definedName name="MeasTauT" localSheetId="2">Ard2_Turn2_ESC2_G2b_T2a!$K$38:$K$43</definedName>
    <definedName name="MeasTauT" localSheetId="3">Ard3_Turn3_ESC3_G3b_T3a!$K$39:$K$44</definedName>
    <definedName name="MeasTauT" localSheetId="4">Ard4_Turn4_ESC4_G4b_T4a!$K$39:$K$44</definedName>
    <definedName name="MeasTauT">Ard1_Turn1_ESC1_G1b_T1a!$K$39:$K$44</definedName>
    <definedName name="Nt" localSheetId="2">Ard2_Turn2_ESC2_G2b_T2a!$I$38:$I$43</definedName>
    <definedName name="Nt" localSheetId="3">Ard3_Turn3_ESC3_G3b_T3a!$I$39:$I$44</definedName>
    <definedName name="Nt" localSheetId="4">Ard4_Turn4_ESC4_G4b_T4a!$I$39:$I$44</definedName>
    <definedName name="Nt">Ard1_Turn1_ESC1_G1b_T1a!$I$39:$I$44</definedName>
  </definedNames>
  <calcPr calcId="145621"/>
</workbook>
</file>

<file path=xl/calcChain.xml><?xml version="1.0" encoding="utf-8"?>
<calcChain xmlns="http://schemas.openxmlformats.org/spreadsheetml/2006/main">
  <c r="V57" i="10" l="1"/>
  <c r="U57" i="10"/>
  <c r="T57" i="10"/>
  <c r="S57" i="10"/>
  <c r="R57" i="10"/>
  <c r="Q57" i="10"/>
  <c r="V56" i="10"/>
  <c r="U56" i="10"/>
  <c r="T56" i="10"/>
  <c r="S56" i="10"/>
  <c r="R56" i="10"/>
  <c r="Q56" i="10"/>
  <c r="V53" i="10"/>
  <c r="U53" i="10"/>
  <c r="T53" i="10"/>
  <c r="S53" i="10"/>
  <c r="R53" i="10"/>
  <c r="Q53" i="10"/>
  <c r="V52" i="10"/>
  <c r="U52" i="10"/>
  <c r="T52" i="10"/>
  <c r="S52" i="10"/>
  <c r="R52" i="10"/>
  <c r="Q52" i="10"/>
  <c r="E50" i="10"/>
  <c r="I45" i="10"/>
  <c r="J57" i="10" s="1"/>
  <c r="I40" i="10"/>
  <c r="J56" i="10" s="1"/>
  <c r="R51" i="10" s="1"/>
  <c r="Q37" i="10"/>
  <c r="Q35" i="10"/>
  <c r="Q34" i="10"/>
  <c r="C34" i="10"/>
  <c r="Z14" i="10" s="1"/>
  <c r="Q33" i="10"/>
  <c r="Q32" i="10"/>
  <c r="C32" i="10"/>
  <c r="C33" i="10" s="1"/>
  <c r="Q31" i="10"/>
  <c r="J31" i="10"/>
  <c r="J30" i="10"/>
  <c r="J32" i="10" s="1"/>
  <c r="J33" i="10" s="1"/>
  <c r="J29" i="10"/>
  <c r="Q28" i="10"/>
  <c r="Q27" i="10"/>
  <c r="Q26" i="10"/>
  <c r="Q25" i="10"/>
  <c r="Q24" i="10"/>
  <c r="AH13" i="10" s="1"/>
  <c r="AI13" i="10" s="1"/>
  <c r="O14" i="10"/>
  <c r="Q14" i="10" s="1"/>
  <c r="AE14" i="10" s="1"/>
  <c r="N14" i="10"/>
  <c r="P14" i="10" s="1"/>
  <c r="L14" i="10"/>
  <c r="M14" i="10" s="1"/>
  <c r="K14" i="10"/>
  <c r="U14" i="10" s="1"/>
  <c r="C14" i="10"/>
  <c r="O13" i="10"/>
  <c r="Q13" i="10" s="1"/>
  <c r="N13" i="10"/>
  <c r="P13" i="10" s="1"/>
  <c r="L13" i="10"/>
  <c r="T13" i="10" s="1"/>
  <c r="K13" i="10"/>
  <c r="U13" i="10" s="1"/>
  <c r="C13" i="10"/>
  <c r="O12" i="10"/>
  <c r="Q12" i="10" s="1"/>
  <c r="N12" i="10"/>
  <c r="P12" i="10" s="1"/>
  <c r="L12" i="10"/>
  <c r="M12" i="10" s="1"/>
  <c r="K12" i="10"/>
  <c r="U12" i="10" s="1"/>
  <c r="C12" i="10"/>
  <c r="O11" i="10"/>
  <c r="Q11" i="10" s="1"/>
  <c r="N11" i="10"/>
  <c r="P11" i="10" s="1"/>
  <c r="L11" i="10"/>
  <c r="K11" i="10"/>
  <c r="U11" i="10" s="1"/>
  <c r="C11" i="10"/>
  <c r="AH10" i="10"/>
  <c r="AI10" i="10" s="1"/>
  <c r="O10" i="10"/>
  <c r="Q10" i="10" s="1"/>
  <c r="N10" i="10"/>
  <c r="P10" i="10" s="1"/>
  <c r="R10" i="10" s="1"/>
  <c r="L10" i="10"/>
  <c r="T10" i="10" s="1"/>
  <c r="K10" i="10"/>
  <c r="U10" i="10" s="1"/>
  <c r="C10" i="10"/>
  <c r="O9" i="10"/>
  <c r="Q9" i="10" s="1"/>
  <c r="AE9" i="10" s="1"/>
  <c r="N9" i="10"/>
  <c r="P9" i="10" s="1"/>
  <c r="L9" i="10"/>
  <c r="M9" i="10" s="1"/>
  <c r="K9" i="10"/>
  <c r="U9" i="10" s="1"/>
  <c r="C9" i="10"/>
  <c r="O8" i="10"/>
  <c r="Q8" i="10" s="1"/>
  <c r="AE8" i="10" s="1"/>
  <c r="N8" i="10"/>
  <c r="P8" i="10" s="1"/>
  <c r="L8" i="10"/>
  <c r="M8" i="10" s="1"/>
  <c r="K8" i="10"/>
  <c r="U8" i="10" s="1"/>
  <c r="C8" i="10"/>
  <c r="O7" i="10"/>
  <c r="Q7" i="10" s="1"/>
  <c r="N7" i="10"/>
  <c r="P7" i="10" s="1"/>
  <c r="L7" i="10"/>
  <c r="K7" i="10"/>
  <c r="U7" i="10" s="1"/>
  <c r="C7" i="10"/>
  <c r="O6" i="10"/>
  <c r="Q6" i="10" s="1"/>
  <c r="N6" i="10"/>
  <c r="P6" i="10" s="1"/>
  <c r="R6" i="10" s="1"/>
  <c r="L6" i="10"/>
  <c r="T6" i="10" s="1"/>
  <c r="K6" i="10"/>
  <c r="U6" i="10" s="1"/>
  <c r="C6" i="10"/>
  <c r="O5" i="10"/>
  <c r="Q5" i="10" s="1"/>
  <c r="N5" i="10"/>
  <c r="P5" i="10" s="1"/>
  <c r="L5" i="10"/>
  <c r="M5" i="10" s="1"/>
  <c r="K5" i="10"/>
  <c r="U5" i="10" s="1"/>
  <c r="C5" i="10"/>
  <c r="O4" i="10"/>
  <c r="Q4" i="10" s="1"/>
  <c r="N4" i="10"/>
  <c r="P4" i="10" s="1"/>
  <c r="L4" i="10"/>
  <c r="T4" i="10" s="1"/>
  <c r="K4" i="10"/>
  <c r="U4" i="10" s="1"/>
  <c r="C4" i="10"/>
  <c r="O3" i="10"/>
  <c r="Q3" i="10" s="1"/>
  <c r="N3" i="10"/>
  <c r="P3" i="10" s="1"/>
  <c r="L3" i="10"/>
  <c r="M3" i="10" s="1"/>
  <c r="K3" i="10"/>
  <c r="U3" i="10" s="1"/>
  <c r="C3" i="10"/>
  <c r="AE2" i="10"/>
  <c r="S2" i="10"/>
  <c r="O2" i="10"/>
  <c r="N2" i="10"/>
  <c r="P2" i="10" s="1"/>
  <c r="R2" i="10" s="1"/>
  <c r="L2" i="10"/>
  <c r="K2" i="10"/>
  <c r="U2" i="10" s="1"/>
  <c r="C2" i="10"/>
  <c r="U1" i="10"/>
  <c r="AH3" i="10" l="1"/>
  <c r="AI3" i="10" s="1"/>
  <c r="AH8" i="10"/>
  <c r="AI8" i="10" s="1"/>
  <c r="S12" i="10"/>
  <c r="R11" i="10"/>
  <c r="AH2" i="10"/>
  <c r="AI2" i="10" s="1"/>
  <c r="R5" i="10"/>
  <c r="AH7" i="10"/>
  <c r="AI7" i="10" s="1"/>
  <c r="R14" i="10"/>
  <c r="AH6" i="10"/>
  <c r="AI6" i="10" s="1"/>
  <c r="AH11" i="10"/>
  <c r="AI11" i="10" s="1"/>
  <c r="W10" i="10"/>
  <c r="X10" i="10" s="1"/>
  <c r="AH5" i="10"/>
  <c r="AI5" i="10" s="1"/>
  <c r="R9" i="10"/>
  <c r="R13" i="10"/>
  <c r="AH4" i="10"/>
  <c r="AI4" i="10" s="1"/>
  <c r="R8" i="10"/>
  <c r="S9" i="10"/>
  <c r="R7" i="10"/>
  <c r="R12" i="10"/>
  <c r="AH15" i="10"/>
  <c r="AI15" i="10" s="1"/>
  <c r="J54" i="10"/>
  <c r="T51" i="10" s="1"/>
  <c r="M4" i="10"/>
  <c r="M6" i="10"/>
  <c r="T9" i="10"/>
  <c r="M10" i="10"/>
  <c r="T12" i="10"/>
  <c r="M13" i="10"/>
  <c r="T14" i="10"/>
  <c r="T8" i="10"/>
  <c r="W6" i="10"/>
  <c r="X6" i="10" s="1"/>
  <c r="W3" i="10"/>
  <c r="X3" i="10" s="1"/>
  <c r="Y3" i="10" s="1"/>
  <c r="W5" i="10"/>
  <c r="X5" i="10" s="1"/>
  <c r="W12" i="10"/>
  <c r="X12" i="10" s="1"/>
  <c r="AE12" i="10"/>
  <c r="AE3" i="10"/>
  <c r="S3" i="10"/>
  <c r="S13" i="10"/>
  <c r="AE13" i="10"/>
  <c r="R44" i="10"/>
  <c r="Q44" i="10"/>
  <c r="R41" i="10"/>
  <c r="AE4" i="10"/>
  <c r="S4" i="10"/>
  <c r="S41" i="10"/>
  <c r="Q41" i="10"/>
  <c r="W4" i="10"/>
  <c r="X4" i="10" s="1"/>
  <c r="V4" i="10"/>
  <c r="V5" i="10"/>
  <c r="T7" i="10"/>
  <c r="M7" i="10"/>
  <c r="V8" i="10"/>
  <c r="W8" i="10"/>
  <c r="X8" i="10" s="1"/>
  <c r="T11" i="10"/>
  <c r="M11" i="10"/>
  <c r="T2" i="10"/>
  <c r="M2" i="10"/>
  <c r="R3" i="10"/>
  <c r="Q43" i="10"/>
  <c r="R4" i="10"/>
  <c r="R43" i="10"/>
  <c r="W7" i="10"/>
  <c r="X7" i="10" s="1"/>
  <c r="V7" i="10"/>
  <c r="S8" i="10"/>
  <c r="W11" i="10"/>
  <c r="X11" i="10" s="1"/>
  <c r="V11" i="10"/>
  <c r="V14" i="10"/>
  <c r="W2" i="10"/>
  <c r="V2" i="10"/>
  <c r="V3" i="10"/>
  <c r="AE5" i="10"/>
  <c r="S5" i="10"/>
  <c r="V6" i="10"/>
  <c r="AE6" i="10"/>
  <c r="S6" i="10"/>
  <c r="W9" i="10"/>
  <c r="X9" i="10" s="1"/>
  <c r="V10" i="10"/>
  <c r="AE10" i="10"/>
  <c r="S10" i="10"/>
  <c r="W13" i="10"/>
  <c r="X13" i="10" s="1"/>
  <c r="V12" i="10"/>
  <c r="AA14" i="10"/>
  <c r="AB14" i="10" s="1"/>
  <c r="AC14" i="10"/>
  <c r="J34" i="10"/>
  <c r="J35" i="10" s="1"/>
  <c r="V9" i="10"/>
  <c r="W14" i="10"/>
  <c r="X14" i="10" s="1"/>
  <c r="AH12" i="10"/>
  <c r="AI12" i="10" s="1"/>
  <c r="AH9" i="10"/>
  <c r="AI9" i="10" s="1"/>
  <c r="AH14" i="10"/>
  <c r="AI14" i="10" s="1"/>
  <c r="Q38" i="10"/>
  <c r="V13" i="10"/>
  <c r="AE7" i="10"/>
  <c r="S7" i="10"/>
  <c r="AE11" i="10"/>
  <c r="S11" i="10"/>
  <c r="T3" i="10"/>
  <c r="T5" i="10"/>
  <c r="J53" i="10"/>
  <c r="U51" i="10" s="1"/>
  <c r="J55" i="10"/>
  <c r="S51" i="10" s="1"/>
  <c r="J52" i="10"/>
  <c r="S14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Q33" i="9"/>
  <c r="Q32" i="9"/>
  <c r="C32" i="9"/>
  <c r="C33" i="9" s="1"/>
  <c r="Q31" i="9"/>
  <c r="J31" i="9"/>
  <c r="J30" i="9"/>
  <c r="J32" i="9" s="1"/>
  <c r="J33" i="9" s="1"/>
  <c r="J29" i="9"/>
  <c r="Q28" i="9"/>
  <c r="Q27" i="9"/>
  <c r="Q26" i="9"/>
  <c r="Q25" i="9"/>
  <c r="Q24" i="9"/>
  <c r="AH3" i="9" s="1"/>
  <c r="AI3" i="9" s="1"/>
  <c r="AH14" i="9"/>
  <c r="AI14" i="9" s="1"/>
  <c r="Z14" i="9"/>
  <c r="Q38" i="9" s="1"/>
  <c r="O14" i="9"/>
  <c r="Q14" i="9" s="1"/>
  <c r="N14" i="9"/>
  <c r="P14" i="9" s="1"/>
  <c r="L14" i="9"/>
  <c r="T14" i="9" s="1"/>
  <c r="K14" i="9"/>
  <c r="U14" i="9" s="1"/>
  <c r="C14" i="9"/>
  <c r="AH13" i="9"/>
  <c r="AI13" i="9" s="1"/>
  <c r="O13" i="9"/>
  <c r="Q13" i="9" s="1"/>
  <c r="N13" i="9"/>
  <c r="P13" i="9" s="1"/>
  <c r="R13" i="9" s="1"/>
  <c r="L13" i="9"/>
  <c r="T13" i="9" s="1"/>
  <c r="K13" i="9"/>
  <c r="U13" i="9" s="1"/>
  <c r="C13" i="9"/>
  <c r="AH12" i="9"/>
  <c r="AI12" i="9" s="1"/>
  <c r="O12" i="9"/>
  <c r="Q12" i="9" s="1"/>
  <c r="AE12" i="9" s="1"/>
  <c r="N12" i="9"/>
  <c r="P12" i="9" s="1"/>
  <c r="L12" i="9"/>
  <c r="T12" i="9" s="1"/>
  <c r="K12" i="9"/>
  <c r="U12" i="9" s="1"/>
  <c r="C12" i="9"/>
  <c r="O11" i="9"/>
  <c r="Q11" i="9" s="1"/>
  <c r="AE11" i="9" s="1"/>
  <c r="N11" i="9"/>
  <c r="P11" i="9" s="1"/>
  <c r="R11" i="9" s="1"/>
  <c r="L11" i="9"/>
  <c r="M11" i="9" s="1"/>
  <c r="K11" i="9"/>
  <c r="U11" i="9" s="1"/>
  <c r="C11" i="9"/>
  <c r="AH10" i="9"/>
  <c r="AI10" i="9" s="1"/>
  <c r="O10" i="9"/>
  <c r="Q10" i="9" s="1"/>
  <c r="N10" i="9"/>
  <c r="P10" i="9" s="1"/>
  <c r="L10" i="9"/>
  <c r="T10" i="9" s="1"/>
  <c r="K10" i="9"/>
  <c r="U10" i="9" s="1"/>
  <c r="C10" i="9"/>
  <c r="AH9" i="9"/>
  <c r="AI9" i="9" s="1"/>
  <c r="O9" i="9"/>
  <c r="Q9" i="9" s="1"/>
  <c r="N9" i="9"/>
  <c r="P9" i="9" s="1"/>
  <c r="Z9" i="9" s="1"/>
  <c r="L9" i="9"/>
  <c r="T9" i="9" s="1"/>
  <c r="K9" i="9"/>
  <c r="U9" i="9" s="1"/>
  <c r="C9" i="9"/>
  <c r="O8" i="9"/>
  <c r="Q8" i="9" s="1"/>
  <c r="AE8" i="9" s="1"/>
  <c r="N8" i="9"/>
  <c r="P8" i="9" s="1"/>
  <c r="L8" i="9"/>
  <c r="M8" i="9" s="1"/>
  <c r="K8" i="9"/>
  <c r="U8" i="9" s="1"/>
  <c r="C8" i="9"/>
  <c r="AH7" i="9"/>
  <c r="AI7" i="9" s="1"/>
  <c r="O7" i="9"/>
  <c r="Q7" i="9" s="1"/>
  <c r="AE7" i="9" s="1"/>
  <c r="N7" i="9"/>
  <c r="P7" i="9" s="1"/>
  <c r="R7" i="9" s="1"/>
  <c r="L7" i="9"/>
  <c r="M7" i="9" s="1"/>
  <c r="K7" i="9"/>
  <c r="U7" i="9" s="1"/>
  <c r="C7" i="9"/>
  <c r="AH6" i="9"/>
  <c r="AI6" i="9" s="1"/>
  <c r="O6" i="9"/>
  <c r="Q6" i="9" s="1"/>
  <c r="N6" i="9"/>
  <c r="P6" i="9" s="1"/>
  <c r="L6" i="9"/>
  <c r="T6" i="9" s="1"/>
  <c r="K6" i="9"/>
  <c r="U6" i="9" s="1"/>
  <c r="C6" i="9"/>
  <c r="AH5" i="9"/>
  <c r="AI5" i="9" s="1"/>
  <c r="O5" i="9"/>
  <c r="Q5" i="9" s="1"/>
  <c r="AE5" i="9" s="1"/>
  <c r="N5" i="9"/>
  <c r="P5" i="9" s="1"/>
  <c r="R5" i="9" s="1"/>
  <c r="L5" i="9"/>
  <c r="T5" i="9" s="1"/>
  <c r="K5" i="9"/>
  <c r="U5" i="9" s="1"/>
  <c r="C5" i="9"/>
  <c r="AH4" i="9"/>
  <c r="AI4" i="9" s="1"/>
  <c r="O4" i="9"/>
  <c r="Q4" i="9" s="1"/>
  <c r="N4" i="9"/>
  <c r="P4" i="9" s="1"/>
  <c r="L4" i="9"/>
  <c r="M4" i="9" s="1"/>
  <c r="K4" i="9"/>
  <c r="U4" i="9" s="1"/>
  <c r="C4" i="9"/>
  <c r="O3" i="9"/>
  <c r="Q3" i="9" s="1"/>
  <c r="N3" i="9"/>
  <c r="P3" i="9" s="1"/>
  <c r="L3" i="9"/>
  <c r="M3" i="9" s="1"/>
  <c r="K3" i="9"/>
  <c r="U3" i="9" s="1"/>
  <c r="C3" i="9"/>
  <c r="AE2" i="9"/>
  <c r="S2" i="9"/>
  <c r="O2" i="9"/>
  <c r="N2" i="9"/>
  <c r="P2" i="9" s="1"/>
  <c r="K2" i="9"/>
  <c r="U2" i="9" s="1"/>
  <c r="U1" i="9"/>
  <c r="AC14" i="9" l="1"/>
  <c r="AD14" i="9" s="1"/>
  <c r="W4" i="9"/>
  <c r="R2" i="9"/>
  <c r="Z6" i="9"/>
  <c r="S7" i="9"/>
  <c r="R14" i="9"/>
  <c r="S9" i="9"/>
  <c r="Z12" i="9"/>
  <c r="AA12" i="9" s="1"/>
  <c r="AA14" i="9"/>
  <c r="M10" i="9"/>
  <c r="R42" i="10"/>
  <c r="Q42" i="10"/>
  <c r="Y11" i="10"/>
  <c r="J45" i="10"/>
  <c r="J41" i="10"/>
  <c r="J44" i="10"/>
  <c r="J40" i="10"/>
  <c r="J43" i="10"/>
  <c r="J42" i="10"/>
  <c r="Y9" i="10"/>
  <c r="Y8" i="10"/>
  <c r="Y6" i="10"/>
  <c r="Y12" i="10"/>
  <c r="Y14" i="10"/>
  <c r="Y7" i="10"/>
  <c r="Y13" i="10"/>
  <c r="J57" i="9"/>
  <c r="Z8" i="10"/>
  <c r="Z13" i="10"/>
  <c r="Z5" i="10"/>
  <c r="Z2" i="10"/>
  <c r="Z6" i="10"/>
  <c r="Z4" i="10"/>
  <c r="Z10" i="10"/>
  <c r="Z9" i="10"/>
  <c r="Z12" i="10"/>
  <c r="Z11" i="10"/>
  <c r="Z7" i="10"/>
  <c r="Z3" i="10"/>
  <c r="J36" i="10"/>
  <c r="Q36" i="10"/>
  <c r="AD14" i="10"/>
  <c r="AF14" i="10"/>
  <c r="Y10" i="10"/>
  <c r="Y4" i="10"/>
  <c r="Y5" i="10"/>
  <c r="M14" i="9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X4" i="9"/>
  <c r="S4" i="9"/>
  <c r="S5" i="9"/>
  <c r="T8" i="9"/>
  <c r="AB12" i="9"/>
  <c r="AB14" i="9"/>
  <c r="M5" i="9"/>
  <c r="M12" i="9"/>
  <c r="T3" i="9"/>
  <c r="T4" i="9"/>
  <c r="M9" i="9"/>
  <c r="Z10" i="9"/>
  <c r="R10" i="9"/>
  <c r="V3" i="9"/>
  <c r="W3" i="9"/>
  <c r="X3" i="9" s="1"/>
  <c r="Y3" i="9" s="1"/>
  <c r="AA6" i="9"/>
  <c r="AB6" i="9" s="1"/>
  <c r="AC6" i="9"/>
  <c r="AD6" i="9" s="1"/>
  <c r="AE14" i="9"/>
  <c r="AF14" i="9" s="1"/>
  <c r="S14" i="9"/>
  <c r="R8" i="9"/>
  <c r="Z8" i="9"/>
  <c r="Q43" i="9"/>
  <c r="R4" i="9"/>
  <c r="Z4" i="9"/>
  <c r="R43" i="9"/>
  <c r="V7" i="9"/>
  <c r="W7" i="9"/>
  <c r="X7" i="9" s="1"/>
  <c r="AA9" i="9"/>
  <c r="AB9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AC2" i="9"/>
  <c r="AD2" i="9" s="1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J45" i="9" l="1"/>
  <c r="J44" i="9"/>
  <c r="J43" i="9"/>
  <c r="J42" i="9"/>
  <c r="J41" i="9"/>
  <c r="J40" i="9"/>
  <c r="AK15" i="10"/>
  <c r="AL15" i="10" s="1"/>
  <c r="AM15" i="10" s="1"/>
  <c r="AJ15" i="10"/>
  <c r="AK4" i="10"/>
  <c r="AL4" i="10" s="1"/>
  <c r="AM4" i="10" s="1"/>
  <c r="AJ8" i="10"/>
  <c r="AO8" i="10" s="1"/>
  <c r="AN8" i="10" s="1"/>
  <c r="AK8" i="10"/>
  <c r="AL8" i="10" s="1"/>
  <c r="AM8" i="10" s="1"/>
  <c r="AJ5" i="10"/>
  <c r="AO5" i="10" s="1"/>
  <c r="AN5" i="10" s="1"/>
  <c r="AJ10" i="10"/>
  <c r="AO10" i="10" s="1"/>
  <c r="AN10" i="10" s="1"/>
  <c r="AK10" i="10"/>
  <c r="AL10" i="10" s="1"/>
  <c r="AM10" i="10" s="1"/>
  <c r="AK14" i="10"/>
  <c r="AL14" i="10" s="1"/>
  <c r="AM14" i="10" s="1"/>
  <c r="AK7" i="10"/>
  <c r="AL7" i="10" s="1"/>
  <c r="AM7" i="10" s="1"/>
  <c r="AK11" i="10"/>
  <c r="AL11" i="10" s="1"/>
  <c r="AM11" i="10" s="1"/>
  <c r="AJ6" i="10"/>
  <c r="AO6" i="10" s="1"/>
  <c r="AN6" i="10" s="1"/>
  <c r="AK12" i="10"/>
  <c r="AL12" i="10" s="1"/>
  <c r="AM12" i="10" s="1"/>
  <c r="AJ4" i="10"/>
  <c r="AO4" i="10" s="1"/>
  <c r="AN4" i="10" s="1"/>
  <c r="AJ12" i="10"/>
  <c r="AK13" i="10"/>
  <c r="AL13" i="10" s="1"/>
  <c r="AM13" i="10" s="1"/>
  <c r="AK2" i="10"/>
  <c r="AL2" i="10" s="1"/>
  <c r="AM2" i="10" s="1"/>
  <c r="AK9" i="10"/>
  <c r="AL9" i="10" s="1"/>
  <c r="AM9" i="10" s="1"/>
  <c r="AJ3" i="10"/>
  <c r="AO3" i="10" s="1"/>
  <c r="AJ2" i="10"/>
  <c r="AO2" i="10" s="1"/>
  <c r="AJ13" i="10"/>
  <c r="AO13" i="10" s="1"/>
  <c r="AN13" i="10" s="1"/>
  <c r="AJ14" i="10"/>
  <c r="AO14" i="10" s="1"/>
  <c r="AN14" i="10" s="1"/>
  <c r="AJ9" i="10"/>
  <c r="AO9" i="10" s="1"/>
  <c r="AN9" i="10" s="1"/>
  <c r="AK3" i="10"/>
  <c r="AL3" i="10" s="1"/>
  <c r="AM3" i="10" s="1"/>
  <c r="AJ7" i="10"/>
  <c r="AO7" i="10" s="1"/>
  <c r="AN7" i="10" s="1"/>
  <c r="AK5" i="10"/>
  <c r="AL5" i="10" s="1"/>
  <c r="AM5" i="10" s="1"/>
  <c r="AJ11" i="10"/>
  <c r="AO11" i="10" s="1"/>
  <c r="AN11" i="10" s="1"/>
  <c r="AK6" i="10"/>
  <c r="AL6" i="10" s="1"/>
  <c r="AM6" i="10" s="1"/>
  <c r="J48" i="10"/>
  <c r="K48" i="10"/>
  <c r="AA7" i="10"/>
  <c r="AB7" i="10" s="1"/>
  <c r="AC7" i="10"/>
  <c r="AA5" i="10"/>
  <c r="AB5" i="10" s="1"/>
  <c r="AC5" i="10"/>
  <c r="L42" i="10"/>
  <c r="M42" i="10" s="1"/>
  <c r="AA11" i="10"/>
  <c r="AB11" i="10" s="1"/>
  <c r="AC11" i="10"/>
  <c r="AA4" i="10"/>
  <c r="AB4" i="10" s="1"/>
  <c r="AC4" i="10"/>
  <c r="AA13" i="10"/>
  <c r="AB13" i="10" s="1"/>
  <c r="AC13" i="10"/>
  <c r="L48" i="10"/>
  <c r="AA10" i="10"/>
  <c r="AB10" i="10" s="1"/>
  <c r="AC10" i="10"/>
  <c r="AC12" i="10"/>
  <c r="AA12" i="10"/>
  <c r="AB12" i="10" s="1"/>
  <c r="AA6" i="10"/>
  <c r="AB6" i="10" s="1"/>
  <c r="AC6" i="10"/>
  <c r="AA8" i="10"/>
  <c r="AB8" i="10" s="1"/>
  <c r="AC8" i="10"/>
  <c r="AO12" i="10"/>
  <c r="AN12" i="10" s="1"/>
  <c r="AC3" i="10"/>
  <c r="AA3" i="10"/>
  <c r="AB3" i="10" s="1"/>
  <c r="AC9" i="10"/>
  <c r="AA9" i="10"/>
  <c r="AB9" i="10" s="1"/>
  <c r="AC2" i="10"/>
  <c r="AA2" i="10"/>
  <c r="AF12" i="9"/>
  <c r="Q42" i="9"/>
  <c r="R42" i="9"/>
  <c r="AJ13" i="9" s="1"/>
  <c r="AO13" i="9" s="1"/>
  <c r="AN13" i="9" s="1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AF4" i="9" l="1"/>
  <c r="J48" i="9"/>
  <c r="AP15" i="10"/>
  <c r="AQ15" i="10" s="1"/>
  <c r="AR15" i="10"/>
  <c r="AS15" i="10" s="1"/>
  <c r="AO15" i="10"/>
  <c r="AN15" i="10" s="1"/>
  <c r="AD5" i="10"/>
  <c r="AF5" i="10"/>
  <c r="AR14" i="10"/>
  <c r="AS14" i="10" s="1"/>
  <c r="AR7" i="10"/>
  <c r="AS7" i="10" s="1"/>
  <c r="AR5" i="10"/>
  <c r="AS5" i="10" s="1"/>
  <c r="AR13" i="10"/>
  <c r="AS13" i="10" s="1"/>
  <c r="AR10" i="10"/>
  <c r="AS10" i="10" s="1"/>
  <c r="AR6" i="10"/>
  <c r="AS6" i="10" s="1"/>
  <c r="AR4" i="10"/>
  <c r="AS4" i="10" s="1"/>
  <c r="AR11" i="10"/>
  <c r="AS11" i="10" s="1"/>
  <c r="AR9" i="10"/>
  <c r="AS9" i="10" s="1"/>
  <c r="AR8" i="10"/>
  <c r="AS8" i="10" s="1"/>
  <c r="AR12" i="10"/>
  <c r="AS12" i="10" s="1"/>
  <c r="AR3" i="10"/>
  <c r="AD9" i="10"/>
  <c r="AF9" i="10"/>
  <c r="Q46" i="10" s="1"/>
  <c r="AD8" i="10"/>
  <c r="AF8" i="10"/>
  <c r="AD7" i="10"/>
  <c r="AF7" i="10"/>
  <c r="AD12" i="10"/>
  <c r="AF12" i="10"/>
  <c r="AD4" i="10"/>
  <c r="AF4" i="10"/>
  <c r="AD2" i="10"/>
  <c r="AF2" i="10"/>
  <c r="AD3" i="10"/>
  <c r="AF3" i="10"/>
  <c r="AD6" i="10"/>
  <c r="AF6" i="10"/>
  <c r="AD10" i="10"/>
  <c r="AF10" i="10"/>
  <c r="AD13" i="10"/>
  <c r="AF13" i="10"/>
  <c r="AD11" i="10"/>
  <c r="AF11" i="10"/>
  <c r="AP12" i="10"/>
  <c r="AQ12" i="10" s="1"/>
  <c r="AP9" i="10"/>
  <c r="AQ9" i="10" s="1"/>
  <c r="AP14" i="10"/>
  <c r="AQ14" i="10" s="1"/>
  <c r="AP7" i="10"/>
  <c r="AQ7" i="10" s="1"/>
  <c r="AP5" i="10"/>
  <c r="AQ5" i="10" s="1"/>
  <c r="AP3" i="10"/>
  <c r="AQ3" i="10" s="1"/>
  <c r="AP10" i="10"/>
  <c r="AQ10" i="10" s="1"/>
  <c r="AP6" i="10"/>
  <c r="AQ6" i="10" s="1"/>
  <c r="AP13" i="10"/>
  <c r="AQ13" i="10" s="1"/>
  <c r="AP8" i="10"/>
  <c r="AQ8" i="10" s="1"/>
  <c r="AP11" i="10"/>
  <c r="AQ11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2" i="9"/>
  <c r="C2" i="9"/>
  <c r="AH2" i="9"/>
  <c r="AI2" i="9" s="1"/>
  <c r="L42" i="9"/>
  <c r="M42" i="9" s="1"/>
  <c r="AD8" i="9"/>
  <c r="AF8" i="9"/>
  <c r="AF13" i="9"/>
  <c r="AG9" i="10" l="1"/>
  <c r="Q45" i="10" s="1"/>
  <c r="AT6" i="10" s="1"/>
  <c r="AG11" i="9"/>
  <c r="AG9" i="9"/>
  <c r="Q45" i="9" s="1"/>
  <c r="AT13" i="9"/>
  <c r="AU13" i="9" s="1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AT12" i="10" l="1"/>
  <c r="AU12" i="10" s="1"/>
  <c r="AT9" i="10"/>
  <c r="AU9" i="10" s="1"/>
  <c r="AT14" i="10"/>
  <c r="AU14" i="10" s="1"/>
  <c r="AT11" i="10"/>
  <c r="AU11" i="10" s="1"/>
  <c r="AT7" i="10"/>
  <c r="AU7" i="10" s="1"/>
  <c r="AT13" i="10"/>
  <c r="AU13" i="10" s="1"/>
  <c r="AT10" i="10"/>
  <c r="AU10" i="10" s="1"/>
  <c r="AU6" i="10"/>
  <c r="AT8" i="10"/>
  <c r="AU8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AH9" i="8" s="1"/>
  <c r="AI9" i="8" s="1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R13" i="8" s="1"/>
  <c r="L13" i="8"/>
  <c r="T13" i="8" s="1"/>
  <c r="K13" i="8"/>
  <c r="U13" i="8" s="1"/>
  <c r="C13" i="8"/>
  <c r="O12" i="8"/>
  <c r="Q12" i="8" s="1"/>
  <c r="N12" i="8"/>
  <c r="P12" i="8" s="1"/>
  <c r="R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L10" i="8"/>
  <c r="M10" i="8" s="1"/>
  <c r="K10" i="8"/>
  <c r="U10" i="8" s="1"/>
  <c r="C10" i="8"/>
  <c r="O9" i="8"/>
  <c r="Q9" i="8" s="1"/>
  <c r="N9" i="8"/>
  <c r="P9" i="8" s="1"/>
  <c r="L9" i="8"/>
  <c r="K9" i="8"/>
  <c r="U9" i="8" s="1"/>
  <c r="C9" i="8"/>
  <c r="O8" i="8"/>
  <c r="Q8" i="8" s="1"/>
  <c r="N8" i="8"/>
  <c r="P8" i="8" s="1"/>
  <c r="L8" i="8"/>
  <c r="T8" i="8" s="1"/>
  <c r="K8" i="8"/>
  <c r="U8" i="8" s="1"/>
  <c r="C8" i="8"/>
  <c r="R7" i="8"/>
  <c r="O7" i="8"/>
  <c r="Q7" i="8" s="1"/>
  <c r="N7" i="8"/>
  <c r="P7" i="8" s="1"/>
  <c r="L7" i="8"/>
  <c r="T7" i="8" s="1"/>
  <c r="K7" i="8"/>
  <c r="U7" i="8" s="1"/>
  <c r="C7" i="8"/>
  <c r="O6" i="8"/>
  <c r="Q6" i="8" s="1"/>
  <c r="AE6" i="8" s="1"/>
  <c r="N6" i="8"/>
  <c r="P6" i="8" s="1"/>
  <c r="L6" i="8"/>
  <c r="M6" i="8" s="1"/>
  <c r="K6" i="8"/>
  <c r="U6" i="8" s="1"/>
  <c r="C6" i="8"/>
  <c r="P5" i="8"/>
  <c r="R5" i="8" s="1"/>
  <c r="O5" i="8"/>
  <c r="Q5" i="8" s="1"/>
  <c r="N5" i="8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AH3" i="8"/>
  <c r="AI3" i="8" s="1"/>
  <c r="O3" i="8"/>
  <c r="Q3" i="8" s="1"/>
  <c r="N3" i="8"/>
  <c r="P3" i="8" s="1"/>
  <c r="L3" i="8"/>
  <c r="M3" i="8" s="1"/>
  <c r="K3" i="8"/>
  <c r="U3" i="8" s="1"/>
  <c r="C3" i="8"/>
  <c r="AE2" i="8"/>
  <c r="O2" i="8"/>
  <c r="N2" i="8"/>
  <c r="P2" i="8" s="1"/>
  <c r="K2" i="8"/>
  <c r="U2" i="8" s="1"/>
  <c r="U1" i="8"/>
  <c r="V57" i="7"/>
  <c r="U57" i="7"/>
  <c r="T57" i="7"/>
  <c r="S57" i="7"/>
  <c r="R57" i="7"/>
  <c r="Q57" i="7"/>
  <c r="V56" i="7"/>
  <c r="U56" i="7"/>
  <c r="T56" i="7"/>
  <c r="S56" i="7"/>
  <c r="R56" i="7"/>
  <c r="Q56" i="7"/>
  <c r="V53" i="7"/>
  <c r="U53" i="7"/>
  <c r="T53" i="7"/>
  <c r="S53" i="7"/>
  <c r="R53" i="7"/>
  <c r="Q53" i="7"/>
  <c r="V52" i="7"/>
  <c r="U52" i="7"/>
  <c r="T52" i="7"/>
  <c r="S52" i="7"/>
  <c r="R52" i="7"/>
  <c r="Q52" i="7"/>
  <c r="I45" i="7"/>
  <c r="J57" i="7" s="1"/>
  <c r="J56" i="7"/>
  <c r="R51" i="7" s="1"/>
  <c r="J55" i="7"/>
  <c r="S51" i="7" s="1"/>
  <c r="I40" i="7"/>
  <c r="J53" i="7" s="1"/>
  <c r="U51" i="7" s="1"/>
  <c r="J54" i="7"/>
  <c r="T51" i="7" s="1"/>
  <c r="R8" i="8" l="1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2" i="7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Q42" i="8"/>
  <c r="R42" i="8"/>
  <c r="R4" i="8"/>
  <c r="T5" i="8"/>
  <c r="R43" i="8"/>
  <c r="S40" i="8"/>
  <c r="Q43" i="8"/>
  <c r="R40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J40" i="8" l="1"/>
  <c r="J39" i="8"/>
  <c r="J41" i="8"/>
  <c r="J43" i="8"/>
  <c r="J42" i="8"/>
  <c r="J44" i="8"/>
  <c r="AF13" i="8"/>
  <c r="R41" i="8"/>
  <c r="Q41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Q31" i="7"/>
  <c r="Q34" i="7"/>
  <c r="E50" i="7"/>
  <c r="AF8" i="8" l="1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C2" i="8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S2" i="7"/>
  <c r="AG9" i="8" l="1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C13" i="7"/>
  <c r="C12" i="7"/>
  <c r="C11" i="7"/>
  <c r="C10" i="7"/>
  <c r="O13" i="7"/>
  <c r="Q13" i="7" s="1"/>
  <c r="S13" i="7" s="1"/>
  <c r="N13" i="7"/>
  <c r="P13" i="7" s="1"/>
  <c r="R13" i="7" s="1"/>
  <c r="L13" i="7"/>
  <c r="T13" i="7" s="1"/>
  <c r="K13" i="7"/>
  <c r="U13" i="7" s="1"/>
  <c r="O12" i="7"/>
  <c r="Q12" i="7" s="1"/>
  <c r="S12" i="7" s="1"/>
  <c r="N12" i="7"/>
  <c r="P12" i="7" s="1"/>
  <c r="R12" i="7" s="1"/>
  <c r="L12" i="7"/>
  <c r="M12" i="7" s="1"/>
  <c r="K12" i="7"/>
  <c r="U12" i="7" s="1"/>
  <c r="O11" i="7"/>
  <c r="Q11" i="7" s="1"/>
  <c r="S11" i="7" s="1"/>
  <c r="N11" i="7"/>
  <c r="P11" i="7" s="1"/>
  <c r="R11" i="7" s="1"/>
  <c r="L11" i="7"/>
  <c r="M11" i="7" s="1"/>
  <c r="K11" i="7"/>
  <c r="U11" i="7" s="1"/>
  <c r="O10" i="7"/>
  <c r="Q10" i="7" s="1"/>
  <c r="S10" i="7" s="1"/>
  <c r="N10" i="7"/>
  <c r="P10" i="7" s="1"/>
  <c r="R10" i="7" s="1"/>
  <c r="L10" i="7"/>
  <c r="T10" i="7" s="1"/>
  <c r="K10" i="7"/>
  <c r="U10" i="7" s="1"/>
  <c r="Q37" i="7"/>
  <c r="C34" i="7"/>
  <c r="Z14" i="7" s="1"/>
  <c r="Q35" i="7"/>
  <c r="Q28" i="7"/>
  <c r="C32" i="7"/>
  <c r="C33" i="7" s="1"/>
  <c r="Q33" i="7"/>
  <c r="J31" i="7"/>
  <c r="Q32" i="7"/>
  <c r="J30" i="7"/>
  <c r="J29" i="7"/>
  <c r="Q26" i="7"/>
  <c r="Q25" i="7"/>
  <c r="Q27" i="7"/>
  <c r="Q24" i="7"/>
  <c r="O14" i="7"/>
  <c r="Q14" i="7" s="1"/>
  <c r="S14" i="7" s="1"/>
  <c r="N14" i="7"/>
  <c r="P14" i="7" s="1"/>
  <c r="R14" i="7" s="1"/>
  <c r="L14" i="7"/>
  <c r="T14" i="7" s="1"/>
  <c r="K14" i="7"/>
  <c r="U14" i="7" s="1"/>
  <c r="C14" i="7"/>
  <c r="O9" i="7"/>
  <c r="Q9" i="7" s="1"/>
  <c r="S9" i="7" s="1"/>
  <c r="N9" i="7"/>
  <c r="P9" i="7" s="1"/>
  <c r="R9" i="7" s="1"/>
  <c r="L9" i="7"/>
  <c r="K9" i="7"/>
  <c r="U9" i="7" s="1"/>
  <c r="C9" i="7"/>
  <c r="O8" i="7"/>
  <c r="Q8" i="7" s="1"/>
  <c r="S8" i="7" s="1"/>
  <c r="N8" i="7"/>
  <c r="P8" i="7" s="1"/>
  <c r="R8" i="7" s="1"/>
  <c r="L8" i="7"/>
  <c r="T8" i="7" s="1"/>
  <c r="K8" i="7"/>
  <c r="U8" i="7" s="1"/>
  <c r="C8" i="7"/>
  <c r="O7" i="7"/>
  <c r="Q7" i="7" s="1"/>
  <c r="S7" i="7" s="1"/>
  <c r="N7" i="7"/>
  <c r="P7" i="7" s="1"/>
  <c r="R7" i="7" s="1"/>
  <c r="L7" i="7"/>
  <c r="M7" i="7" s="1"/>
  <c r="K7" i="7"/>
  <c r="U7" i="7" s="1"/>
  <c r="C7" i="7"/>
  <c r="O6" i="7"/>
  <c r="Q6" i="7" s="1"/>
  <c r="S6" i="7" s="1"/>
  <c r="N6" i="7"/>
  <c r="L6" i="7"/>
  <c r="T6" i="7" s="1"/>
  <c r="K6" i="7"/>
  <c r="U6" i="7" s="1"/>
  <c r="C6" i="7"/>
  <c r="O5" i="7"/>
  <c r="Q5" i="7" s="1"/>
  <c r="S5" i="7" s="1"/>
  <c r="N5" i="7"/>
  <c r="P5" i="7" s="1"/>
  <c r="R5" i="7" s="1"/>
  <c r="L5" i="7"/>
  <c r="T5" i="7" s="1"/>
  <c r="K5" i="7"/>
  <c r="U5" i="7" s="1"/>
  <c r="C5" i="7"/>
  <c r="O4" i="7"/>
  <c r="Q4" i="7" s="1"/>
  <c r="S4" i="7" s="1"/>
  <c r="N4" i="7"/>
  <c r="P4" i="7" s="1"/>
  <c r="R4" i="7" s="1"/>
  <c r="L4" i="7"/>
  <c r="M4" i="7" s="1"/>
  <c r="K4" i="7"/>
  <c r="U4" i="7" s="1"/>
  <c r="C4" i="7"/>
  <c r="O3" i="7"/>
  <c r="Q3" i="7" s="1"/>
  <c r="S3" i="7" s="1"/>
  <c r="N3" i="7"/>
  <c r="P3" i="7" s="1"/>
  <c r="R3" i="7" s="1"/>
  <c r="L3" i="7"/>
  <c r="M3" i="7" s="1"/>
  <c r="K3" i="7"/>
  <c r="U3" i="7" s="1"/>
  <c r="C3" i="7"/>
  <c r="AE2" i="7"/>
  <c r="O2" i="7"/>
  <c r="N2" i="7"/>
  <c r="P2" i="7" s="1"/>
  <c r="R2" i="7" s="1"/>
  <c r="K2" i="7"/>
  <c r="U2" i="7" s="1"/>
  <c r="U1" i="7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AA14" i="7"/>
  <c r="AB14" i="7" s="1"/>
  <c r="P6" i="7"/>
  <c r="R6" i="7" s="1"/>
  <c r="J32" i="7"/>
  <c r="J33" i="7" s="1"/>
  <c r="J34" i="7" s="1"/>
  <c r="J35" i="7" s="1"/>
  <c r="AE3" i="7"/>
  <c r="AE7" i="7"/>
  <c r="AE9" i="7"/>
  <c r="AE8" i="7"/>
  <c r="AE10" i="7"/>
  <c r="AE13" i="7"/>
  <c r="R43" i="7"/>
  <c r="Q43" i="7"/>
  <c r="S41" i="7"/>
  <c r="R44" i="7"/>
  <c r="Q44" i="7"/>
  <c r="Q41" i="7"/>
  <c r="R41" i="7"/>
  <c r="AH7" i="7"/>
  <c r="AI7" i="7" s="1"/>
  <c r="AH13" i="7"/>
  <c r="AI13" i="7" s="1"/>
  <c r="AH10" i="7"/>
  <c r="AI10" i="7" s="1"/>
  <c r="AH11" i="7"/>
  <c r="AI11" i="7" s="1"/>
  <c r="W10" i="7"/>
  <c r="X10" i="7" s="1"/>
  <c r="W13" i="7"/>
  <c r="X13" i="7" s="1"/>
  <c r="M10" i="7"/>
  <c r="V10" i="7"/>
  <c r="AH12" i="7"/>
  <c r="AI12" i="7" s="1"/>
  <c r="M13" i="7"/>
  <c r="AE12" i="7"/>
  <c r="W12" i="7"/>
  <c r="X12" i="7" s="1"/>
  <c r="V12" i="7"/>
  <c r="AE11" i="7"/>
  <c r="V11" i="7"/>
  <c r="W11" i="7"/>
  <c r="X11" i="7" s="1"/>
  <c r="T12" i="7"/>
  <c r="T11" i="7"/>
  <c r="V13" i="7"/>
  <c r="T4" i="7"/>
  <c r="M6" i="7"/>
  <c r="AH9" i="7"/>
  <c r="AI9" i="7" s="1"/>
  <c r="W9" i="7"/>
  <c r="X9" i="7" s="1"/>
  <c r="M5" i="7"/>
  <c r="AE6" i="7"/>
  <c r="Q38" i="7"/>
  <c r="Z6" i="7" s="1"/>
  <c r="AC14" i="7"/>
  <c r="AH5" i="7"/>
  <c r="AI5" i="7" s="1"/>
  <c r="V7" i="7"/>
  <c r="M8" i="7"/>
  <c r="AE5" i="7"/>
  <c r="W3" i="7"/>
  <c r="X3" i="7" s="1"/>
  <c r="Y3" i="7" s="1"/>
  <c r="V5" i="7"/>
  <c r="V6" i="7"/>
  <c r="W6" i="7"/>
  <c r="X6" i="7" s="1"/>
  <c r="V9" i="7"/>
  <c r="M9" i="7"/>
  <c r="T9" i="7"/>
  <c r="V2" i="7"/>
  <c r="W2" i="7"/>
  <c r="T3" i="7"/>
  <c r="W4" i="7"/>
  <c r="X4" i="7" s="1"/>
  <c r="W7" i="7"/>
  <c r="X7" i="7" s="1"/>
  <c r="W8" i="7"/>
  <c r="X8" i="7" s="1"/>
  <c r="V8" i="7"/>
  <c r="AH4" i="7"/>
  <c r="AI4" i="7" s="1"/>
  <c r="V3" i="7"/>
  <c r="V4" i="7"/>
  <c r="AH8" i="7"/>
  <c r="AI8" i="7" s="1"/>
  <c r="M14" i="7"/>
  <c r="AE14" i="7"/>
  <c r="AH14" i="7"/>
  <c r="AI14" i="7" s="1"/>
  <c r="AH3" i="7"/>
  <c r="AI3" i="7" s="1"/>
  <c r="AE4" i="7"/>
  <c r="W5" i="7"/>
  <c r="X5" i="7" s="1"/>
  <c r="AH6" i="7"/>
  <c r="AI6" i="7" s="1"/>
  <c r="T7" i="7"/>
  <c r="W14" i="7"/>
  <c r="X14" i="7" s="1"/>
  <c r="V14" i="7"/>
  <c r="J42" i="7" l="1"/>
  <c r="J40" i="7"/>
  <c r="J43" i="7"/>
  <c r="J41" i="7"/>
  <c r="J45" i="7"/>
  <c r="J44" i="7"/>
  <c r="Q36" i="7"/>
  <c r="L42" i="7" s="1"/>
  <c r="M42" i="7" s="1"/>
  <c r="J36" i="7"/>
  <c r="AC6" i="7"/>
  <c r="AA6" i="7"/>
  <c r="AB6" i="7" s="1"/>
  <c r="Q42" i="7"/>
  <c r="R42" i="7"/>
  <c r="AD14" i="7"/>
  <c r="Z12" i="7"/>
  <c r="AA12" i="7" s="1"/>
  <c r="AB12" i="7" s="1"/>
  <c r="Y6" i="7"/>
  <c r="Y10" i="7"/>
  <c r="Z13" i="7"/>
  <c r="Y11" i="7"/>
  <c r="Z11" i="7"/>
  <c r="AA11" i="7" s="1"/>
  <c r="AB11" i="7" s="1"/>
  <c r="Z10" i="7"/>
  <c r="AA10" i="7" s="1"/>
  <c r="AB10" i="7" s="1"/>
  <c r="Y13" i="7"/>
  <c r="Y12" i="7"/>
  <c r="Y9" i="7"/>
  <c r="Y8" i="7"/>
  <c r="Z3" i="7"/>
  <c r="AA3" i="7" s="1"/>
  <c r="AB3" i="7" s="1"/>
  <c r="Z2" i="7"/>
  <c r="Y14" i="7"/>
  <c r="Y5" i="7"/>
  <c r="Y7" i="7"/>
  <c r="AF14" i="7"/>
  <c r="Y4" i="7"/>
  <c r="Z5" i="7"/>
  <c r="Z9" i="7"/>
  <c r="AA9" i="7" s="1"/>
  <c r="AB9" i="7" s="1"/>
  <c r="Z7" i="7"/>
  <c r="Z8" i="7"/>
  <c r="Z4" i="7"/>
  <c r="AA4" i="7" s="1"/>
  <c r="AB4" i="7" s="1"/>
  <c r="AC7" i="7" l="1"/>
  <c r="AD7" i="7" s="1"/>
  <c r="AA7" i="7"/>
  <c r="AB7" i="7" s="1"/>
  <c r="AC2" i="7"/>
  <c r="AF2" i="7" s="1"/>
  <c r="AA2" i="7"/>
  <c r="AC13" i="7"/>
  <c r="AD13" i="7" s="1"/>
  <c r="AA13" i="7"/>
  <c r="AB13" i="7" s="1"/>
  <c r="AC5" i="7"/>
  <c r="AD5" i="7" s="1"/>
  <c r="AA5" i="7"/>
  <c r="AB5" i="7" s="1"/>
  <c r="AC8" i="7"/>
  <c r="AF8" i="7" s="1"/>
  <c r="AA8" i="7"/>
  <c r="AB8" i="7" s="1"/>
  <c r="J48" i="7"/>
  <c r="L48" i="7"/>
  <c r="K48" i="7"/>
  <c r="AC12" i="7"/>
  <c r="AD12" i="7" s="1"/>
  <c r="AC11" i="7"/>
  <c r="D2" i="7"/>
  <c r="AC10" i="7"/>
  <c r="AJ13" i="7"/>
  <c r="AO13" i="7" s="1"/>
  <c r="AN13" i="7" s="1"/>
  <c r="AK10" i="7"/>
  <c r="AL10" i="7" s="1"/>
  <c r="AM10" i="7" s="1"/>
  <c r="AK11" i="7"/>
  <c r="AL11" i="7" s="1"/>
  <c r="AM11" i="7" s="1"/>
  <c r="AJ10" i="7"/>
  <c r="AO10" i="7" s="1"/>
  <c r="AN10" i="7" s="1"/>
  <c r="AK13" i="7"/>
  <c r="AL13" i="7" s="1"/>
  <c r="AM13" i="7" s="1"/>
  <c r="AJ12" i="7"/>
  <c r="AO12" i="7" s="1"/>
  <c r="AN12" i="7" s="1"/>
  <c r="AK12" i="7"/>
  <c r="AL12" i="7" s="1"/>
  <c r="AM12" i="7" s="1"/>
  <c r="AJ11" i="7"/>
  <c r="AO11" i="7" s="1"/>
  <c r="AN11" i="7" s="1"/>
  <c r="AC3" i="7"/>
  <c r="AF3" i="7" s="1"/>
  <c r="AC4" i="7"/>
  <c r="AD4" i="7" s="1"/>
  <c r="AC9" i="7"/>
  <c r="AJ14" i="7"/>
  <c r="AO14" i="7" s="1"/>
  <c r="AN14" i="7" s="1"/>
  <c r="AK9" i="7"/>
  <c r="AL9" i="7" s="1"/>
  <c r="AM9" i="7" s="1"/>
  <c r="AK8" i="7"/>
  <c r="AL8" i="7" s="1"/>
  <c r="AM8" i="7" s="1"/>
  <c r="AJ7" i="7"/>
  <c r="AO7" i="7" s="1"/>
  <c r="AN7" i="7" s="1"/>
  <c r="AK6" i="7"/>
  <c r="AL6" i="7" s="1"/>
  <c r="AM6" i="7" s="1"/>
  <c r="AJ5" i="7"/>
  <c r="AK14" i="7"/>
  <c r="AL14" i="7" s="1"/>
  <c r="AM14" i="7" s="1"/>
  <c r="AJ4" i="7"/>
  <c r="AJ3" i="7"/>
  <c r="AJ9" i="7"/>
  <c r="AK5" i="7"/>
  <c r="AL5" i="7" s="1"/>
  <c r="AM5" i="7" s="1"/>
  <c r="AK7" i="7"/>
  <c r="AL7" i="7" s="1"/>
  <c r="AM7" i="7" s="1"/>
  <c r="AJ6" i="7"/>
  <c r="AJ8" i="7"/>
  <c r="AO8" i="7" s="1"/>
  <c r="AN8" i="7" s="1"/>
  <c r="AK4" i="7"/>
  <c r="AL4" i="7" s="1"/>
  <c r="AM4" i="7" s="1"/>
  <c r="AK3" i="7"/>
  <c r="AL3" i="7" s="1"/>
  <c r="AM3" i="7" s="1"/>
  <c r="H2" i="5"/>
  <c r="J2" i="5"/>
  <c r="AF7" i="7" l="1"/>
  <c r="AF13" i="7"/>
  <c r="AD8" i="7"/>
  <c r="AD2" i="7"/>
  <c r="AF5" i="7"/>
  <c r="AD3" i="7"/>
  <c r="AF11" i="7"/>
  <c r="Q46" i="7" s="1"/>
  <c r="AF12" i="7"/>
  <c r="AD10" i="7"/>
  <c r="AF10" i="7"/>
  <c r="AD11" i="7"/>
  <c r="AF4" i="7"/>
  <c r="AR13" i="7"/>
  <c r="AS13" i="7" s="1"/>
  <c r="AR10" i="7"/>
  <c r="AS10" i="7" s="1"/>
  <c r="AR12" i="7"/>
  <c r="AS12" i="7" s="1"/>
  <c r="AR11" i="7"/>
  <c r="AS11" i="7" s="1"/>
  <c r="AP11" i="7"/>
  <c r="AQ11" i="7" s="1"/>
  <c r="AP12" i="7"/>
  <c r="AQ12" i="7" s="1"/>
  <c r="AP10" i="7"/>
  <c r="AQ10" i="7" s="1"/>
  <c r="AP13" i="7"/>
  <c r="AQ13" i="7" s="1"/>
  <c r="AR4" i="7"/>
  <c r="AS4" i="7" s="1"/>
  <c r="AR6" i="7"/>
  <c r="AS6" i="7" s="1"/>
  <c r="AR3" i="7"/>
  <c r="AR9" i="7"/>
  <c r="AS9" i="7" s="1"/>
  <c r="AR5" i="7"/>
  <c r="AS5" i="7" s="1"/>
  <c r="AO9" i="7"/>
  <c r="AN9" i="7" s="1"/>
  <c r="AO5" i="7"/>
  <c r="AN5" i="7" s="1"/>
  <c r="AD9" i="7"/>
  <c r="AF9" i="7"/>
  <c r="AD6" i="7"/>
  <c r="AF6" i="7"/>
  <c r="AO6" i="7"/>
  <c r="AN6" i="7" s="1"/>
  <c r="AP4" i="7"/>
  <c r="AQ4" i="7" s="1"/>
  <c r="AP14" i="7"/>
  <c r="AQ14" i="7" s="1"/>
  <c r="AR14" i="7"/>
  <c r="AS14" i="7" s="1"/>
  <c r="AP3" i="7"/>
  <c r="AQ3" i="7" s="1"/>
  <c r="AO4" i="7"/>
  <c r="AN4" i="7" s="1"/>
  <c r="AO3" i="7"/>
  <c r="AP9" i="7"/>
  <c r="AQ9" i="7" s="1"/>
  <c r="AP5" i="7"/>
  <c r="AQ5" i="7" s="1"/>
  <c r="AP8" i="7"/>
  <c r="AQ8" i="7" s="1"/>
  <c r="AP7" i="7"/>
  <c r="AQ7" i="7" s="1"/>
  <c r="AR8" i="7"/>
  <c r="AS8" i="7" s="1"/>
  <c r="AR7" i="7"/>
  <c r="AS7" i="7" s="1"/>
  <c r="AH2" i="7"/>
  <c r="AI2" i="7" s="1"/>
  <c r="C2" i="7"/>
  <c r="L2" i="7"/>
  <c r="AP6" i="7"/>
  <c r="AQ6" i="7" s="1"/>
  <c r="B2" i="5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F40" i="4"/>
  <c r="AG11" i="7" l="1"/>
  <c r="Q45" i="7" s="1"/>
  <c r="AT6" i="7" s="1"/>
  <c r="AU6" i="7" s="1"/>
  <c r="AK2" i="7"/>
  <c r="AL2" i="7" s="1"/>
  <c r="AM2" i="7" s="1"/>
  <c r="AJ2" i="7"/>
  <c r="AO2" i="7" s="1"/>
  <c r="M2" i="7"/>
  <c r="T2" i="7"/>
  <c r="I5" i="5"/>
  <c r="K5" i="5"/>
  <c r="I3" i="5"/>
  <c r="I2" i="5" s="1"/>
  <c r="I7" i="5"/>
  <c r="I6" i="5"/>
  <c r="I10" i="5"/>
  <c r="I8" i="5"/>
  <c r="I9" i="5"/>
  <c r="K3" i="5"/>
  <c r="I4" i="5"/>
  <c r="AT14" i="7" l="1"/>
  <c r="AU14" i="7" s="1"/>
  <c r="AT12" i="7"/>
  <c r="AU12" i="7" s="1"/>
  <c r="AT11" i="7"/>
  <c r="AU11" i="7" s="1"/>
  <c r="AT9" i="7"/>
  <c r="AU9" i="7" s="1"/>
  <c r="AT7" i="7"/>
  <c r="AU7" i="7" s="1"/>
  <c r="AT13" i="7"/>
  <c r="AU13" i="7" s="1"/>
  <c r="AT10" i="7"/>
  <c r="AU10" i="7" s="1"/>
  <c r="AT8" i="7"/>
  <c r="AU8" i="7" s="1"/>
  <c r="AF42" i="4"/>
  <c r="AF37" i="4" l="1"/>
  <c r="U44" i="4"/>
  <c r="AE3" i="4" l="1"/>
  <c r="Y43" i="4" l="1"/>
  <c r="AF36" i="4" s="1"/>
  <c r="Y41" i="4"/>
  <c r="AA41" i="4" s="1"/>
  <c r="Z15" i="4" s="1"/>
  <c r="AK27" i="4" l="1"/>
  <c r="AK26" i="4"/>
  <c r="AK28" i="4" s="1"/>
  <c r="AK29" i="4" s="1"/>
  <c r="Q69" i="4"/>
  <c r="N69" i="4"/>
  <c r="P69" i="4" s="1"/>
  <c r="L69" i="4"/>
  <c r="M69" i="4" s="1"/>
  <c r="K69" i="4"/>
  <c r="U69" i="4" s="1"/>
  <c r="C69" i="4"/>
  <c r="Q70" i="4"/>
  <c r="N70" i="4"/>
  <c r="P70" i="4" s="1"/>
  <c r="L70" i="4"/>
  <c r="T70" i="4" s="1"/>
  <c r="K70" i="4"/>
  <c r="U70" i="4" s="1"/>
  <c r="C70" i="4"/>
  <c r="Q71" i="4"/>
  <c r="N71" i="4"/>
  <c r="P71" i="4" s="1"/>
  <c r="L71" i="4"/>
  <c r="M71" i="4" s="1"/>
  <c r="K71" i="4"/>
  <c r="U71" i="4" s="1"/>
  <c r="C71" i="4"/>
  <c r="Q68" i="4"/>
  <c r="N68" i="4"/>
  <c r="P68" i="4" s="1"/>
  <c r="L68" i="4"/>
  <c r="M68" i="4" s="1"/>
  <c r="K68" i="4"/>
  <c r="U68" i="4" s="1"/>
  <c r="C68" i="4"/>
  <c r="O3" i="4"/>
  <c r="N3" i="4"/>
  <c r="P3" i="4" s="1"/>
  <c r="K3" i="4"/>
  <c r="AX5" i="4"/>
  <c r="O5" i="4"/>
  <c r="Q5" i="4" s="1"/>
  <c r="AE5" i="4" s="1"/>
  <c r="N5" i="4"/>
  <c r="P5" i="4" s="1"/>
  <c r="L5" i="4"/>
  <c r="M5" i="4" s="1"/>
  <c r="K5" i="4"/>
  <c r="U5" i="4" s="1"/>
  <c r="C5" i="4"/>
  <c r="AX4" i="4"/>
  <c r="O4" i="4"/>
  <c r="Q4" i="4" s="1"/>
  <c r="AE4" i="4" s="1"/>
  <c r="N4" i="4"/>
  <c r="P4" i="4" s="1"/>
  <c r="L4" i="4"/>
  <c r="T4" i="4" s="1"/>
  <c r="K4" i="4"/>
  <c r="U4" i="4" s="1"/>
  <c r="C4" i="4"/>
  <c r="AX7" i="4"/>
  <c r="O7" i="4"/>
  <c r="Q7" i="4" s="1"/>
  <c r="AE7" i="4" s="1"/>
  <c r="N7" i="4"/>
  <c r="P7" i="4" s="1"/>
  <c r="L7" i="4"/>
  <c r="T7" i="4" s="1"/>
  <c r="K7" i="4"/>
  <c r="U7" i="4" s="1"/>
  <c r="C7" i="4"/>
  <c r="AX6" i="4"/>
  <c r="O6" i="4"/>
  <c r="Q6" i="4" s="1"/>
  <c r="AE6" i="4" s="1"/>
  <c r="N6" i="4"/>
  <c r="P6" i="4" s="1"/>
  <c r="L6" i="4"/>
  <c r="M6" i="4" s="1"/>
  <c r="K6" i="4"/>
  <c r="U6" i="4" s="1"/>
  <c r="C6" i="4"/>
  <c r="AK25" i="4"/>
  <c r="AK30" i="4" l="1"/>
  <c r="T68" i="4"/>
  <c r="T69" i="4"/>
  <c r="M70" i="4"/>
  <c r="T71" i="4"/>
  <c r="M7" i="4"/>
  <c r="M4" i="4"/>
  <c r="T5" i="4"/>
  <c r="T6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Z8" i="1" s="1"/>
  <c r="AA8" i="1" s="1"/>
  <c r="M7" i="1"/>
  <c r="O7" i="1" s="1"/>
  <c r="L7" i="1"/>
  <c r="N7" i="1" s="1"/>
  <c r="P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P4" i="1" s="1"/>
  <c r="K4" i="1"/>
  <c r="S4" i="1" s="1"/>
  <c r="J4" i="1"/>
  <c r="X4" i="1" s="1"/>
  <c r="Y4" i="1" s="1"/>
  <c r="M3" i="1"/>
  <c r="O3" i="1" s="1"/>
  <c r="Q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T17" i="3"/>
  <c r="U17" i="3" s="1"/>
  <c r="M17" i="3"/>
  <c r="O17" i="3" s="1"/>
  <c r="K17" i="3"/>
  <c r="L17" i="3" s="1"/>
  <c r="J17" i="3"/>
  <c r="B17" i="3"/>
  <c r="M16" i="3"/>
  <c r="O16" i="3" s="1"/>
  <c r="K16" i="3"/>
  <c r="L16" i="3" s="1"/>
  <c r="J16" i="3"/>
  <c r="T16" i="3" s="1"/>
  <c r="U16" i="3" s="1"/>
  <c r="V16" i="3" s="1"/>
  <c r="W16" i="3" s="1"/>
  <c r="Y16" i="3" s="1"/>
  <c r="Z16" i="3" s="1"/>
  <c r="AA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S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S2" i="3"/>
  <c r="R2" i="3"/>
  <c r="K2" i="3"/>
  <c r="L2" i="3" s="1"/>
  <c r="B2" i="3"/>
  <c r="T1" i="3"/>
  <c r="N102" i="4"/>
  <c r="P102" i="4" s="1"/>
  <c r="L102" i="4"/>
  <c r="T102" i="4" s="1"/>
  <c r="K102" i="4"/>
  <c r="U102" i="4" s="1"/>
  <c r="W102" i="4" s="1"/>
  <c r="X102" i="4" s="1"/>
  <c r="C102" i="4"/>
  <c r="N101" i="4"/>
  <c r="P101" i="4" s="1"/>
  <c r="L101" i="4"/>
  <c r="M101" i="4" s="1"/>
  <c r="K101" i="4"/>
  <c r="U101" i="4" s="1"/>
  <c r="W101" i="4" s="1"/>
  <c r="C101" i="4"/>
  <c r="Q100" i="4"/>
  <c r="N100" i="4"/>
  <c r="P100" i="4" s="1"/>
  <c r="L100" i="4"/>
  <c r="T100" i="4" s="1"/>
  <c r="K100" i="4"/>
  <c r="U100" i="4" s="1"/>
  <c r="W100" i="4" s="1"/>
  <c r="C100" i="4"/>
  <c r="Q99" i="4"/>
  <c r="N99" i="4"/>
  <c r="P99" i="4" s="1"/>
  <c r="L99" i="4"/>
  <c r="M99" i="4" s="1"/>
  <c r="K99" i="4"/>
  <c r="U99" i="4" s="1"/>
  <c r="W99" i="4" s="1"/>
  <c r="C99" i="4"/>
  <c r="Q98" i="4"/>
  <c r="N98" i="4"/>
  <c r="P98" i="4" s="1"/>
  <c r="L98" i="4"/>
  <c r="M98" i="4" s="1"/>
  <c r="K98" i="4"/>
  <c r="U98" i="4" s="1"/>
  <c r="W98" i="4" s="1"/>
  <c r="C98" i="4"/>
  <c r="Q97" i="4"/>
  <c r="N97" i="4"/>
  <c r="P97" i="4" s="1"/>
  <c r="L97" i="4"/>
  <c r="T97" i="4" s="1"/>
  <c r="K97" i="4"/>
  <c r="U97" i="4" s="1"/>
  <c r="W97" i="4" s="1"/>
  <c r="C97" i="4"/>
  <c r="Q96" i="4"/>
  <c r="N96" i="4"/>
  <c r="P96" i="4" s="1"/>
  <c r="L96" i="4"/>
  <c r="M96" i="4" s="1"/>
  <c r="K96" i="4"/>
  <c r="U96" i="4" s="1"/>
  <c r="W96" i="4" s="1"/>
  <c r="C96" i="4"/>
  <c r="Q95" i="4"/>
  <c r="N95" i="4"/>
  <c r="P95" i="4" s="1"/>
  <c r="L95" i="4"/>
  <c r="T95" i="4" s="1"/>
  <c r="K95" i="4"/>
  <c r="U95" i="4" s="1"/>
  <c r="W95" i="4" s="1"/>
  <c r="C95" i="4"/>
  <c r="Q94" i="4"/>
  <c r="N94" i="4"/>
  <c r="P94" i="4" s="1"/>
  <c r="L94" i="4"/>
  <c r="T94" i="4" s="1"/>
  <c r="K94" i="4"/>
  <c r="U94" i="4" s="1"/>
  <c r="W94" i="4" s="1"/>
  <c r="C94" i="4"/>
  <c r="Q93" i="4"/>
  <c r="N93" i="4"/>
  <c r="P93" i="4" s="1"/>
  <c r="L93" i="4"/>
  <c r="M93" i="4" s="1"/>
  <c r="K93" i="4"/>
  <c r="U93" i="4" s="1"/>
  <c r="W93" i="4" s="1"/>
  <c r="C93" i="4"/>
  <c r="Q92" i="4"/>
  <c r="N92" i="4"/>
  <c r="P92" i="4" s="1"/>
  <c r="L92" i="4"/>
  <c r="T92" i="4" s="1"/>
  <c r="K92" i="4"/>
  <c r="U92" i="4" s="1"/>
  <c r="W92" i="4" s="1"/>
  <c r="C92" i="4"/>
  <c r="Q91" i="4"/>
  <c r="N91" i="4"/>
  <c r="P91" i="4" s="1"/>
  <c r="L91" i="4"/>
  <c r="M91" i="4" s="1"/>
  <c r="K91" i="4"/>
  <c r="U91" i="4" s="1"/>
  <c r="W91" i="4" s="1"/>
  <c r="C91" i="4"/>
  <c r="Q90" i="4"/>
  <c r="N90" i="4"/>
  <c r="P90" i="4" s="1"/>
  <c r="L90" i="4"/>
  <c r="T90" i="4" s="1"/>
  <c r="K90" i="4"/>
  <c r="U90" i="4" s="1"/>
  <c r="W90" i="4" s="1"/>
  <c r="C90" i="4"/>
  <c r="Q89" i="4"/>
  <c r="N89" i="4"/>
  <c r="P89" i="4" s="1"/>
  <c r="L89" i="4"/>
  <c r="T89" i="4" s="1"/>
  <c r="K89" i="4"/>
  <c r="U89" i="4" s="1"/>
  <c r="W89" i="4" s="1"/>
  <c r="C89" i="4"/>
  <c r="Q88" i="4"/>
  <c r="N88" i="4"/>
  <c r="P88" i="4" s="1"/>
  <c r="L88" i="4"/>
  <c r="M88" i="4" s="1"/>
  <c r="K88" i="4"/>
  <c r="U88" i="4" s="1"/>
  <c r="W88" i="4" s="1"/>
  <c r="C88" i="4"/>
  <c r="N84" i="4"/>
  <c r="P84" i="4" s="1"/>
  <c r="L84" i="4"/>
  <c r="T84" i="4" s="1"/>
  <c r="K84" i="4"/>
  <c r="U84" i="4" s="1"/>
  <c r="C84" i="4"/>
  <c r="N83" i="4"/>
  <c r="P83" i="4" s="1"/>
  <c r="L83" i="4"/>
  <c r="M83" i="4" s="1"/>
  <c r="K83" i="4"/>
  <c r="U83" i="4" s="1"/>
  <c r="C83" i="4"/>
  <c r="Q82" i="4"/>
  <c r="N82" i="4"/>
  <c r="P82" i="4" s="1"/>
  <c r="L82" i="4"/>
  <c r="T82" i="4" s="1"/>
  <c r="K82" i="4"/>
  <c r="U82" i="4" s="1"/>
  <c r="C82" i="4"/>
  <c r="Q81" i="4"/>
  <c r="N81" i="4"/>
  <c r="P81" i="4" s="1"/>
  <c r="L81" i="4"/>
  <c r="M81" i="4" s="1"/>
  <c r="K81" i="4"/>
  <c r="U81" i="4" s="1"/>
  <c r="C81" i="4"/>
  <c r="Q80" i="4"/>
  <c r="N80" i="4"/>
  <c r="P80" i="4" s="1"/>
  <c r="L80" i="4"/>
  <c r="M80" i="4" s="1"/>
  <c r="K80" i="4"/>
  <c r="U80" i="4" s="1"/>
  <c r="C80" i="4"/>
  <c r="Q79" i="4"/>
  <c r="N79" i="4"/>
  <c r="P79" i="4" s="1"/>
  <c r="L79" i="4"/>
  <c r="M79" i="4" s="1"/>
  <c r="K79" i="4"/>
  <c r="U79" i="4" s="1"/>
  <c r="C79" i="4"/>
  <c r="Q78" i="4"/>
  <c r="N78" i="4"/>
  <c r="P78" i="4" s="1"/>
  <c r="L78" i="4"/>
  <c r="T78" i="4" s="1"/>
  <c r="K78" i="4"/>
  <c r="U78" i="4" s="1"/>
  <c r="C78" i="4"/>
  <c r="Q77" i="4"/>
  <c r="N77" i="4"/>
  <c r="P77" i="4" s="1"/>
  <c r="L77" i="4"/>
  <c r="T77" i="4" s="1"/>
  <c r="K77" i="4"/>
  <c r="U77" i="4" s="1"/>
  <c r="C77" i="4"/>
  <c r="Q76" i="4"/>
  <c r="N76" i="4"/>
  <c r="P76" i="4" s="1"/>
  <c r="L76" i="4"/>
  <c r="M76" i="4" s="1"/>
  <c r="K76" i="4"/>
  <c r="U76" i="4" s="1"/>
  <c r="C76" i="4"/>
  <c r="Q75" i="4"/>
  <c r="N75" i="4"/>
  <c r="P75" i="4" s="1"/>
  <c r="L75" i="4"/>
  <c r="T75" i="4" s="1"/>
  <c r="K75" i="4"/>
  <c r="U75" i="4" s="1"/>
  <c r="C75" i="4"/>
  <c r="Q74" i="4"/>
  <c r="N74" i="4"/>
  <c r="P74" i="4" s="1"/>
  <c r="L74" i="4"/>
  <c r="T74" i="4" s="1"/>
  <c r="K74" i="4"/>
  <c r="U74" i="4" s="1"/>
  <c r="C74" i="4"/>
  <c r="Q73" i="4"/>
  <c r="N73" i="4"/>
  <c r="P73" i="4" s="1"/>
  <c r="L73" i="4"/>
  <c r="M73" i="4" s="1"/>
  <c r="K73" i="4"/>
  <c r="U73" i="4" s="1"/>
  <c r="C73" i="4"/>
  <c r="Q72" i="4"/>
  <c r="N72" i="4"/>
  <c r="P72" i="4" s="1"/>
  <c r="L72" i="4"/>
  <c r="M72" i="4" s="1"/>
  <c r="K72" i="4"/>
  <c r="U72" i="4" s="1"/>
  <c r="C72" i="4"/>
  <c r="Q67" i="4"/>
  <c r="N67" i="4"/>
  <c r="P67" i="4" s="1"/>
  <c r="L67" i="4"/>
  <c r="M67" i="4" s="1"/>
  <c r="K67" i="4"/>
  <c r="U67" i="4" s="1"/>
  <c r="C67" i="4"/>
  <c r="AK31" i="4"/>
  <c r="AK32" i="4" s="1"/>
  <c r="Y36" i="4" s="1"/>
  <c r="AF4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AC40" i="4"/>
  <c r="Y40" i="4"/>
  <c r="R5" i="4" s="1"/>
  <c r="AF28" i="4"/>
  <c r="AF27" i="4"/>
  <c r="Y34" i="4"/>
  <c r="Y35" i="4" s="1"/>
  <c r="AF25" i="4"/>
  <c r="AF24" i="4"/>
  <c r="AF23" i="4"/>
  <c r="AF22" i="4"/>
  <c r="N26" i="4"/>
  <c r="P26" i="4" s="1"/>
  <c r="L26" i="4"/>
  <c r="T26" i="4" s="1"/>
  <c r="K26" i="4"/>
  <c r="U26" i="4" s="1"/>
  <c r="W26" i="4" s="1"/>
  <c r="C26" i="4"/>
  <c r="N25" i="4"/>
  <c r="P25" i="4" s="1"/>
  <c r="L25" i="4"/>
  <c r="T25" i="4" s="1"/>
  <c r="K25" i="4"/>
  <c r="U25" i="4" s="1"/>
  <c r="W25" i="4" s="1"/>
  <c r="C25" i="4"/>
  <c r="N24" i="4"/>
  <c r="P24" i="4" s="1"/>
  <c r="L24" i="4"/>
  <c r="T24" i="4" s="1"/>
  <c r="K24" i="4"/>
  <c r="U24" i="4" s="1"/>
  <c r="W24" i="4" s="1"/>
  <c r="C24" i="4"/>
  <c r="N23" i="4"/>
  <c r="P23" i="4" s="1"/>
  <c r="L23" i="4"/>
  <c r="T23" i="4" s="1"/>
  <c r="K23" i="4"/>
  <c r="U23" i="4" s="1"/>
  <c r="W23" i="4" s="1"/>
  <c r="C23" i="4"/>
  <c r="N22" i="4"/>
  <c r="P22" i="4" s="1"/>
  <c r="L22" i="4"/>
  <c r="T22" i="4" s="1"/>
  <c r="K22" i="4"/>
  <c r="U22" i="4" s="1"/>
  <c r="W22" i="4" s="1"/>
  <c r="C22" i="4"/>
  <c r="N21" i="4"/>
  <c r="P21" i="4" s="1"/>
  <c r="L21" i="4"/>
  <c r="M21" i="4" s="1"/>
  <c r="K21" i="4"/>
  <c r="U21" i="4" s="1"/>
  <c r="W21" i="4" s="1"/>
  <c r="C21" i="4"/>
  <c r="N20" i="4"/>
  <c r="P20" i="4" s="1"/>
  <c r="L20" i="4"/>
  <c r="M20" i="4" s="1"/>
  <c r="K20" i="4"/>
  <c r="U20" i="4" s="1"/>
  <c r="W20" i="4" s="1"/>
  <c r="C20" i="4"/>
  <c r="N19" i="4"/>
  <c r="P19" i="4" s="1"/>
  <c r="L19" i="4"/>
  <c r="T19" i="4" s="1"/>
  <c r="K19" i="4"/>
  <c r="U19" i="4" s="1"/>
  <c r="W19" i="4" s="1"/>
  <c r="C19" i="4"/>
  <c r="N18" i="4"/>
  <c r="P18" i="4" s="1"/>
  <c r="L18" i="4"/>
  <c r="M18" i="4" s="1"/>
  <c r="K18" i="4"/>
  <c r="U18" i="4" s="1"/>
  <c r="W18" i="4" s="1"/>
  <c r="C18" i="4"/>
  <c r="C16" i="4"/>
  <c r="AX15" i="4"/>
  <c r="O15" i="4"/>
  <c r="Q15" i="4" s="1"/>
  <c r="AE15" i="4" s="1"/>
  <c r="N15" i="4"/>
  <c r="P15" i="4" s="1"/>
  <c r="L15" i="4"/>
  <c r="T15" i="4" s="1"/>
  <c r="K15" i="4"/>
  <c r="U15" i="4" s="1"/>
  <c r="C15" i="4"/>
  <c r="AX14" i="4"/>
  <c r="O14" i="4"/>
  <c r="Q14" i="4" s="1"/>
  <c r="AE14" i="4" s="1"/>
  <c r="N14" i="4"/>
  <c r="P14" i="4" s="1"/>
  <c r="L14" i="4"/>
  <c r="T14" i="4" s="1"/>
  <c r="K14" i="4"/>
  <c r="U14" i="4" s="1"/>
  <c r="C14" i="4"/>
  <c r="AX13" i="4"/>
  <c r="O13" i="4"/>
  <c r="Q13" i="4" s="1"/>
  <c r="AE13" i="4" s="1"/>
  <c r="N13" i="4"/>
  <c r="P13" i="4" s="1"/>
  <c r="L13" i="4"/>
  <c r="T13" i="4" s="1"/>
  <c r="K13" i="4"/>
  <c r="U13" i="4" s="1"/>
  <c r="C13" i="4"/>
  <c r="AX12" i="4"/>
  <c r="O12" i="4"/>
  <c r="Q12" i="4" s="1"/>
  <c r="AE12" i="4" s="1"/>
  <c r="N12" i="4"/>
  <c r="P12" i="4" s="1"/>
  <c r="L12" i="4"/>
  <c r="M12" i="4" s="1"/>
  <c r="K12" i="4"/>
  <c r="U12" i="4" s="1"/>
  <c r="C12" i="4"/>
  <c r="AX11" i="4"/>
  <c r="O11" i="4"/>
  <c r="Q11" i="4" s="1"/>
  <c r="AE11" i="4" s="1"/>
  <c r="N11" i="4"/>
  <c r="P11" i="4" s="1"/>
  <c r="L11" i="4"/>
  <c r="M11" i="4" s="1"/>
  <c r="K11" i="4"/>
  <c r="U11" i="4" s="1"/>
  <c r="C11" i="4"/>
  <c r="AX10" i="4"/>
  <c r="O10" i="4"/>
  <c r="Q10" i="4" s="1"/>
  <c r="AE10" i="4" s="1"/>
  <c r="N10" i="4"/>
  <c r="P10" i="4" s="1"/>
  <c r="L10" i="4"/>
  <c r="M10" i="4" s="1"/>
  <c r="K10" i="4"/>
  <c r="U10" i="4" s="1"/>
  <c r="C10" i="4"/>
  <c r="AX9" i="4"/>
  <c r="O9" i="4"/>
  <c r="Q9" i="4" s="1"/>
  <c r="AE9" i="4" s="1"/>
  <c r="N9" i="4"/>
  <c r="P9" i="4" s="1"/>
  <c r="L9" i="4"/>
  <c r="T9" i="4" s="1"/>
  <c r="K9" i="4"/>
  <c r="U9" i="4" s="1"/>
  <c r="C9" i="4"/>
  <c r="AX8" i="4"/>
  <c r="O8" i="4"/>
  <c r="Q8" i="4" s="1"/>
  <c r="N8" i="4"/>
  <c r="P8" i="4" s="1"/>
  <c r="L8" i="4"/>
  <c r="M8" i="4" s="1"/>
  <c r="K8" i="4"/>
  <c r="U8" i="4" s="1"/>
  <c r="C8" i="4"/>
  <c r="U3" i="4"/>
  <c r="W4" i="4" s="1"/>
  <c r="U2" i="4"/>
  <c r="L2" i="4"/>
  <c r="M2" i="4" s="1"/>
  <c r="C2" i="4"/>
  <c r="U1" i="4"/>
  <c r="V18" i="3" l="1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E8" i="4"/>
  <c r="AB54" i="4"/>
  <c r="AB53" i="4"/>
  <c r="AG32" i="4" s="1"/>
  <c r="Y54" i="4"/>
  <c r="AG29" i="4" s="1"/>
  <c r="Y53" i="4"/>
  <c r="Y55" i="4"/>
  <c r="AF29" i="4" s="1"/>
  <c r="AS25" i="4"/>
  <c r="AS29" i="4"/>
  <c r="AT29" i="4" s="1"/>
  <c r="AS22" i="4"/>
  <c r="AS26" i="4"/>
  <c r="AS21" i="4"/>
  <c r="AS23" i="4"/>
  <c r="AS27" i="4"/>
  <c r="AS24" i="4"/>
  <c r="AS28" i="4"/>
  <c r="AB56" i="4"/>
  <c r="AB46" i="4" s="1"/>
  <c r="AB48" i="4" s="1"/>
  <c r="AB49" i="4" s="1"/>
  <c r="AB55" i="4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W55" i="3" s="1"/>
  <c r="AD35" i="3" s="1"/>
  <c r="V5" i="3"/>
  <c r="W5" i="3" s="1"/>
  <c r="AF5" i="3"/>
  <c r="AG5" i="3" s="1"/>
  <c r="V7" i="4"/>
  <c r="V11" i="4"/>
  <c r="W11" i="4"/>
  <c r="W15" i="4"/>
  <c r="V15" i="4"/>
  <c r="W7" i="4"/>
  <c r="X7" i="4" s="1"/>
  <c r="V6" i="4"/>
  <c r="V10" i="4"/>
  <c r="W10" i="4"/>
  <c r="X10" i="4" s="1"/>
  <c r="W14" i="4"/>
  <c r="V14" i="4"/>
  <c r="W6" i="4"/>
  <c r="X6" i="4" s="1"/>
  <c r="W71" i="4"/>
  <c r="X71" i="4" s="1"/>
  <c r="W3" i="4"/>
  <c r="V3" i="4"/>
  <c r="W9" i="4"/>
  <c r="V9" i="4"/>
  <c r="W13" i="4"/>
  <c r="X13" i="4" s="1"/>
  <c r="V13" i="4"/>
  <c r="V4" i="4"/>
  <c r="W5" i="4"/>
  <c r="W8" i="4"/>
  <c r="X8" i="4" s="1"/>
  <c r="V8" i="4"/>
  <c r="V12" i="4"/>
  <c r="W12" i="4"/>
  <c r="X12" i="4" s="1"/>
  <c r="V5" i="4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X88" i="4"/>
  <c r="Y88" i="4" s="1"/>
  <c r="Z88" i="4" s="1"/>
  <c r="R4" i="3"/>
  <c r="R7" i="3"/>
  <c r="S8" i="3"/>
  <c r="AF10" i="3"/>
  <c r="AG10" i="3" s="1"/>
  <c r="R14" i="3"/>
  <c r="Q17" i="3"/>
  <c r="Q22" i="3"/>
  <c r="Q24" i="3"/>
  <c r="AD37" i="1"/>
  <c r="Q4" i="1"/>
  <c r="X93" i="4"/>
  <c r="X101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X92" i="4"/>
  <c r="X100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R26" i="4"/>
  <c r="X94" i="4"/>
  <c r="X18" i="4"/>
  <c r="X20" i="4"/>
  <c r="X22" i="4"/>
  <c r="X24" i="4"/>
  <c r="X26" i="4"/>
  <c r="X91" i="4"/>
  <c r="X99" i="4"/>
  <c r="Y99" i="4" s="1"/>
  <c r="Z99" i="4" s="1"/>
  <c r="X96" i="4"/>
  <c r="X97" i="4"/>
  <c r="X90" i="4"/>
  <c r="X98" i="4"/>
  <c r="X89" i="4"/>
  <c r="X19" i="4"/>
  <c r="X21" i="4"/>
  <c r="X23" i="4"/>
  <c r="X25" i="4"/>
  <c r="X95" i="4"/>
  <c r="R9" i="4"/>
  <c r="R13" i="4"/>
  <c r="S13" i="4"/>
  <c r="R8" i="4"/>
  <c r="R12" i="4"/>
  <c r="S2" i="4"/>
  <c r="R23" i="4"/>
  <c r="S9" i="4"/>
  <c r="R2" i="4"/>
  <c r="S14" i="4"/>
  <c r="R18" i="4"/>
  <c r="R20" i="4"/>
  <c r="M22" i="4"/>
  <c r="M89" i="4"/>
  <c r="M26" i="4"/>
  <c r="W76" i="4"/>
  <c r="T80" i="4"/>
  <c r="W84" i="4"/>
  <c r="W73" i="4"/>
  <c r="W75" i="4"/>
  <c r="X75" i="4" s="1"/>
  <c r="M24" i="4"/>
  <c r="W78" i="4"/>
  <c r="W81" i="4"/>
  <c r="W72" i="4"/>
  <c r="W80" i="4"/>
  <c r="X80" i="4" s="1"/>
  <c r="W83" i="4"/>
  <c r="W77" i="4"/>
  <c r="W70" i="4"/>
  <c r="T18" i="4"/>
  <c r="W74" i="4"/>
  <c r="W69" i="4"/>
  <c r="R25" i="4"/>
  <c r="W67" i="4"/>
  <c r="X67" i="4" s="1"/>
  <c r="Y67" i="4" s="1"/>
  <c r="Z67" i="4" s="1"/>
  <c r="W79" i="4"/>
  <c r="W82" i="4"/>
  <c r="W68" i="4"/>
  <c r="S12" i="4"/>
  <c r="R22" i="4"/>
  <c r="R72" i="4"/>
  <c r="M78" i="4"/>
  <c r="T79" i="4"/>
  <c r="S68" i="4"/>
  <c r="R15" i="4"/>
  <c r="S3" i="4"/>
  <c r="S11" i="4"/>
  <c r="S15" i="4"/>
  <c r="M19" i="4"/>
  <c r="M74" i="4"/>
  <c r="R68" i="4"/>
  <c r="R3" i="4"/>
  <c r="R11" i="4"/>
  <c r="AF26" i="4"/>
  <c r="AN23" i="4" s="1"/>
  <c r="R10" i="4"/>
  <c r="R14" i="4"/>
  <c r="R19" i="4"/>
  <c r="R21" i="4"/>
  <c r="R24" i="4"/>
  <c r="AH9" i="4"/>
  <c r="AI9" i="4" s="1"/>
  <c r="R67" i="4"/>
  <c r="M94" i="4"/>
  <c r="S71" i="4"/>
  <c r="R94" i="4"/>
  <c r="S100" i="4"/>
  <c r="R102" i="4"/>
  <c r="R71" i="4"/>
  <c r="S69" i="4"/>
  <c r="S70" i="4"/>
  <c r="R93" i="4"/>
  <c r="R69" i="4"/>
  <c r="R70" i="4"/>
  <c r="X11" i="4"/>
  <c r="X15" i="4"/>
  <c r="X14" i="4"/>
  <c r="X4" i="4"/>
  <c r="Y4" i="4" s="1"/>
  <c r="X5" i="4"/>
  <c r="X9" i="4"/>
  <c r="R73" i="4"/>
  <c r="R96" i="4"/>
  <c r="R99" i="4"/>
  <c r="M9" i="4"/>
  <c r="T20" i="4"/>
  <c r="T93" i="4"/>
  <c r="AH15" i="4"/>
  <c r="AI15" i="4" s="1"/>
  <c r="T67" i="4"/>
  <c r="T99" i="4"/>
  <c r="R83" i="4"/>
  <c r="T76" i="4"/>
  <c r="S95" i="4"/>
  <c r="S79" i="4"/>
  <c r="R6" i="4"/>
  <c r="T2" i="4"/>
  <c r="T8" i="4"/>
  <c r="R79" i="4"/>
  <c r="T81" i="4"/>
  <c r="R90" i="4"/>
  <c r="R95" i="4"/>
  <c r="R100" i="4"/>
  <c r="S4" i="4"/>
  <c r="AH2" i="4"/>
  <c r="AI2" i="4" s="1"/>
  <c r="M13" i="4"/>
  <c r="M14" i="4"/>
  <c r="T73" i="4"/>
  <c r="M77" i="4"/>
  <c r="R78" i="4"/>
  <c r="R89" i="4"/>
  <c r="T96" i="4"/>
  <c r="T10" i="4"/>
  <c r="R77" i="4"/>
  <c r="R88" i="4"/>
  <c r="M92" i="4"/>
  <c r="S6" i="4"/>
  <c r="S5" i="4"/>
  <c r="R7" i="4"/>
  <c r="AH6" i="4"/>
  <c r="AI6" i="4" s="1"/>
  <c r="AH7" i="4"/>
  <c r="AI7" i="4" s="1"/>
  <c r="AH4" i="4"/>
  <c r="AI4" i="4" s="1"/>
  <c r="AH5" i="4"/>
  <c r="AI5" i="4" s="1"/>
  <c r="R76" i="4"/>
  <c r="R82" i="4"/>
  <c r="S88" i="4"/>
  <c r="R92" i="4"/>
  <c r="R98" i="4"/>
  <c r="R4" i="4"/>
  <c r="AH13" i="4"/>
  <c r="AI13" i="4" s="1"/>
  <c r="M15" i="4"/>
  <c r="M75" i="4"/>
  <c r="T88" i="4"/>
  <c r="R91" i="4"/>
  <c r="S92" i="4"/>
  <c r="S7" i="4"/>
  <c r="R75" i="4"/>
  <c r="R81" i="4"/>
  <c r="R84" i="4"/>
  <c r="S91" i="4"/>
  <c r="R97" i="4"/>
  <c r="R101" i="4"/>
  <c r="AH14" i="4"/>
  <c r="AI14" i="4" s="1"/>
  <c r="R74" i="4"/>
  <c r="S75" i="4"/>
  <c r="R80" i="4"/>
  <c r="T91" i="4"/>
  <c r="M95" i="4"/>
  <c r="S10" i="4"/>
  <c r="AH29" i="4"/>
  <c r="AF32" i="4"/>
  <c r="S8" i="4"/>
  <c r="AG31" i="4"/>
  <c r="T12" i="4"/>
  <c r="T21" i="4"/>
  <c r="M25" i="4"/>
  <c r="S78" i="4"/>
  <c r="S81" i="4"/>
  <c r="S89" i="4"/>
  <c r="S96" i="4"/>
  <c r="S99" i="4"/>
  <c r="S72" i="4"/>
  <c r="M97" i="4"/>
  <c r="S98" i="4"/>
  <c r="M100" i="4"/>
  <c r="AH8" i="4"/>
  <c r="AI8" i="4" s="1"/>
  <c r="M23" i="4"/>
  <c r="M82" i="4"/>
  <c r="M90" i="4"/>
  <c r="T72" i="4"/>
  <c r="S74" i="4"/>
  <c r="S77" i="4"/>
  <c r="S80" i="4"/>
  <c r="T83" i="4"/>
  <c r="M84" i="4"/>
  <c r="S94" i="4"/>
  <c r="T98" i="4"/>
  <c r="T101" i="4"/>
  <c r="M102" i="4"/>
  <c r="T11" i="4"/>
  <c r="S97" i="4"/>
  <c r="AH10" i="4"/>
  <c r="AI10" i="4" s="1"/>
  <c r="AH12" i="4"/>
  <c r="AI12" i="4" s="1"/>
  <c r="S82" i="4"/>
  <c r="S90" i="4"/>
  <c r="S67" i="4"/>
  <c r="S73" i="4"/>
  <c r="S76" i="4"/>
  <c r="S93" i="4"/>
  <c r="R8" i="1" l="1"/>
  <c r="T8" i="1" s="1"/>
  <c r="Y92" i="4"/>
  <c r="Z92" i="4" s="1"/>
  <c r="W54" i="3"/>
  <c r="AE35" i="3" s="1"/>
  <c r="Y89" i="4"/>
  <c r="Z89" i="4" s="1"/>
  <c r="Y91" i="4"/>
  <c r="Z91" i="4" s="1"/>
  <c r="Y94" i="4"/>
  <c r="Z94" i="4" s="1"/>
  <c r="Y13" i="4"/>
  <c r="Y15" i="4"/>
  <c r="Y11" i="4"/>
  <c r="Y9" i="4"/>
  <c r="Y7" i="4"/>
  <c r="Y19" i="4"/>
  <c r="Y100" i="4"/>
  <c r="Z100" i="4" s="1"/>
  <c r="Y98" i="4"/>
  <c r="Z98" i="4" s="1"/>
  <c r="Y26" i="4"/>
  <c r="Y6" i="4"/>
  <c r="Y90" i="4"/>
  <c r="Z90" i="4" s="1"/>
  <c r="AD33" i="2"/>
  <c r="AH29" i="2" s="1"/>
  <c r="AH32" i="1"/>
  <c r="R9" i="1"/>
  <c r="T9" i="1" s="1"/>
  <c r="AD4" i="1"/>
  <c r="AC10" i="1"/>
  <c r="AI31" i="1"/>
  <c r="AD34" i="2"/>
  <c r="AI28" i="2" s="1"/>
  <c r="Y95" i="4"/>
  <c r="Z95" i="4" s="1"/>
  <c r="Y97" i="4"/>
  <c r="Z97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Y12" i="4"/>
  <c r="Y25" i="4"/>
  <c r="Y22" i="4"/>
  <c r="Y101" i="4"/>
  <c r="Z101" i="4" s="1"/>
  <c r="AD36" i="3"/>
  <c r="Z44" i="3"/>
  <c r="Z46" i="3" s="1"/>
  <c r="Z47" i="3" s="1"/>
  <c r="Y8" i="4"/>
  <c r="Y10" i="4"/>
  <c r="Y23" i="4"/>
  <c r="Y96" i="4"/>
  <c r="Z96" i="4" s="1"/>
  <c r="Y93" i="4"/>
  <c r="Z93" i="4" s="1"/>
  <c r="R6" i="1"/>
  <c r="T6" i="1" s="1"/>
  <c r="R7" i="1"/>
  <c r="T7" i="1" s="1"/>
  <c r="Y102" i="4"/>
  <c r="Z102" i="4" s="1"/>
  <c r="Y14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Y5" i="4"/>
  <c r="X74" i="4"/>
  <c r="Y74" i="4" s="1"/>
  <c r="Z74" i="4" s="1"/>
  <c r="X78" i="4"/>
  <c r="Y78" i="4" s="1"/>
  <c r="Z78" i="4" s="1"/>
  <c r="Y21" i="4"/>
  <c r="Y24" i="4"/>
  <c r="X68" i="4"/>
  <c r="Y68" i="4" s="1"/>
  <c r="Z68" i="4" s="1"/>
  <c r="X70" i="4"/>
  <c r="Y70" i="4" s="1"/>
  <c r="Z70" i="4" s="1"/>
  <c r="Y75" i="4"/>
  <c r="Z75" i="4" s="1"/>
  <c r="Y20" i="4"/>
  <c r="X81" i="4"/>
  <c r="Y81" i="4" s="1"/>
  <c r="Z81" i="4" s="1"/>
  <c r="X82" i="4"/>
  <c r="Y82" i="4" s="1"/>
  <c r="Z82" i="4" s="1"/>
  <c r="X77" i="4"/>
  <c r="Y77" i="4" s="1"/>
  <c r="Z77" i="4" s="1"/>
  <c r="X73" i="4"/>
  <c r="Y73" i="4" s="1"/>
  <c r="Z73" i="4" s="1"/>
  <c r="Y71" i="4"/>
  <c r="Z71" i="4" s="1"/>
  <c r="Y18" i="4"/>
  <c r="X79" i="4"/>
  <c r="Y79" i="4" s="1"/>
  <c r="Z79" i="4" s="1"/>
  <c r="X83" i="4"/>
  <c r="Y83" i="4" s="1"/>
  <c r="Z83" i="4" s="1"/>
  <c r="X84" i="4"/>
  <c r="Y84" i="4" s="1"/>
  <c r="Z84" i="4" s="1"/>
  <c r="X69" i="4"/>
  <c r="Y69" i="4" s="1"/>
  <c r="Z69" i="4" s="1"/>
  <c r="Y80" i="4"/>
  <c r="Z80" i="4" s="1"/>
  <c r="X72" i="4"/>
  <c r="Y72" i="4" s="1"/>
  <c r="Z72" i="4" s="1"/>
  <c r="X76" i="4"/>
  <c r="Y76" i="4" s="1"/>
  <c r="Z76" i="4" s="1"/>
  <c r="AN21" i="4"/>
  <c r="AN27" i="4"/>
  <c r="AN29" i="4"/>
  <c r="AN26" i="4"/>
  <c r="AN24" i="4"/>
  <c r="AN28" i="4"/>
  <c r="Y57" i="4"/>
  <c r="AF30" i="4" s="1"/>
  <c r="AN22" i="4"/>
  <c r="AN25" i="4"/>
  <c r="Y56" i="4"/>
  <c r="AG30" i="4" s="1"/>
  <c r="AF31" i="4"/>
  <c r="Y61" i="4" l="1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K6" i="4"/>
  <c r="AL6" i="4" s="1"/>
  <c r="AM6" i="4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Y63" i="4"/>
  <c r="Y62" i="4"/>
  <c r="AK5" i="4"/>
  <c r="AL5" i="4" s="1"/>
  <c r="AM5" i="4" s="1"/>
  <c r="AK12" i="4"/>
  <c r="AL12" i="4" s="1"/>
  <c r="AM12" i="4" s="1"/>
  <c r="AJ13" i="4"/>
  <c r="AO13" i="4" s="1"/>
  <c r="AN13" i="4" s="1"/>
  <c r="AJ8" i="4"/>
  <c r="AO8" i="4" s="1"/>
  <c r="AN8" i="4" s="1"/>
  <c r="D3" i="4"/>
  <c r="C3" i="4" s="1"/>
  <c r="AK11" i="4"/>
  <c r="AL11" i="4" s="1"/>
  <c r="AM11" i="4" s="1"/>
  <c r="AJ6" i="4"/>
  <c r="AK15" i="4"/>
  <c r="AL15" i="4" s="1"/>
  <c r="AM15" i="4" s="1"/>
  <c r="AK7" i="4"/>
  <c r="AL7" i="4" s="1"/>
  <c r="AM7" i="4" s="1"/>
  <c r="AJ9" i="4"/>
  <c r="AK14" i="4"/>
  <c r="AL14" i="4" s="1"/>
  <c r="AM14" i="4" s="1"/>
  <c r="AK4" i="4"/>
  <c r="AL4" i="4" s="1"/>
  <c r="AM4" i="4" s="1"/>
  <c r="AJ12" i="4"/>
  <c r="AK8" i="4"/>
  <c r="AL8" i="4" s="1"/>
  <c r="AM8" i="4" s="1"/>
  <c r="AJ15" i="4"/>
  <c r="AJ2" i="4"/>
  <c r="AO2" i="4" s="1"/>
  <c r="AJ11" i="4"/>
  <c r="AO11" i="4" s="1"/>
  <c r="AN11" i="4" s="1"/>
  <c r="AJ7" i="4"/>
  <c r="AO7" i="4" s="1"/>
  <c r="AJ10" i="4"/>
  <c r="Y59" i="4"/>
  <c r="AJ4" i="4"/>
  <c r="AK9" i="4"/>
  <c r="AL9" i="4" s="1"/>
  <c r="AM9" i="4" s="1"/>
  <c r="AK13" i="4"/>
  <c r="AL13" i="4" s="1"/>
  <c r="AM13" i="4" s="1"/>
  <c r="AJ5" i="4"/>
  <c r="AK2" i="4"/>
  <c r="AL2" i="4" s="1"/>
  <c r="AM2" i="4" s="1"/>
  <c r="AK10" i="4"/>
  <c r="AL10" i="4" s="1"/>
  <c r="AM10" i="4" s="1"/>
  <c r="AJ14" i="4"/>
  <c r="AD28" i="2" l="1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H3" i="4"/>
  <c r="AI3" i="4" s="1"/>
  <c r="AJ3" i="4" s="1"/>
  <c r="AI3" i="3"/>
  <c r="AJ3" i="3" s="1"/>
  <c r="AK3" i="3" s="1"/>
  <c r="AH3" i="3"/>
  <c r="L3" i="4"/>
  <c r="T3" i="4" s="1"/>
  <c r="AO15" i="4"/>
  <c r="AN15" i="4" s="1"/>
  <c r="AO12" i="4"/>
  <c r="AN12" i="4" s="1"/>
  <c r="AO9" i="4"/>
  <c r="AN9" i="4" s="1"/>
  <c r="AO10" i="4"/>
  <c r="AN10" i="4" s="1"/>
  <c r="AO5" i="4"/>
  <c r="AO4" i="4"/>
  <c r="AO6" i="4"/>
  <c r="AO14" i="4"/>
  <c r="AN14" i="4" s="1"/>
  <c r="AF6" i="1" l="1"/>
  <c r="AF8" i="1"/>
  <c r="AF4" i="1"/>
  <c r="AK3" i="4"/>
  <c r="AL3" i="4" s="1"/>
  <c r="AM3" i="4" s="1"/>
  <c r="AF2" i="1"/>
  <c r="AF3" i="1"/>
  <c r="AF7" i="1"/>
  <c r="AF5" i="1"/>
  <c r="AP3" i="3"/>
  <c r="AM3" i="3"/>
  <c r="M3" i="4"/>
  <c r="AO3" i="4"/>
  <c r="AB63" i="4" l="1"/>
  <c r="AF34" i="4" s="1"/>
  <c r="AB62" i="4"/>
  <c r="AG34" i="4" s="1"/>
  <c r="AB61" i="4"/>
  <c r="AH34" i="4" s="1"/>
  <c r="AH33" i="4" l="1"/>
  <c r="AG33" i="4"/>
  <c r="AF33" i="4"/>
  <c r="AR11" i="4" l="1"/>
  <c r="AR6" i="4"/>
  <c r="AS6" i="4" s="1"/>
  <c r="AR12" i="4"/>
  <c r="AR10" i="4"/>
  <c r="AR9" i="4"/>
  <c r="AR5" i="4"/>
  <c r="AR8" i="4"/>
  <c r="AR14" i="4"/>
  <c r="AR13" i="4"/>
  <c r="AR15" i="4"/>
  <c r="AR7" i="4"/>
  <c r="AR4" i="4"/>
  <c r="AP5" i="4"/>
  <c r="AQ5" i="4" s="1"/>
  <c r="AP12" i="4"/>
  <c r="AQ12" i="4" s="1"/>
  <c r="AP7" i="4"/>
  <c r="AQ7" i="4" s="1"/>
  <c r="AP14" i="4"/>
  <c r="AQ14" i="4" s="1"/>
  <c r="AP4" i="4"/>
  <c r="AQ4" i="4" s="1"/>
  <c r="AP11" i="4"/>
  <c r="AQ11" i="4" s="1"/>
  <c r="AP8" i="4"/>
  <c r="AQ8" i="4" s="1"/>
  <c r="AP6" i="4"/>
  <c r="AQ6" i="4" s="1"/>
  <c r="AP9" i="4"/>
  <c r="AQ9" i="4" s="1"/>
  <c r="AP15" i="4"/>
  <c r="AQ15" i="4" s="1"/>
  <c r="AP10" i="4"/>
  <c r="AQ10" i="4" s="1"/>
  <c r="AP13" i="4"/>
  <c r="AQ13" i="4" s="1"/>
  <c r="AS11" i="4" l="1"/>
  <c r="AY11" i="4"/>
  <c r="AS9" i="4"/>
  <c r="AY9" i="4"/>
  <c r="AY12" i="4"/>
  <c r="AS12" i="4"/>
  <c r="AS10" i="4"/>
  <c r="AY10" i="4"/>
  <c r="AY7" i="4"/>
  <c r="AS7" i="4"/>
  <c r="AY6" i="4"/>
  <c r="AY8" i="4"/>
  <c r="AS8" i="4"/>
  <c r="AS15" i="4"/>
  <c r="AY15" i="4"/>
  <c r="AY14" i="4"/>
  <c r="AS14" i="4"/>
  <c r="AS13" i="4"/>
  <c r="AY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F35" i="4"/>
  <c r="AA15" i="4"/>
  <c r="AB15" i="4" s="1"/>
  <c r="AC15" i="4"/>
  <c r="AF15" i="4" s="1"/>
  <c r="AF44" i="4"/>
  <c r="Z5" i="4" s="1"/>
  <c r="AQ13" i="3" l="1"/>
  <c r="AW13" i="3"/>
  <c r="AQ12" i="3"/>
  <c r="AW12" i="3"/>
  <c r="AQ10" i="3"/>
  <c r="AW10" i="3"/>
  <c r="AQ6" i="3"/>
  <c r="AW6" i="3"/>
  <c r="AW11" i="3"/>
  <c r="AQ11" i="3"/>
  <c r="Z4" i="4"/>
  <c r="Z12" i="4"/>
  <c r="Z9" i="4"/>
  <c r="Z13" i="4"/>
  <c r="Z6" i="4"/>
  <c r="Z14" i="4"/>
  <c r="Z10" i="4"/>
  <c r="Z7" i="4"/>
  <c r="Z3" i="4"/>
  <c r="Z8" i="4"/>
  <c r="Z11" i="4"/>
  <c r="AW9" i="3"/>
  <c r="AQ9" i="3"/>
  <c r="AQ7" i="3"/>
  <c r="AW7" i="3"/>
  <c r="AW8" i="3"/>
  <c r="AQ8" i="3"/>
  <c r="AD15" i="4"/>
  <c r="AC3" i="4" l="1"/>
  <c r="AA3" i="4"/>
  <c r="AA13" i="4"/>
  <c r="AB13" i="4" s="1"/>
  <c r="AC13" i="4"/>
  <c r="AA8" i="4"/>
  <c r="AB8" i="4" s="1"/>
  <c r="AC8" i="4"/>
  <c r="AC9" i="4"/>
  <c r="AA9" i="4"/>
  <c r="AB9" i="4" s="1"/>
  <c r="AA5" i="4"/>
  <c r="AB5" i="4" s="1"/>
  <c r="AC5" i="4"/>
  <c r="AC12" i="4"/>
  <c r="AA12" i="4"/>
  <c r="AB12" i="4" s="1"/>
  <c r="AC7" i="4"/>
  <c r="AA7" i="4"/>
  <c r="AB7" i="4" s="1"/>
  <c r="AA4" i="4"/>
  <c r="AB4" i="4" s="1"/>
  <c r="AC4" i="4"/>
  <c r="AC11" i="4"/>
  <c r="AA11" i="4"/>
  <c r="AB11" i="4" s="1"/>
  <c r="AA10" i="4"/>
  <c r="AB10" i="4" s="1"/>
  <c r="AC10" i="4"/>
  <c r="AC6" i="4"/>
  <c r="AA6" i="4"/>
  <c r="AB6" i="4" s="1"/>
  <c r="AA14" i="4"/>
  <c r="AB14" i="4" s="1"/>
  <c r="AC14" i="4"/>
  <c r="AF3" i="4"/>
  <c r="AD3" i="4"/>
  <c r="AD5" i="4" l="1"/>
  <c r="AF5" i="4"/>
  <c r="AD14" i="4"/>
  <c r="AF14" i="4"/>
  <c r="AD11" i="4"/>
  <c r="AF11" i="4"/>
  <c r="AF9" i="4"/>
  <c r="AD9" i="4"/>
  <c r="AF4" i="4"/>
  <c r="AD4" i="4"/>
  <c r="AF8" i="4"/>
  <c r="AD8" i="4"/>
  <c r="AF6" i="4"/>
  <c r="AD6" i="4"/>
  <c r="AD7" i="4"/>
  <c r="AF7" i="4"/>
  <c r="AF10" i="4"/>
  <c r="AD10" i="4"/>
  <c r="AF13" i="4"/>
  <c r="AF39" i="4" s="1"/>
  <c r="AD13" i="4"/>
  <c r="AF12" i="4"/>
  <c r="AD12" i="4"/>
  <c r="AG13" i="4" l="1"/>
  <c r="AF38" i="4" s="1"/>
  <c r="AU14" i="4" s="1"/>
  <c r="AV14" i="4" s="1"/>
  <c r="AU8" i="4" l="1"/>
  <c r="AV8" i="4" s="1"/>
  <c r="AU12" i="4"/>
  <c r="AV12" i="4" s="1"/>
  <c r="AU13" i="4"/>
  <c r="AV13" i="4" s="1"/>
  <c r="AU11" i="4"/>
  <c r="AV11" i="4" s="1"/>
  <c r="AU10" i="4"/>
  <c r="AV10" i="4" s="1"/>
  <c r="AU15" i="4"/>
  <c r="AV15" i="4" s="1"/>
  <c r="AU9" i="4"/>
  <c r="AV9" i="4" s="1"/>
</calcChain>
</file>

<file path=xl/sharedStrings.xml><?xml version="1.0" encoding="utf-8"?>
<sst xmlns="http://schemas.openxmlformats.org/spreadsheetml/2006/main" count="1359" uniqueCount="303">
  <si>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</si>
  <si>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</si>
  <si>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</si>
  <si>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</si>
  <si>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</si>
  <si>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</si>
  <si>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</si>
  <si>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</si>
  <si>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</si>
  <si>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</si>
  <si>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</si>
  <si>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</si>
  <si>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</si>
  <si>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</si>
  <si>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</si>
  <si>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</si>
  <si>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</si>
  <si>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</si>
  <si>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</si>
  <si>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</si>
  <si>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</si>
  <si>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</si>
  <si>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</si>
  <si>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</si>
  <si>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</si>
  <si>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</si>
  <si>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</si>
  <si>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</si>
  <si>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</si>
  <si>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</si>
  <si>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</si>
  <si>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</si>
  <si>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</si>
  <si>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</si>
  <si>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</si>
  <si>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</si>
  <si>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</si>
  <si>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</si>
  <si>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</si>
  <si>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</si>
  <si>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</si>
  <si>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</si>
  <si>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</si>
  <si>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</si>
  <si>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</si>
  <si>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</si>
  <si>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</si>
  <si>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</si>
  <si>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</si>
  <si>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</si>
  <si>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</si>
  <si>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</si>
  <si>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</si>
  <si>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</si>
  <si>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</si>
  <si>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</si>
  <si>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</si>
  <si>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</si>
  <si>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</si>
  <si>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</si>
  <si>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</si>
  <si>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</si>
  <si>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</si>
  <si>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</si>
  <si>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</si>
  <si>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</si>
  <si>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</si>
  <si>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</si>
  <si>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</si>
  <si>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</si>
  <si>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</si>
  <si>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</si>
  <si>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</si>
  <si>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</si>
  <si>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</si>
  <si>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</si>
  <si>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</si>
  <si>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</si>
  <si>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</si>
  <si>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</si>
  <si>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</si>
  <si>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</si>
  <si>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</si>
  <si>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</si>
  <si>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</si>
  <si>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</si>
  <si>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</si>
  <si>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</si>
  <si>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</si>
  <si>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</si>
  <si>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</si>
  <si>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</si>
  <si>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</si>
  <si>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</si>
  <si>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</si>
  <si>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</si>
  <si>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</si>
  <si>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</si>
  <si>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</si>
  <si>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</si>
  <si>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</si>
  <si>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</si>
  <si>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</si>
  <si>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</si>
  <si>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</si>
  <si>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</si>
  <si>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</si>
  <si>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</si>
  <si>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</si>
  <si>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</si>
  <si>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</si>
  <si>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</si>
  <si>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</si>
  <si>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</si>
  <si>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</si>
  <si>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</si>
  <si>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</si>
  <si>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</si>
  <si>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</si>
  <si>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</si>
  <si>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</si>
  <si>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</si>
  <si>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</si>
  <si>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</si>
  <si>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</si>
  <si>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</si>
  <si>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</si>
  <si>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</si>
  <si>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</si>
  <si>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</si>
  <si>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</si>
  <si>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</si>
  <si>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</si>
  <si>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</si>
  <si>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</si>
  <si>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</si>
  <si>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</si>
  <si>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</si>
  <si>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</si>
  <si>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</si>
  <si>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</si>
  <si>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</si>
  <si>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</si>
  <si>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</si>
  <si>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</si>
  <si>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</si>
  <si>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</si>
  <si>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</si>
  <si>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</si>
  <si>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</si>
  <si>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</si>
  <si>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</si>
  <si>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</si>
  <si>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</si>
  <si>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</si>
  <si>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</si>
  <si>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</si>
  <si>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</si>
  <si>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</si>
  <si>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</si>
  <si>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</si>
  <si>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</si>
  <si>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</si>
  <si>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</si>
  <si>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</si>
  <si>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</si>
  <si>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</si>
  <si>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</si>
  <si>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</si>
  <si>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</si>
  <si>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</si>
  <si>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</si>
  <si>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</si>
  <si>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</si>
  <si>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</si>
  <si>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</si>
  <si>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</si>
  <si>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</si>
  <si>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</si>
  <si>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</si>
  <si>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</si>
  <si>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</si>
  <si>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</si>
  <si>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</si>
  <si>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</si>
  <si>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</si>
  <si>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</si>
  <si>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</si>
  <si>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</si>
  <si>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</si>
  <si>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</si>
  <si>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</si>
  <si>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</si>
  <si>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</si>
  <si>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</si>
  <si>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</si>
  <si>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</si>
  <si>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</si>
  <si>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</si>
  <si>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</si>
  <si>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</si>
  <si>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</si>
  <si>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</si>
  <si>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</si>
  <si>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</si>
  <si>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</si>
  <si>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</si>
  <si>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</si>
  <si>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</si>
  <si>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</si>
  <si>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</si>
  <si>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</si>
  <si>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</si>
  <si>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</si>
  <si>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</si>
  <si>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</si>
  <si>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</si>
  <si>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</si>
  <si>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</si>
  <si>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</si>
  <si>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</si>
  <si>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</si>
  <si>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</si>
  <si>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</si>
  <si>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</si>
  <si>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</si>
  <si>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</si>
  <si>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</si>
  <si>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</si>
  <si>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</si>
  <si>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</si>
  <si>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</si>
  <si>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</si>
  <si>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</si>
  <si>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</si>
  <si>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</si>
  <si>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</si>
  <si>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</si>
  <si>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</si>
  <si>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</si>
  <si>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</si>
  <si>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</si>
  <si>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</si>
  <si>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</si>
  <si>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</si>
  <si>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</si>
  <si>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</si>
  <si>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</si>
  <si>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</si>
  <si>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</si>
  <si>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</si>
  <si>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</si>
  <si>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</si>
  <si>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</si>
  <si>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</si>
  <si>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</si>
  <si>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</si>
  <si>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</si>
  <si>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</si>
  <si>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</si>
  <si>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</si>
  <si>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</si>
  <si>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</si>
  <si>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</si>
  <si>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</si>
  <si>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</si>
  <si>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</si>
  <si>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</si>
  <si>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</si>
  <si>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</si>
  <si>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</si>
  <si>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</si>
  <si>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// Ard1_Turn1_ESC1_G1b_T1a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</si>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</sst>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Ard1_Turn1_ESC1_G1b_T1a!$I$40:$I$45</c:f>
              <c:numCache>
                <c:formatCode>General</c:formatCode>
                <c:ptCount val="6"/>
                <c:pt idx="0" formatCode="0.0">
                  <c:v>68.268656716417908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12.63225806451613</c:v>
                </c:pt>
              </c:numCache>
            </c:numRef>
          </c:xVal>
          <c:yVal>
            <c:numRef>
              <c:f>Ard1_Turn1_ESC1_G1b_T1a!$K$40:$K$45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Ard1_Turn1_ESC1_G1b_T1a!$J$40:$J$45</c:f>
              <c:numCache>
                <c:formatCode>0.0</c:formatCode>
                <c:ptCount val="6"/>
                <c:pt idx="0">
                  <c:v>84.309310072446905</c:v>
                </c:pt>
                <c:pt idx="1">
                  <c:v>78.083132867103643</c:v>
                </c:pt>
                <c:pt idx="2">
                  <c:v>64.178003775170367</c:v>
                </c:pt>
                <c:pt idx="3">
                  <c:v>41.33386312413711</c:v>
                </c:pt>
                <c:pt idx="4">
                  <c:v>32.394851565037136</c:v>
                </c:pt>
                <c:pt idx="5">
                  <c:v>29.049931110664247</c:v>
                </c:pt>
              </c:numCache>
            </c:numRef>
          </c:xVal>
          <c:yVal>
            <c:numRef>
              <c:f>Ard1_Turn1_ESC1_G1b_T1a!$K$40:$K$45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91.219531068171435</c:v>
                </c:pt>
                <c:pt idx="1">
                  <c:v>79.201238778626802</c:v>
                </c:pt>
                <c:pt idx="2">
                  <c:v>64.478830723934621</c:v>
                </c:pt>
                <c:pt idx="3">
                  <c:v>40.292017491226026</c:v>
                </c:pt>
                <c:pt idx="4">
                  <c:v>35.034014614550259</c:v>
                </c:pt>
                <c:pt idx="5">
                  <c:v>29.325325777016552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94.681287010566123</c:v>
                </c:pt>
                <c:pt idx="1">
                  <c:v>79.438383345784871</c:v>
                </c:pt>
                <c:pt idx="2">
                  <c:v>65.128718680888184</c:v>
                </c:pt>
                <c:pt idx="3">
                  <c:v>41.619983874272194</c:v>
                </c:pt>
                <c:pt idx="4">
                  <c:v>32.420913732552897</c:v>
                </c:pt>
                <c:pt idx="5">
                  <c:v>29.297772635055605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Ard4_Turn4_ESC4_G4b_T4a!$I$40:$I$45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Ard4_Turn4_ESC4_G4b_T4a!$J$40:$J$45</c:f>
              <c:numCache>
                <c:formatCode>0.0</c:formatCode>
                <c:ptCount val="6"/>
                <c:pt idx="0">
                  <c:v>88.255918890989349</c:v>
                </c:pt>
                <c:pt idx="1">
                  <c:v>77.443574245031641</c:v>
                </c:pt>
                <c:pt idx="2">
                  <c:v>63.613831093225244</c:v>
                </c:pt>
                <c:pt idx="3">
                  <c:v>40.893538772400433</c:v>
                </c:pt>
                <c:pt idx="4">
                  <c:v>32.002989603382034</c:v>
                </c:pt>
                <c:pt idx="5">
                  <c:v>28.132274318911438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79136"/>
        <c:axId val="184780672"/>
      </c:scatterChart>
      <c:valAx>
        <c:axId val="18477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0672"/>
        <c:crosses val="autoZero"/>
        <c:crossBetween val="midCat"/>
      </c:valAx>
      <c:valAx>
        <c:axId val="1847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10600.706713780919</c:v>
                </c:pt>
                <c:pt idx="1">
                  <c:v>14218.009478672986</c:v>
                </c:pt>
                <c:pt idx="2">
                  <c:v>16000.000000000002</c:v>
                </c:pt>
                <c:pt idx="3">
                  <c:v>17804.154302670624</c:v>
                </c:pt>
                <c:pt idx="4">
                  <c:v>23904.382470119523</c:v>
                </c:pt>
                <c:pt idx="5">
                  <c:v>28301.886792452831</c:v>
                </c:pt>
                <c:pt idx="6">
                  <c:v>34090.909090909088</c:v>
                </c:pt>
                <c:pt idx="7">
                  <c:v>34285.71428571429</c:v>
                </c:pt>
                <c:pt idx="8">
                  <c:v>37037.037037037036</c:v>
                </c:pt>
                <c:pt idx="9">
                  <c:v>44117.647058823532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3680.9815950920251</c:v>
                </c:pt>
                <c:pt idx="1">
                  <c:v>7334.9633251833729</c:v>
                </c:pt>
                <c:pt idx="2">
                  <c:v>9202.4539877300613</c:v>
                </c:pt>
                <c:pt idx="3">
                  <c:v>10948.905109489051</c:v>
                </c:pt>
                <c:pt idx="4">
                  <c:v>16574.585635359115</c:v>
                </c:pt>
                <c:pt idx="5">
                  <c:v>21428.571428571431</c:v>
                </c:pt>
                <c:pt idx="6">
                  <c:v>25210.08403361345</c:v>
                </c:pt>
                <c:pt idx="7">
                  <c:v>27149.321266968327</c:v>
                </c:pt>
                <c:pt idx="8">
                  <c:v>28985.507246376812</c:v>
                </c:pt>
                <c:pt idx="9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73440"/>
        <c:axId val="200183808"/>
      </c:scatterChart>
      <c:valAx>
        <c:axId val="2001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0183808"/>
        <c:crosses val="autoZero"/>
        <c:crossBetween val="midCat"/>
      </c:valAx>
      <c:valAx>
        <c:axId val="2001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01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175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23.005005889281509</c:v>
                </c:pt>
                <c:pt idx="1">
                  <c:v>30.855055292259085</c:v>
                </c:pt>
                <c:pt idx="2">
                  <c:v>34.722222222222229</c:v>
                </c:pt>
                <c:pt idx="3">
                  <c:v>38.637487636003961</c:v>
                </c:pt>
                <c:pt idx="4">
                  <c:v>51.875830013280215</c:v>
                </c:pt>
                <c:pt idx="5">
                  <c:v>61.419025157232703</c:v>
                </c:pt>
                <c:pt idx="6">
                  <c:v>73.982007575757564</c:v>
                </c:pt>
                <c:pt idx="7">
                  <c:v>74.404761904761912</c:v>
                </c:pt>
                <c:pt idx="8">
                  <c:v>80.375514403292172</c:v>
                </c:pt>
                <c:pt idx="9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1424"/>
        <c:axId val="202077696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5.2947999999999995</c:v>
                </c:pt>
                <c:pt idx="1">
                  <c:v>5.3679999999999994</c:v>
                </c:pt>
                <c:pt idx="2">
                  <c:v>10.215219999999999</c:v>
                </c:pt>
                <c:pt idx="3">
                  <c:v>11.94858</c:v>
                </c:pt>
                <c:pt idx="4">
                  <c:v>16.53903</c:v>
                </c:pt>
                <c:pt idx="5">
                  <c:v>31.538000000000004</c:v>
                </c:pt>
                <c:pt idx="6">
                  <c:v>52.142400000000002</c:v>
                </c:pt>
                <c:pt idx="7">
                  <c:v>71.94</c:v>
                </c:pt>
                <c:pt idx="8">
                  <c:v>85.346100000000007</c:v>
                </c:pt>
                <c:pt idx="9">
                  <c:v>101.235</c:v>
                </c:pt>
                <c:pt idx="10">
                  <c:v>161.37440000000001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98176"/>
        <c:axId val="202079616"/>
      </c:scatterChart>
      <c:valAx>
        <c:axId val="2020714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2077696"/>
        <c:crossesAt val="-40"/>
        <c:crossBetween val="midCat"/>
        <c:majorUnit val="20"/>
      </c:valAx>
      <c:valAx>
        <c:axId val="2020776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2071424"/>
        <c:crosses val="autoZero"/>
        <c:crossBetween val="midCat"/>
      </c:valAx>
      <c:valAx>
        <c:axId val="20207961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2098176"/>
        <c:crosses val="max"/>
        <c:crossBetween val="midCat"/>
        <c:majorUnit val="40"/>
      </c:valAx>
      <c:valAx>
        <c:axId val="20209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07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22.684378629500582</c:v>
                </c:pt>
                <c:pt idx="1">
                  <c:v>23.005005889281509</c:v>
                </c:pt>
                <c:pt idx="2">
                  <c:v>30.855055292259085</c:v>
                </c:pt>
                <c:pt idx="3">
                  <c:v>34.722222222222229</c:v>
                </c:pt>
                <c:pt idx="4">
                  <c:v>38.637487636003961</c:v>
                </c:pt>
                <c:pt idx="5">
                  <c:v>51.875830013280215</c:v>
                </c:pt>
                <c:pt idx="6">
                  <c:v>61.419025157232703</c:v>
                </c:pt>
                <c:pt idx="7">
                  <c:v>73.982007575757564</c:v>
                </c:pt>
                <c:pt idx="8">
                  <c:v>74.404761904761912</c:v>
                </c:pt>
                <c:pt idx="9">
                  <c:v>80.375514403292172</c:v>
                </c:pt>
                <c:pt idx="10">
                  <c:v>95.741421568627459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6.2646915547600003E-3</c:v>
                </c:pt>
                <c:pt idx="1">
                  <c:v>6.3628543651599997E-3</c:v>
                </c:pt>
                <c:pt idx="2">
                  <c:v>1.2863083023999999E-2</c:v>
                </c:pt>
                <c:pt idx="3">
                  <c:v>1.518755691792E-2</c:v>
                </c:pt>
                <c:pt idx="4">
                  <c:v>2.1343451357820002E-2</c:v>
                </c:pt>
                <c:pt idx="5">
                  <c:v>4.1457400105160011E-2</c:v>
                </c:pt>
                <c:pt idx="6">
                  <c:v>6.9088353801960004E-2</c:v>
                </c:pt>
                <c:pt idx="7">
                  <c:v>9.563737094916E-2</c:v>
                </c:pt>
                <c:pt idx="8">
                  <c:v>0.11361524598336001</c:v>
                </c:pt>
                <c:pt idx="9">
                  <c:v>0.13492261043916001</c:v>
                </c:pt>
                <c:pt idx="10">
                  <c:v>0.21557086890596003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49952"/>
        <c:axId val="200352128"/>
      </c:scatterChart>
      <c:valAx>
        <c:axId val="2003499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0352128"/>
        <c:crosses val="autoZero"/>
        <c:crossBetween val="midCat"/>
      </c:valAx>
      <c:valAx>
        <c:axId val="200352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0034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6325.871161295443</c:v>
                </c:pt>
                <c:pt idx="1">
                  <c:v>9776.5334714819473</c:v>
                </c:pt>
                <c:pt idx="2">
                  <c:v>14212.194344855612</c:v>
                </c:pt>
                <c:pt idx="3">
                  <c:v>16195.024570118869</c:v>
                </c:pt>
                <c:pt idx="4">
                  <c:v>17912.630237600199</c:v>
                </c:pt>
                <c:pt idx="5">
                  <c:v>23653.192376076848</c:v>
                </c:pt>
                <c:pt idx="6">
                  <c:v>29373.157335889446</c:v>
                </c:pt>
                <c:pt idx="7">
                  <c:v>34366.848557833095</c:v>
                </c:pt>
                <c:pt idx="8">
                  <c:v>36897.120350916251</c:v>
                </c:pt>
                <c:pt idx="9">
                  <c:v>38206.344565254083</c:v>
                </c:pt>
                <c:pt idx="10">
                  <c:v>39767.40142015458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02816"/>
        <c:axId val="202772480"/>
      </c:scatterChart>
      <c:valAx>
        <c:axId val="2004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2772480"/>
        <c:crosses val="autoZero"/>
        <c:crossBetween val="midCat"/>
      </c:valAx>
      <c:valAx>
        <c:axId val="202772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040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4.7641051733621903E-6</c:v>
                </c:pt>
                <c:pt idx="2">
                  <c:v>1.6038628359283549E-3</c:v>
                </c:pt>
                <c:pt idx="3">
                  <c:v>1.8376755806115519E-3</c:v>
                </c:pt>
                <c:pt idx="4">
                  <c:v>3.1484078224773477E-3</c:v>
                </c:pt>
                <c:pt idx="5">
                  <c:v>5.9609101228755446E-3</c:v>
                </c:pt>
                <c:pt idx="6">
                  <c:v>9.6731318962365656E-3</c:v>
                </c:pt>
                <c:pt idx="7">
                  <c:v>1.1586125874237305E-2</c:v>
                </c:pt>
                <c:pt idx="8">
                  <c:v>1.4256322119522007E-2</c:v>
                </c:pt>
                <c:pt idx="9">
                  <c:v>1.5984925873018956E-2</c:v>
                </c:pt>
                <c:pt idx="10">
                  <c:v>2.2515065968170624E-2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89632"/>
        <c:axId val="202791552"/>
      </c:scatterChart>
      <c:valAx>
        <c:axId val="20278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2791552"/>
        <c:crosses val="autoZero"/>
        <c:crossBetween val="midCat"/>
      </c:valAx>
      <c:valAx>
        <c:axId val="20279155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02789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Ard2_Turn2_ESC2_G2b_T2a!$E$2:$E$13</c:f>
              <c:numCache>
                <c:formatCode>General</c:formatCode>
                <c:ptCount val="12"/>
                <c:pt idx="0">
                  <c:v>3.3999999999999998E-3</c:v>
                </c:pt>
                <c:pt idx="1">
                  <c:v>0.113</c:v>
                </c:pt>
                <c:pt idx="2">
                  <c:v>0.30299999999999999</c:v>
                </c:pt>
                <c:pt idx="3">
                  <c:v>0.28499999999999998</c:v>
                </c:pt>
                <c:pt idx="4">
                  <c:v>0.44900000000000001</c:v>
                </c:pt>
                <c:pt idx="5">
                  <c:v>0.57599999999999996</c:v>
                </c:pt>
                <c:pt idx="6">
                  <c:v>1.323</c:v>
                </c:pt>
                <c:pt idx="7">
                  <c:v>1.6850000000000001</c:v>
                </c:pt>
                <c:pt idx="8">
                  <c:v>1.8919999999999999</c:v>
                </c:pt>
                <c:pt idx="9">
                  <c:v>2.02</c:v>
                </c:pt>
                <c:pt idx="10">
                  <c:v>2.14</c:v>
                </c:pt>
                <c:pt idx="11">
                  <c:v>2.67</c:v>
                </c:pt>
              </c:numCache>
            </c:numRef>
          </c:xVal>
          <c:yVal>
            <c:numRef>
              <c:f>Ard2_Turn2_ESC2_G2b_T2a!$Q$2:$Q$13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3680.9815950920251</c:v>
                </c:pt>
                <c:pt idx="3">
                  <c:v>7334.9633251833729</c:v>
                </c:pt>
                <c:pt idx="4">
                  <c:v>9202.4539877300613</c:v>
                </c:pt>
                <c:pt idx="5">
                  <c:v>10948.905109489051</c:v>
                </c:pt>
                <c:pt idx="6">
                  <c:v>16574.585635359115</c:v>
                </c:pt>
                <c:pt idx="7">
                  <c:v>21428.571428571431</c:v>
                </c:pt>
                <c:pt idx="8">
                  <c:v>25210.08403361345</c:v>
                </c:pt>
                <c:pt idx="9">
                  <c:v>27149.321266968327</c:v>
                </c:pt>
                <c:pt idx="10">
                  <c:v>28985.507246376812</c:v>
                </c:pt>
                <c:pt idx="11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08704"/>
        <c:axId val="202507776"/>
      </c:scatterChart>
      <c:valAx>
        <c:axId val="20280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507776"/>
        <c:crosses val="autoZero"/>
        <c:crossBetween val="midCat"/>
      </c:valAx>
      <c:valAx>
        <c:axId val="20250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08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41312"/>
        <c:axId val="202547584"/>
      </c:scatterChart>
      <c:valAx>
        <c:axId val="2025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547584"/>
        <c:crosses val="autoZero"/>
        <c:crossBetween val="midCat"/>
      </c:valAx>
      <c:valAx>
        <c:axId val="20254758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254131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6.9312579265108649</c:v>
                </c:pt>
                <c:pt idx="1">
                  <c:v>16.065601583162348</c:v>
                </c:pt>
                <c:pt idx="2">
                  <c:v>20.148838153178755</c:v>
                </c:pt>
                <c:pt idx="3">
                  <c:v>23.685898555511514</c:v>
                </c:pt>
                <c:pt idx="4">
                  <c:v>35.507421627749004</c:v>
                </c:pt>
                <c:pt idx="5">
                  <c:v>47.286528989307548</c:v>
                </c:pt>
                <c:pt idx="6">
                  <c:v>57.570022934989673</c:v>
                </c:pt>
                <c:pt idx="7">
                  <c:v>62.780604348346138</c:v>
                </c:pt>
                <c:pt idx="8">
                  <c:v>65.476686000836324</c:v>
                </c:pt>
                <c:pt idx="9">
                  <c:v>68.691365884464886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0.12425827021433723</c:v>
                </c:pt>
                <c:pt idx="1">
                  <c:v>9.5202530235063393E-2</c:v>
                </c:pt>
                <c:pt idx="2">
                  <c:v>8.619293084282445E-2</c:v>
                </c:pt>
                <c:pt idx="3">
                  <c:v>7.9662402429979712E-2</c:v>
                </c:pt>
                <c:pt idx="4">
                  <c:v>6.3565890724585669E-2</c:v>
                </c:pt>
                <c:pt idx="5">
                  <c:v>5.291275029241857E-2</c:v>
                </c:pt>
                <c:pt idx="6">
                  <c:v>4.6159091926482446E-2</c:v>
                </c:pt>
                <c:pt idx="7">
                  <c:v>4.3355174741096736E-2</c:v>
                </c:pt>
                <c:pt idx="8">
                  <c:v>4.2034014042700345E-2</c:v>
                </c:pt>
                <c:pt idx="9">
                  <c:v>4.0560275987838464E-2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47424"/>
        <c:axId val="202657792"/>
      </c:scatterChart>
      <c:valAx>
        <c:axId val="20264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657792"/>
        <c:crosses val="autoZero"/>
        <c:crossBetween val="midCat"/>
      </c:valAx>
      <c:valAx>
        <c:axId val="20265779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264742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0992"/>
        <c:axId val="203942912"/>
      </c:scatterChart>
      <c:valAx>
        <c:axId val="20394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942912"/>
        <c:crosses val="autoZero"/>
        <c:crossBetween val="midCat"/>
      </c:valAx>
      <c:valAx>
        <c:axId val="2039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94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46496"/>
        <c:axId val="202756864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8800"/>
        <c:axId val="202758784"/>
      </c:scatterChart>
      <c:valAx>
        <c:axId val="2027464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2756864"/>
        <c:crossesAt val="-40"/>
        <c:crossBetween val="midCat"/>
        <c:majorUnit val="20"/>
      </c:valAx>
      <c:valAx>
        <c:axId val="2027568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2746496"/>
        <c:crosses val="autoZero"/>
        <c:crossBetween val="midCat"/>
      </c:valAx>
      <c:valAx>
        <c:axId val="20275878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948800"/>
        <c:crosses val="max"/>
        <c:crossBetween val="midCat"/>
        <c:majorUnit val="40"/>
      </c:valAx>
      <c:valAx>
        <c:axId val="20394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75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Ard1_Turn1_ESC1_G1b_T1a!$P$4:$P$14</c:f>
              <c:numCache>
                <c:formatCode>0</c:formatCode>
                <c:ptCount val="11"/>
                <c:pt idx="0">
                  <c:v>10752.688172043012</c:v>
                </c:pt>
                <c:pt idx="1">
                  <c:v>14285.714285714286</c:v>
                </c:pt>
                <c:pt idx="2">
                  <c:v>16304.347826086958</c:v>
                </c:pt>
                <c:pt idx="3">
                  <c:v>17910.447761194031</c:v>
                </c:pt>
                <c:pt idx="4">
                  <c:v>21978.021978021978</c:v>
                </c:pt>
                <c:pt idx="5">
                  <c:v>28571.428571428572</c:v>
                </c:pt>
                <c:pt idx="6">
                  <c:v>28985.507246376812</c:v>
                </c:pt>
                <c:pt idx="7">
                  <c:v>29702.970297029704</c:v>
                </c:pt>
                <c:pt idx="8">
                  <c:v>30769.23076923077</c:v>
                </c:pt>
                <c:pt idx="9">
                  <c:v>34090.909090909088</c:v>
                </c:pt>
                <c:pt idx="10">
                  <c:v>44444.444444444445</c:v>
                </c:pt>
              </c:numCache>
            </c:numRef>
          </c:xVal>
          <c:yVal>
            <c:numRef>
              <c:f>Ard1_Turn1_ESC1_G1b_T1a!$Q$4:$Q$14</c:f>
              <c:numCache>
                <c:formatCode>0</c:formatCode>
                <c:ptCount val="11"/>
                <c:pt idx="0">
                  <c:v>4464.2857142857147</c:v>
                </c:pt>
                <c:pt idx="1">
                  <c:v>6355.9322033898306</c:v>
                </c:pt>
                <c:pt idx="2">
                  <c:v>7692.3076923076924</c:v>
                </c:pt>
                <c:pt idx="3">
                  <c:v>10452.961672473868</c:v>
                </c:pt>
                <c:pt idx="4">
                  <c:v>15075.376884422112</c:v>
                </c:pt>
                <c:pt idx="5">
                  <c:v>20477.815699658702</c:v>
                </c:pt>
                <c:pt idx="6">
                  <c:v>21352.313167259788</c:v>
                </c:pt>
                <c:pt idx="7">
                  <c:v>22471.910112359554</c:v>
                </c:pt>
                <c:pt idx="8">
                  <c:v>23076.923076923078</c:v>
                </c:pt>
                <c:pt idx="9">
                  <c:v>26548.672566371682</c:v>
                </c:pt>
                <c:pt idx="10">
                  <c:v>37500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40832"/>
        <c:axId val="200459392"/>
      </c:scatterChart>
      <c:valAx>
        <c:axId val="2004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0459392"/>
        <c:crosses val="autoZero"/>
        <c:crossBetween val="midCat"/>
      </c:valAx>
      <c:valAx>
        <c:axId val="200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044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70048"/>
        <c:axId val="203971968"/>
      </c:scatterChart>
      <c:valAx>
        <c:axId val="20397004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3971968"/>
        <c:crosses val="autoZero"/>
        <c:crossBetween val="midCat"/>
      </c:valAx>
      <c:valAx>
        <c:axId val="203971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0397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4352"/>
        <c:axId val="204086272"/>
      </c:scatterChart>
      <c:valAx>
        <c:axId val="20408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4086272"/>
        <c:crosses val="autoZero"/>
        <c:crossBetween val="midCat"/>
      </c:valAx>
      <c:valAx>
        <c:axId val="204086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408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36448"/>
        <c:axId val="204138368"/>
      </c:scatterChart>
      <c:valAx>
        <c:axId val="20413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4138368"/>
        <c:crosses val="autoZero"/>
        <c:crossBetween val="midCat"/>
      </c:valAx>
      <c:valAx>
        <c:axId val="20413836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04136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71904"/>
        <c:axId val="204174080"/>
      </c:scatterChart>
      <c:valAx>
        <c:axId val="20417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74080"/>
        <c:crosses val="autoZero"/>
        <c:crossBetween val="midCat"/>
      </c:valAx>
      <c:valAx>
        <c:axId val="2041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7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1712"/>
        <c:axId val="204213632"/>
      </c:scatterChart>
      <c:valAx>
        <c:axId val="20421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3632"/>
        <c:crosses val="autoZero"/>
        <c:crossBetween val="midCat"/>
      </c:valAx>
      <c:valAx>
        <c:axId val="20421363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421171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52288"/>
        <c:axId val="204254208"/>
      </c:scatterChart>
      <c:valAx>
        <c:axId val="2042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54208"/>
        <c:crosses val="autoZero"/>
        <c:crossBetween val="midCat"/>
      </c:valAx>
      <c:valAx>
        <c:axId val="20425420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425228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Ard4_Turn4_ESC4_G4b_T4a!$P$4:$P$14</c:f>
              <c:numCache>
                <c:formatCode>0</c:formatCode>
                <c:ptCount val="11"/>
                <c:pt idx="0">
                  <c:v>9933.7748344370866</c:v>
                </c:pt>
                <c:pt idx="1">
                  <c:v>14150.943396226416</c:v>
                </c:pt>
                <c:pt idx="2">
                  <c:v>15915.119363395226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32608.695652173916</c:v>
                </c:pt>
                <c:pt idx="8">
                  <c:v>35087.719298245618</c:v>
                </c:pt>
                <c:pt idx="9">
                  <c:v>40000</c:v>
                </c:pt>
                <c:pt idx="10">
                  <c:v>44117.647058823532</c:v>
                </c:pt>
              </c:numCache>
            </c:numRef>
          </c:xVal>
          <c:yVal>
            <c:numRef>
              <c:f>Ard4_Turn4_ESC4_G4b_T4a!$Q$4:$Q$14</c:f>
              <c:numCache>
                <c:formatCode>0</c:formatCode>
                <c:ptCount val="11"/>
                <c:pt idx="0">
                  <c:v>750.00000000000011</c:v>
                </c:pt>
                <c:pt idx="1">
                  <c:v>7317.0731707317073</c:v>
                </c:pt>
                <c:pt idx="2">
                  <c:v>8823.5294117647063</c:v>
                </c:pt>
                <c:pt idx="3">
                  <c:v>11194.029850746268</c:v>
                </c:pt>
                <c:pt idx="4">
                  <c:v>16483.516483516483</c:v>
                </c:pt>
                <c:pt idx="5">
                  <c:v>21897.810218978102</c:v>
                </c:pt>
                <c:pt idx="6">
                  <c:v>24793.388429752067</c:v>
                </c:pt>
                <c:pt idx="7">
                  <c:v>25641.025641025641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2592"/>
        <c:axId val="204384512"/>
      </c:scatterChart>
      <c:valAx>
        <c:axId val="20438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4384512"/>
        <c:crosses val="autoZero"/>
        <c:crossBetween val="midCat"/>
      </c:valAx>
      <c:valAx>
        <c:axId val="2043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438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Ard4_Turn4_ESC4_G4b_T4a!$L$4:$L$14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28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100</c:v>
                </c:pt>
                <c:pt idx="8">
                  <c:v>106</c:v>
                </c:pt>
                <c:pt idx="9">
                  <c:v>132</c:v>
                </c:pt>
                <c:pt idx="10">
                  <c:v>178</c:v>
                </c:pt>
              </c:numCache>
            </c:numRef>
          </c:xVal>
          <c:yVal>
            <c:numRef>
              <c:f>Ard4_Turn4_ESC4_G4b_T4a!$R$4:$R$14</c:f>
              <c:numCache>
                <c:formatCode>0</c:formatCode>
                <c:ptCount val="11"/>
                <c:pt idx="0">
                  <c:v>21.557671081677704</c:v>
                </c:pt>
                <c:pt idx="1">
                  <c:v>30.709512578616351</c:v>
                </c:pt>
                <c:pt idx="2">
                  <c:v>34.538019451812559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70.76539855072464</c:v>
                </c:pt>
                <c:pt idx="8">
                  <c:v>76.145224171539965</c:v>
                </c:pt>
                <c:pt idx="9">
                  <c:v>86.805555555555557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37376"/>
        <c:axId val="204447744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Ard4_Turn4_ESC4_G4b_T4a!$U$3:$U$14</c:f>
              <c:numCache>
                <c:formatCode>0.00</c:formatCode>
                <c:ptCount val="12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12.358599999999997</c:v>
                </c:pt>
                <c:pt idx="4">
                  <c:v>16.175039999999999</c:v>
                </c:pt>
                <c:pt idx="5">
                  <c:v>30.835600000000003</c:v>
                </c:pt>
                <c:pt idx="6">
                  <c:v>53.8322</c:v>
                </c:pt>
                <c:pt idx="7">
                  <c:v>69.72</c:v>
                </c:pt>
                <c:pt idx="8">
                  <c:v>75.057400000000001</c:v>
                </c:pt>
                <c:pt idx="9">
                  <c:v>90.417600000000007</c:v>
                </c:pt>
                <c:pt idx="10">
                  <c:v>124.68819999999999</c:v>
                </c:pt>
                <c:pt idx="11">
                  <c:v>160.79139999999998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68224"/>
        <c:axId val="204449664"/>
      </c:scatterChart>
      <c:valAx>
        <c:axId val="20443737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4447744"/>
        <c:crossesAt val="-40"/>
        <c:crossBetween val="midCat"/>
        <c:majorUnit val="20"/>
      </c:valAx>
      <c:valAx>
        <c:axId val="2044477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4437376"/>
        <c:crosses val="autoZero"/>
        <c:crossBetween val="midCat"/>
      </c:valAx>
      <c:valAx>
        <c:axId val="20444966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4468224"/>
        <c:crosses val="max"/>
        <c:crossBetween val="midCat"/>
        <c:majorUnit val="40"/>
      </c:valAx>
      <c:valAx>
        <c:axId val="20446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44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Ard4_Turn4_ESC4_G4b_T4a!$R$3:$R$14</c:f>
              <c:numCache>
                <c:formatCode>0</c:formatCode>
                <c:ptCount val="12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34.538019451812559</c:v>
                </c:pt>
                <c:pt idx="4">
                  <c:v>38.868159203980099</c:v>
                </c:pt>
                <c:pt idx="5">
                  <c:v>49.697837150127228</c:v>
                </c:pt>
                <c:pt idx="6">
                  <c:v>62.003968253968253</c:v>
                </c:pt>
                <c:pt idx="7">
                  <c:v>69.630124777183596</c:v>
                </c:pt>
                <c:pt idx="8">
                  <c:v>70.76539855072464</c:v>
                </c:pt>
                <c:pt idx="9">
                  <c:v>76.145224171539965</c:v>
                </c:pt>
                <c:pt idx="10">
                  <c:v>86.805555555555557</c:v>
                </c:pt>
                <c:pt idx="11">
                  <c:v>95.741421568627459</c:v>
                </c:pt>
              </c:numCache>
            </c:numRef>
          </c:xVal>
          <c:yVal>
            <c:numRef>
              <c:f>Ard4_Turn4_ESC4_G4b_T4a!$W$3:$W$14</c:f>
              <c:numCache>
                <c:formatCode>0.0000</c:formatCode>
                <c:ptCount val="12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1.5326701360639997E-2</c:v>
                </c:pt>
                <c:pt idx="4">
                  <c:v>2.0444631362320002E-2</c:v>
                </c:pt>
                <c:pt idx="5">
                  <c:v>4.0104764854640006E-2</c:v>
                </c:pt>
                <c:pt idx="6">
                  <c:v>7.0943711379840013E-2</c:v>
                </c:pt>
                <c:pt idx="7">
                  <c:v>9.2249600711440005E-2</c:v>
                </c:pt>
                <c:pt idx="8">
                  <c:v>9.9407171534240016E-2</c:v>
                </c:pt>
                <c:pt idx="9">
                  <c:v>0.12000553765864003</c:v>
                </c:pt>
                <c:pt idx="10">
                  <c:v>0.16596316621184001</c:v>
                </c:pt>
                <c:pt idx="11">
                  <c:v>0.21437835168223998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53056"/>
        <c:axId val="202254976"/>
      </c:scatterChart>
      <c:valAx>
        <c:axId val="20225305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2254976"/>
        <c:crosses val="autoZero"/>
        <c:crossBetween val="midCat"/>
      </c:valAx>
      <c:valAx>
        <c:axId val="202254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0225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Ard4_Turn4_ESC4_G4b_T4a!$AJ$3:$AJ$14</c:f>
              <c:numCache>
                <c:formatCode>0.00</c:formatCode>
                <c:ptCount val="12"/>
                <c:pt idx="0">
                  <c:v>2743.6582034189087</c:v>
                </c:pt>
                <c:pt idx="1">
                  <c:v>7141.6446663120769</c:v>
                </c:pt>
                <c:pt idx="2">
                  <c:v>14941.283243601076</c:v>
                </c:pt>
                <c:pt idx="3">
                  <c:v>15992.131798892271</c:v>
                </c:pt>
                <c:pt idx="4">
                  <c:v>18745.257560492664</c:v>
                </c:pt>
                <c:pt idx="5">
                  <c:v>24494.739170819685</c:v>
                </c:pt>
                <c:pt idx="6">
                  <c:v>30151.237061714968</c:v>
                </c:pt>
                <c:pt idx="7">
                  <c:v>32705.420047060292</c:v>
                </c:pt>
                <c:pt idx="8">
                  <c:v>34042.742313351817</c:v>
                </c:pt>
                <c:pt idx="9">
                  <c:v>34868.993472855436</c:v>
                </c:pt>
                <c:pt idx="10">
                  <c:v>37979.551010560695</c:v>
                </c:pt>
                <c:pt idx="11">
                  <c:v>42219.10044636832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05920"/>
        <c:axId val="202307840"/>
      </c:scatterChart>
      <c:valAx>
        <c:axId val="2023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2307840"/>
        <c:crosses val="autoZero"/>
        <c:crossBetween val="midCat"/>
      </c:valAx>
      <c:valAx>
        <c:axId val="202307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23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Ard1_Turn1_ESC1_G1b_T1a!$L$4:$L$14</c:f>
              <c:numCache>
                <c:formatCode>General</c:formatCode>
                <c:ptCount val="11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70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Ard1_Turn1_ESC1_G1b_T1a!$R$4:$R$14</c:f>
              <c:numCache>
                <c:formatCode>0</c:formatCode>
                <c:ptCount val="11"/>
                <c:pt idx="0">
                  <c:v>23.33482676224612</c:v>
                </c:pt>
                <c:pt idx="1">
                  <c:v>31.001984126984127</c:v>
                </c:pt>
                <c:pt idx="2">
                  <c:v>35.38269927536232</c:v>
                </c:pt>
                <c:pt idx="3">
                  <c:v>38.868159203980099</c:v>
                </c:pt>
                <c:pt idx="4">
                  <c:v>47.695360195360195</c:v>
                </c:pt>
                <c:pt idx="5">
                  <c:v>62.003968253968253</c:v>
                </c:pt>
                <c:pt idx="6">
                  <c:v>62.902576489533011</c:v>
                </c:pt>
                <c:pt idx="7">
                  <c:v>64.459570957095707</c:v>
                </c:pt>
                <c:pt idx="8">
                  <c:v>66.773504273504273</c:v>
                </c:pt>
                <c:pt idx="9">
                  <c:v>73.982007575757564</c:v>
                </c:pt>
                <c:pt idx="10">
                  <c:v>96.450617283950621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98560"/>
        <c:axId val="200100480"/>
      </c:scatterChart>
      <c:scatterChart>
        <c:scatterStyle val="lineMarker"/>
        <c:varyColors val="0"/>
        <c:ser>
          <c:idx val="1"/>
          <c:order val="1"/>
          <c:tx>
            <c:strRef>
              <c:f>Ard1_Turn1_ESC1_G1b_T1a!$U$1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Ard1_Turn1_ESC1_G1b_T1a!$L$3:$L$14</c:f>
              <c:numCache>
                <c:formatCode>General</c:formatCode>
                <c:ptCount val="12"/>
                <c:pt idx="0">
                  <c:v>8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Ard1_Turn1_ESC1_G1b_T1a!$U$3:$U$14</c:f>
              <c:numCache>
                <c:formatCode>0.00</c:formatCode>
                <c:ptCount val="12"/>
                <c:pt idx="0">
                  <c:v>8.6904000000000003</c:v>
                </c:pt>
                <c:pt idx="1">
                  <c:v>9.4982400000000009</c:v>
                </c:pt>
                <c:pt idx="2">
                  <c:v>12.609129999999999</c:v>
                </c:pt>
                <c:pt idx="3">
                  <c:v>14.60262</c:v>
                </c:pt>
                <c:pt idx="4">
                  <c:v>19.820840000000004</c:v>
                </c:pt>
                <c:pt idx="5">
                  <c:v>30.231199999999998</c:v>
                </c:pt>
                <c:pt idx="6">
                  <c:v>51.067300000000003</c:v>
                </c:pt>
                <c:pt idx="7">
                  <c:v>55.873199999999997</c:v>
                </c:pt>
                <c:pt idx="8">
                  <c:v>62.608699999999999</c:v>
                </c:pt>
                <c:pt idx="9">
                  <c:v>65.890500000000003</c:v>
                </c:pt>
                <c:pt idx="10">
                  <c:v>87.217500000000001</c:v>
                </c:pt>
                <c:pt idx="11">
                  <c:v>173.56479999999999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12768"/>
        <c:axId val="200110848"/>
      </c:scatterChart>
      <c:valAx>
        <c:axId val="2000985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0100480"/>
        <c:crossesAt val="-40"/>
        <c:crossBetween val="midCat"/>
        <c:majorUnit val="20"/>
      </c:valAx>
      <c:valAx>
        <c:axId val="2001004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0098560"/>
        <c:crosses val="autoZero"/>
        <c:crossBetween val="midCat"/>
      </c:valAx>
      <c:valAx>
        <c:axId val="20011084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0112768"/>
        <c:crosses val="max"/>
        <c:crossBetween val="midCat"/>
        <c:majorUnit val="40"/>
      </c:valAx>
      <c:valAx>
        <c:axId val="20011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11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xVal>
          <c:yVal>
            <c:numRef>
              <c:f>Ard4_Turn4_ESC4_G4b_T4a!$Y$3:$Y$14</c:f>
              <c:numCache>
                <c:formatCode>0.00000</c:formatCode>
                <c:ptCount val="12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2.3365714967685516E-3</c:v>
                </c:pt>
                <c:pt idx="4">
                  <c:v>3.273865381871955E-3</c:v>
                </c:pt>
                <c:pt idx="5">
                  <c:v>6.4762696556799728E-3</c:v>
                </c:pt>
                <c:pt idx="6">
                  <c:v>1.0319622855798637E-2</c:v>
                </c:pt>
                <c:pt idx="7">
                  <c:v>1.2378840971476832E-2</c:v>
                </c:pt>
                <c:pt idx="8">
                  <c:v>1.3289401420156523E-2</c:v>
                </c:pt>
                <c:pt idx="9">
                  <c:v>1.5241418717777001E-2</c:v>
                </c:pt>
                <c:pt idx="10">
                  <c:v>1.9069713553571042E-2</c:v>
                </c:pt>
                <c:pt idx="11">
                  <c:v>2.2799492165419263E-2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85440"/>
        <c:axId val="202425472"/>
      </c:scatterChart>
      <c:valAx>
        <c:axId val="20268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2425472"/>
        <c:crosses val="autoZero"/>
        <c:crossBetween val="midCat"/>
      </c:valAx>
      <c:valAx>
        <c:axId val="20242547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02685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Ard4_Turn4_ESC4_G4b_T4a!$E$2:$E$14</c:f>
              <c:numCache>
                <c:formatCode>General</c:formatCode>
                <c:ptCount val="13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0.69399999999999995</c:v>
                </c:pt>
                <c:pt idx="5">
                  <c:v>0.88100000000000001</c:v>
                </c:pt>
                <c:pt idx="6">
                  <c:v>1.2849999999999999</c:v>
                </c:pt>
                <c:pt idx="7">
                  <c:v>1.702</c:v>
                </c:pt>
                <c:pt idx="8">
                  <c:v>1.9330000000000001</c:v>
                </c:pt>
                <c:pt idx="9">
                  <c:v>1.99</c:v>
                </c:pt>
                <c:pt idx="10">
                  <c:v>2.1789999999999998</c:v>
                </c:pt>
                <c:pt idx="11">
                  <c:v>2.5299999999999998</c:v>
                </c:pt>
                <c:pt idx="12">
                  <c:v>2.82</c:v>
                </c:pt>
              </c:numCache>
            </c:numRef>
          </c:xVal>
          <c:yVal>
            <c:numRef>
              <c:f>Ard4_Turn4_ESC4_G4b_T4a!$Q$2:$Q$14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8823.5294117647063</c:v>
                </c:pt>
                <c:pt idx="5">
                  <c:v>11194.029850746268</c:v>
                </c:pt>
                <c:pt idx="6">
                  <c:v>16483.516483516483</c:v>
                </c:pt>
                <c:pt idx="7">
                  <c:v>21897.810218978102</c:v>
                </c:pt>
                <c:pt idx="8">
                  <c:v>24793.388429752067</c:v>
                </c:pt>
                <c:pt idx="9">
                  <c:v>25641.025641025641</c:v>
                </c:pt>
                <c:pt idx="10">
                  <c:v>27906.976744186049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0112"/>
        <c:axId val="204816384"/>
      </c:scatterChart>
      <c:valAx>
        <c:axId val="20481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816384"/>
        <c:crosses val="autoZero"/>
        <c:crossBetween val="midCat"/>
      </c:valAx>
      <c:valAx>
        <c:axId val="20481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10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54016"/>
        <c:axId val="204855936"/>
      </c:scatterChart>
      <c:valAx>
        <c:axId val="20485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855936"/>
        <c:crosses val="autoZero"/>
        <c:crossBetween val="midCat"/>
      </c:valAx>
      <c:valAx>
        <c:axId val="2048559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48540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Ard4_Turn4_ESC4_G4b_T4a!$AN$4:$AN$14</c:f>
              <c:numCache>
                <c:formatCode>0.0</c:formatCode>
                <c:ptCount val="11"/>
                <c:pt idx="0">
                  <c:v>0</c:v>
                </c:pt>
                <c:pt idx="1">
                  <c:v>16.537055297559753</c:v>
                </c:pt>
                <c:pt idx="2">
                  <c:v>18.83573781843198</c:v>
                </c:pt>
                <c:pt idx="3">
                  <c:v>24.858072848621173</c:v>
                </c:pt>
                <c:pt idx="4">
                  <c:v>37.434797453883405</c:v>
                </c:pt>
                <c:pt idx="5">
                  <c:v>49.808124481533518</c:v>
                </c:pt>
                <c:pt idx="6">
                  <c:v>55.395281407200692</c:v>
                </c:pt>
                <c:pt idx="7">
                  <c:v>58.320611896374487</c:v>
                </c:pt>
                <c:pt idx="8">
                  <c:v>60.127998021271502</c:v>
                </c:pt>
                <c:pt idx="9">
                  <c:v>66.932198499150161</c:v>
                </c:pt>
                <c:pt idx="10">
                  <c:v>76.206016439323477</c:v>
                </c:pt>
              </c:numCache>
            </c:numRef>
          </c:xVal>
          <c:yVal>
            <c:numRef>
              <c:f>Ard4_Turn4_ESC4_G4b_T4a!$AS$4:$AS$14</c:f>
              <c:numCache>
                <c:formatCode>0.000</c:formatCode>
                <c:ptCount val="11"/>
                <c:pt idx="0">
                  <c:v>0.12300594098690974</c:v>
                </c:pt>
                <c:pt idx="1">
                  <c:v>8.3828558793306446E-2</c:v>
                </c:pt>
                <c:pt idx="2">
                  <c:v>8.0379350123192E-2</c:v>
                </c:pt>
                <c:pt idx="3">
                  <c:v>7.2557724215781438E-2</c:v>
                </c:pt>
                <c:pt idx="4">
                  <c:v>6.0303221259958788E-2</c:v>
                </c:pt>
                <c:pt idx="5">
                  <c:v>5.1710856252974578E-2</c:v>
                </c:pt>
                <c:pt idx="6">
                  <c:v>4.8584933804612498E-2</c:v>
                </c:pt>
                <c:pt idx="7">
                  <c:v>4.7094373463786414E-2</c:v>
                </c:pt>
                <c:pt idx="8">
                  <c:v>4.6218305158620708E-2</c:v>
                </c:pt>
                <c:pt idx="9">
                  <c:v>4.3193395242717265E-2</c:v>
                </c:pt>
                <c:pt idx="10">
                  <c:v>3.9655961016701061E-2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90496"/>
        <c:axId val="204892416"/>
      </c:scatterChart>
      <c:valAx>
        <c:axId val="20489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892416"/>
        <c:crosses val="autoZero"/>
        <c:crossBetween val="midCat"/>
      </c:valAx>
      <c:valAx>
        <c:axId val="20489241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48904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CalPhotonTurnigy!$P$8:$P$15</c:f>
              <c:numCache>
                <c:formatCode>0</c:formatCode>
                <c:ptCount val="8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43988.269794721404</c:v>
                </c:pt>
                <c:pt idx="7">
                  <c:v>45592.705167173255</c:v>
                </c:pt>
              </c:numCache>
            </c:numRef>
          </c:xVal>
          <c:y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73792"/>
        <c:axId val="217974272"/>
      </c:scatterChart>
      <c:valAx>
        <c:axId val="21787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74272"/>
        <c:crosses val="autoZero"/>
        <c:crossBetween val="midCat"/>
      </c:valAx>
      <c:valAx>
        <c:axId val="2179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7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CalPhotonTurnigy!$L$8:$L$15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CalPhotonTurnigy!$R$8:$R$15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31232"/>
        <c:axId val="218033152"/>
      </c:scatterChart>
      <c:scatterChart>
        <c:scatterStyle val="lineMarker"/>
        <c:varyColors val="0"/>
        <c:ser>
          <c:idx val="1"/>
          <c:order val="1"/>
          <c:tx>
            <c:strRef>
              <c:f>CalPhotonTurnigy!$U$1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CalPhotonTurnigy!$U$4:$U$15</c:f>
              <c:numCache>
                <c:formatCode>0.00</c:formatCode>
                <c:ptCount val="12"/>
                <c:pt idx="0" formatCode="General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10976"/>
        <c:axId val="218109056"/>
      </c:scatterChart>
      <c:valAx>
        <c:axId val="21803123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33152"/>
        <c:crossesAt val="-40"/>
        <c:crossBetween val="midCat"/>
        <c:majorUnit val="20"/>
      </c:valAx>
      <c:valAx>
        <c:axId val="2180331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31232"/>
        <c:crosses val="autoZero"/>
        <c:crossBetween val="midCat"/>
      </c:valAx>
      <c:valAx>
        <c:axId val="21810905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10976"/>
        <c:crosses val="max"/>
        <c:crossBetween val="midCat"/>
        <c:majorUnit val="40"/>
      </c:valAx>
      <c:valAx>
        <c:axId val="21811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1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CalPhotonTurnigy!$R$4:$R$15</c:f>
              <c:numCache>
                <c:formatCode>0</c:formatCode>
                <c:ptCount val="12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85.663377192982466</c:v>
                </c:pt>
                <c:pt idx="10">
                  <c:v>95.460654936461381</c:v>
                </c:pt>
                <c:pt idx="11">
                  <c:v>98.942502532928074</c:v>
                </c:pt>
              </c:numCache>
            </c:numRef>
          </c:xVal>
          <c:yVal>
            <c:numRef>
              <c:f>CalPhotonTurnigy!$W$4:$W$15</c:f>
              <c:numCache>
                <c:formatCode>General</c:formatCode>
                <c:ptCount val="12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0.17635774957912001</c:v>
                </c:pt>
                <c:pt idx="10">
                  <c:v>0.25251438895912004</c:v>
                </c:pt>
                <c:pt idx="11">
                  <c:v>0.27444009865912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40672"/>
        <c:axId val="218142592"/>
      </c:scatterChart>
      <c:valAx>
        <c:axId val="21814067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8142592"/>
        <c:crosses val="autoZero"/>
        <c:crossBetween val="midCat"/>
      </c:valAx>
      <c:valAx>
        <c:axId val="218142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140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CalPhotonTurnigy!$AJ$4:$AJ$15</c:f>
              <c:numCache>
                <c:formatCode>0.00</c:formatCode>
                <c:ptCount val="12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01472"/>
        <c:axId val="218207744"/>
      </c:scatterChart>
      <c:valAx>
        <c:axId val="21820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07744"/>
        <c:crosses val="autoZero"/>
        <c:crossBetween val="midCat"/>
      </c:valAx>
      <c:valAx>
        <c:axId val="218207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0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51264"/>
        <c:axId val="218252800"/>
      </c:scatterChart>
      <c:valAx>
        <c:axId val="2182512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8252800"/>
        <c:crosses val="autoZero"/>
        <c:crossBetween val="midCat"/>
      </c:valAx>
      <c:valAx>
        <c:axId val="21825280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8251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CalPhotonTurnigy!$AV$1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CalPhotonTurnigy!$AO$8:$AO$15</c:f>
              <c:numCache>
                <c:formatCode>0</c:formatCode>
                <c:ptCount val="8"/>
                <c:pt idx="0">
                  <c:v>8334.7660985153307</c:v>
                </c:pt>
                <c:pt idx="1">
                  <c:v>13026.303246203512</c:v>
                </c:pt>
                <c:pt idx="2">
                  <c:v>19072.624788159832</c:v>
                </c:pt>
                <c:pt idx="3">
                  <c:v>22731.169201035049</c:v>
                </c:pt>
                <c:pt idx="4">
                  <c:v>26039.432684734289</c:v>
                </c:pt>
                <c:pt idx="5">
                  <c:v>30775.659971083536</c:v>
                </c:pt>
                <c:pt idx="6">
                  <c:v>33775.02490679879</c:v>
                </c:pt>
                <c:pt idx="7">
                  <c:v>34646.76570838788</c:v>
                </c:pt>
              </c:numCache>
            </c:numRef>
          </c:xVal>
          <c:yVal>
            <c:numRef>
              <c:f>CalPhotonTurnigy!$AV$8:$AV$15</c:f>
              <c:numCache>
                <c:formatCode>0.000</c:formatCode>
                <c:ptCount val="8"/>
                <c:pt idx="0">
                  <c:v>0.26347437729902756</c:v>
                </c:pt>
                <c:pt idx="1">
                  <c:v>0.12905525592830341</c:v>
                </c:pt>
                <c:pt idx="2">
                  <c:v>7.2306864265641271E-2</c:v>
                </c:pt>
                <c:pt idx="3">
                  <c:v>6.2699967885530311E-2</c:v>
                </c:pt>
                <c:pt idx="4">
                  <c:v>4.7283148803977743E-2</c:v>
                </c:pt>
                <c:pt idx="5">
                  <c:v>3.500000000000001E-2</c:v>
                </c:pt>
                <c:pt idx="6">
                  <c:v>2.858597582971964E-2</c:v>
                </c:pt>
                <c:pt idx="7">
                  <c:v>2.62687194788601E-2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CalPhotonTurnigy!$AS$1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CalPhotonTurnigy!$AJ$8:$AJ$16</c:f>
              <c:numCache>
                <c:formatCode>0.00</c:formatCode>
                <c:ptCount val="9"/>
                <c:pt idx="0">
                  <c:v>17348.876248230645</c:v>
                </c:pt>
                <c:pt idx="1">
                  <c:v>22123.420807632323</c:v>
                </c:pt>
                <c:pt idx="2">
                  <c:v>28276.719974572956</c:v>
                </c:pt>
                <c:pt idx="3">
                  <c:v>31999.995048805355</c:v>
                </c:pt>
                <c:pt idx="4">
                  <c:v>35366.791670025093</c:v>
                </c:pt>
                <c:pt idx="5">
                  <c:v>40186.817071139434</c:v>
                </c:pt>
                <c:pt idx="6">
                  <c:v>43239.249799405501</c:v>
                </c:pt>
                <c:pt idx="7">
                  <c:v>44126.414319351083</c:v>
                </c:pt>
              </c:numCache>
            </c:numRef>
          </c:xVal>
          <c:yVal>
            <c:numRef>
              <c:f>CalPhotonTurnigy!$AS$8:$AS$16</c:f>
              <c:numCache>
                <c:formatCode>0.000</c:formatCode>
                <c:ptCount val="9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4.5959283219000058E-2</c:v>
                </c:pt>
                <c:pt idx="3">
                  <c:v>3.9517474546856564E-2</c:v>
                </c:pt>
                <c:pt idx="4">
                  <c:v>3.5072283984146989E-2</c:v>
                </c:pt>
                <c:pt idx="5">
                  <c:v>3.0207645977385553E-2</c:v>
                </c:pt>
                <c:pt idx="6">
                  <c:v>2.7768510934620141E-2</c:v>
                </c:pt>
                <c:pt idx="7">
                  <c:v>2.7131780912102679E-2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CalPhotonTurnigy!$AN$21:$AN$29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CalPhotonTurnigy!$AR$21:$AR$29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95680"/>
        <c:axId val="218297856"/>
      </c:scatterChart>
      <c:valAx>
        <c:axId val="218295680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8297856"/>
        <c:crosses val="autoZero"/>
        <c:crossBetween val="midCat"/>
      </c:valAx>
      <c:valAx>
        <c:axId val="218297856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8295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Ard1_Turn1_ESC1_G1b_T1a!$R$3:$R$14</c:f>
              <c:numCache>
                <c:formatCode>0</c:formatCode>
                <c:ptCount val="12"/>
                <c:pt idx="0">
                  <c:v>21.486523652365236</c:v>
                </c:pt>
                <c:pt idx="1">
                  <c:v>23.33482676224612</c:v>
                </c:pt>
                <c:pt idx="2">
                  <c:v>31.001984126984127</c:v>
                </c:pt>
                <c:pt idx="3">
                  <c:v>35.38269927536232</c:v>
                </c:pt>
                <c:pt idx="4">
                  <c:v>38.868159203980099</c:v>
                </c:pt>
                <c:pt idx="5">
                  <c:v>47.695360195360195</c:v>
                </c:pt>
                <c:pt idx="6">
                  <c:v>62.003968253968253</c:v>
                </c:pt>
                <c:pt idx="7">
                  <c:v>62.902576489533011</c:v>
                </c:pt>
                <c:pt idx="8">
                  <c:v>64.459570957095707</c:v>
                </c:pt>
                <c:pt idx="9">
                  <c:v>66.773504273504273</c:v>
                </c:pt>
                <c:pt idx="10">
                  <c:v>73.982007575757564</c:v>
                </c:pt>
                <c:pt idx="11">
                  <c:v>96.450617283950621</c:v>
                </c:pt>
              </c:numCache>
            </c:numRef>
          </c:xVal>
          <c:yVal>
            <c:numRef>
              <c:f>Ard1_Turn1_ESC1_G1b_T1a!$V$3:$V$14</c:f>
              <c:numCache>
                <c:formatCode>0.00</c:formatCode>
                <c:ptCount val="12"/>
                <c:pt idx="0" formatCode="General">
                  <c:v>6.9509000000000007</c:v>
                </c:pt>
                <c:pt idx="1">
                  <c:v>7.7587400000000013</c:v>
                </c:pt>
                <c:pt idx="2">
                  <c:v>10.869629999999999</c:v>
                </c:pt>
                <c:pt idx="3">
                  <c:v>12.86312</c:v>
                </c:pt>
                <c:pt idx="4">
                  <c:v>18.081340000000004</c:v>
                </c:pt>
                <c:pt idx="5">
                  <c:v>28.491699999999998</c:v>
                </c:pt>
                <c:pt idx="6">
                  <c:v>49.327800000000003</c:v>
                </c:pt>
                <c:pt idx="7">
                  <c:v>54.133699999999997</c:v>
                </c:pt>
                <c:pt idx="8">
                  <c:v>60.869199999999999</c:v>
                </c:pt>
                <c:pt idx="9">
                  <c:v>64.150999999999996</c:v>
                </c:pt>
                <c:pt idx="10">
                  <c:v>85.477999999999994</c:v>
                </c:pt>
                <c:pt idx="11">
                  <c:v>171.8253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34016"/>
        <c:axId val="200541696"/>
      </c:scatterChart>
      <c:valAx>
        <c:axId val="20013401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00541696"/>
        <c:crosses val="autoZero"/>
        <c:crossBetween val="midCat"/>
      </c:valAx>
      <c:valAx>
        <c:axId val="200541696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13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CalPhotonTurnigy!$W$66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CalPhotonTurnigy!$W$67:$W$84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CalPhotonTurnigy!$W$87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CalPhotonTurnigy!$W$88:$W$102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02496"/>
        <c:axId val="218604672"/>
      </c:scatterChart>
      <c:valAx>
        <c:axId val="21860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04672"/>
        <c:crosses val="autoZero"/>
        <c:crossBetween val="midCat"/>
      </c:valAx>
      <c:valAx>
        <c:axId val="2186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0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CalPhotonTurnigy!$Y$66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CalPhotonTurnigy!$Y$87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CalPhotonTurnigy!$Y$88:$Y$102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89120"/>
        <c:axId val="218395392"/>
      </c:scatterChart>
      <c:valAx>
        <c:axId val="21838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95392"/>
        <c:crosses val="autoZero"/>
        <c:crossBetween val="midCat"/>
      </c:valAx>
      <c:valAx>
        <c:axId val="2183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8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xVal>
          <c:yVal>
            <c:numRef>
              <c:f>CalPhotonTurnigy!$AF$8:$AF$15</c:f>
              <c:numCache>
                <c:formatCode>0.00</c:formatCode>
                <c:ptCount val="8"/>
                <c:pt idx="0">
                  <c:v>2.4611713541169045</c:v>
                </c:pt>
                <c:pt idx="1">
                  <c:v>2.728271824149449</c:v>
                </c:pt>
                <c:pt idx="2">
                  <c:v>2.7938682220438258</c:v>
                </c:pt>
                <c:pt idx="3">
                  <c:v>2.819165068272667</c:v>
                </c:pt>
                <c:pt idx="4">
                  <c:v>2.7651838128932069</c:v>
                </c:pt>
                <c:pt idx="5" formatCode="0.000">
                  <c:v>2.6406493436282674</c:v>
                </c:pt>
                <c:pt idx="6">
                  <c:v>2.5801660429310118</c:v>
                </c:pt>
                <c:pt idx="7" formatCode="0.000">
                  <c:v>2.4924372674683695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15104"/>
        <c:axId val="218417024"/>
      </c:scatterChart>
      <c:valAx>
        <c:axId val="21841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17024"/>
        <c:crosses val="autoZero"/>
        <c:crossBetween val="midCat"/>
      </c:valAx>
      <c:valAx>
        <c:axId val="21841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1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CalPhotonTurnigy!$AO$20:$AO$29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CalPhotonTurnigy!$AR$20:$AR$29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61696"/>
        <c:axId val="218463232"/>
      </c:scatterChart>
      <c:valAx>
        <c:axId val="218461696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18463232"/>
        <c:crosses val="autoZero"/>
        <c:crossBetween val="midCat"/>
        <c:minorUnit val="2"/>
      </c:valAx>
      <c:valAx>
        <c:axId val="218463232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218461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11232"/>
        <c:axId val="218525696"/>
      </c:scatterChart>
      <c:valAx>
        <c:axId val="2185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5696"/>
        <c:crosses val="autoZero"/>
        <c:crossBetween val="midCat"/>
      </c:valAx>
      <c:valAx>
        <c:axId val="21852569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1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0336"/>
        <c:axId val="177391872"/>
      </c:scatterChart>
      <c:valAx>
        <c:axId val="17739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1872"/>
        <c:crosses val="autoZero"/>
        <c:crossBetween val="midCat"/>
      </c:valAx>
      <c:valAx>
        <c:axId val="1773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11552"/>
        <c:axId val="218713472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25760"/>
        <c:axId val="218723840"/>
      </c:scatterChart>
      <c:valAx>
        <c:axId val="21871155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13472"/>
        <c:crossesAt val="-40"/>
        <c:crossBetween val="midCat"/>
        <c:majorUnit val="20"/>
      </c:valAx>
      <c:valAx>
        <c:axId val="2187134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11552"/>
        <c:crosses val="autoZero"/>
        <c:crossBetween val="midCat"/>
      </c:valAx>
      <c:valAx>
        <c:axId val="2187238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25760"/>
        <c:crosses val="max"/>
        <c:crossBetween val="midCat"/>
        <c:majorUnit val="40"/>
      </c:valAx>
      <c:valAx>
        <c:axId val="21872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72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59552"/>
        <c:axId val="218761472"/>
      </c:scatterChart>
      <c:valAx>
        <c:axId val="2187595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8761472"/>
        <c:crosses val="autoZero"/>
        <c:crossBetween val="midCat"/>
      </c:valAx>
      <c:valAx>
        <c:axId val="218761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759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08320"/>
        <c:axId val="218810240"/>
      </c:scatterChart>
      <c:valAx>
        <c:axId val="21880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10240"/>
        <c:crosses val="autoZero"/>
        <c:crossBetween val="midCat"/>
      </c:valAx>
      <c:valAx>
        <c:axId val="218810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0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39680"/>
        <c:axId val="218853760"/>
      </c:scatterChart>
      <c:valAx>
        <c:axId val="2188396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8853760"/>
        <c:crosses val="autoZero"/>
        <c:crossBetween val="midCat"/>
      </c:valAx>
      <c:valAx>
        <c:axId val="21885376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18839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trendlineType val="poly"/>
            <c:order val="3"/>
            <c:dispRSqr val="0"/>
            <c:dispEq val="0"/>
          </c:trendline>
          <c:xVal>
            <c:numRef>
              <c:f>Ard1_Turn1_ESC1_G1b_T1a!$L$2:$L$14</c:f>
              <c:numCache>
                <c:formatCode>General</c:formatCode>
                <c:ptCount val="13"/>
                <c:pt idx="0" formatCode="0.00">
                  <c:v>5.7255673595596592</c:v>
                </c:pt>
                <c:pt idx="1">
                  <c:v>8</c:v>
                </c:pt>
                <c:pt idx="2">
                  <c:v>14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70</c:v>
                </c:pt>
                <c:pt idx="9">
                  <c:v>79</c:v>
                </c:pt>
                <c:pt idx="10">
                  <c:v>84</c:v>
                </c:pt>
                <c:pt idx="11">
                  <c:v>121</c:v>
                </c:pt>
                <c:pt idx="12">
                  <c:v>175</c:v>
                </c:pt>
              </c:numCache>
            </c:numRef>
          </c:xVal>
          <c:yVal>
            <c:numRef>
              <c:f>Ard1_Turn1_ESC1_G1b_T1a!$P$2:$P$14</c:f>
              <c:numCache>
                <c:formatCode>0</c:formatCode>
                <c:ptCount val="13"/>
                <c:pt idx="0">
                  <c:v>5.9999999999999995E-25</c:v>
                </c:pt>
                <c:pt idx="1">
                  <c:v>9900.9900990099013</c:v>
                </c:pt>
                <c:pt idx="2">
                  <c:v>10752.688172043012</c:v>
                </c:pt>
                <c:pt idx="3">
                  <c:v>14285.714285714286</c:v>
                </c:pt>
                <c:pt idx="4">
                  <c:v>16304.347826086958</c:v>
                </c:pt>
                <c:pt idx="5">
                  <c:v>17910.447761194031</c:v>
                </c:pt>
                <c:pt idx="6">
                  <c:v>21978.021978021978</c:v>
                </c:pt>
                <c:pt idx="7">
                  <c:v>28571.428571428572</c:v>
                </c:pt>
                <c:pt idx="8">
                  <c:v>28985.507246376812</c:v>
                </c:pt>
                <c:pt idx="9">
                  <c:v>29702.970297029704</c:v>
                </c:pt>
                <c:pt idx="10">
                  <c:v>30769.23076923077</c:v>
                </c:pt>
                <c:pt idx="11">
                  <c:v>34090.909090909088</c:v>
                </c:pt>
                <c:pt idx="12">
                  <c:v>44444.444444444445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Ard1_Turn1_ESC1_G1b_T1a!$D$3:$D$14</c:f>
              <c:numCache>
                <c:formatCode>General</c:formatCode>
                <c:ptCount val="12"/>
                <c:pt idx="0">
                  <c:v>8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Ard1_Turn1_ESC1_G1b_T1a!$AJ$3:$AJ$14</c:f>
              <c:numCache>
                <c:formatCode>0.00</c:formatCode>
                <c:ptCount val="12"/>
                <c:pt idx="0">
                  <c:v>3942.4163016050516</c:v>
                </c:pt>
                <c:pt idx="1">
                  <c:v>10538.048879326398</c:v>
                </c:pt>
                <c:pt idx="2">
                  <c:v>12826.371978164865</c:v>
                </c:pt>
                <c:pt idx="3">
                  <c:v>15316.861296384439</c:v>
                </c:pt>
                <c:pt idx="4">
                  <c:v>18278.853552779179</c:v>
                </c:pt>
                <c:pt idx="5">
                  <c:v>23486.295082595705</c:v>
                </c:pt>
                <c:pt idx="6">
                  <c:v>28990.628925667897</c:v>
                </c:pt>
                <c:pt idx="7">
                  <c:v>29506.886706852365</c:v>
                </c:pt>
                <c:pt idx="8">
                  <c:v>30932.434367997386</c:v>
                </c:pt>
                <c:pt idx="9">
                  <c:v>31655.728868806957</c:v>
                </c:pt>
                <c:pt idx="10">
                  <c:v>35957.310035737362</c:v>
                </c:pt>
                <c:pt idx="11">
                  <c:v>40306.290748167055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6000"/>
        <c:axId val="200590464"/>
      </c:scatterChart>
      <c:valAx>
        <c:axId val="2005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0590464"/>
        <c:crosses val="autoZero"/>
        <c:crossBetween val="midCat"/>
      </c:valAx>
      <c:valAx>
        <c:axId val="200590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05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86528"/>
        <c:axId val="218888448"/>
      </c:scatterChart>
      <c:valAx>
        <c:axId val="2188865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8888448"/>
        <c:crosses val="autoZero"/>
        <c:crossBetween val="midCat"/>
        <c:dispUnits>
          <c:builtInUnit val="thousands"/>
          <c:dispUnitsLbl/>
        </c:dispUnits>
      </c:valAx>
      <c:valAx>
        <c:axId val="2188884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8886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01504"/>
        <c:axId val="218915968"/>
      </c:scatterChart>
      <c:valAx>
        <c:axId val="21890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915968"/>
        <c:crosses val="autoZero"/>
        <c:crossBetween val="midCat"/>
      </c:valAx>
      <c:valAx>
        <c:axId val="2189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01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48736"/>
        <c:axId val="218950272"/>
      </c:scatterChart>
      <c:valAx>
        <c:axId val="2189487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8950272"/>
        <c:crosses val="autoZero"/>
        <c:crossBetween val="midCat"/>
      </c:valAx>
      <c:valAx>
        <c:axId val="21895027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18948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9184"/>
        <c:axId val="231631104"/>
      </c:scatterChart>
      <c:valAx>
        <c:axId val="23162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631104"/>
        <c:crosses val="autoZero"/>
        <c:crossBetween val="midCat"/>
      </c:valAx>
      <c:valAx>
        <c:axId val="2316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62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68736"/>
        <c:axId val="177410816"/>
      </c:scatterChart>
      <c:valAx>
        <c:axId val="2316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0816"/>
        <c:crosses val="autoZero"/>
        <c:crossBetween val="midCat"/>
      </c:valAx>
      <c:valAx>
        <c:axId val="1774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66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67392"/>
        <c:axId val="177469312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64800"/>
        <c:axId val="231563264"/>
      </c:scatterChart>
      <c:valAx>
        <c:axId val="17746739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9312"/>
        <c:crosses val="autoZero"/>
        <c:crossBetween val="midCat"/>
      </c:valAx>
      <c:valAx>
        <c:axId val="1774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7392"/>
        <c:crosses val="autoZero"/>
        <c:crossBetween val="midCat"/>
      </c:valAx>
      <c:valAx>
        <c:axId val="231563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64800"/>
        <c:crosses val="max"/>
        <c:crossBetween val="midCat"/>
      </c:valAx>
      <c:valAx>
        <c:axId val="23156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56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37600"/>
        <c:axId val="231801216"/>
      </c:scatterChart>
      <c:valAx>
        <c:axId val="23173760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31801216"/>
        <c:crosses val="autoZero"/>
        <c:crossBetween val="midCat"/>
      </c:valAx>
      <c:valAx>
        <c:axId val="231801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73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18368"/>
        <c:axId val="231820288"/>
      </c:scatterChart>
      <c:valAx>
        <c:axId val="2318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31820288"/>
        <c:crosses val="autoZero"/>
        <c:crossBetween val="midCat"/>
      </c:valAx>
      <c:valAx>
        <c:axId val="23182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81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62656"/>
        <c:axId val="231864192"/>
      </c:scatterChart>
      <c:valAx>
        <c:axId val="231862656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64192"/>
        <c:crosses val="autoZero"/>
        <c:crossBetween val="midCat"/>
      </c:valAx>
      <c:valAx>
        <c:axId val="2318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62656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72768"/>
        <c:axId val="231899136"/>
      </c:scatterChart>
      <c:valAx>
        <c:axId val="23187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99136"/>
        <c:crosses val="autoZero"/>
        <c:crossBetween val="midCat"/>
      </c:valAx>
      <c:valAx>
        <c:axId val="2318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7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28985.507246376812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44444.444444444445</c:v>
                </c:pt>
              </c:numCache>
            </c:numRef>
          </c:xVal>
          <c:yVal>
            <c:numRef>
              <c:f>Ard1_Turn1_ESC1_G1b_T1a!$Y$3:$Y$14</c:f>
              <c:numCache>
                <c:formatCode>0.00000</c:formatCode>
                <c:ptCount val="12"/>
                <c:pt idx="0">
                  <c:v>0</c:v>
                </c:pt>
                <c:pt idx="1">
                  <c:v>1.3749381071016375E-4</c:v>
                </c:pt>
                <c:pt idx="2">
                  <c:v>4.1436502476565988E-4</c:v>
                </c:pt>
                <c:pt idx="3">
                  <c:v>6.1202059455032261E-4</c:v>
                </c:pt>
                <c:pt idx="4">
                  <c:v>2.1657412282244026E-3</c:v>
                </c:pt>
                <c:pt idx="5">
                  <c:v>4.1859046592444583E-3</c:v>
                </c:pt>
                <c:pt idx="6">
                  <c:v>7.2151239858997632E-3</c:v>
                </c:pt>
                <c:pt idx="7">
                  <c:v>8.2091772511932812E-3</c:v>
                </c:pt>
                <c:pt idx="8">
                  <c:v>9.4885497721640261E-3</c:v>
                </c:pt>
                <c:pt idx="9">
                  <c:v>9.7395952108096286E-3</c:v>
                </c:pt>
                <c:pt idx="10">
                  <c:v>1.2714910690471055E-2</c:v>
                </c:pt>
                <c:pt idx="11">
                  <c:v>2.2284402099613874E-2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99936"/>
        <c:axId val="201802112"/>
      </c:scatterChart>
      <c:valAx>
        <c:axId val="20179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01802112"/>
        <c:crosses val="autoZero"/>
        <c:crossBetween val="midCat"/>
      </c:valAx>
      <c:valAx>
        <c:axId val="20180211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01799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32288"/>
        <c:axId val="231933824"/>
      </c:scatterChart>
      <c:valAx>
        <c:axId val="2319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33824"/>
        <c:crosses val="autoZero"/>
        <c:crossBetween val="midCat"/>
      </c:valAx>
      <c:valAx>
        <c:axId val="2319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3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33280"/>
        <c:axId val="232035456"/>
      </c:scatterChart>
      <c:valAx>
        <c:axId val="2320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5456"/>
        <c:crosses val="autoZero"/>
        <c:crossBetween val="midCat"/>
      </c:valAx>
      <c:valAx>
        <c:axId val="2320354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Ard1_Turn1_ESC1_G1b_T1a!$E$2:$E$14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0.29599999999999999</c:v>
                </c:pt>
                <c:pt idx="3">
                  <c:v>0.50800000000000001</c:v>
                </c:pt>
                <c:pt idx="4">
                  <c:v>0.61</c:v>
                </c:pt>
                <c:pt idx="5">
                  <c:v>0.83399999999999996</c:v>
                </c:pt>
                <c:pt idx="6">
                  <c:v>1.1919999999999999</c:v>
                </c:pt>
                <c:pt idx="7">
                  <c:v>1.61</c:v>
                </c:pt>
                <c:pt idx="8">
                  <c:v>1.6870000000000001</c:v>
                </c:pt>
                <c:pt idx="9">
                  <c:v>1.796</c:v>
                </c:pt>
                <c:pt idx="10">
                  <c:v>1.8779999999999999</c:v>
                </c:pt>
                <c:pt idx="11">
                  <c:v>2.27</c:v>
                </c:pt>
                <c:pt idx="12">
                  <c:v>3.67</c:v>
                </c:pt>
              </c:numCache>
            </c:numRef>
          </c:xVal>
          <c:yVal>
            <c:numRef>
              <c:f>Ard1_Turn1_ESC1_G1b_T1a!$Q$2:$Q$14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4464.2857142857147</c:v>
                </c:pt>
                <c:pt idx="3">
                  <c:v>6355.9322033898306</c:v>
                </c:pt>
                <c:pt idx="4">
                  <c:v>7692.3076923076924</c:v>
                </c:pt>
                <c:pt idx="5">
                  <c:v>10452.961672473868</c:v>
                </c:pt>
                <c:pt idx="6">
                  <c:v>15075.376884422112</c:v>
                </c:pt>
                <c:pt idx="7">
                  <c:v>20477.815699658702</c:v>
                </c:pt>
                <c:pt idx="8">
                  <c:v>21352.313167259788</c:v>
                </c:pt>
                <c:pt idx="9">
                  <c:v>22471.910112359554</c:v>
                </c:pt>
                <c:pt idx="10">
                  <c:v>23076.923076923078</c:v>
                </c:pt>
                <c:pt idx="11">
                  <c:v>26548.672566371682</c:v>
                </c:pt>
                <c:pt idx="12">
                  <c:v>37500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31552"/>
        <c:axId val="201833472"/>
      </c:scatterChart>
      <c:valAx>
        <c:axId val="20183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833472"/>
        <c:crosses val="autoZero"/>
        <c:crossBetween val="midCat"/>
      </c:valAx>
      <c:valAx>
        <c:axId val="20183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3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16.937510829002388</c:v>
                </c:pt>
                <c:pt idx="1">
                  <c:v>23.383404763532603</c:v>
                </c:pt>
                <c:pt idx="2">
                  <c:v>34.715850248154332</c:v>
                </c:pt>
                <c:pt idx="3">
                  <c:v>46.694393424993763</c:v>
                </c:pt>
                <c:pt idx="4">
                  <c:v>47.81787472147812</c:v>
                </c:pt>
                <c:pt idx="5">
                  <c:v>50.920154615194974</c:v>
                </c:pt>
                <c:pt idx="6">
                  <c:v>52.494189667306244</c:v>
                </c:pt>
                <c:pt idx="7">
                  <c:v>61.855299877147026</c:v>
                </c:pt>
                <c:pt idx="8">
                  <c:v>71.319561080098495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0.10178612537728342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50240"/>
        <c:axId val="202008064"/>
      </c:scatterChart>
      <c:valAx>
        <c:axId val="20185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008064"/>
        <c:crosses val="autoZero"/>
        <c:crossBetween val="midCat"/>
      </c:valAx>
      <c:valAx>
        <c:axId val="20200806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185024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16.937510829002388</c:v>
                </c:pt>
                <c:pt idx="1">
                  <c:v>23.383404763532603</c:v>
                </c:pt>
                <c:pt idx="2">
                  <c:v>34.715850248154332</c:v>
                </c:pt>
                <c:pt idx="3">
                  <c:v>46.694393424993763</c:v>
                </c:pt>
                <c:pt idx="4">
                  <c:v>47.81787472147812</c:v>
                </c:pt>
                <c:pt idx="5">
                  <c:v>50.920154615194974</c:v>
                </c:pt>
                <c:pt idx="6">
                  <c:v>52.494189667306244</c:v>
                </c:pt>
                <c:pt idx="7">
                  <c:v>61.855299877147026</c:v>
                </c:pt>
                <c:pt idx="8">
                  <c:v>71.319561080098495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0.10178612537728342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Ard1_Turn1_ESC1_G1b_T1a!$AN$4:$AN$14</c:f>
              <c:numCache>
                <c:formatCode>0.0</c:formatCode>
                <c:ptCount val="11"/>
                <c:pt idx="0">
                  <c:v>6.5378489437057672</c:v>
                </c:pt>
                <c:pt idx="1">
                  <c:v>11.517702605106605</c:v>
                </c:pt>
                <c:pt idx="2">
                  <c:v>16.937510829002388</c:v>
                </c:pt>
                <c:pt idx="3">
                  <c:v>23.383404763532603</c:v>
                </c:pt>
                <c:pt idx="4">
                  <c:v>34.715850248154332</c:v>
                </c:pt>
                <c:pt idx="5">
                  <c:v>46.694393424993763</c:v>
                </c:pt>
                <c:pt idx="6">
                  <c:v>47.81787472147812</c:v>
                </c:pt>
                <c:pt idx="7">
                  <c:v>50.920154615194974</c:v>
                </c:pt>
                <c:pt idx="8">
                  <c:v>52.494189667306244</c:v>
                </c:pt>
                <c:pt idx="9">
                  <c:v>61.855299877147026</c:v>
                </c:pt>
                <c:pt idx="10">
                  <c:v>71.319561080098495</c:v>
                </c:pt>
              </c:numCache>
            </c:numRef>
          </c:xVal>
          <c:yVal>
            <c:numRef>
              <c:f>Ard1_Turn1_ESC1_G1b_T1a!$AS$4:$AS$14</c:f>
              <c:numCache>
                <c:formatCode>0.000</c:formatCode>
                <c:ptCount val="11"/>
                <c:pt idx="0">
                  <c:v>0.17815235632412671</c:v>
                </c:pt>
                <c:pt idx="1">
                  <c:v>0.13744088570436069</c:v>
                </c:pt>
                <c:pt idx="2">
                  <c:v>0.11006633175320313</c:v>
                </c:pt>
                <c:pt idx="3">
                  <c:v>8.898699731631099E-2</c:v>
                </c:pt>
                <c:pt idx="4">
                  <c:v>6.6572162233047821E-2</c:v>
                </c:pt>
                <c:pt idx="5">
                  <c:v>5.2574270893958226E-2</c:v>
                </c:pt>
                <c:pt idx="6">
                  <c:v>5.1557498751041861E-2</c:v>
                </c:pt>
                <c:pt idx="7">
                  <c:v>4.8943756199291366E-2</c:v>
                </c:pt>
                <c:pt idx="8">
                  <c:v>4.771639603355439E-2</c:v>
                </c:pt>
                <c:pt idx="9">
                  <c:v>4.1523650762773305E-2</c:v>
                </c:pt>
                <c:pt idx="10">
                  <c:v>3.6707209073352239E-2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51584"/>
        <c:axId val="202457856"/>
      </c:scatterChart>
      <c:valAx>
        <c:axId val="20245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457856"/>
        <c:crosses val="autoZero"/>
        <c:crossBetween val="midCat"/>
      </c:valAx>
      <c:valAx>
        <c:axId val="20245785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245158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15239</xdr:rowOff>
    </xdr:from>
    <xdr:to>
      <xdr:col>6</xdr:col>
      <xdr:colOff>423333</xdr:colOff>
      <xdr:row>64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293371</xdr:colOff>
      <xdr:row>27</xdr:row>
      <xdr:rowOff>68580</xdr:rowOff>
    </xdr:from>
    <xdr:to>
      <xdr:col>22</xdr:col>
      <xdr:colOff>381000</xdr:colOff>
      <xdr:row>40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42</xdr:row>
      <xdr:rowOff>172091</xdr:rowOff>
    </xdr:from>
    <xdr:to>
      <xdr:col>12</xdr:col>
      <xdr:colOff>101600</xdr:colOff>
      <xdr:row>55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100753</xdr:colOff>
      <xdr:row>42</xdr:row>
      <xdr:rowOff>170186</xdr:rowOff>
    </xdr:from>
    <xdr:to>
      <xdr:col>19</xdr:col>
      <xdr:colOff>306493</xdr:colOff>
      <xdr:row>58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27</xdr:row>
      <xdr:rowOff>93133</xdr:rowOff>
    </xdr:from>
    <xdr:to>
      <xdr:col>14</xdr:col>
      <xdr:colOff>228599</xdr:colOff>
      <xdr:row>40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139701</xdr:colOff>
      <xdr:row>32</xdr:row>
      <xdr:rowOff>120656</xdr:rowOff>
    </xdr:from>
    <xdr:to>
      <xdr:col>40</xdr:col>
      <xdr:colOff>53824</xdr:colOff>
      <xdr:row>46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395816</xdr:colOff>
      <xdr:row>65</xdr:row>
      <xdr:rowOff>28786</xdr:rowOff>
    </xdr:from>
    <xdr:to>
      <xdr:col>33</xdr:col>
      <xdr:colOff>39369</xdr:colOff>
      <xdr:row>80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180802</xdr:colOff>
      <xdr:row>79</xdr:row>
      <xdr:rowOff>86590</xdr:rowOff>
    </xdr:from>
    <xdr:to>
      <xdr:col>34</xdr:col>
      <xdr:colOff>142702</xdr:colOff>
      <xdr:row>94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110064</xdr:colOff>
      <xdr:row>47</xdr:row>
      <xdr:rowOff>67732</xdr:rowOff>
    </xdr:from>
    <xdr:to>
      <xdr:col>51</xdr:col>
      <xdr:colOff>8466</xdr:colOff>
      <xdr:row>57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493185</xdr:colOff>
      <xdr:row>18</xdr:row>
      <xdr:rowOff>61382</xdr:rowOff>
    </xdr:from>
    <xdr:to>
      <xdr:col>53</xdr:col>
      <xdr:colOff>357717</xdr:colOff>
      <xdr:row>33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abSelected="1" topLeftCell="AL24" zoomScale="80" zoomScaleNormal="80" workbookViewId="0">
      <selection activeCell="AX37" sqref="AX37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4" si="1">D2/180+1</f>
        <v>1.0318087075531093</v>
      </c>
      <c r="D2" s="262">
        <f>EXP((0-$Q$42)/$R$42)</f>
        <v>5.7255673595596592</v>
      </c>
      <c r="E2" s="109">
        <v>3.2000000000000002E-3</v>
      </c>
      <c r="F2" s="109">
        <v>12.25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1.7394999999999998</v>
      </c>
      <c r="L2" s="229">
        <f t="shared" ref="L2:L14" si="3">D2</f>
        <v>5.7255673595596592</v>
      </c>
      <c r="M2" s="234">
        <f t="shared" ref="M2:M14" si="4">LN(L2)</f>
        <v>1.7449416466365046</v>
      </c>
      <c r="N2" s="3">
        <f t="shared" ref="N2:N14" si="5">1/H2/0.000001</f>
        <v>9.999999999999999E-27</v>
      </c>
      <c r="O2" s="3">
        <f t="shared" ref="O2:O14" si="6">1/I2/0.000001</f>
        <v>9.999999999999999E-27</v>
      </c>
      <c r="P2" s="3">
        <f t="shared" ref="P2:P14" si="7">N2*60/$C$26</f>
        <v>5.9999999999999995E-25</v>
      </c>
      <c r="Q2" s="4">
        <v>0</v>
      </c>
      <c r="R2" s="3">
        <f t="shared" ref="R2:R14" si="8">P2/$Q$31</f>
        <v>1.3020833333333332E-27</v>
      </c>
      <c r="S2" s="3">
        <f t="shared" ref="S2:S14" si="9">Q2/$Q$31</f>
        <v>0</v>
      </c>
      <c r="T2" s="3">
        <f t="shared" ref="T2:T14" si="10">L2</f>
        <v>5.7255673595596592</v>
      </c>
      <c r="U2" s="158">
        <f t="shared" si="0"/>
        <v>1.7394999999999998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11">$Q$38*(P2/$Q$31/100)^3</f>
        <v>9.76843480821773E-87</v>
      </c>
      <c r="AA2" s="229">
        <f t="shared" ref="AA2:AA14" si="12">SQRT(Z2^3/4/$Q$28/$Q$34)</f>
        <v>9.469612348787209E-129</v>
      </c>
      <c r="AB2" s="1"/>
      <c r="AC2" s="158">
        <f t="shared" ref="AC2:AC14" si="13">SQRT(Z2/$Q$34/$Q$28)</f>
        <v>1.9388187636407961E-42</v>
      </c>
      <c r="AD2" s="175">
        <f t="shared" ref="AD2:AD9" si="14">AC2*1/1.6/1000*3600</f>
        <v>4.3623422181917907E-42</v>
      </c>
      <c r="AE2" s="4">
        <f t="shared" ref="AE2:AE14" si="15">Q2/60*PI()*$C$40/1000</f>
        <v>0</v>
      </c>
      <c r="AF2" s="158">
        <f>AE2/AC2</f>
        <v>0</v>
      </c>
      <c r="AH2" s="228">
        <f t="shared" ref="AH2:AH14" si="16">D2/$Q$32*$Q$24</f>
        <v>0.15904353776554608</v>
      </c>
      <c r="AI2" s="228">
        <f t="shared" ref="AI2:AI14" si="17">AH2/$Q$24*$Q$32</f>
        <v>5.7255673595596592</v>
      </c>
      <c r="AJ2" s="229">
        <f t="shared" ref="AJ2:AJ14" si="18">MAX(($Q$42+$R$42*LN($AI2)),0)</f>
        <v>0</v>
      </c>
      <c r="AK2" s="229">
        <f t="shared" ref="AK2:AK14" si="19">MAX(($Q$42+$R$42*LN(AI2))/$Q$31,0)</f>
        <v>0</v>
      </c>
      <c r="AL2" s="229">
        <f t="shared" ref="AL2:AL14" si="20">($Q$43+$R$43*AK2*$Q$31)/$Q$31</f>
        <v>-16.395075747904372</v>
      </c>
      <c r="AM2" s="229">
        <f t="shared" ref="AM2:AM14" si="21">($Q$44+$R$44*AL2*$Q$31)/$Q$31</f>
        <v>0.21930083521088445</v>
      </c>
      <c r="AN2" s="1"/>
      <c r="AO2" s="1">
        <f t="shared" ref="AO2:AO14" si="22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12.24</v>
      </c>
      <c r="G3" s="106">
        <v>0.71</v>
      </c>
      <c r="H3" s="73">
        <v>6060</v>
      </c>
      <c r="I3" s="191">
        <v>1.0000000000000001E+32</v>
      </c>
      <c r="J3" s="61"/>
      <c r="K3" s="2">
        <f t="shared" si="2"/>
        <v>8.6904000000000003</v>
      </c>
      <c r="L3" s="1">
        <f t="shared" si="3"/>
        <v>8</v>
      </c>
      <c r="M3" s="234">
        <f t="shared" si="4"/>
        <v>2.0794415416798357</v>
      </c>
      <c r="N3" s="3">
        <f t="shared" si="5"/>
        <v>165.01650165016503</v>
      </c>
      <c r="O3" s="3">
        <f t="shared" si="6"/>
        <v>9.999999999999999E-27</v>
      </c>
      <c r="P3" s="3">
        <f t="shared" si="7"/>
        <v>9900.9900990099013</v>
      </c>
      <c r="Q3" s="3">
        <f t="shared" ref="Q3:Q14" si="23">O3*60/$C$26</f>
        <v>5.9999999999999995E-25</v>
      </c>
      <c r="R3" s="3">
        <f t="shared" si="8"/>
        <v>21.486523652365236</v>
      </c>
      <c r="S3" s="3">
        <f t="shared" si="9"/>
        <v>1.3020833333333332E-27</v>
      </c>
      <c r="T3" s="3">
        <f>L3</f>
        <v>8</v>
      </c>
      <c r="U3" s="158">
        <f>K3</f>
        <v>8.6904000000000003</v>
      </c>
      <c r="V3" s="1">
        <f t="shared" ref="V3:V14" si="24">($U3-$U$2)</f>
        <v>6.9509000000000007</v>
      </c>
      <c r="W3" s="234">
        <f t="shared" ref="W3:W14" si="25">($U3-$U$2)*0.001341022</f>
        <v>9.321309819800002E-3</v>
      </c>
      <c r="X3" s="230">
        <f>$W3/$P3*5252</f>
        <v>4.9445074365325505E-3</v>
      </c>
      <c r="Y3" s="230">
        <f>X3-$X$3</f>
        <v>0</v>
      </c>
      <c r="Z3" s="228">
        <f t="shared" si="11"/>
        <v>4.3894197155229624E-2</v>
      </c>
      <c r="AA3" s="229">
        <f t="shared" si="12"/>
        <v>9.0199762119561183E-2</v>
      </c>
      <c r="AB3" s="2">
        <f>AA3/U3*100</f>
        <v>1.0379241705739803</v>
      </c>
      <c r="AC3" s="158">
        <f t="shared" si="13"/>
        <v>4.109871826591303</v>
      </c>
      <c r="AD3" s="175">
        <f t="shared" si="14"/>
        <v>9.2472116098304316</v>
      </c>
      <c r="AE3" s="4">
        <f t="shared" si="15"/>
        <v>1.7278759594743859E-27</v>
      </c>
      <c r="AF3" s="158">
        <f t="shared" ref="AF3:AF14" si="26">AE3/AC3</f>
        <v>4.2042088716607814E-28</v>
      </c>
      <c r="AH3" s="228">
        <f t="shared" si="16"/>
        <v>0.22222222222222224</v>
      </c>
      <c r="AI3" s="228">
        <f t="shared" si="17"/>
        <v>8</v>
      </c>
      <c r="AJ3" s="229">
        <f t="shared" si="18"/>
        <v>3942.4163016050516</v>
      </c>
      <c r="AK3" s="229">
        <f t="shared" si="19"/>
        <v>8.5555909323026285</v>
      </c>
      <c r="AL3" s="229">
        <f t="shared" si="20"/>
        <v>-7.8155808923572634</v>
      </c>
      <c r="AM3" s="229">
        <f t="shared" si="21"/>
        <v>8.7406568002080327</v>
      </c>
      <c r="AN3" s="1"/>
      <c r="AO3" s="1">
        <f t="shared" si="22"/>
        <v>0</v>
      </c>
      <c r="AP3" s="227">
        <f t="shared" ref="AP3:AP14" si="27">MAX($J$48+$AJ3*($K$48+$AJ3*$L$48), 0)</f>
        <v>0</v>
      </c>
      <c r="AQ3" s="227">
        <f>AJ3*AP3/5252</f>
        <v>0</v>
      </c>
      <c r="AR3" s="231">
        <f t="shared" ref="AR3:AR14" si="28">MAX($K$48+$L$48*2*AJ3,1E-32)</f>
        <v>3.0720852793750902E-8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1.0777777777777777</v>
      </c>
      <c r="D4" s="73">
        <v>14</v>
      </c>
      <c r="E4" s="109">
        <v>0.29599999999999999</v>
      </c>
      <c r="F4" s="73">
        <v>12.24</v>
      </c>
      <c r="G4" s="106">
        <v>0.77600000000000002</v>
      </c>
      <c r="H4" s="73">
        <v>5580</v>
      </c>
      <c r="I4" s="78">
        <v>13440</v>
      </c>
      <c r="J4" s="61"/>
      <c r="K4" s="2">
        <f t="shared" si="2"/>
        <v>9.4982400000000009</v>
      </c>
      <c r="L4" s="1">
        <f t="shared" si="3"/>
        <v>14</v>
      </c>
      <c r="M4" s="234">
        <f t="shared" si="4"/>
        <v>2.6390573296152584</v>
      </c>
      <c r="N4" s="3">
        <f t="shared" si="5"/>
        <v>179.2114695340502</v>
      </c>
      <c r="O4" s="3">
        <f t="shared" si="6"/>
        <v>74.404761904761912</v>
      </c>
      <c r="P4" s="3">
        <f t="shared" si="7"/>
        <v>10752.688172043012</v>
      </c>
      <c r="Q4" s="3">
        <f t="shared" si="23"/>
        <v>4464.2857142857147</v>
      </c>
      <c r="R4" s="3">
        <f t="shared" si="8"/>
        <v>23.33482676224612</v>
      </c>
      <c r="S4" s="3">
        <f t="shared" si="9"/>
        <v>9.6881200396825395</v>
      </c>
      <c r="T4" s="3">
        <f t="shared" si="10"/>
        <v>14</v>
      </c>
      <c r="U4" s="158">
        <f t="shared" si="0"/>
        <v>9.4982400000000009</v>
      </c>
      <c r="V4" s="229">
        <f t="shared" si="24"/>
        <v>7.7587400000000013</v>
      </c>
      <c r="W4" s="234">
        <f t="shared" si="25"/>
        <v>1.0404641032280003E-2</v>
      </c>
      <c r="X4" s="230">
        <f t="shared" ref="X4:X14" si="29">$W4/$P4*5252</f>
        <v>5.0820012472427142E-3</v>
      </c>
      <c r="Y4" s="230">
        <f t="shared" ref="Y4:Y14" si="30">X4-$X$3</f>
        <v>1.3749381071016375E-4</v>
      </c>
      <c r="Z4" s="228">
        <f t="shared" si="11"/>
        <v>5.6224083613656932E-2</v>
      </c>
      <c r="AA4" s="229">
        <f t="shared" si="12"/>
        <v>0.13076102183450972</v>
      </c>
      <c r="AB4" s="2">
        <f t="shared" ref="AB4:AB13" si="31">AA4/U4*100</f>
        <v>1.3766868581390836</v>
      </c>
      <c r="AC4" s="158">
        <f t="shared" si="13"/>
        <v>4.6514238536294297</v>
      </c>
      <c r="AD4" s="175">
        <f t="shared" si="14"/>
        <v>10.465703670666215</v>
      </c>
      <c r="AE4" s="175">
        <f t="shared" si="15"/>
        <v>12.856219936565376</v>
      </c>
      <c r="AF4" s="158">
        <f t="shared" si="26"/>
        <v>2.7639321509120003</v>
      </c>
      <c r="AG4" s="151"/>
      <c r="AH4" s="228">
        <f t="shared" si="16"/>
        <v>0.3888888888888889</v>
      </c>
      <c r="AI4" s="228">
        <f t="shared" si="17"/>
        <v>14</v>
      </c>
      <c r="AJ4" s="229">
        <f t="shared" si="18"/>
        <v>10538.048879326398</v>
      </c>
      <c r="AK4" s="229">
        <f t="shared" si="19"/>
        <v>22.869029686038189</v>
      </c>
      <c r="AL4" s="229">
        <f t="shared" si="20"/>
        <v>6.5378489437057672</v>
      </c>
      <c r="AM4" s="229">
        <f t="shared" si="21"/>
        <v>22.996820713241124</v>
      </c>
      <c r="AN4" s="2">
        <f t="shared" ref="AN4:AN14" si="32">AO4/$Q$31</f>
        <v>6.5378489437057672</v>
      </c>
      <c r="AO4" s="3">
        <f t="shared" si="22"/>
        <v>3012.6407932596176</v>
      </c>
      <c r="AP4" s="227">
        <f t="shared" si="27"/>
        <v>0</v>
      </c>
      <c r="AQ4" s="227">
        <f t="shared" ref="AQ4:AQ14" si="33">AJ4*AP4/5252</f>
        <v>0</v>
      </c>
      <c r="AR4" s="231">
        <f t="shared" si="28"/>
        <v>2.1008320224910607E-7</v>
      </c>
      <c r="AS4" s="228">
        <f t="shared" ref="AS4:AS14" si="34">$Q$36/AR4</f>
        <v>0.17815235632412671</v>
      </c>
      <c r="AT4" s="1"/>
      <c r="AU4" s="228"/>
      <c r="AX4" s="127"/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0.50800000000000001</v>
      </c>
      <c r="F5" s="73">
        <v>12.23</v>
      </c>
      <c r="G5" s="73">
        <v>1.0309999999999999</v>
      </c>
      <c r="H5" s="73">
        <v>4200</v>
      </c>
      <c r="I5" s="78">
        <v>9440</v>
      </c>
      <c r="J5" s="61"/>
      <c r="K5" s="2">
        <f t="shared" si="2"/>
        <v>12.609129999999999</v>
      </c>
      <c r="L5" s="1">
        <f t="shared" si="3"/>
        <v>17</v>
      </c>
      <c r="M5" s="234">
        <f t="shared" si="4"/>
        <v>2.8332133440562162</v>
      </c>
      <c r="N5" s="3">
        <f t="shared" si="5"/>
        <v>238.0952380952381</v>
      </c>
      <c r="O5" s="3">
        <f t="shared" si="6"/>
        <v>105.93220338983051</v>
      </c>
      <c r="P5" s="3">
        <f t="shared" si="7"/>
        <v>14285.714285714286</v>
      </c>
      <c r="Q5" s="3">
        <f t="shared" si="23"/>
        <v>6355.9322033898306</v>
      </c>
      <c r="R5" s="3">
        <f t="shared" si="8"/>
        <v>31.001984126984127</v>
      </c>
      <c r="S5" s="3">
        <f t="shared" si="9"/>
        <v>13.793255649717514</v>
      </c>
      <c r="T5" s="3">
        <f t="shared" si="10"/>
        <v>17</v>
      </c>
      <c r="U5" s="158">
        <f t="shared" si="0"/>
        <v>12.609129999999999</v>
      </c>
      <c r="V5" s="229">
        <f t="shared" si="24"/>
        <v>10.869629999999999</v>
      </c>
      <c r="W5" s="234">
        <f t="shared" si="25"/>
        <v>1.457641296186E-2</v>
      </c>
      <c r="X5" s="230">
        <f t="shared" si="29"/>
        <v>5.3588724612982103E-3</v>
      </c>
      <c r="Y5" s="230">
        <f t="shared" si="30"/>
        <v>4.1436502476565988E-4</v>
      </c>
      <c r="Z5" s="228">
        <f t="shared" si="11"/>
        <v>0.13184908228347009</v>
      </c>
      <c r="AA5" s="229">
        <f t="shared" si="12"/>
        <v>0.46958086788049352</v>
      </c>
      <c r="AB5" s="2">
        <f t="shared" si="31"/>
        <v>3.7241337656166094</v>
      </c>
      <c r="AC5" s="158">
        <f t="shared" si="13"/>
        <v>7.1230054809318135</v>
      </c>
      <c r="AD5" s="175">
        <f t="shared" si="14"/>
        <v>16.026762332096578</v>
      </c>
      <c r="AE5" s="175">
        <f t="shared" si="15"/>
        <v>18.303770757143919</v>
      </c>
      <c r="AF5" s="158">
        <f t="shared" si="26"/>
        <v>2.5696696157461703</v>
      </c>
      <c r="AG5" s="151"/>
      <c r="AH5" s="228">
        <f t="shared" si="16"/>
        <v>0.47222222222222221</v>
      </c>
      <c r="AI5" s="228">
        <f t="shared" si="17"/>
        <v>17</v>
      </c>
      <c r="AJ5" s="229">
        <f t="shared" si="18"/>
        <v>12826.371978164865</v>
      </c>
      <c r="AK5" s="229">
        <f t="shared" si="19"/>
        <v>27.835008633170279</v>
      </c>
      <c r="AL5" s="229">
        <f t="shared" si="20"/>
        <v>11.517702605106599</v>
      </c>
      <c r="AM5" s="229">
        <f t="shared" si="21"/>
        <v>27.942928429006496</v>
      </c>
      <c r="AN5" s="2">
        <f t="shared" si="32"/>
        <v>11.517702605106605</v>
      </c>
      <c r="AO5" s="3">
        <f t="shared" si="22"/>
        <v>5307.3573604331232</v>
      </c>
      <c r="AP5" s="227">
        <f t="shared" si="27"/>
        <v>3.3050048359027835E-4</v>
      </c>
      <c r="AQ5" s="227">
        <f t="shared" si="33"/>
        <v>8.0714435291170657E-4</v>
      </c>
      <c r="AR5" s="231">
        <f t="shared" si="28"/>
        <v>2.7231210940609397E-7</v>
      </c>
      <c r="AS5" s="228">
        <f t="shared" si="34"/>
        <v>0.13744088570436069</v>
      </c>
      <c r="AT5" s="232"/>
      <c r="AU5" s="165"/>
      <c r="AX5" s="127"/>
      <c r="AY5" s="96"/>
    </row>
    <row r="6" spans="1:51" ht="13.9" customHeight="1" x14ac:dyDescent="0.3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0.61</v>
      </c>
      <c r="F6" s="73">
        <v>12.23</v>
      </c>
      <c r="G6" s="73">
        <v>1.194</v>
      </c>
      <c r="H6" s="73">
        <v>3680</v>
      </c>
      <c r="I6" s="78">
        <v>7800</v>
      </c>
      <c r="J6" s="61"/>
      <c r="K6" s="2">
        <f t="shared" si="2"/>
        <v>14.60262</v>
      </c>
      <c r="L6" s="1">
        <f t="shared" si="3"/>
        <v>21</v>
      </c>
      <c r="M6" s="234">
        <f t="shared" si="4"/>
        <v>3.044522437723423</v>
      </c>
      <c r="N6" s="3">
        <f t="shared" si="5"/>
        <v>271.73913043478262</v>
      </c>
      <c r="O6" s="3">
        <f t="shared" si="6"/>
        <v>128.2051282051282</v>
      </c>
      <c r="P6" s="3">
        <f t="shared" si="7"/>
        <v>16304.347826086958</v>
      </c>
      <c r="Q6" s="3">
        <f t="shared" si="23"/>
        <v>7692.3076923076924</v>
      </c>
      <c r="R6" s="3">
        <f t="shared" si="8"/>
        <v>35.38269927536232</v>
      </c>
      <c r="S6" s="3">
        <f t="shared" si="9"/>
        <v>16.693376068376068</v>
      </c>
      <c r="T6" s="3">
        <f t="shared" si="10"/>
        <v>21</v>
      </c>
      <c r="U6" s="158">
        <f t="shared" si="0"/>
        <v>14.60262</v>
      </c>
      <c r="V6" s="229">
        <f t="shared" si="24"/>
        <v>12.86312</v>
      </c>
      <c r="W6" s="234">
        <f t="shared" si="25"/>
        <v>1.724972690864E-2</v>
      </c>
      <c r="X6" s="230">
        <f t="shared" si="29"/>
        <v>5.5565280310828731E-3</v>
      </c>
      <c r="Y6" s="230">
        <f t="shared" si="30"/>
        <v>6.1202059455032261E-4</v>
      </c>
      <c r="Z6" s="228">
        <f t="shared" si="11"/>
        <v>0.19601148839895066</v>
      </c>
      <c r="AA6" s="229">
        <f t="shared" si="12"/>
        <v>0.85117138890291044</v>
      </c>
      <c r="AB6" s="2">
        <f t="shared" si="31"/>
        <v>5.8288950126957388</v>
      </c>
      <c r="AC6" s="158">
        <f t="shared" si="13"/>
        <v>8.6849132758023302</v>
      </c>
      <c r="AD6" s="175">
        <f t="shared" si="14"/>
        <v>19.541054870555243</v>
      </c>
      <c r="AE6" s="175">
        <f t="shared" si="15"/>
        <v>22.152255890697258</v>
      </c>
      <c r="AF6" s="158">
        <f t="shared" si="26"/>
        <v>2.5506594236717679</v>
      </c>
      <c r="AG6" s="151"/>
      <c r="AH6" s="228">
        <f t="shared" si="16"/>
        <v>0.58333333333333337</v>
      </c>
      <c r="AI6" s="228">
        <f t="shared" si="17"/>
        <v>21</v>
      </c>
      <c r="AJ6" s="229">
        <f t="shared" si="18"/>
        <v>15316.861296384439</v>
      </c>
      <c r="AK6" s="229">
        <f t="shared" si="19"/>
        <v>33.239716355000951</v>
      </c>
      <c r="AL6" s="229">
        <f t="shared" si="20"/>
        <v>16.937510829002385</v>
      </c>
      <c r="AM6" s="229">
        <f t="shared" si="21"/>
        <v>33.326009358063104</v>
      </c>
      <c r="AN6" s="2">
        <f t="shared" si="32"/>
        <v>16.937510829002388</v>
      </c>
      <c r="AO6" s="3">
        <f t="shared" si="22"/>
        <v>7804.8049900043006</v>
      </c>
      <c r="AP6" s="227">
        <f t="shared" si="27"/>
        <v>1.0930271166754678E-3</v>
      </c>
      <c r="AQ6" s="227">
        <f t="shared" si="33"/>
        <v>3.1876894020002192E-3</v>
      </c>
      <c r="AR6" s="231">
        <f t="shared" si="28"/>
        <v>3.4003874671427067E-7</v>
      </c>
      <c r="AS6" s="228">
        <f t="shared" si="34"/>
        <v>0.11006633175320313</v>
      </c>
      <c r="AT6" s="232">
        <f t="shared" ref="AT6:AT14" si="35">$Q$45*$Q$28*$Q$37^2*$Q$34*PI()/240*($AC6-$Q$47)/$Q$46*$Q$35</f>
        <v>-8.6930878426726021E-8</v>
      </c>
      <c r="AU6" s="165">
        <f t="shared" ref="AU6:AU14" si="36">-$Q$36/AT6</f>
        <v>0.43053536536322207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0.83399999999999996</v>
      </c>
      <c r="F7" s="73">
        <v>12.22</v>
      </c>
      <c r="G7" s="73">
        <v>1.6220000000000001</v>
      </c>
      <c r="H7" s="73">
        <v>3350</v>
      </c>
      <c r="I7" s="78">
        <v>5740</v>
      </c>
      <c r="J7" s="61"/>
      <c r="K7" s="2">
        <f t="shared" si="2"/>
        <v>19.820840000000004</v>
      </c>
      <c r="L7" s="1">
        <f t="shared" si="3"/>
        <v>27</v>
      </c>
      <c r="M7" s="234">
        <f t="shared" si="4"/>
        <v>3.2958368660043291</v>
      </c>
      <c r="N7" s="3">
        <f t="shared" si="5"/>
        <v>298.50746268656718</v>
      </c>
      <c r="O7" s="3">
        <f t="shared" si="6"/>
        <v>174.21602787456447</v>
      </c>
      <c r="P7" s="3">
        <f t="shared" si="7"/>
        <v>17910.447761194031</v>
      </c>
      <c r="Q7" s="3">
        <f t="shared" si="23"/>
        <v>10452.961672473868</v>
      </c>
      <c r="R7" s="3">
        <f t="shared" si="8"/>
        <v>38.868159203980099</v>
      </c>
      <c r="S7" s="3">
        <f t="shared" si="9"/>
        <v>22.684378629500582</v>
      </c>
      <c r="T7" s="3">
        <f t="shared" si="10"/>
        <v>27</v>
      </c>
      <c r="U7" s="158">
        <f t="shared" si="0"/>
        <v>19.820840000000004</v>
      </c>
      <c r="V7" s="229">
        <f t="shared" si="24"/>
        <v>18.081340000000004</v>
      </c>
      <c r="W7" s="234">
        <f t="shared" si="25"/>
        <v>2.4247474729480009E-2</v>
      </c>
      <c r="X7" s="230">
        <f t="shared" si="29"/>
        <v>7.110248664756953E-3</v>
      </c>
      <c r="Y7" s="230">
        <f t="shared" si="30"/>
        <v>2.1657412282244026E-3</v>
      </c>
      <c r="Z7" s="228">
        <f t="shared" si="11"/>
        <v>0.25983075865629035</v>
      </c>
      <c r="AA7" s="229">
        <f t="shared" si="12"/>
        <v>1.2990640646721523</v>
      </c>
      <c r="AB7" s="2">
        <f t="shared" si="31"/>
        <v>6.5540313360692686</v>
      </c>
      <c r="AC7" s="158">
        <f t="shared" si="13"/>
        <v>9.9993093303520837</v>
      </c>
      <c r="AD7" s="175">
        <f t="shared" si="14"/>
        <v>22.49844599329219</v>
      </c>
      <c r="AE7" s="175">
        <f t="shared" si="15"/>
        <v>30.102368631957955</v>
      </c>
      <c r="AF7" s="158">
        <f t="shared" si="26"/>
        <v>3.0104447854798013</v>
      </c>
      <c r="AG7" s="151"/>
      <c r="AH7" s="228">
        <f t="shared" si="16"/>
        <v>0.75</v>
      </c>
      <c r="AI7" s="228">
        <f t="shared" si="17"/>
        <v>27</v>
      </c>
      <c r="AJ7" s="233">
        <f t="shared" si="18"/>
        <v>18278.853552779179</v>
      </c>
      <c r="AK7" s="233">
        <f t="shared" si="19"/>
        <v>39.667650939190928</v>
      </c>
      <c r="AL7" s="233">
        <f t="shared" si="20"/>
        <v>23.38340476353261</v>
      </c>
      <c r="AM7" s="233">
        <f t="shared" si="21"/>
        <v>39.728222734674006</v>
      </c>
      <c r="AN7" s="9">
        <f t="shared" si="32"/>
        <v>23.383404763532603</v>
      </c>
      <c r="AO7" s="10">
        <f t="shared" si="22"/>
        <v>10775.072915035824</v>
      </c>
      <c r="AP7" s="230">
        <f t="shared" si="27"/>
        <v>2.2195116226109259E-3</v>
      </c>
      <c r="AQ7" s="230">
        <f t="shared" si="33"/>
        <v>7.7247006680115004E-3</v>
      </c>
      <c r="AR7" s="232">
        <f t="shared" si="28"/>
        <v>4.2058748618924492E-7</v>
      </c>
      <c r="AS7" s="228">
        <f t="shared" si="34"/>
        <v>8.898699731631099E-2</v>
      </c>
      <c r="AT7" s="232">
        <f t="shared" si="35"/>
        <v>-1.1793882761591129E-7</v>
      </c>
      <c r="AU7" s="165">
        <f t="shared" si="36"/>
        <v>0.31734093225585891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1.1919999999999999</v>
      </c>
      <c r="F8" s="73">
        <v>12.19</v>
      </c>
      <c r="G8" s="73">
        <v>2.48</v>
      </c>
      <c r="H8" s="73">
        <v>2730</v>
      </c>
      <c r="I8" s="78">
        <v>3980</v>
      </c>
      <c r="J8" s="61"/>
      <c r="K8" s="2">
        <f t="shared" si="2"/>
        <v>30.231199999999998</v>
      </c>
      <c r="L8" s="1">
        <f t="shared" si="3"/>
        <v>42</v>
      </c>
      <c r="M8" s="234">
        <f t="shared" si="4"/>
        <v>3.7376696182833684</v>
      </c>
      <c r="N8" s="3">
        <f t="shared" si="5"/>
        <v>366.30036630036631</v>
      </c>
      <c r="O8" s="3">
        <f t="shared" si="6"/>
        <v>251.2562814070352</v>
      </c>
      <c r="P8" s="3">
        <f t="shared" si="7"/>
        <v>21978.021978021978</v>
      </c>
      <c r="Q8" s="3">
        <f t="shared" si="23"/>
        <v>15075.376884422112</v>
      </c>
      <c r="R8" s="3">
        <f t="shared" si="8"/>
        <v>47.695360195360195</v>
      </c>
      <c r="S8" s="3">
        <f t="shared" si="9"/>
        <v>32.71566164154104</v>
      </c>
      <c r="T8" s="3">
        <f t="shared" si="10"/>
        <v>42</v>
      </c>
      <c r="U8" s="158">
        <f t="shared" si="0"/>
        <v>30.231199999999998</v>
      </c>
      <c r="V8" s="229">
        <f t="shared" si="24"/>
        <v>28.491699999999998</v>
      </c>
      <c r="W8" s="234">
        <f t="shared" si="25"/>
        <v>3.8207996517399999E-2</v>
      </c>
      <c r="X8" s="230">
        <f t="shared" si="29"/>
        <v>9.1304120957770088E-3</v>
      </c>
      <c r="Y8" s="230">
        <f t="shared" si="30"/>
        <v>4.1859046592444583E-3</v>
      </c>
      <c r="Z8" s="228">
        <f t="shared" si="11"/>
        <v>0.48010589816466109</v>
      </c>
      <c r="AA8" s="229">
        <f t="shared" si="12"/>
        <v>3.2628738946522686</v>
      </c>
      <c r="AB8" s="2">
        <f t="shared" si="31"/>
        <v>10.793067740123677</v>
      </c>
      <c r="AC8" s="158">
        <f t="shared" si="13"/>
        <v>13.592309143151608</v>
      </c>
      <c r="AD8" s="175">
        <f t="shared" si="14"/>
        <v>30.582695572091115</v>
      </c>
      <c r="AE8" s="175">
        <f t="shared" si="15"/>
        <v>43.413968831014735</v>
      </c>
      <c r="AF8" s="158">
        <f t="shared" si="26"/>
        <v>3.1940098164180268</v>
      </c>
      <c r="AG8" s="151"/>
      <c r="AH8" s="228">
        <f t="shared" si="16"/>
        <v>1.1666666666666667</v>
      </c>
      <c r="AI8" s="228">
        <f t="shared" si="17"/>
        <v>42</v>
      </c>
      <c r="AJ8" s="229">
        <f t="shared" si="18"/>
        <v>23486.295082595705</v>
      </c>
      <c r="AK8" s="229">
        <f t="shared" si="19"/>
        <v>50.968522314660817</v>
      </c>
      <c r="AL8" s="229">
        <f t="shared" si="20"/>
        <v>34.715850248154332</v>
      </c>
      <c r="AM8" s="229">
        <f t="shared" si="21"/>
        <v>50.983873976885533</v>
      </c>
      <c r="AN8" s="2">
        <f t="shared" si="32"/>
        <v>34.715850248154332</v>
      </c>
      <c r="AO8" s="3">
        <f t="shared" si="22"/>
        <v>15997.063794349517</v>
      </c>
      <c r="AP8" s="227">
        <f t="shared" si="27"/>
        <v>4.7784137700949119E-3</v>
      </c>
      <c r="AQ8" s="227">
        <f t="shared" si="33"/>
        <v>2.1368475976996901E-2</v>
      </c>
      <c r="AR8" s="231">
        <f t="shared" si="28"/>
        <v>5.6219921735119586E-7</v>
      </c>
      <c r="AS8" s="228">
        <f t="shared" si="34"/>
        <v>6.6572162233047821E-2</v>
      </c>
      <c r="AT8" s="232">
        <f t="shared" si="35"/>
        <v>-2.0270137330858224E-7</v>
      </c>
      <c r="AU8" s="165">
        <f t="shared" si="36"/>
        <v>0.18464017729085458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1.61</v>
      </c>
      <c r="F9" s="73">
        <v>12.13</v>
      </c>
      <c r="G9" s="73">
        <v>4.21</v>
      </c>
      <c r="H9" s="73">
        <v>2100</v>
      </c>
      <c r="I9" s="78">
        <v>2930</v>
      </c>
      <c r="J9" s="61"/>
      <c r="K9" s="2">
        <f t="shared" si="2"/>
        <v>51.067300000000003</v>
      </c>
      <c r="L9" s="1">
        <f t="shared" si="3"/>
        <v>67</v>
      </c>
      <c r="M9" s="234">
        <f t="shared" si="4"/>
        <v>4.2046926193909657</v>
      </c>
      <c r="N9" s="3">
        <f t="shared" si="5"/>
        <v>476.1904761904762</v>
      </c>
      <c r="O9" s="3">
        <f t="shared" si="6"/>
        <v>341.29692832764505</v>
      </c>
      <c r="P9" s="3">
        <f t="shared" si="7"/>
        <v>28571.428571428572</v>
      </c>
      <c r="Q9" s="3">
        <f t="shared" si="23"/>
        <v>20477.815699658702</v>
      </c>
      <c r="R9" s="3">
        <f t="shared" si="8"/>
        <v>62.003968253968253</v>
      </c>
      <c r="S9" s="3">
        <f t="shared" si="9"/>
        <v>44.439704209328781</v>
      </c>
      <c r="T9" s="3">
        <f t="shared" si="10"/>
        <v>67</v>
      </c>
      <c r="U9" s="158">
        <f t="shared" si="0"/>
        <v>51.067300000000003</v>
      </c>
      <c r="V9" s="229">
        <f t="shared" si="24"/>
        <v>49.327800000000003</v>
      </c>
      <c r="W9" s="234">
        <f t="shared" si="25"/>
        <v>6.6149665011600009E-2</v>
      </c>
      <c r="X9" s="230">
        <f t="shared" si="29"/>
        <v>1.2159631422432314E-2</v>
      </c>
      <c r="Y9" s="230">
        <f t="shared" si="30"/>
        <v>7.2151239858997632E-3</v>
      </c>
      <c r="Z9" s="228">
        <f t="shared" si="11"/>
        <v>1.0547926582677607</v>
      </c>
      <c r="AA9" s="229">
        <f t="shared" si="12"/>
        <v>10.62540211180036</v>
      </c>
      <c r="AB9" s="2">
        <f t="shared" si="31"/>
        <v>20.806665149323265</v>
      </c>
      <c r="AC9" s="158">
        <f t="shared" si="13"/>
        <v>20.146901911983324</v>
      </c>
      <c r="AD9" s="175">
        <f t="shared" si="14"/>
        <v>45.330529301962478</v>
      </c>
      <c r="AE9" s="175">
        <f t="shared" si="15"/>
        <v>58.971875749979048</v>
      </c>
      <c r="AF9" s="165">
        <f t="shared" si="26"/>
        <v>2.9270940022248646</v>
      </c>
      <c r="AG9" s="151"/>
      <c r="AH9" s="228">
        <f t="shared" si="16"/>
        <v>1.8611111111111112</v>
      </c>
      <c r="AI9" s="228">
        <f t="shared" si="17"/>
        <v>67</v>
      </c>
      <c r="AJ9" s="229">
        <f t="shared" si="18"/>
        <v>28990.628925667897</v>
      </c>
      <c r="AK9" s="229">
        <f t="shared" si="19"/>
        <v>62.91369124493901</v>
      </c>
      <c r="AL9" s="229">
        <f t="shared" si="20"/>
        <v>46.694393424993763</v>
      </c>
      <c r="AM9" s="229">
        <f t="shared" si="21"/>
        <v>62.881244634546171</v>
      </c>
      <c r="AN9" s="2">
        <f t="shared" si="32"/>
        <v>46.694393424993763</v>
      </c>
      <c r="AO9" s="3">
        <f t="shared" si="22"/>
        <v>21516.776490237127</v>
      </c>
      <c r="AP9" s="227">
        <f t="shared" si="27"/>
        <v>8.2849053011175306E-3</v>
      </c>
      <c r="AQ9" s="227">
        <f t="shared" si="33"/>
        <v>4.5732028802170067E-2</v>
      </c>
      <c r="AR9" s="231">
        <f t="shared" si="28"/>
        <v>7.1188467036063782E-7</v>
      </c>
      <c r="AS9" s="228">
        <f t="shared" si="34"/>
        <v>5.2574270893958226E-2</v>
      </c>
      <c r="AT9" s="232">
        <f t="shared" si="35"/>
        <v>-3.5733093022805771E-7</v>
      </c>
      <c r="AU9" s="165">
        <f t="shared" si="36"/>
        <v>0.10473993247914357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0">
        <f t="shared" si="1"/>
        <v>1.3888888888888888</v>
      </c>
      <c r="D10" s="73">
        <v>70</v>
      </c>
      <c r="E10" s="73">
        <v>1.6870000000000001</v>
      </c>
      <c r="F10" s="73">
        <v>12.12</v>
      </c>
      <c r="G10" s="73">
        <v>4.6100000000000003</v>
      </c>
      <c r="H10" s="73">
        <v>2070</v>
      </c>
      <c r="I10" s="78">
        <v>2810</v>
      </c>
      <c r="J10" s="61"/>
      <c r="K10" s="2">
        <f t="shared" si="2"/>
        <v>55.873199999999997</v>
      </c>
      <c r="L10" s="1">
        <f t="shared" si="3"/>
        <v>70</v>
      </c>
      <c r="M10" s="234">
        <f t="shared" ref="M10:M13" si="37">LN(L10)</f>
        <v>4.2484952420493594</v>
      </c>
      <c r="N10" s="3">
        <f t="shared" si="5"/>
        <v>483.09178743961354</v>
      </c>
      <c r="O10" s="3">
        <f t="shared" si="6"/>
        <v>355.87188612099646</v>
      </c>
      <c r="P10" s="3">
        <f t="shared" si="7"/>
        <v>28985.507246376812</v>
      </c>
      <c r="Q10" s="3">
        <f t="shared" si="23"/>
        <v>21352.313167259788</v>
      </c>
      <c r="R10" s="3">
        <f t="shared" si="8"/>
        <v>62.902576489533011</v>
      </c>
      <c r="S10" s="3">
        <f t="shared" si="9"/>
        <v>46.337485172004747</v>
      </c>
      <c r="T10" s="3">
        <f t="shared" ref="T10:T13" si="38">L10</f>
        <v>70</v>
      </c>
      <c r="U10" s="158">
        <f t="shared" ref="U10:U13" si="39">K10</f>
        <v>55.873199999999997</v>
      </c>
      <c r="V10" s="229">
        <f t="shared" si="24"/>
        <v>54.133699999999997</v>
      </c>
      <c r="W10" s="234">
        <f t="shared" si="25"/>
        <v>7.2594482641400004E-2</v>
      </c>
      <c r="X10" s="230">
        <f t="shared" si="29"/>
        <v>1.3153684687725832E-2</v>
      </c>
      <c r="Y10" s="230">
        <f t="shared" ref="Y10:Y13" si="40">X10-$X$3</f>
        <v>8.2091772511932812E-3</v>
      </c>
      <c r="Z10" s="228">
        <f t="shared" si="11"/>
        <v>1.1013210651331984</v>
      </c>
      <c r="AA10" s="229">
        <f t="shared" si="12"/>
        <v>11.336151631995348</v>
      </c>
      <c r="AB10" s="2">
        <f t="shared" si="31"/>
        <v>20.289068161471597</v>
      </c>
      <c r="AC10" s="158">
        <f t="shared" si="13"/>
        <v>20.586461098198111</v>
      </c>
      <c r="AD10" s="175">
        <f t="shared" ref="AD10:AD13" si="41">AC10*1/1.6/1000*3600</f>
        <v>46.319537470945747</v>
      </c>
      <c r="AE10" s="175">
        <f t="shared" si="15"/>
        <v>61.49024766812763</v>
      </c>
      <c r="AF10" s="165">
        <f t="shared" ref="AF10:AF13" si="42">AE10/AC10</f>
        <v>2.9869265715373361</v>
      </c>
      <c r="AG10" s="151"/>
      <c r="AH10" s="228">
        <f t="shared" si="16"/>
        <v>1.9444444444444444</v>
      </c>
      <c r="AI10" s="228">
        <f t="shared" si="17"/>
        <v>70</v>
      </c>
      <c r="AJ10" s="229">
        <f t="shared" si="18"/>
        <v>29506.886706852365</v>
      </c>
      <c r="AK10" s="229">
        <f t="shared" si="19"/>
        <v>64.03404233257892</v>
      </c>
      <c r="AL10" s="229">
        <f t="shared" si="20"/>
        <v>47.81787472147812</v>
      </c>
      <c r="AM10" s="229">
        <f t="shared" si="21"/>
        <v>63.997112667402426</v>
      </c>
      <c r="AN10" s="2">
        <f t="shared" si="32"/>
        <v>47.81787472147812</v>
      </c>
      <c r="AO10" s="3">
        <f t="shared" si="22"/>
        <v>22034.476671657118</v>
      </c>
      <c r="AP10" s="227">
        <f t="shared" si="27"/>
        <v>8.6560452169344229E-3</v>
      </c>
      <c r="AQ10" s="227">
        <f t="shared" ref="AQ10:AQ13" si="43">AJ10*AP10/5252</f>
        <v>4.8631558557782811E-2</v>
      </c>
      <c r="AR10" s="231">
        <f t="shared" si="28"/>
        <v>7.2592384059438132E-7</v>
      </c>
      <c r="AS10" s="228">
        <f t="shared" si="34"/>
        <v>5.1557498751041861E-2</v>
      </c>
      <c r="AT10" s="232">
        <f t="shared" si="35"/>
        <v>-3.6770058164675188E-7</v>
      </c>
      <c r="AU10" s="165">
        <f t="shared" si="36"/>
        <v>0.10178612537728342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0">
        <f t="shared" si="1"/>
        <v>1.4388888888888889</v>
      </c>
      <c r="D11" s="73">
        <v>79</v>
      </c>
      <c r="E11" s="73">
        <v>1.796</v>
      </c>
      <c r="F11" s="73">
        <v>12.11</v>
      </c>
      <c r="G11" s="73">
        <v>5.17</v>
      </c>
      <c r="H11" s="73">
        <v>2020</v>
      </c>
      <c r="I11" s="78">
        <v>2670</v>
      </c>
      <c r="J11" s="61"/>
      <c r="K11" s="2">
        <f t="shared" si="2"/>
        <v>62.608699999999999</v>
      </c>
      <c r="L11" s="1">
        <f t="shared" si="3"/>
        <v>79</v>
      </c>
      <c r="M11" s="234">
        <f t="shared" si="37"/>
        <v>4.3694478524670215</v>
      </c>
      <c r="N11" s="3">
        <f t="shared" si="5"/>
        <v>495.04950495049508</v>
      </c>
      <c r="O11" s="3">
        <f t="shared" si="6"/>
        <v>374.53183520599254</v>
      </c>
      <c r="P11" s="3">
        <f t="shared" si="7"/>
        <v>29702.970297029704</v>
      </c>
      <c r="Q11" s="3">
        <f t="shared" si="23"/>
        <v>22471.910112359554</v>
      </c>
      <c r="R11" s="3">
        <f t="shared" si="8"/>
        <v>64.459570957095707</v>
      </c>
      <c r="S11" s="3">
        <f t="shared" si="9"/>
        <v>48.767166042446945</v>
      </c>
      <c r="T11" s="3">
        <f t="shared" si="38"/>
        <v>79</v>
      </c>
      <c r="U11" s="158">
        <f t="shared" si="39"/>
        <v>62.608699999999999</v>
      </c>
      <c r="V11" s="229">
        <f t="shared" si="24"/>
        <v>60.869199999999999</v>
      </c>
      <c r="W11" s="234">
        <f t="shared" si="25"/>
        <v>8.1626936322400007E-2</v>
      </c>
      <c r="X11" s="230">
        <f t="shared" si="29"/>
        <v>1.4433057208696577E-2</v>
      </c>
      <c r="Y11" s="230">
        <f t="shared" si="40"/>
        <v>9.4885497721640261E-3</v>
      </c>
      <c r="Z11" s="228">
        <f t="shared" si="11"/>
        <v>1.1851433231911994</v>
      </c>
      <c r="AA11" s="229">
        <f t="shared" si="12"/>
        <v>12.654676236558226</v>
      </c>
      <c r="AB11" s="2">
        <f t="shared" si="31"/>
        <v>20.21232869642434</v>
      </c>
      <c r="AC11" s="158">
        <f t="shared" si="13"/>
        <v>21.355520448756128</v>
      </c>
      <c r="AD11" s="175">
        <f t="shared" si="41"/>
        <v>48.049921009701286</v>
      </c>
      <c r="AE11" s="175">
        <f t="shared" si="15"/>
        <v>64.714455411025696</v>
      </c>
      <c r="AF11" s="163">
        <f t="shared" si="42"/>
        <v>3.0303384816264241</v>
      </c>
      <c r="AG11" s="159">
        <f>$M$42/($Q$28*$Q$37*$Q$34*($AC11-$Q$47)^2/4/$AF11)/(PI()*$Q$37/60/($AC11-$Q$47))</f>
        <v>-0.94179186274305016</v>
      </c>
      <c r="AH11" s="228">
        <f t="shared" si="16"/>
        <v>2.1944444444444446</v>
      </c>
      <c r="AI11" s="228">
        <f t="shared" si="17"/>
        <v>79.000000000000014</v>
      </c>
      <c r="AJ11" s="229">
        <f t="shared" si="18"/>
        <v>30932.434367997386</v>
      </c>
      <c r="AK11" s="229">
        <f t="shared" si="19"/>
        <v>67.127678749994331</v>
      </c>
      <c r="AL11" s="229">
        <f t="shared" si="20"/>
        <v>50.920154615194981</v>
      </c>
      <c r="AM11" s="229">
        <f t="shared" si="21"/>
        <v>67.078369981791155</v>
      </c>
      <c r="AN11" s="2">
        <f t="shared" si="32"/>
        <v>50.920154615194974</v>
      </c>
      <c r="AO11" s="3">
        <f t="shared" si="22"/>
        <v>23464.007246681846</v>
      </c>
      <c r="AP11" s="227">
        <f t="shared" si="27"/>
        <v>9.7185159954086414E-3</v>
      </c>
      <c r="AQ11" s="227">
        <f t="shared" si="43"/>
        <v>5.7238643979876346E-2</v>
      </c>
      <c r="AR11" s="231">
        <f t="shared" si="28"/>
        <v>7.6469033868998823E-7</v>
      </c>
      <c r="AS11" s="228">
        <f t="shared" si="34"/>
        <v>4.8943756199291366E-2</v>
      </c>
      <c r="AT11" s="232">
        <f t="shared" si="35"/>
        <v>-3.8584347943089009E-7</v>
      </c>
      <c r="AU11" s="165">
        <f t="shared" si="36"/>
        <v>9.6999999999999961E-2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0">
        <f t="shared" si="1"/>
        <v>1.4666666666666668</v>
      </c>
      <c r="D12" s="73">
        <v>84</v>
      </c>
      <c r="E12" s="73">
        <v>1.8779999999999999</v>
      </c>
      <c r="F12" s="73">
        <v>12.09</v>
      </c>
      <c r="G12" s="73">
        <v>5.45</v>
      </c>
      <c r="H12" s="73">
        <v>1950</v>
      </c>
      <c r="I12" s="78">
        <v>2600</v>
      </c>
      <c r="J12" s="61"/>
      <c r="K12" s="2">
        <f t="shared" si="2"/>
        <v>65.890500000000003</v>
      </c>
      <c r="L12" s="1">
        <f t="shared" si="3"/>
        <v>84</v>
      </c>
      <c r="M12" s="234">
        <f t="shared" si="37"/>
        <v>4.4308167988433134</v>
      </c>
      <c r="N12" s="3">
        <f t="shared" si="5"/>
        <v>512.82051282051282</v>
      </c>
      <c r="O12" s="3">
        <f t="shared" si="6"/>
        <v>384.61538461538464</v>
      </c>
      <c r="P12" s="3">
        <f t="shared" si="7"/>
        <v>30769.23076923077</v>
      </c>
      <c r="Q12" s="3">
        <f t="shared" si="23"/>
        <v>23076.923076923078</v>
      </c>
      <c r="R12" s="3">
        <f t="shared" si="8"/>
        <v>66.773504273504273</v>
      </c>
      <c r="S12" s="3">
        <f t="shared" si="9"/>
        <v>50.080128205128204</v>
      </c>
      <c r="T12" s="3">
        <f t="shared" si="38"/>
        <v>84</v>
      </c>
      <c r="U12" s="158">
        <f t="shared" si="39"/>
        <v>65.890500000000003</v>
      </c>
      <c r="V12" s="229">
        <f t="shared" si="24"/>
        <v>64.150999999999996</v>
      </c>
      <c r="W12" s="234">
        <f t="shared" si="25"/>
        <v>8.6027902321999999E-2</v>
      </c>
      <c r="X12" s="230">
        <f t="shared" si="29"/>
        <v>1.4684102647342179E-2</v>
      </c>
      <c r="Y12" s="230">
        <f t="shared" si="40"/>
        <v>9.7395952108096286E-3</v>
      </c>
      <c r="Z12" s="228">
        <f t="shared" si="11"/>
        <v>1.31741058456383</v>
      </c>
      <c r="AA12" s="229">
        <f t="shared" si="12"/>
        <v>14.831205408440596</v>
      </c>
      <c r="AB12" s="2">
        <f t="shared" si="31"/>
        <v>22.508867603737407</v>
      </c>
      <c r="AC12" s="158">
        <f t="shared" si="13"/>
        <v>22.515691891683002</v>
      </c>
      <c r="AD12" s="175">
        <f t="shared" si="41"/>
        <v>50.660306756286744</v>
      </c>
      <c r="AE12" s="175">
        <f t="shared" si="15"/>
        <v>66.456767672091786</v>
      </c>
      <c r="AF12" s="165">
        <f t="shared" si="42"/>
        <v>2.9515756385279031</v>
      </c>
      <c r="AG12" s="151"/>
      <c r="AH12" s="228">
        <f t="shared" si="16"/>
        <v>2.3333333333333335</v>
      </c>
      <c r="AI12" s="228">
        <f t="shared" si="17"/>
        <v>84</v>
      </c>
      <c r="AJ12" s="229">
        <f t="shared" si="18"/>
        <v>31655.728868806957</v>
      </c>
      <c r="AK12" s="229">
        <f t="shared" si="19"/>
        <v>68.697328274320654</v>
      </c>
      <c r="AL12" s="229">
        <f t="shared" si="20"/>
        <v>52.494189667306244</v>
      </c>
      <c r="AM12" s="229">
        <f t="shared" si="21"/>
        <v>68.641738595707935</v>
      </c>
      <c r="AN12" s="2">
        <f t="shared" si="32"/>
        <v>52.494189667306244</v>
      </c>
      <c r="AO12" s="3">
        <f t="shared" si="22"/>
        <v>24189.322598694718</v>
      </c>
      <c r="AP12" s="227">
        <f t="shared" si="27"/>
        <v>1.0278725678296238E-2</v>
      </c>
      <c r="AQ12" s="227">
        <f t="shared" si="43"/>
        <v>6.1953646837202885E-2</v>
      </c>
      <c r="AR12" s="231">
        <f t="shared" si="28"/>
        <v>7.8435968798812073E-7</v>
      </c>
      <c r="AS12" s="228">
        <f t="shared" si="34"/>
        <v>4.771639603355439E-2</v>
      </c>
      <c r="AT12" s="232">
        <f t="shared" si="35"/>
        <v>-4.1321311206824872E-7</v>
      </c>
      <c r="AU12" s="165">
        <f t="shared" si="36"/>
        <v>9.0575096510041753E-2</v>
      </c>
      <c r="AX12" s="127"/>
      <c r="AY12" s="96"/>
    </row>
    <row r="13" spans="1:51" ht="13.9" customHeight="1" x14ac:dyDescent="0.3">
      <c r="A13" t="s">
        <v>232</v>
      </c>
      <c r="B13" s="176">
        <v>62</v>
      </c>
      <c r="C13" s="220">
        <f t="shared" si="1"/>
        <v>1.6722222222222223</v>
      </c>
      <c r="D13" s="73">
        <v>121</v>
      </c>
      <c r="E13" s="73">
        <v>2.27</v>
      </c>
      <c r="F13" s="73">
        <v>12.03</v>
      </c>
      <c r="G13" s="73">
        <v>7.25</v>
      </c>
      <c r="H13" s="73">
        <v>1760</v>
      </c>
      <c r="I13" s="78">
        <v>2260</v>
      </c>
      <c r="J13" s="61"/>
      <c r="K13" s="2">
        <f t="shared" si="2"/>
        <v>87.217500000000001</v>
      </c>
      <c r="L13" s="1">
        <f t="shared" si="3"/>
        <v>121</v>
      </c>
      <c r="M13" s="234">
        <f t="shared" si="37"/>
        <v>4.7957905455967413</v>
      </c>
      <c r="N13" s="3">
        <f t="shared" si="5"/>
        <v>568.18181818181813</v>
      </c>
      <c r="O13" s="3">
        <f t="shared" si="6"/>
        <v>442.47787610619469</v>
      </c>
      <c r="P13" s="3">
        <f t="shared" si="7"/>
        <v>34090.909090909088</v>
      </c>
      <c r="Q13" s="3">
        <f t="shared" si="23"/>
        <v>26548.672566371682</v>
      </c>
      <c r="R13" s="3">
        <f t="shared" si="8"/>
        <v>73.982007575757564</v>
      </c>
      <c r="S13" s="3">
        <f t="shared" si="9"/>
        <v>57.614306784660769</v>
      </c>
      <c r="T13" s="3">
        <f t="shared" si="38"/>
        <v>121</v>
      </c>
      <c r="U13" s="158">
        <f t="shared" si="39"/>
        <v>87.217500000000001</v>
      </c>
      <c r="V13" s="229">
        <f t="shared" si="24"/>
        <v>85.477999999999994</v>
      </c>
      <c r="W13" s="234">
        <f t="shared" si="25"/>
        <v>0.114627878516</v>
      </c>
      <c r="X13" s="230">
        <f t="shared" si="29"/>
        <v>1.7659418127003605E-2</v>
      </c>
      <c r="Y13" s="230">
        <f t="shared" si="40"/>
        <v>1.2714910690471055E-2</v>
      </c>
      <c r="Z13" s="228">
        <f t="shared" si="11"/>
        <v>1.7917894660781604</v>
      </c>
      <c r="AA13" s="229">
        <f t="shared" si="12"/>
        <v>23.524759693266088</v>
      </c>
      <c r="AB13" s="2">
        <f t="shared" si="31"/>
        <v>26.972522364509516</v>
      </c>
      <c r="AC13" s="158">
        <f t="shared" si="13"/>
        <v>26.258397137200163</v>
      </c>
      <c r="AD13" s="175">
        <f t="shared" si="41"/>
        <v>59.081393558700363</v>
      </c>
      <c r="AE13" s="175">
        <f t="shared" si="15"/>
        <v>76.454688472317969</v>
      </c>
      <c r="AF13" s="165">
        <f t="shared" si="42"/>
        <v>2.9116281573792229</v>
      </c>
      <c r="AG13" s="151"/>
      <c r="AH13" s="228">
        <f t="shared" si="16"/>
        <v>3.3611111111111116</v>
      </c>
      <c r="AI13" s="228">
        <f t="shared" si="17"/>
        <v>121.00000000000001</v>
      </c>
      <c r="AJ13" s="229">
        <f t="shared" si="18"/>
        <v>35957.310035737362</v>
      </c>
      <c r="AK13" s="229">
        <f t="shared" si="19"/>
        <v>78.032356848388375</v>
      </c>
      <c r="AL13" s="229">
        <f t="shared" si="20"/>
        <v>61.855299877147026</v>
      </c>
      <c r="AM13" s="229">
        <f t="shared" si="21"/>
        <v>77.939413303682997</v>
      </c>
      <c r="AN13" s="2">
        <f t="shared" si="32"/>
        <v>61.855299877147026</v>
      </c>
      <c r="AO13" s="3">
        <f t="shared" si="22"/>
        <v>28502.92218338935</v>
      </c>
      <c r="AP13" s="227">
        <f t="shared" si="27"/>
        <v>1.3904307002668493E-2</v>
      </c>
      <c r="AQ13" s="227">
        <f t="shared" si="43"/>
        <v>9.5194493093492982E-2</v>
      </c>
      <c r="AR13" s="231">
        <f t="shared" si="28"/>
        <v>9.0133735394841859E-7</v>
      </c>
      <c r="AS13" s="228">
        <f t="shared" si="34"/>
        <v>4.1523650762773305E-2</v>
      </c>
      <c r="AT13" s="232">
        <f t="shared" si="35"/>
        <v>-5.0150736225362952E-7</v>
      </c>
      <c r="AU13" s="165">
        <f t="shared" si="36"/>
        <v>7.4628650188924436E-2</v>
      </c>
      <c r="AX13" s="127"/>
      <c r="AY13" s="96"/>
    </row>
    <row r="14" spans="1:51" ht="13.9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3.67</v>
      </c>
      <c r="F14" s="80">
        <v>11.68</v>
      </c>
      <c r="G14" s="80">
        <v>14.86</v>
      </c>
      <c r="H14" s="80">
        <v>1350</v>
      </c>
      <c r="I14" s="81">
        <v>1600</v>
      </c>
      <c r="J14" s="61"/>
      <c r="K14" s="2">
        <f t="shared" si="2"/>
        <v>173.56479999999999</v>
      </c>
      <c r="L14" s="1">
        <f t="shared" si="3"/>
        <v>175</v>
      </c>
      <c r="M14" s="234">
        <f t="shared" si="4"/>
        <v>5.1647859739235145</v>
      </c>
      <c r="N14" s="3">
        <f t="shared" si="5"/>
        <v>740.74074074074076</v>
      </c>
      <c r="O14" s="3">
        <f t="shared" si="6"/>
        <v>625</v>
      </c>
      <c r="P14" s="3">
        <f t="shared" si="7"/>
        <v>44444.444444444445</v>
      </c>
      <c r="Q14" s="3">
        <f t="shared" si="23"/>
        <v>37500</v>
      </c>
      <c r="R14" s="3">
        <f t="shared" si="8"/>
        <v>96.450617283950621</v>
      </c>
      <c r="S14" s="3">
        <f t="shared" si="9"/>
        <v>81.380208333333329</v>
      </c>
      <c r="T14" s="3">
        <f t="shared" si="10"/>
        <v>175</v>
      </c>
      <c r="U14" s="158">
        <f t="shared" si="0"/>
        <v>173.56479999999999</v>
      </c>
      <c r="V14" s="229">
        <f t="shared" si="24"/>
        <v>171.8253</v>
      </c>
      <c r="W14" s="234">
        <f t="shared" si="25"/>
        <v>0.23042150745660001</v>
      </c>
      <c r="X14" s="230">
        <f t="shared" si="29"/>
        <v>2.7228909536146425E-2</v>
      </c>
      <c r="Y14" s="230">
        <f t="shared" si="30"/>
        <v>2.2284402099613874E-2</v>
      </c>
      <c r="Z14" s="163">
        <f>C34/0.224</f>
        <v>4.4249528005034611</v>
      </c>
      <c r="AA14" s="229">
        <f t="shared" si="12"/>
        <v>91.297248929319878</v>
      </c>
      <c r="AB14" s="2">
        <f>AA14/U14*100</f>
        <v>52.601246871093608</v>
      </c>
      <c r="AC14" s="158">
        <f t="shared" si="13"/>
        <v>41.264733453849395</v>
      </c>
      <c r="AD14" s="175">
        <f>AC14*1/1.6/1000*3600</f>
        <v>92.845650271161119</v>
      </c>
      <c r="AE14" s="175">
        <f t="shared" si="15"/>
        <v>107.99224746714914</v>
      </c>
      <c r="AF14" s="165">
        <f t="shared" si="26"/>
        <v>2.6170591308417879</v>
      </c>
      <c r="AG14" s="151"/>
      <c r="AH14" s="228">
        <f t="shared" si="16"/>
        <v>4.8611111111111107</v>
      </c>
      <c r="AI14" s="228">
        <f t="shared" si="17"/>
        <v>174.99999999999997</v>
      </c>
      <c r="AJ14" s="229">
        <f t="shared" si="18"/>
        <v>40306.290748167055</v>
      </c>
      <c r="AK14" s="229">
        <f t="shared" si="19"/>
        <v>87.470249019459757</v>
      </c>
      <c r="AL14" s="229">
        <f t="shared" si="20"/>
        <v>71.319561080098495</v>
      </c>
      <c r="AM14" s="229">
        <f t="shared" si="21"/>
        <v>87.339540002741273</v>
      </c>
      <c r="AN14" s="2">
        <f t="shared" si="32"/>
        <v>71.319561080098495</v>
      </c>
      <c r="AO14" s="3">
        <f t="shared" si="22"/>
        <v>32864.053745709389</v>
      </c>
      <c r="AP14" s="227">
        <f t="shared" si="27"/>
        <v>1.8081375469737829E-2</v>
      </c>
      <c r="AQ14" s="227">
        <f t="shared" si="33"/>
        <v>0.13876488515042434</v>
      </c>
      <c r="AR14" s="231">
        <f t="shared" si="28"/>
        <v>1.0196040083027311E-6</v>
      </c>
      <c r="AS14" s="228">
        <f t="shared" si="34"/>
        <v>3.6707209073352239E-2</v>
      </c>
      <c r="AT14" s="232">
        <f t="shared" si="35"/>
        <v>-8.5552220611427934E-7</v>
      </c>
      <c r="AU14" s="165">
        <f t="shared" si="36"/>
        <v>4.3747336115080228E-2</v>
      </c>
      <c r="AX14" s="127"/>
      <c r="AY14" s="96"/>
    </row>
    <row r="15" spans="1:51" ht="13.9" customHeight="1" x14ac:dyDescent="0.3">
      <c r="AE15" s="45"/>
      <c r="AF15" s="30"/>
      <c r="AV15" s="146"/>
      <c r="AW15" s="95"/>
      <c r="AX15" s="128"/>
      <c r="AY15" s="96"/>
    </row>
    <row r="16" spans="1:51" ht="14.45" x14ac:dyDescent="0.3">
      <c r="A16" t="s">
        <v>235</v>
      </c>
      <c r="AE16" s="194"/>
      <c r="AF16" s="30"/>
    </row>
    <row r="17" spans="1:48" ht="13.9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3">
      <c r="A18">
        <v>2</v>
      </c>
      <c r="C18" t="s">
        <v>237</v>
      </c>
      <c r="I18" s="3"/>
      <c r="J18" s="13" t="s">
        <v>277</v>
      </c>
      <c r="K18" s="14"/>
      <c r="L18" s="14"/>
      <c r="AE18" s="149"/>
      <c r="AF18" s="30"/>
    </row>
    <row r="19" spans="1:48" ht="13.9" customHeight="1" x14ac:dyDescent="0.3">
      <c r="A19">
        <v>3</v>
      </c>
      <c r="C19" t="s">
        <v>239</v>
      </c>
      <c r="I19" s="3"/>
      <c r="J19" s="15" t="s">
        <v>275</v>
      </c>
      <c r="K19" s="16"/>
      <c r="L19" s="16"/>
      <c r="AE19" s="149"/>
      <c r="AF19" s="30"/>
    </row>
    <row r="20" spans="1:48" ht="13.9" customHeight="1" x14ac:dyDescent="0.3">
      <c r="A20">
        <v>4</v>
      </c>
      <c r="C20" t="s">
        <v>238</v>
      </c>
      <c r="J20" s="288" t="s">
        <v>298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3">
      <c r="A24" s="45">
        <v>8</v>
      </c>
      <c r="B24" s="45"/>
      <c r="C24" s="45" t="s">
        <v>276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ht="14.45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thickBot="1" x14ac:dyDescent="0.35">
      <c r="B38" s="26" t="s">
        <v>17</v>
      </c>
      <c r="C38" s="200">
        <v>5</v>
      </c>
      <c r="I38" s="208" t="s">
        <v>242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9" thickBot="1" x14ac:dyDescent="0.35">
      <c r="I39" s="193" t="s">
        <v>100</v>
      </c>
      <c r="J39" s="236" t="s">
        <v>295</v>
      </c>
      <c r="K39" s="263" t="s">
        <v>299</v>
      </c>
      <c r="L39" s="263" t="s">
        <v>273</v>
      </c>
      <c r="M39" s="264" t="s">
        <v>274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68.268656716417908</v>
      </c>
      <c r="J40" s="253">
        <f>(I40*$Q$31*$R$44+$Q$44)/$Q$31</f>
        <v>84.309310072446905</v>
      </c>
      <c r="K40" s="242">
        <v>0</v>
      </c>
      <c r="L40" s="213"/>
      <c r="M40" s="216"/>
      <c r="P40" s="226" t="s">
        <v>272</v>
      </c>
      <c r="Q40" s="58"/>
      <c r="R40" s="58"/>
      <c r="S40" s="58"/>
      <c r="T40" s="25"/>
      <c r="AI40" s="5"/>
    </row>
    <row r="41" spans="1:50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44">(I41*$Q$31*$R$44+$Q$44)/$Q$31</f>
        <v>78.083132867103643</v>
      </c>
      <c r="K41" s="243">
        <v>0.03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14215.825886634746</v>
      </c>
      <c r="S41" s="67">
        <f>INDEX(LINEST($Q$4:$Q$14,$E$4:$E$14^{1,2},FALSE,FALSE),1)</f>
        <v>-1077.8100704371047</v>
      </c>
      <c r="T41" s="31" t="s">
        <v>267</v>
      </c>
      <c r="AI41" s="5"/>
    </row>
    <row r="42" spans="1:50" thickBot="1" x14ac:dyDescent="0.35">
      <c r="B42" s="30"/>
      <c r="C42" s="201"/>
      <c r="D42"/>
      <c r="E42"/>
      <c r="H42" s="10"/>
      <c r="I42" s="241">
        <v>48</v>
      </c>
      <c r="J42" s="253">
        <f t="shared" si="44"/>
        <v>64.178003775170367</v>
      </c>
      <c r="K42" s="243">
        <v>9.7000000000000003E-2</v>
      </c>
      <c r="L42" s="251">
        <f>$Q$36/K42</f>
        <v>3.8584347943088994E-7</v>
      </c>
      <c r="M42" s="252">
        <f>-L42/$Q$35</f>
        <v>-5.2304942071651441E-7</v>
      </c>
      <c r="N42" s="265" t="s">
        <v>292</v>
      </c>
      <c r="P42" s="65" t="s">
        <v>21</v>
      </c>
      <c r="Q42" s="205">
        <f>INDEX(LINEST($P$4:$P$14,$M$4:$M$14),2)</f>
        <v>-20565.885057028721</v>
      </c>
      <c r="R42" s="67">
        <f>INDEX(LINEST($P$4:$P$14,$M$4:$M$14),1)</f>
        <v>11786.00161023773</v>
      </c>
      <c r="S42" s="30"/>
      <c r="T42" s="31" t="s">
        <v>267</v>
      </c>
      <c r="AI42" s="5"/>
      <c r="AW42" s="151"/>
      <c r="AX42" s="164"/>
    </row>
    <row r="43" spans="1:50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44"/>
        <v>41.33386312413711</v>
      </c>
      <c r="K43" s="243">
        <v>0.28699999999999998</v>
      </c>
      <c r="L43" s="61"/>
      <c r="M43" s="250"/>
      <c r="P43" s="65" t="s">
        <v>122</v>
      </c>
      <c r="Q43" s="205">
        <f>INDEX(LINEST($Q$4:$Q$14,$P$4:$P$14),2)</f>
        <v>-7554.8509046343352</v>
      </c>
      <c r="R43" s="69">
        <f>INDEX(LINEST($Q$4:$Q$14,$P$4:$P$14),1)</f>
        <v>1.0027939535017072</v>
      </c>
      <c r="S43" s="30"/>
      <c r="T43" s="31" t="s">
        <v>267</v>
      </c>
      <c r="AI43" s="5"/>
    </row>
    <row r="44" spans="1:50" thickBot="1" x14ac:dyDescent="0.35">
      <c r="C44" s="198"/>
      <c r="D44"/>
      <c r="E44"/>
      <c r="G44" s="6"/>
      <c r="I44" s="241">
        <v>16</v>
      </c>
      <c r="J44" s="253">
        <f t="shared" si="44"/>
        <v>32.394851565037136</v>
      </c>
      <c r="K44" s="243">
        <v>0.442</v>
      </c>
      <c r="L44" s="61"/>
      <c r="M44" s="250"/>
      <c r="P44" s="65" t="s">
        <v>123</v>
      </c>
      <c r="Q44" s="205">
        <f>INDEX(LINEST($P$4:$P$14,$Q$4:$Q$14),2)</f>
        <v>7604.7093319544183</v>
      </c>
      <c r="R44" s="69">
        <f>INDEX(LINEST($P$4:$P$14,$Q$4:$Q$14),1)</f>
        <v>0.99322350656666325</v>
      </c>
      <c r="S44" s="30"/>
      <c r="T44" s="31" t="s">
        <v>267</v>
      </c>
      <c r="AI44" s="5"/>
    </row>
    <row r="45" spans="1:50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12.63225806451613</v>
      </c>
      <c r="J45" s="257">
        <f t="shared" si="44"/>
        <v>29.049931110664247</v>
      </c>
      <c r="K45" s="246">
        <v>0.5</v>
      </c>
      <c r="L45" s="255"/>
      <c r="M45" s="256"/>
      <c r="P45" s="65" t="s">
        <v>180</v>
      </c>
      <c r="Q45" s="206">
        <f>AG11</f>
        <v>-0.94179186274305016</v>
      </c>
      <c r="R45" s="30"/>
      <c r="S45" s="30"/>
      <c r="T45" s="31" t="s">
        <v>261</v>
      </c>
      <c r="U45" s="5"/>
      <c r="AI45" s="5"/>
      <c r="AJ45" s="5"/>
      <c r="AK45" s="151"/>
    </row>
    <row r="46" spans="1:50" ht="14.45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3.0303384816264241</v>
      </c>
      <c r="R46" s="30"/>
      <c r="S46" s="30"/>
      <c r="T46" s="31" t="s">
        <v>261</v>
      </c>
      <c r="AI46" s="5"/>
      <c r="AJ46" s="5"/>
      <c r="AK46" s="151"/>
      <c r="AX46" s="164"/>
    </row>
    <row r="47" spans="1:50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-9.253454029792222E-4</v>
      </c>
      <c r="K48" s="180">
        <f>INDEX(LINEST($Y$3:$Y$14,$P$3:$P$14^{1,2}),2)</f>
        <v>-7.6489644767238127E-8</v>
      </c>
      <c r="L48" s="180">
        <f>INDEX(LINEST($Y$3:$Y$14,$P$3:$P$14^{1,2}),1)</f>
        <v>1.3597054364520191E-11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3"/>
      <c r="T49" s="213"/>
      <c r="U49" s="188"/>
      <c r="V49" s="30"/>
    </row>
    <row r="50" spans="1:45" ht="15.75" thickBot="1" x14ac:dyDescent="0.3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284</v>
      </c>
      <c r="M50" s="237" t="s">
        <v>283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25">
      <c r="I51" s="238" t="s">
        <v>278</v>
      </c>
      <c r="J51" s="236" t="s">
        <v>100</v>
      </c>
      <c r="K51" s="239" t="s">
        <v>279</v>
      </c>
      <c r="L51" s="239" t="s">
        <v>280</v>
      </c>
      <c r="M51" s="239" t="s">
        <v>281</v>
      </c>
      <c r="N51" s="240" t="s">
        <v>282</v>
      </c>
      <c r="P51" s="235" t="s">
        <v>287</v>
      </c>
      <c r="Q51" s="260">
        <v>0</v>
      </c>
      <c r="R51" s="258">
        <f ca="1">J56</f>
        <v>21.690322580645159</v>
      </c>
      <c r="S51" s="258">
        <f ca="1">J55</f>
        <v>37.347368421052636</v>
      </c>
      <c r="T51" s="258">
        <f ca="1">J54</f>
        <v>50.507462686567166</v>
      </c>
      <c r="U51" s="259">
        <f ca="1">J53</f>
        <v>64.089552238805979</v>
      </c>
      <c r="V51" s="261">
        <v>80</v>
      </c>
      <c r="W51" s="45"/>
      <c r="X51" s="45"/>
      <c r="Y51" s="45"/>
    </row>
    <row r="52" spans="1:45" x14ac:dyDescent="0.25">
      <c r="I52" s="241">
        <v>0</v>
      </c>
      <c r="J52" s="253">
        <f t="shared" ref="J52:J57" ca="1" si="45">FORECAST(I52,OFFSET(MeasNt,MATCH(I52,MeasTauT,1)-1,0,2),OFFSET(MeasTauT,MATCH(I52,MeasTauT,1)-1,0,2))</f>
        <v>68.268656716417922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279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288</v>
      </c>
      <c r="X52" s="45"/>
      <c r="Y52" s="45"/>
      <c r="AJ52" s="104"/>
      <c r="AR52" s="3"/>
    </row>
    <row r="53" spans="1:45" x14ac:dyDescent="0.25">
      <c r="I53" s="241">
        <v>0.02</v>
      </c>
      <c r="J53" s="253">
        <f t="shared" ca="1" si="45"/>
        <v>64.089552238805979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280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25">
      <c r="I54" s="241">
        <v>8.5000000000000006E-2</v>
      </c>
      <c r="J54" s="253">
        <f t="shared" ca="1" si="45"/>
        <v>50.507462686567166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285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25">
      <c r="I55" s="241">
        <v>0.185</v>
      </c>
      <c r="J55" s="253">
        <f t="shared" ca="1" si="45"/>
        <v>37.347368421052636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286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25">
      <c r="I56" s="241">
        <v>0.34399999999999997</v>
      </c>
      <c r="J56" s="253">
        <f t="shared" ca="1" si="45"/>
        <v>21.690322580645159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281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289</v>
      </c>
      <c r="X56" s="196"/>
      <c r="Y56" s="45"/>
    </row>
    <row r="57" spans="1:45" ht="15.75" thickBot="1" x14ac:dyDescent="0.3">
      <c r="I57" s="245">
        <v>0.5</v>
      </c>
      <c r="J57" s="257">
        <f t="shared" ca="1" si="45"/>
        <v>12.632258064516126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282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sortState ref="P52:T57">
    <sortCondition ref="P52:P5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22" zoomScale="90" zoomScaleNormal="90" workbookViewId="0">
      <selection activeCell="I41" sqref="I41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3" si="1">D2/180+1</f>
        <v>1</v>
      </c>
      <c r="D2" s="262">
        <v>0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0</v>
      </c>
      <c r="M2" s="234" t="e">
        <f t="shared" ref="M2:M13" si="4">LN(L2)</f>
        <v>#NUM!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0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</v>
      </c>
      <c r="AI2" s="228">
        <f t="shared" ref="AI2:AI13" si="16">AH2/$Q$23*$Q$31</f>
        <v>0</v>
      </c>
      <c r="AJ2" s="229" t="e">
        <f t="shared" ref="AJ2:AJ13" si="17">MAX(($Q$41+$R$41*LN($AI2)),0)</f>
        <v>#NUM!</v>
      </c>
      <c r="AK2" s="229" t="e">
        <f t="shared" ref="AK2:AK13" si="18">MAX(($Q$41+$R$41*LN(AI2))/$Q$30,0)</f>
        <v>#NUM!</v>
      </c>
      <c r="AL2" s="229" t="e">
        <f t="shared" ref="AL2:AL13" si="19">($Q$42+$R$42*AK2*$Q$30)/$Q$30</f>
        <v>#NUM!</v>
      </c>
      <c r="AM2" s="229" t="e">
        <f t="shared" ref="AM2:AM13" si="20">($Q$43+$R$43*AL2*$Q$30)/$Q$30</f>
        <v>#NUM!</v>
      </c>
      <c r="AN2" s="1"/>
      <c r="AO2" s="1" t="e">
        <f t="shared" ref="AO2:AO13" si="21">MAX($Q$42+$R$42*AJ2,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1.0722222222222222</v>
      </c>
      <c r="D3" s="73">
        <v>13</v>
      </c>
      <c r="E3" s="109">
        <v>0.113</v>
      </c>
      <c r="F3" s="73">
        <v>12.2</v>
      </c>
      <c r="G3" s="106">
        <v>0.434</v>
      </c>
      <c r="H3" s="73">
        <v>5740</v>
      </c>
      <c r="I3" s="191">
        <v>1.0000000000000001E+32</v>
      </c>
      <c r="J3" s="61"/>
      <c r="K3" s="2">
        <f t="shared" si="2"/>
        <v>5.2947999999999995</v>
      </c>
      <c r="L3" s="1">
        <f t="shared" si="3"/>
        <v>13</v>
      </c>
      <c r="M3" s="234">
        <f t="shared" si="4"/>
        <v>2.5649493574615367</v>
      </c>
      <c r="N3" s="3">
        <f t="shared" si="5"/>
        <v>174.21602787456447</v>
      </c>
      <c r="O3" s="3">
        <f t="shared" si="5"/>
        <v>9.999999999999999E-27</v>
      </c>
      <c r="P3" s="3">
        <f t="shared" si="6"/>
        <v>10452.961672473868</v>
      </c>
      <c r="Q3" s="3">
        <f t="shared" ref="Q3:Q13" si="22">O3*60/$C$25</f>
        <v>5.9999999999999995E-25</v>
      </c>
      <c r="R3" s="3">
        <f t="shared" si="7"/>
        <v>22.684378629500582</v>
      </c>
      <c r="S3" s="3">
        <f t="shared" si="8"/>
        <v>1.3020833333333332E-27</v>
      </c>
      <c r="T3" s="3">
        <f>L3</f>
        <v>13</v>
      </c>
      <c r="U3" s="158">
        <f>K3</f>
        <v>5.2947999999999995</v>
      </c>
      <c r="V3" s="1">
        <f t="shared" ref="V3:V13" si="23">($U3-$U$2)</f>
        <v>4.6715799999999996</v>
      </c>
      <c r="W3" s="234">
        <f t="shared" ref="W3:W13" si="24">($U3-$U$2)*0.001341022</f>
        <v>6.2646915547600003E-3</v>
      </c>
      <c r="X3" s="230">
        <f>$W3/$P3*5252</f>
        <v>3.1476399776956877E-3</v>
      </c>
      <c r="Y3" s="230">
        <f>X3-$X$3</f>
        <v>0</v>
      </c>
      <c r="Z3" s="228">
        <f t="shared" si="10"/>
        <v>5.1652257246030855E-2</v>
      </c>
      <c r="AA3" s="229">
        <f t="shared" si="11"/>
        <v>0.11514065220499486</v>
      </c>
      <c r="AB3" s="2">
        <f>AA3/U3*100</f>
        <v>2.1745987044835475</v>
      </c>
      <c r="AC3" s="158">
        <f t="shared" si="12"/>
        <v>4.4583008892159377</v>
      </c>
      <c r="AD3" s="175">
        <f t="shared" si="13"/>
        <v>10.031177000735859</v>
      </c>
      <c r="AE3" s="4">
        <f t="shared" si="14"/>
        <v>1.7278759594743859E-27</v>
      </c>
      <c r="AF3" s="158">
        <f t="shared" ref="AF3:AF13" si="25">AE3/AC3</f>
        <v>3.8756378324619091E-28</v>
      </c>
      <c r="AH3" s="228">
        <f t="shared" si="15"/>
        <v>0.36111111111111105</v>
      </c>
      <c r="AI3" s="228">
        <f t="shared" si="16"/>
        <v>12.999999999999998</v>
      </c>
      <c r="AJ3" s="229">
        <f t="shared" si="17"/>
        <v>6325.871161295443</v>
      </c>
      <c r="AK3" s="229">
        <f t="shared" si="18"/>
        <v>13.728019013227957</v>
      </c>
      <c r="AL3" s="229">
        <f t="shared" si="19"/>
        <v>-0.1746810269162502</v>
      </c>
      <c r="AM3" s="229">
        <f t="shared" si="20"/>
        <v>13.818308439441875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2.2968879437888822E-7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1.0944444444444446</v>
      </c>
      <c r="D4" s="73">
        <v>17</v>
      </c>
      <c r="E4" s="109">
        <v>0.30299999999999999</v>
      </c>
      <c r="F4" s="73">
        <v>12.2</v>
      </c>
      <c r="G4" s="106">
        <v>0.44</v>
      </c>
      <c r="H4" s="73">
        <v>5660</v>
      </c>
      <c r="I4" s="78">
        <v>16300</v>
      </c>
      <c r="J4" s="61"/>
      <c r="K4" s="2">
        <f t="shared" si="2"/>
        <v>5.3679999999999994</v>
      </c>
      <c r="L4" s="1">
        <f t="shared" si="3"/>
        <v>17</v>
      </c>
      <c r="M4" s="234">
        <f t="shared" si="4"/>
        <v>2.8332133440562162</v>
      </c>
      <c r="N4" s="3">
        <f t="shared" si="5"/>
        <v>176.67844522968198</v>
      </c>
      <c r="O4" s="3">
        <f t="shared" si="5"/>
        <v>61.349693251533751</v>
      </c>
      <c r="P4" s="3">
        <f t="shared" si="6"/>
        <v>10600.706713780919</v>
      </c>
      <c r="Q4" s="3">
        <f t="shared" si="22"/>
        <v>3680.9815950920251</v>
      </c>
      <c r="R4" s="3">
        <f t="shared" si="7"/>
        <v>23.005005889281509</v>
      </c>
      <c r="S4" s="3">
        <f t="shared" si="8"/>
        <v>7.988241308793457</v>
      </c>
      <c r="T4" s="3">
        <f t="shared" si="9"/>
        <v>17</v>
      </c>
      <c r="U4" s="158">
        <f t="shared" si="0"/>
        <v>5.3679999999999994</v>
      </c>
      <c r="V4" s="229">
        <f t="shared" si="23"/>
        <v>4.7447799999999996</v>
      </c>
      <c r="W4" s="234">
        <f t="shared" si="24"/>
        <v>6.3628543651599997E-3</v>
      </c>
      <c r="X4" s="230">
        <f t="shared" ref="X4:X13" si="28">$W4/$P4*5252</f>
        <v>3.1524040828690499E-3</v>
      </c>
      <c r="Y4" s="230">
        <f t="shared" ref="Y4:Y13" si="29">X4-$X$3</f>
        <v>4.7641051733621903E-6</v>
      </c>
      <c r="Z4" s="228">
        <f t="shared" si="10"/>
        <v>5.3873561732679147E-2</v>
      </c>
      <c r="AA4" s="229">
        <f t="shared" si="11"/>
        <v>0.12264737587033776</v>
      </c>
      <c r="AB4" s="2">
        <f t="shared" ref="AB4:AB12" si="30">AA4/U4*100</f>
        <v>2.2847871808930287</v>
      </c>
      <c r="AC4" s="158">
        <f t="shared" si="12"/>
        <v>4.5531563878740595</v>
      </c>
      <c r="AD4" s="175">
        <f t="shared" si="13"/>
        <v>10.244601872716633</v>
      </c>
      <c r="AE4" s="175">
        <f t="shared" si="14"/>
        <v>10.600466009045316</v>
      </c>
      <c r="AF4" s="158">
        <f t="shared" si="25"/>
        <v>2.3281576792039074</v>
      </c>
      <c r="AG4" s="151"/>
      <c r="AH4" s="228">
        <f t="shared" si="15"/>
        <v>0.47222222222222221</v>
      </c>
      <c r="AI4" s="228">
        <f t="shared" si="16"/>
        <v>17</v>
      </c>
      <c r="AJ4" s="229">
        <f t="shared" si="17"/>
        <v>9776.5334714819473</v>
      </c>
      <c r="AK4" s="229">
        <f t="shared" si="18"/>
        <v>21.216435484986864</v>
      </c>
      <c r="AL4" s="229">
        <f t="shared" si="19"/>
        <v>6.9312579265108649</v>
      </c>
      <c r="AM4" s="229">
        <f t="shared" si="20"/>
        <v>21.290917931162323</v>
      </c>
      <c r="AN4" s="2">
        <f t="shared" ref="AN4:AN13" si="31">AO4/$Q$30</f>
        <v>6.9312579265108649</v>
      </c>
      <c r="AO4" s="3">
        <f t="shared" si="21"/>
        <v>3193.9236525362066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3.0120182294697618E-7</v>
      </c>
      <c r="AS4" s="228">
        <f t="shared" ref="AS4:AS13" si="33">$Q$35/AR4</f>
        <v>0.12425827021433723</v>
      </c>
      <c r="AT4" s="1"/>
      <c r="AU4" s="228"/>
      <c r="AX4" s="127"/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0.28499999999999998</v>
      </c>
      <c r="F5" s="73">
        <v>12.19</v>
      </c>
      <c r="G5" s="73">
        <v>0.83799999999999997</v>
      </c>
      <c r="H5" s="73">
        <v>4220</v>
      </c>
      <c r="I5" s="78">
        <v>8180</v>
      </c>
      <c r="J5" s="61"/>
      <c r="K5" s="2">
        <f t="shared" si="2"/>
        <v>10.215219999999999</v>
      </c>
      <c r="L5" s="1">
        <f t="shared" si="3"/>
        <v>24</v>
      </c>
      <c r="M5" s="234">
        <f t="shared" si="4"/>
        <v>3.1780538303479458</v>
      </c>
      <c r="N5" s="3">
        <f t="shared" si="5"/>
        <v>236.96682464454977</v>
      </c>
      <c r="O5" s="3">
        <f t="shared" si="5"/>
        <v>122.24938875305622</v>
      </c>
      <c r="P5" s="3">
        <f t="shared" si="6"/>
        <v>14218.009478672986</v>
      </c>
      <c r="Q5" s="3">
        <f t="shared" si="22"/>
        <v>7334.9633251833729</v>
      </c>
      <c r="R5" s="3">
        <f t="shared" si="7"/>
        <v>30.855055292259085</v>
      </c>
      <c r="S5" s="3">
        <f t="shared" si="8"/>
        <v>15.917889160554195</v>
      </c>
      <c r="T5" s="3">
        <f t="shared" si="9"/>
        <v>24</v>
      </c>
      <c r="U5" s="158">
        <f t="shared" si="0"/>
        <v>10.215219999999999</v>
      </c>
      <c r="V5" s="229">
        <f t="shared" si="23"/>
        <v>9.5919999999999987</v>
      </c>
      <c r="W5" s="234">
        <f t="shared" si="24"/>
        <v>1.2863083023999999E-2</v>
      </c>
      <c r="X5" s="230">
        <f t="shared" si="28"/>
        <v>4.7515028136240426E-3</v>
      </c>
      <c r="Y5" s="230">
        <f t="shared" si="29"/>
        <v>1.6038628359283549E-3</v>
      </c>
      <c r="Z5" s="228">
        <f t="shared" si="10"/>
        <v>0.12998332125573595</v>
      </c>
      <c r="AA5" s="229">
        <f t="shared" si="11"/>
        <v>0.45964884336107659</v>
      </c>
      <c r="AB5" s="2">
        <f t="shared" si="30"/>
        <v>4.499647030226237</v>
      </c>
      <c r="AC5" s="158">
        <f t="shared" si="12"/>
        <v>7.0724280456988717</v>
      </c>
      <c r="AD5" s="175">
        <f t="shared" si="13"/>
        <v>15.912963102822459</v>
      </c>
      <c r="AE5" s="175">
        <f t="shared" si="14"/>
        <v>21.123177988684425</v>
      </c>
      <c r="AF5" s="158">
        <f t="shared" si="25"/>
        <v>2.9866939404962314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14212.194344855612</v>
      </c>
      <c r="AK5" s="229">
        <f t="shared" si="18"/>
        <v>30.842435644217908</v>
      </c>
      <c r="AL5" s="229">
        <f t="shared" si="19"/>
        <v>16.065601583162348</v>
      </c>
      <c r="AM5" s="229">
        <f t="shared" si="20"/>
        <v>30.896598975806057</v>
      </c>
      <c r="AN5" s="2">
        <f t="shared" si="31"/>
        <v>16.065601583162348</v>
      </c>
      <c r="AO5" s="3">
        <f t="shared" si="21"/>
        <v>7403.0292095212099</v>
      </c>
      <c r="AP5" s="227">
        <f t="shared" si="26"/>
        <v>1.3773901699250307E-3</v>
      </c>
      <c r="AQ5" s="227">
        <f t="shared" si="32"/>
        <v>3.7272918476139059E-3</v>
      </c>
      <c r="AR5" s="231">
        <f t="shared" si="27"/>
        <v>3.9312839073064793E-7</v>
      </c>
      <c r="AS5" s="228">
        <f t="shared" si="33"/>
        <v>9.5202530235063393E-2</v>
      </c>
      <c r="AT5" s="232"/>
      <c r="AU5" s="165"/>
      <c r="AX5" s="127"/>
      <c r="AY5" s="96"/>
    </row>
    <row r="6" spans="1:51" ht="13.9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0.44900000000000001</v>
      </c>
      <c r="F6" s="73">
        <v>12.18</v>
      </c>
      <c r="G6" s="73">
        <v>0.98099999999999998</v>
      </c>
      <c r="H6" s="73">
        <v>3750</v>
      </c>
      <c r="I6" s="78">
        <v>6520</v>
      </c>
      <c r="J6" s="61"/>
      <c r="K6" s="2">
        <f t="shared" si="2"/>
        <v>11.94858</v>
      </c>
      <c r="L6" s="1">
        <f t="shared" si="3"/>
        <v>28</v>
      </c>
      <c r="M6" s="234">
        <f t="shared" si="4"/>
        <v>3.3322045101752038</v>
      </c>
      <c r="N6" s="3">
        <f t="shared" si="5"/>
        <v>266.66666666666669</v>
      </c>
      <c r="O6" s="3">
        <f t="shared" si="5"/>
        <v>153.37423312883436</v>
      </c>
      <c r="P6" s="3">
        <f t="shared" si="6"/>
        <v>16000.000000000002</v>
      </c>
      <c r="Q6" s="3">
        <f t="shared" si="22"/>
        <v>9202.4539877300613</v>
      </c>
      <c r="R6" s="3">
        <f t="shared" si="7"/>
        <v>34.722222222222229</v>
      </c>
      <c r="S6" s="3">
        <f t="shared" si="8"/>
        <v>19.970603271983638</v>
      </c>
      <c r="T6" s="3">
        <f t="shared" si="9"/>
        <v>28</v>
      </c>
      <c r="U6" s="158">
        <f t="shared" si="0"/>
        <v>11.94858</v>
      </c>
      <c r="V6" s="229">
        <f t="shared" si="23"/>
        <v>11.32536</v>
      </c>
      <c r="W6" s="234">
        <f t="shared" si="24"/>
        <v>1.518755691792E-2</v>
      </c>
      <c r="X6" s="230">
        <f t="shared" si="28"/>
        <v>4.9853155583072396E-3</v>
      </c>
      <c r="Y6" s="230">
        <f t="shared" si="29"/>
        <v>1.8376755806115519E-3</v>
      </c>
      <c r="Z6" s="228">
        <f t="shared" si="10"/>
        <v>0.18523846747435113</v>
      </c>
      <c r="AA6" s="229">
        <f t="shared" si="11"/>
        <v>0.78197252859532174</v>
      </c>
      <c r="AB6" s="2">
        <f t="shared" si="30"/>
        <v>6.544480838688127</v>
      </c>
      <c r="AC6" s="158">
        <f t="shared" si="12"/>
        <v>8.4428740882732356</v>
      </c>
      <c r="AD6" s="175">
        <f t="shared" si="13"/>
        <v>18.996466698614782</v>
      </c>
      <c r="AE6" s="175">
        <f t="shared" si="14"/>
        <v>26.501165022613289</v>
      </c>
      <c r="AF6" s="158">
        <f t="shared" si="25"/>
        <v>3.1388795741277478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16195.024570118869</v>
      </c>
      <c r="AK6" s="229">
        <f t="shared" si="18"/>
        <v>35.145452626126016</v>
      </c>
      <c r="AL6" s="229">
        <f t="shared" si="19"/>
        <v>20.148838153178755</v>
      </c>
      <c r="AM6" s="229">
        <f t="shared" si="20"/>
        <v>35.190532902064859</v>
      </c>
      <c r="AN6" s="2">
        <f t="shared" si="31"/>
        <v>20.148838153178755</v>
      </c>
      <c r="AO6" s="3">
        <f t="shared" si="21"/>
        <v>9284.5846209847696</v>
      </c>
      <c r="AP6" s="227">
        <f t="shared" si="26"/>
        <v>2.1976372835408901E-3</v>
      </c>
      <c r="AQ6" s="227">
        <f t="shared" si="32"/>
        <v>6.7766164895571215E-3</v>
      </c>
      <c r="AR6" s="231">
        <f t="shared" si="27"/>
        <v>4.3422142789233282E-7</v>
      </c>
      <c r="AS6" s="228">
        <f t="shared" si="33"/>
        <v>8.619293084282445E-2</v>
      </c>
      <c r="AT6" s="232">
        <f t="shared" ref="AT6:AT13" si="34">$Q$44*$Q$27*$Q$36^2*$Q$33*PI()/240*($AC6-$Q$46)/$Q$45*$Q$34</f>
        <v>-9.7414323049208652E-8</v>
      </c>
      <c r="AU6" s="165">
        <f t="shared" ref="AU6:AU13" si="35">-$Q$35/AT6</f>
        <v>0.38420240816014545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0.57599999999999996</v>
      </c>
      <c r="F7" s="73">
        <v>12.17</v>
      </c>
      <c r="G7" s="73">
        <v>1.359</v>
      </c>
      <c r="H7" s="73">
        <v>3370</v>
      </c>
      <c r="I7" s="78">
        <v>5480</v>
      </c>
      <c r="J7" s="61"/>
      <c r="K7" s="2">
        <f t="shared" si="2"/>
        <v>16.53903</v>
      </c>
      <c r="L7" s="1">
        <f t="shared" si="3"/>
        <v>32</v>
      </c>
      <c r="M7" s="234">
        <f t="shared" si="4"/>
        <v>3.4657359027997265</v>
      </c>
      <c r="N7" s="3">
        <f t="shared" si="5"/>
        <v>296.73590504451039</v>
      </c>
      <c r="O7" s="3">
        <f t="shared" si="5"/>
        <v>182.48175182481751</v>
      </c>
      <c r="P7" s="3">
        <f t="shared" si="6"/>
        <v>17804.154302670624</v>
      </c>
      <c r="Q7" s="3">
        <f t="shared" si="22"/>
        <v>10948.905109489051</v>
      </c>
      <c r="R7" s="3">
        <f t="shared" si="7"/>
        <v>38.637487636003961</v>
      </c>
      <c r="S7" s="3">
        <f t="shared" si="8"/>
        <v>23.760644768856448</v>
      </c>
      <c r="T7" s="3">
        <f t="shared" si="9"/>
        <v>32</v>
      </c>
      <c r="U7" s="158">
        <f t="shared" si="0"/>
        <v>16.53903</v>
      </c>
      <c r="V7" s="229">
        <f t="shared" si="23"/>
        <v>15.91581</v>
      </c>
      <c r="W7" s="234">
        <f t="shared" si="24"/>
        <v>2.1343451357820002E-2</v>
      </c>
      <c r="X7" s="230">
        <f t="shared" si="28"/>
        <v>6.2960478001730354E-3</v>
      </c>
      <c r="Y7" s="230">
        <f t="shared" si="29"/>
        <v>3.1484078224773477E-3</v>
      </c>
      <c r="Z7" s="228">
        <f t="shared" si="10"/>
        <v>0.25523209182829709</v>
      </c>
      <c r="AA7" s="229">
        <f t="shared" si="11"/>
        <v>1.2647294952347405</v>
      </c>
      <c r="AB7" s="2">
        <f t="shared" si="30"/>
        <v>7.6469387578034533</v>
      </c>
      <c r="AC7" s="158">
        <f t="shared" si="12"/>
        <v>9.9104269073307982</v>
      </c>
      <c r="AD7" s="175">
        <f t="shared" si="13"/>
        <v>22.298460541494297</v>
      </c>
      <c r="AE7" s="175">
        <f t="shared" si="14"/>
        <v>31.530583202087335</v>
      </c>
      <c r="AF7" s="158">
        <f t="shared" si="25"/>
        <v>3.1815565057811974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17912.630237600199</v>
      </c>
      <c r="AK7" s="233">
        <f t="shared" si="18"/>
        <v>38.87289548090321</v>
      </c>
      <c r="AL7" s="233">
        <f t="shared" si="19"/>
        <v>23.685898555511514</v>
      </c>
      <c r="AM7" s="233">
        <f t="shared" si="20"/>
        <v>38.910107656153187</v>
      </c>
      <c r="AN7" s="9">
        <f t="shared" si="31"/>
        <v>23.685898555511514</v>
      </c>
      <c r="AO7" s="10">
        <f t="shared" si="21"/>
        <v>10914.462054379706</v>
      </c>
      <c r="AP7" s="230">
        <f t="shared" si="26"/>
        <v>2.9740287650182372E-3</v>
      </c>
      <c r="AQ7" s="230">
        <f t="shared" si="32"/>
        <v>1.0143312563548829E-2</v>
      </c>
      <c r="AR7" s="232">
        <f t="shared" si="27"/>
        <v>4.6981783580645969E-7</v>
      </c>
      <c r="AS7" s="228">
        <f t="shared" si="33"/>
        <v>7.9662402429979712E-2</v>
      </c>
      <c r="AT7" s="232">
        <f t="shared" si="34"/>
        <v>-1.3893796310749258E-7</v>
      </c>
      <c r="AU7" s="165">
        <f t="shared" si="35"/>
        <v>0.26937790556091712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1.323</v>
      </c>
      <c r="F8" s="73">
        <v>12.13</v>
      </c>
      <c r="G8" s="73">
        <v>2.6</v>
      </c>
      <c r="H8" s="73">
        <v>2510</v>
      </c>
      <c r="I8" s="78">
        <v>3620</v>
      </c>
      <c r="J8" s="61"/>
      <c r="K8" s="2">
        <f t="shared" si="2"/>
        <v>31.538000000000004</v>
      </c>
      <c r="L8" s="1">
        <f t="shared" si="3"/>
        <v>50</v>
      </c>
      <c r="M8" s="234">
        <f t="shared" si="4"/>
        <v>3.912023005428146</v>
      </c>
      <c r="N8" s="3">
        <f t="shared" si="5"/>
        <v>398.40637450199205</v>
      </c>
      <c r="O8" s="3">
        <f t="shared" si="5"/>
        <v>276.24309392265195</v>
      </c>
      <c r="P8" s="3">
        <f t="shared" si="6"/>
        <v>23904.382470119523</v>
      </c>
      <c r="Q8" s="3">
        <f t="shared" si="22"/>
        <v>16574.585635359115</v>
      </c>
      <c r="R8" s="3">
        <f t="shared" si="7"/>
        <v>51.875830013280215</v>
      </c>
      <c r="S8" s="3">
        <f t="shared" si="8"/>
        <v>35.969152854511968</v>
      </c>
      <c r="T8" s="3">
        <f t="shared" si="9"/>
        <v>50</v>
      </c>
      <c r="U8" s="158">
        <f t="shared" si="0"/>
        <v>31.538000000000004</v>
      </c>
      <c r="V8" s="229">
        <f t="shared" si="23"/>
        <v>30.914780000000004</v>
      </c>
      <c r="W8" s="234">
        <f t="shared" si="24"/>
        <v>4.1457400105160011E-2</v>
      </c>
      <c r="X8" s="230">
        <f t="shared" si="28"/>
        <v>9.1085501005712319E-3</v>
      </c>
      <c r="Y8" s="230">
        <f t="shared" si="29"/>
        <v>5.9609101228755446E-3</v>
      </c>
      <c r="Z8" s="228">
        <f t="shared" si="10"/>
        <v>0.61773728932891347</v>
      </c>
      <c r="AA8" s="229">
        <f t="shared" si="11"/>
        <v>4.7621213086462433</v>
      </c>
      <c r="AB8" s="2">
        <f t="shared" si="30"/>
        <v>15.099629997610004</v>
      </c>
      <c r="AC8" s="158">
        <f t="shared" si="12"/>
        <v>15.417949963226707</v>
      </c>
      <c r="AD8" s="175">
        <f t="shared" si="13"/>
        <v>34.690387417260091</v>
      </c>
      <c r="AE8" s="175">
        <f t="shared" si="14"/>
        <v>47.731380095977514</v>
      </c>
      <c r="AF8" s="158">
        <f t="shared" si="25"/>
        <v>3.0958318200423172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23653.192376076848</v>
      </c>
      <c r="AK8" s="229">
        <f t="shared" si="18"/>
        <v>51.330712621694545</v>
      </c>
      <c r="AL8" s="229">
        <f t="shared" si="19"/>
        <v>35.507421627749004</v>
      </c>
      <c r="AM8" s="229">
        <f t="shared" si="20"/>
        <v>51.341628120255947</v>
      </c>
      <c r="AN8" s="2">
        <f t="shared" si="31"/>
        <v>35.507421627749004</v>
      </c>
      <c r="AO8" s="3">
        <f t="shared" si="21"/>
        <v>16361.81988606674</v>
      </c>
      <c r="AP8" s="227">
        <f t="shared" si="26"/>
        <v>6.0125243254809876E-3</v>
      </c>
      <c r="AQ8" s="227">
        <f t="shared" si="32"/>
        <v>2.7078331023694495E-2</v>
      </c>
      <c r="AR8" s="231">
        <f t="shared" si="27"/>
        <v>5.8878774572603587E-7</v>
      </c>
      <c r="AS8" s="228">
        <f t="shared" si="33"/>
        <v>6.3565890724585669E-2</v>
      </c>
      <c r="AT8" s="232">
        <f t="shared" si="34"/>
        <v>-2.9477044969055401E-7</v>
      </c>
      <c r="AU8" s="165">
        <f t="shared" si="35"/>
        <v>0.12696936733002404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1.6850000000000001</v>
      </c>
      <c r="F9" s="73">
        <v>12.07</v>
      </c>
      <c r="G9" s="73">
        <v>4.32</v>
      </c>
      <c r="H9" s="73">
        <v>2120</v>
      </c>
      <c r="I9" s="78">
        <v>2800</v>
      </c>
      <c r="J9" s="61"/>
      <c r="K9" s="2">
        <f t="shared" si="2"/>
        <v>52.142400000000002</v>
      </c>
      <c r="L9" s="1">
        <f t="shared" si="3"/>
        <v>78</v>
      </c>
      <c r="M9" s="234">
        <f t="shared" si="4"/>
        <v>4.3567088266895917</v>
      </c>
      <c r="N9" s="3">
        <f t="shared" si="5"/>
        <v>471.69811320754718</v>
      </c>
      <c r="O9" s="3">
        <f t="shared" si="5"/>
        <v>357.14285714285717</v>
      </c>
      <c r="P9" s="3">
        <f t="shared" si="6"/>
        <v>28301.886792452831</v>
      </c>
      <c r="Q9" s="3">
        <f t="shared" si="22"/>
        <v>21428.571428571431</v>
      </c>
      <c r="R9" s="3">
        <f t="shared" si="7"/>
        <v>61.419025157232703</v>
      </c>
      <c r="S9" s="3">
        <f t="shared" si="8"/>
        <v>46.502976190476197</v>
      </c>
      <c r="T9" s="3">
        <f t="shared" si="9"/>
        <v>78</v>
      </c>
      <c r="U9" s="158">
        <f t="shared" si="0"/>
        <v>52.142400000000002</v>
      </c>
      <c r="V9" s="229">
        <f t="shared" si="23"/>
        <v>51.519179999999999</v>
      </c>
      <c r="W9" s="234">
        <f t="shared" si="24"/>
        <v>6.9088353801960004E-2</v>
      </c>
      <c r="X9" s="230">
        <f t="shared" si="28"/>
        <v>1.2820771873932253E-2</v>
      </c>
      <c r="Y9" s="230">
        <f t="shared" si="29"/>
        <v>9.6731318962365656E-3</v>
      </c>
      <c r="Z9" s="228">
        <f t="shared" si="10"/>
        <v>1.0252207787529437</v>
      </c>
      <c r="AA9" s="229">
        <f t="shared" si="11"/>
        <v>10.181712430121189</v>
      </c>
      <c r="AB9" s="2">
        <f t="shared" si="30"/>
        <v>19.526742977157149</v>
      </c>
      <c r="AC9" s="158">
        <f t="shared" si="12"/>
        <v>19.862477704570139</v>
      </c>
      <c r="AD9" s="175">
        <f t="shared" si="13"/>
        <v>44.69057483528281</v>
      </c>
      <c r="AE9" s="175">
        <f t="shared" si="14"/>
        <v>61.709855695513802</v>
      </c>
      <c r="AF9" s="163">
        <f t="shared" si="25"/>
        <v>3.1068558824015717</v>
      </c>
      <c r="AG9" s="159">
        <f>$M$41/($Q$27*$Q$36*$Q$33*($AC9-$Q$46)^2/4/$AF9)/(PI()*$Q$36/60/($AC9-$Q$46))</f>
        <v>-1.1580832516288915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29373.157335889446</v>
      </c>
      <c r="AK9" s="229">
        <f t="shared" si="18"/>
        <v>63.743831024065635</v>
      </c>
      <c r="AL9" s="229">
        <f t="shared" si="19"/>
        <v>47.286528989307548</v>
      </c>
      <c r="AM9" s="229">
        <f t="shared" si="20"/>
        <v>63.728544198605483</v>
      </c>
      <c r="AN9" s="2">
        <f t="shared" si="31"/>
        <v>47.286528989307548</v>
      </c>
      <c r="AO9" s="3">
        <f t="shared" si="21"/>
        <v>21789.632558272919</v>
      </c>
      <c r="AP9" s="227">
        <f t="shared" si="26"/>
        <v>9.7194006316681687E-3</v>
      </c>
      <c r="AQ9" s="227">
        <f t="shared" si="32"/>
        <v>5.4358241425082325E-2</v>
      </c>
      <c r="AR9" s="231">
        <f t="shared" si="27"/>
        <v>7.0733079074437952E-7</v>
      </c>
      <c r="AS9" s="228">
        <f t="shared" si="33"/>
        <v>5.291275029241857E-2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1.8919999999999999</v>
      </c>
      <c r="F10" s="73">
        <v>11.99</v>
      </c>
      <c r="G10" s="73">
        <v>6</v>
      </c>
      <c r="H10" s="73">
        <v>1760</v>
      </c>
      <c r="I10" s="78">
        <v>2380</v>
      </c>
      <c r="J10" s="61"/>
      <c r="K10" s="2">
        <f t="shared" si="2"/>
        <v>71.94</v>
      </c>
      <c r="L10" s="1">
        <f t="shared" si="3"/>
        <v>115</v>
      </c>
      <c r="M10" s="234">
        <f t="shared" si="4"/>
        <v>4.7449321283632502</v>
      </c>
      <c r="N10" s="3">
        <f t="shared" si="5"/>
        <v>568.18181818181813</v>
      </c>
      <c r="O10" s="3">
        <f t="shared" si="5"/>
        <v>420.1680672268908</v>
      </c>
      <c r="P10" s="3">
        <f t="shared" si="6"/>
        <v>34090.909090909088</v>
      </c>
      <c r="Q10" s="3">
        <f t="shared" si="22"/>
        <v>25210.08403361345</v>
      </c>
      <c r="R10" s="3">
        <f t="shared" si="7"/>
        <v>73.982007575757564</v>
      </c>
      <c r="S10" s="3">
        <f t="shared" si="8"/>
        <v>54.709383753501406</v>
      </c>
      <c r="T10" s="3">
        <f t="shared" si="9"/>
        <v>115</v>
      </c>
      <c r="U10" s="158">
        <f t="shared" si="0"/>
        <v>71.94</v>
      </c>
      <c r="V10" s="229">
        <f t="shared" si="23"/>
        <v>71.316779999999994</v>
      </c>
      <c r="W10" s="234">
        <f t="shared" si="24"/>
        <v>9.563737094916E-2</v>
      </c>
      <c r="X10" s="230">
        <f t="shared" si="28"/>
        <v>1.4733765851932992E-2</v>
      </c>
      <c r="Y10" s="230">
        <f t="shared" si="29"/>
        <v>1.1586125874237305E-2</v>
      </c>
      <c r="Z10" s="228">
        <f t="shared" si="10"/>
        <v>1.7917894660781604</v>
      </c>
      <c r="AA10" s="229">
        <f t="shared" si="11"/>
        <v>23.524759693266088</v>
      </c>
      <c r="AB10" s="2">
        <f t="shared" si="30"/>
        <v>32.700527791584776</v>
      </c>
      <c r="AC10" s="158">
        <f t="shared" si="12"/>
        <v>26.258397137200163</v>
      </c>
      <c r="AD10" s="175">
        <f t="shared" si="13"/>
        <v>59.081393558700363</v>
      </c>
      <c r="AE10" s="175">
        <f t="shared" si="14"/>
        <v>72.599830230016238</v>
      </c>
      <c r="AF10" s="165">
        <f t="shared" si="25"/>
        <v>2.7648233763348928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34366.848557833095</v>
      </c>
      <c r="AK10" s="229">
        <f t="shared" si="18"/>
        <v>74.580834543908622</v>
      </c>
      <c r="AL10" s="229">
        <f t="shared" si="19"/>
        <v>57.57002293498968</v>
      </c>
      <c r="AM10" s="229">
        <f t="shared" si="20"/>
        <v>74.542672348340403</v>
      </c>
      <c r="AN10" s="2">
        <f t="shared" si="31"/>
        <v>57.570022934989673</v>
      </c>
      <c r="AO10" s="3">
        <f t="shared" si="21"/>
        <v>26528.266568443243</v>
      </c>
      <c r="AP10" s="227">
        <f t="shared" si="26"/>
        <v>1.3509994319591821E-2</v>
      </c>
      <c r="AQ10" s="227">
        <f t="shared" si="32"/>
        <v>8.8403642193183071E-2</v>
      </c>
      <c r="AR10" s="231">
        <f t="shared" si="27"/>
        <v>8.1082222250831958E-7</v>
      </c>
      <c r="AS10" s="228">
        <f t="shared" si="33"/>
        <v>4.6159091926482446E-2</v>
      </c>
      <c r="AT10" s="232">
        <f t="shared" si="34"/>
        <v>-6.0149523715815869E-7</v>
      </c>
      <c r="AU10" s="165">
        <f t="shared" si="35"/>
        <v>6.2222965690674661E-2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2.02</v>
      </c>
      <c r="F11" s="73">
        <v>11.97</v>
      </c>
      <c r="G11" s="73">
        <v>7.13</v>
      </c>
      <c r="H11" s="73">
        <v>1750</v>
      </c>
      <c r="I11" s="78">
        <v>2210</v>
      </c>
      <c r="J11" s="61"/>
      <c r="K11" s="2">
        <f t="shared" si="2"/>
        <v>85.346100000000007</v>
      </c>
      <c r="L11" s="1">
        <f t="shared" si="3"/>
        <v>140</v>
      </c>
      <c r="M11" s="234">
        <f t="shared" si="4"/>
        <v>4.9416424226093039</v>
      </c>
      <c r="N11" s="3">
        <f t="shared" si="5"/>
        <v>571.42857142857144</v>
      </c>
      <c r="O11" s="3">
        <f t="shared" si="5"/>
        <v>452.48868778280547</v>
      </c>
      <c r="P11" s="3">
        <f t="shared" si="6"/>
        <v>34285.71428571429</v>
      </c>
      <c r="Q11" s="3">
        <f t="shared" si="22"/>
        <v>27149.321266968327</v>
      </c>
      <c r="R11" s="3">
        <f t="shared" si="7"/>
        <v>74.404761904761912</v>
      </c>
      <c r="S11" s="3">
        <f t="shared" si="8"/>
        <v>58.917797888386126</v>
      </c>
      <c r="T11" s="3">
        <f t="shared" si="9"/>
        <v>140</v>
      </c>
      <c r="U11" s="158">
        <f t="shared" si="0"/>
        <v>85.346100000000007</v>
      </c>
      <c r="V11" s="229">
        <f t="shared" si="23"/>
        <v>84.722880000000004</v>
      </c>
      <c r="W11" s="234">
        <f t="shared" si="24"/>
        <v>0.11361524598336001</v>
      </c>
      <c r="X11" s="230">
        <f t="shared" si="28"/>
        <v>1.7403962097217694E-2</v>
      </c>
      <c r="Y11" s="230">
        <f t="shared" si="29"/>
        <v>1.4256322119522007E-2</v>
      </c>
      <c r="Z11" s="228">
        <f t="shared" si="10"/>
        <v>1.8226817134866904</v>
      </c>
      <c r="AA11" s="229">
        <f t="shared" si="11"/>
        <v>24.13576017689001</v>
      </c>
      <c r="AB11" s="2">
        <f t="shared" si="30"/>
        <v>28.279863024660774</v>
      </c>
      <c r="AC11" s="158">
        <f t="shared" si="12"/>
        <v>26.483790338489342</v>
      </c>
      <c r="AD11" s="175">
        <f t="shared" si="13"/>
        <v>59.58852826160102</v>
      </c>
      <c r="AE11" s="175">
        <f t="shared" si="14"/>
        <v>78.184432555402111</v>
      </c>
      <c r="AF11" s="165">
        <f t="shared" si="25"/>
        <v>2.9521617395443336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36897.120350916251</v>
      </c>
      <c r="AK11" s="229">
        <f t="shared" si="18"/>
        <v>80.071875761537001</v>
      </c>
      <c r="AL11" s="229">
        <f t="shared" si="19"/>
        <v>62.780604348346152</v>
      </c>
      <c r="AM11" s="229">
        <f t="shared" si="20"/>
        <v>80.022122760456739</v>
      </c>
      <c r="AN11" s="2">
        <f t="shared" si="31"/>
        <v>62.780604348346138</v>
      </c>
      <c r="AO11" s="3">
        <f t="shared" si="21"/>
        <v>28929.3024837179</v>
      </c>
      <c r="AP11" s="227">
        <f t="shared" si="26"/>
        <v>1.5627936689731323E-2</v>
      </c>
      <c r="AQ11" s="227">
        <f t="shared" si="32"/>
        <v>0.10979167191117979</v>
      </c>
      <c r="AR11" s="231">
        <f t="shared" si="27"/>
        <v>8.6326067714632297E-7</v>
      </c>
      <c r="AS11" s="228">
        <f t="shared" si="33"/>
        <v>4.3355174741096736E-2</v>
      </c>
      <c r="AT11" s="232">
        <f t="shared" si="34"/>
        <v>-6.0787261999602226E-7</v>
      </c>
      <c r="AU11" s="165">
        <f t="shared" si="35"/>
        <v>6.1570164987923351E-2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2.14</v>
      </c>
      <c r="F12" s="73">
        <v>11.91</v>
      </c>
      <c r="G12" s="73">
        <v>8.5</v>
      </c>
      <c r="H12" s="73">
        <v>1620</v>
      </c>
      <c r="I12" s="78">
        <v>2070</v>
      </c>
      <c r="J12" s="61"/>
      <c r="K12" s="2">
        <f t="shared" si="2"/>
        <v>101.235</v>
      </c>
      <c r="L12" s="1">
        <f t="shared" si="3"/>
        <v>155</v>
      </c>
      <c r="M12" s="234">
        <f t="shared" si="4"/>
        <v>5.0434251169192468</v>
      </c>
      <c r="N12" s="3">
        <f t="shared" si="5"/>
        <v>617.28395061728395</v>
      </c>
      <c r="O12" s="3">
        <f t="shared" si="5"/>
        <v>483.09178743961354</v>
      </c>
      <c r="P12" s="3">
        <f t="shared" si="6"/>
        <v>37037.037037037036</v>
      </c>
      <c r="Q12" s="3">
        <f t="shared" si="22"/>
        <v>28985.507246376812</v>
      </c>
      <c r="R12" s="3">
        <f t="shared" si="7"/>
        <v>80.375514403292172</v>
      </c>
      <c r="S12" s="3">
        <f t="shared" si="8"/>
        <v>62.902576489533011</v>
      </c>
      <c r="T12" s="3">
        <f t="shared" si="9"/>
        <v>155</v>
      </c>
      <c r="U12" s="158">
        <f t="shared" si="0"/>
        <v>101.235</v>
      </c>
      <c r="V12" s="229">
        <f t="shared" si="23"/>
        <v>100.61178</v>
      </c>
      <c r="W12" s="234">
        <f t="shared" si="24"/>
        <v>0.13492261043916001</v>
      </c>
      <c r="X12" s="230">
        <f t="shared" si="28"/>
        <v>1.9132565850714645E-2</v>
      </c>
      <c r="Y12" s="230">
        <f t="shared" si="29"/>
        <v>1.5984925873018956E-2</v>
      </c>
      <c r="Z12" s="228">
        <f t="shared" si="10"/>
        <v>2.297629183723529</v>
      </c>
      <c r="AA12" s="229">
        <f t="shared" si="11"/>
        <v>34.159746215144743</v>
      </c>
      <c r="AB12" s="2">
        <f t="shared" si="30"/>
        <v>33.743019919143322</v>
      </c>
      <c r="AC12" s="158">
        <f t="shared" si="12"/>
        <v>29.734777445493261</v>
      </c>
      <c r="AD12" s="175">
        <f t="shared" si="13"/>
        <v>66.903249252359842</v>
      </c>
      <c r="AE12" s="175">
        <f t="shared" si="14"/>
        <v>83.472268573641855</v>
      </c>
      <c r="AF12" s="165">
        <f t="shared" si="25"/>
        <v>2.8072269492063509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38206.344565254083</v>
      </c>
      <c r="AK12" s="229">
        <f t="shared" si="18"/>
        <v>82.913074143346535</v>
      </c>
      <c r="AL12" s="229">
        <f t="shared" si="19"/>
        <v>65.476686000836324</v>
      </c>
      <c r="AM12" s="229">
        <f t="shared" si="20"/>
        <v>82.857323777365963</v>
      </c>
      <c r="AN12" s="2">
        <f t="shared" si="31"/>
        <v>65.476686000836324</v>
      </c>
      <c r="AO12" s="3">
        <f t="shared" si="21"/>
        <v>30171.656909185378</v>
      </c>
      <c r="AP12" s="227">
        <f t="shared" si="26"/>
        <v>1.677590001786302E-2</v>
      </c>
      <c r="AQ12" s="227">
        <f t="shared" si="32"/>
        <v>0.12203842659457859</v>
      </c>
      <c r="AR12" s="231">
        <f t="shared" si="27"/>
        <v>8.9039360996492541E-7</v>
      </c>
      <c r="AS12" s="228">
        <f t="shared" si="33"/>
        <v>4.2034014042700345E-2</v>
      </c>
      <c r="AT12" s="232">
        <f t="shared" si="34"/>
        <v>-6.9985760119216255E-7</v>
      </c>
      <c r="AU12" s="165">
        <f t="shared" si="35"/>
        <v>5.3477760963147561E-2</v>
      </c>
      <c r="AX12" s="127"/>
      <c r="AY12" s="96"/>
    </row>
    <row r="13" spans="1:51" ht="13.9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2.67</v>
      </c>
      <c r="F13" s="80">
        <v>11.66</v>
      </c>
      <c r="G13" s="80">
        <v>13.84</v>
      </c>
      <c r="H13" s="80">
        <v>1360</v>
      </c>
      <c r="I13" s="81">
        <v>1680</v>
      </c>
      <c r="J13" s="61"/>
      <c r="K13" s="2">
        <f t="shared" si="2"/>
        <v>161.37440000000001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595.2380952380953</v>
      </c>
      <c r="P13" s="3">
        <f t="shared" si="6"/>
        <v>44117.647058823532</v>
      </c>
      <c r="Q13" s="3">
        <f t="shared" si="22"/>
        <v>35714.285714285717</v>
      </c>
      <c r="R13" s="3">
        <f t="shared" si="7"/>
        <v>95.741421568627459</v>
      </c>
      <c r="S13" s="3">
        <f t="shared" si="8"/>
        <v>77.504960317460316</v>
      </c>
      <c r="T13" s="3">
        <f t="shared" si="9"/>
        <v>175</v>
      </c>
      <c r="U13" s="158">
        <f t="shared" si="0"/>
        <v>161.37440000000001</v>
      </c>
      <c r="V13" s="229">
        <f t="shared" si="23"/>
        <v>160.75118000000001</v>
      </c>
      <c r="W13" s="234">
        <f t="shared" si="24"/>
        <v>0.21557086890596003</v>
      </c>
      <c r="X13" s="230">
        <f t="shared" si="28"/>
        <v>2.5662705945866313E-2</v>
      </c>
      <c r="Y13" s="230">
        <f t="shared" si="29"/>
        <v>2.2515065968170624E-2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56.574803022858568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102.84975949252301</v>
      </c>
      <c r="AF13" s="165">
        <f t="shared" si="25"/>
        <v>2.4924372674683695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39767.40142015458</v>
      </c>
      <c r="AK13" s="229">
        <f t="shared" si="18"/>
        <v>86.300784331932675</v>
      </c>
      <c r="AL13" s="229">
        <f t="shared" si="19"/>
        <v>68.691365884464886</v>
      </c>
      <c r="AM13" s="229">
        <f t="shared" si="20"/>
        <v>86.237882992508105</v>
      </c>
      <c r="AN13" s="2">
        <f t="shared" si="31"/>
        <v>68.691365884464886</v>
      </c>
      <c r="AO13" s="3">
        <f t="shared" si="21"/>
        <v>31652.98139956142</v>
      </c>
      <c r="AP13" s="227">
        <f t="shared" si="26"/>
        <v>1.8191106739225062E-2</v>
      </c>
      <c r="AQ13" s="227">
        <f t="shared" si="32"/>
        <v>0.13774048819033555</v>
      </c>
      <c r="AR13" s="231">
        <f t="shared" si="27"/>
        <v>9.2274563210611111E-7</v>
      </c>
      <c r="AS13" s="228">
        <f t="shared" si="33"/>
        <v>4.0560275987838464E-2</v>
      </c>
      <c r="AT13" s="232">
        <f t="shared" si="34"/>
        <v>-1.0260916807848024E-6</v>
      </c>
      <c r="AU13" s="165">
        <f t="shared" si="35"/>
        <v>3.6475120309103923E-2</v>
      </c>
      <c r="AX13" s="127"/>
      <c r="AY13" s="96"/>
    </row>
    <row r="14" spans="1:51" ht="13.9" customHeight="1" x14ac:dyDescent="0.3">
      <c r="AE14" s="45"/>
      <c r="AF14" s="30"/>
      <c r="AV14" s="146"/>
      <c r="AW14" s="95"/>
      <c r="AX14" s="128"/>
      <c r="AY14" s="96"/>
    </row>
    <row r="15" spans="1:51" ht="14.45" x14ac:dyDescent="0.3">
      <c r="A15" t="s">
        <v>235</v>
      </c>
      <c r="AE15" s="194"/>
      <c r="AF15" s="30"/>
    </row>
    <row r="16" spans="1:51" ht="13.9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" customHeight="1" x14ac:dyDescent="0.3">
      <c r="A17">
        <v>2</v>
      </c>
      <c r="C17" t="s">
        <v>237</v>
      </c>
      <c r="I17" s="3"/>
      <c r="J17" s="13" t="s">
        <v>277</v>
      </c>
      <c r="K17" s="14"/>
      <c r="L17" s="14"/>
      <c r="AE17" s="149"/>
      <c r="AF17" s="30"/>
    </row>
    <row r="18" spans="1:48" ht="13.9" customHeight="1" x14ac:dyDescent="0.3">
      <c r="A18">
        <v>3</v>
      </c>
      <c r="C18" t="s">
        <v>239</v>
      </c>
      <c r="I18" s="3"/>
      <c r="J18" s="15" t="s">
        <v>275</v>
      </c>
      <c r="K18" s="16"/>
      <c r="L18" s="16"/>
      <c r="AE18" s="149"/>
      <c r="AF18" s="30"/>
    </row>
    <row r="19" spans="1:48" ht="13.9" customHeight="1" x14ac:dyDescent="0.3">
      <c r="A19">
        <v>4</v>
      </c>
      <c r="C19" t="s">
        <v>238</v>
      </c>
      <c r="J19" s="288" t="s">
        <v>298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" customHeight="1" x14ac:dyDescent="0.3">
      <c r="A23" s="45">
        <v>8</v>
      </c>
      <c r="B23" s="45"/>
      <c r="C23" s="45" t="s">
        <v>276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3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3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" customHeight="1" x14ac:dyDescent="0.3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" customHeight="1" x14ac:dyDescent="0.3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3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3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ht="14.45" x14ac:dyDescent="0.3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thickBot="1" x14ac:dyDescent="0.35">
      <c r="B37" s="26" t="s">
        <v>17</v>
      </c>
      <c r="C37" s="200">
        <v>5</v>
      </c>
      <c r="I37" s="208" t="s">
        <v>291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9" thickBot="1" x14ac:dyDescent="0.35">
      <c r="I38" s="193" t="s">
        <v>100</v>
      </c>
      <c r="J38" s="236" t="s">
        <v>295</v>
      </c>
      <c r="K38" s="263" t="s">
        <v>300</v>
      </c>
      <c r="L38" s="263" t="s">
        <v>273</v>
      </c>
      <c r="M38" s="264" t="s">
        <v>274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>(I39*$Q$30*$R$43+$Q$43)/$Q$30</f>
        <v>91.219531068171435</v>
      </c>
      <c r="K39" s="242">
        <v>0</v>
      </c>
      <c r="L39" s="213"/>
      <c r="M39" s="216"/>
      <c r="P39" s="226" t="s">
        <v>290</v>
      </c>
      <c r="Q39" s="58"/>
      <c r="R39" s="58"/>
      <c r="S39" s="58"/>
      <c r="T39" s="25"/>
      <c r="AI39" s="5"/>
    </row>
    <row r="40" spans="1:50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ref="J40:J44" si="36">(I40*$Q$30*$R$43+$Q$43)/$Q$30</f>
        <v>79.201238778626802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INDEX(LINEST($Q$4:$Q$13,$E$4:$E$13^{1,2},FALSE,FALSE),2)</f>
        <v>15137.782899163416</v>
      </c>
      <c r="S40" s="67">
        <f>INDEX(LINEST($Q$4:$Q$13,$E$4:$E$13^{1,2},FALSE,FALSE),1)</f>
        <v>-814.34908686639915</v>
      </c>
      <c r="T40" s="31" t="s">
        <v>267</v>
      </c>
      <c r="AI40" s="5"/>
    </row>
    <row r="41" spans="1:50" thickBot="1" x14ac:dyDescent="0.35">
      <c r="B41" s="30"/>
      <c r="C41" s="201"/>
      <c r="D41"/>
      <c r="E41"/>
      <c r="H41" s="10"/>
      <c r="I41" s="241">
        <v>48</v>
      </c>
      <c r="J41" s="253">
        <f t="shared" si="36"/>
        <v>64.478830723934621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292</v>
      </c>
      <c r="P41" s="65" t="s">
        <v>21</v>
      </c>
      <c r="Q41" s="205">
        <f>INDEX(LINEST($P$4:$P$13,$M$4:$M$13),2)</f>
        <v>-26666.90654129746</v>
      </c>
      <c r="R41" s="67">
        <f>INDEX(LINEST($P$4:$P$13,$M$4:$M$13),1)</f>
        <v>12862.935327208561</v>
      </c>
      <c r="S41" s="30"/>
      <c r="T41" s="31" t="s">
        <v>267</v>
      </c>
      <c r="AI41" s="5"/>
      <c r="AW41" s="151"/>
      <c r="AX41" s="164"/>
    </row>
    <row r="42" spans="1:50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40.292017491226026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-6083.2646938232028</v>
      </c>
      <c r="R42" s="69">
        <f>INDEX(LINEST($Q$4:$Q$13,$P$4:$P$13),1)</f>
        <v>0.9489241123575014</v>
      </c>
      <c r="S42" s="30"/>
      <c r="T42" s="31" t="s">
        <v>267</v>
      </c>
      <c r="AI42" s="5"/>
    </row>
    <row r="43" spans="1:50" ht="15.75" thickBot="1" x14ac:dyDescent="0.3">
      <c r="C43" s="198"/>
      <c r="D43"/>
      <c r="E43"/>
      <c r="G43" s="6"/>
      <c r="I43" s="241">
        <v>20</v>
      </c>
      <c r="J43" s="253">
        <f t="shared" si="36"/>
        <v>35.034014614550259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6452.1230320959621</v>
      </c>
      <c r="R43" s="69">
        <f>INDEX(LINEST($P$4:$P$13,$Q$4:$Q$13),1)</f>
        <v>1.0516005753351558</v>
      </c>
      <c r="S43" s="30"/>
      <c r="T43" s="31" t="s">
        <v>267</v>
      </c>
      <c r="AI43" s="5"/>
    </row>
    <row r="44" spans="1:50" ht="15.75" thickBot="1" x14ac:dyDescent="0.3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29.325325777016552</v>
      </c>
      <c r="K44" s="246">
        <v>0.5</v>
      </c>
      <c r="L44" s="255"/>
      <c r="M44" s="256"/>
      <c r="P44" s="65" t="s">
        <v>180</v>
      </c>
      <c r="Q44" s="206">
        <f>AG9</f>
        <v>-1.1580832516288915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25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3.1068558824015717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.75" thickBot="1" x14ac:dyDescent="0.3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5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.75" thickBot="1" x14ac:dyDescent="0.3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-2.1167991540699382E-3</v>
      </c>
      <c r="K47" s="180">
        <f>INDEX(LINEST($Y$3:$Y$13,$P$3:$P$13^{1,2}),2)</f>
        <v>9.8588685353350388E-8</v>
      </c>
      <c r="L47" s="180">
        <f>INDEX(LINEST($Y$3:$Y$13,$P$3:$P$13^{1,2}),1)</f>
        <v>1.0362217762801424E-11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.75" thickBot="1" x14ac:dyDescent="0.3">
      <c r="Q48" s="61"/>
      <c r="R48" s="213"/>
      <c r="T48" s="213"/>
      <c r="U48" s="188"/>
      <c r="V48" s="30"/>
    </row>
    <row r="49" spans="1:45" ht="15.75" thickBot="1" x14ac:dyDescent="0.3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284</v>
      </c>
      <c r="M49" s="237" t="s">
        <v>283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25">
      <c r="I50" s="238" t="s">
        <v>278</v>
      </c>
      <c r="J50" s="236" t="s">
        <v>100</v>
      </c>
      <c r="K50" s="239" t="s">
        <v>279</v>
      </c>
      <c r="L50" s="239" t="s">
        <v>280</v>
      </c>
      <c r="M50" s="239" t="s">
        <v>281</v>
      </c>
      <c r="N50" s="240" t="s">
        <v>282</v>
      </c>
      <c r="P50" s="235" t="s">
        <v>287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25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279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288</v>
      </c>
      <c r="X51" s="45"/>
      <c r="Y51" s="45"/>
      <c r="AJ51" s="104"/>
      <c r="AR51" s="3"/>
    </row>
    <row r="52" spans="1:45" x14ac:dyDescent="0.25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280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25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285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25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286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25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281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289</v>
      </c>
      <c r="X55" s="196"/>
      <c r="Y55" s="45"/>
    </row>
    <row r="56" spans="1:45" ht="15.75" thickBot="1" x14ac:dyDescent="0.3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282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25">
      <c r="V57" s="45"/>
      <c r="W57" s="45"/>
      <c r="X57" s="196"/>
      <c r="Y57" s="45"/>
    </row>
    <row r="58" spans="1:45" x14ac:dyDescent="0.25">
      <c r="W58" s="45"/>
      <c r="X58" s="196"/>
      <c r="Y58" s="45"/>
    </row>
    <row r="59" spans="1:45" x14ac:dyDescent="0.25">
      <c r="W59" s="45"/>
      <c r="X59" s="149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H62" s="176"/>
    </row>
    <row r="64" spans="1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31" zoomScale="90" zoomScaleNormal="90" workbookViewId="0">
      <selection activeCell="J41" sqref="J41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</v>
      </c>
      <c r="AI2" s="228">
        <f t="shared" ref="AI2:AI14" si="15">AH2/$Q$24*$Q$32</f>
        <v>0</v>
      </c>
      <c r="AJ2" s="229" t="e">
        <f t="shared" ref="AJ2:AJ14" si="16">MAX(($Q$42+$R$42*LN($AI2)),0)</f>
        <v>#NUM!</v>
      </c>
      <c r="AK2" s="229" t="e">
        <f t="shared" ref="AK2:AK14" si="17">MAX(($Q$42+$R$42*LN(AI2))/$Q$31,0)</f>
        <v>#NUM!</v>
      </c>
      <c r="AL2" s="229" t="e">
        <f t="shared" ref="AL2:AL14" si="18">($Q$43+$R$43*AK2*$Q$31)/$Q$31</f>
        <v>#NUM!</v>
      </c>
      <c r="AM2" s="229" t="e">
        <f t="shared" ref="AM2:AM14" si="19">($Q$44+$R$44*AL2*$Q$31)/$Q$31</f>
        <v>#NUM!</v>
      </c>
      <c r="AN2" s="1"/>
      <c r="AO2" s="1" t="e">
        <f t="shared" ref="AO2:AO14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1"/>
      <c r="AU4" s="228"/>
      <c r="AX4" s="127"/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/>
      <c r="AU5" s="165"/>
      <c r="AX5" s="127"/>
      <c r="AY5" s="96"/>
    </row>
    <row r="6" spans="1:51" ht="13.9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ref="AT6:AT14" si="32">$Q$45*$Q$28*$Q$37^2*$Q$34*PI()/240*($AC6-$Q$47)/$Q$46*$Q$35</f>
        <v>-1.0881565387645624E-7</v>
      </c>
      <c r="AU6" s="165">
        <f t="shared" ref="AU6:AU14" si="33">-$Q$36/AT6</f>
        <v>0.34394699817076718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-1.9294392686468658E-7</v>
      </c>
      <c r="AU7" s="165">
        <f t="shared" si="33"/>
        <v>0.19397769141002355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-2.9837294603800979E-7</v>
      </c>
      <c r="AU8" s="165">
        <f t="shared" si="33"/>
        <v>0.12543636412675468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3">
        <f t="shared" si="23"/>
        <v>3.0412714278435651</v>
      </c>
      <c r="AG9" s="159">
        <f>$M$42/($Q$28*$Q$37*$Q$34*($AC9-$Q$47)^2/4/$AF9)/(PI()*$Q$37/60/($AC9-$Q$47))</f>
        <v>-1.0420958323350726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-4.2243326627533155E-7</v>
      </c>
      <c r="AU9" s="165">
        <f t="shared" si="33"/>
        <v>8.8598177493915575E-2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-5.6860265310494001E-7</v>
      </c>
      <c r="AU10" s="165">
        <f t="shared" si="33"/>
        <v>6.5822446132499698E-2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5">
        <f t="shared" si="23"/>
        <v>2.8363274291711398</v>
      </c>
      <c r="AG11" s="151">
        <f>$M$42/($Q$28*$Q$37*$Q$34*($AC11-$Q$47)^2/4/$AF11)/(PI()*$Q$37/60/($AC11-$Q$47))</f>
        <v>-0.69247187500148799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-5.9287728874384417E-7</v>
      </c>
      <c r="AU11" s="165">
        <f t="shared" si="33"/>
        <v>6.3127426560889544E-2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-6.7470702609226777E-7</v>
      </c>
      <c r="AU12" s="165">
        <f t="shared" si="33"/>
        <v>5.5471213515535737E-2</v>
      </c>
      <c r="AX12" s="127"/>
      <c r="AY12" s="96"/>
    </row>
    <row r="13" spans="1:51" ht="13.9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-8.2981889042291529E-7</v>
      </c>
      <c r="AU13" s="165">
        <f t="shared" si="33"/>
        <v>4.5102392747075011E-2</v>
      </c>
      <c r="AX13" s="127"/>
      <c r="AY13" s="96"/>
    </row>
    <row r="14" spans="1:51" ht="13.9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-1.0113903088917522E-6</v>
      </c>
      <c r="AU14" s="165">
        <f t="shared" si="33"/>
        <v>3.7005315530269797E-2</v>
      </c>
      <c r="AX14" s="127"/>
      <c r="AY14" s="96"/>
    </row>
    <row r="15" spans="1:51" ht="13.9" customHeight="1" x14ac:dyDescent="0.3">
      <c r="AE15" s="45"/>
      <c r="AF15" s="30"/>
      <c r="AV15" s="146"/>
      <c r="AW15" s="95"/>
      <c r="AX15" s="128"/>
      <c r="AY15" s="96"/>
    </row>
    <row r="16" spans="1:51" ht="14.45" x14ac:dyDescent="0.3">
      <c r="A16" t="s">
        <v>235</v>
      </c>
      <c r="AE16" s="194"/>
      <c r="AF16" s="30"/>
    </row>
    <row r="17" spans="1:48" ht="13.9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3">
      <c r="A18">
        <v>2</v>
      </c>
      <c r="C18" t="s">
        <v>237</v>
      </c>
      <c r="I18" s="3"/>
      <c r="J18" s="13" t="s">
        <v>277</v>
      </c>
      <c r="K18" s="14"/>
      <c r="L18" s="14"/>
      <c r="AE18" s="149"/>
      <c r="AF18" s="30"/>
    </row>
    <row r="19" spans="1:48" ht="13.9" customHeight="1" x14ac:dyDescent="0.3">
      <c r="A19">
        <v>3</v>
      </c>
      <c r="C19" t="s">
        <v>239</v>
      </c>
      <c r="I19" s="3"/>
      <c r="J19" s="15" t="s">
        <v>275</v>
      </c>
      <c r="K19" s="16"/>
      <c r="L19" s="16"/>
      <c r="AE19" s="149"/>
      <c r="AF19" s="30"/>
    </row>
    <row r="20" spans="1:48" ht="13.9" customHeight="1" x14ac:dyDescent="0.3">
      <c r="A20">
        <v>4</v>
      </c>
      <c r="C20" t="s">
        <v>238</v>
      </c>
      <c r="J20" s="288" t="s">
        <v>298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3">
      <c r="A24" s="45">
        <v>8</v>
      </c>
      <c r="B24" s="45"/>
      <c r="C24" s="45" t="s">
        <v>276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ht="14.45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thickBot="1" x14ac:dyDescent="0.35">
      <c r="B38" s="26" t="s">
        <v>17</v>
      </c>
      <c r="C38" s="200">
        <v>5</v>
      </c>
      <c r="I38" s="208" t="s">
        <v>293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9" thickBot="1" x14ac:dyDescent="0.35">
      <c r="I39" s="193" t="s">
        <v>100</v>
      </c>
      <c r="J39" s="236" t="s">
        <v>295</v>
      </c>
      <c r="K39" s="263" t="s">
        <v>301</v>
      </c>
      <c r="L39" s="263" t="s">
        <v>273</v>
      </c>
      <c r="M39" s="264" t="s">
        <v>274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>(I40*$Q$31*$R$44+$Q$44)/$Q$31</f>
        <v>94.681287010566123</v>
      </c>
      <c r="K40" s="242">
        <v>0</v>
      </c>
      <c r="L40" s="213"/>
      <c r="M40" s="216"/>
      <c r="P40" s="226" t="s">
        <v>297</v>
      </c>
      <c r="Q40" s="58"/>
      <c r="R40" s="58"/>
      <c r="S40" s="58"/>
      <c r="T40" s="25"/>
      <c r="AI40" s="5"/>
    </row>
    <row r="41" spans="1:50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34">(I41*$Q$31*$R$44+$Q$44)/$Q$31</f>
        <v>79.438383345784871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</row>
    <row r="42" spans="1:50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65.128718680888184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292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</row>
    <row r="43" spans="1:50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41.619983874272194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</row>
    <row r="44" spans="1:50" thickBot="1" x14ac:dyDescent="0.35">
      <c r="C44" s="198"/>
      <c r="D44"/>
      <c r="E44"/>
      <c r="G44" s="6"/>
      <c r="I44" s="241">
        <v>16</v>
      </c>
      <c r="J44" s="253">
        <f t="shared" si="34"/>
        <v>32.420913732552897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</row>
    <row r="45" spans="1:50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29.297772635055605</v>
      </c>
      <c r="K45" s="246">
        <v>0.5</v>
      </c>
      <c r="L45" s="255"/>
      <c r="M45" s="256"/>
      <c r="P45" s="65" t="s">
        <v>180</v>
      </c>
      <c r="Q45" s="206">
        <f>AG9</f>
        <v>-1.0420958323350726</v>
      </c>
      <c r="R45" s="30"/>
      <c r="S45" s="30"/>
      <c r="T45" s="31" t="s">
        <v>261</v>
      </c>
      <c r="U45" s="5"/>
      <c r="AI45" s="5"/>
      <c r="AJ45" s="5"/>
      <c r="AK45" s="151"/>
    </row>
    <row r="46" spans="1:50" ht="14.45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thickBot="1" x14ac:dyDescent="0.35">
      <c r="Q49" s="61"/>
      <c r="R49" s="213"/>
      <c r="T49" s="213"/>
      <c r="U49" s="188"/>
      <c r="V49" s="30"/>
    </row>
    <row r="50" spans="1:4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284</v>
      </c>
      <c r="M50" s="237" t="s">
        <v>283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25">
      <c r="I51" s="238" t="s">
        <v>278</v>
      </c>
      <c r="J51" s="236" t="s">
        <v>100</v>
      </c>
      <c r="K51" s="239" t="s">
        <v>279</v>
      </c>
      <c r="L51" s="239" t="s">
        <v>280</v>
      </c>
      <c r="M51" s="239" t="s">
        <v>281</v>
      </c>
      <c r="N51" s="240" t="s">
        <v>282</v>
      </c>
      <c r="P51" s="235" t="s">
        <v>287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25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279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288</v>
      </c>
      <c r="X52" s="45"/>
      <c r="Y52" s="45"/>
      <c r="AJ52" s="104"/>
      <c r="AR52" s="3"/>
    </row>
    <row r="53" spans="1:45" x14ac:dyDescent="0.25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280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25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285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25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286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25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281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289</v>
      </c>
      <c r="X56" s="196"/>
      <c r="Y56" s="45"/>
    </row>
    <row r="57" spans="1:45" ht="15.75" thickBot="1" x14ac:dyDescent="0.3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282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19" zoomScale="90" zoomScaleNormal="90" workbookViewId="0">
      <selection activeCell="I39" sqref="I39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customWidth="1"/>
    <col min="9" max="9" width="8.5703125" style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0.92947999999999997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5" si="14">D2/$Q$32*$Q$24</f>
        <v>0</v>
      </c>
      <c r="AI2" s="228">
        <f t="shared" ref="AI2:AI15" si="15">AH2/$Q$24*$Q$32</f>
        <v>0</v>
      </c>
      <c r="AJ2" s="229" t="e">
        <f t="shared" ref="AJ2:AJ15" si="16">MAX(($Q$42+$R$42*LN($AI2)),0)</f>
        <v>#NUM!</v>
      </c>
      <c r="AK2" s="229" t="e">
        <f t="shared" ref="AK2:AK15" si="17">MAX(($Q$42+$R$42*LN(AI2))/$Q$31,0)</f>
        <v>#NUM!</v>
      </c>
      <c r="AL2" s="229" t="e">
        <f t="shared" ref="AL2:AL15" si="18">($Q$43+$R$43*AK2*$Q$31)/$Q$31</f>
        <v>#NUM!</v>
      </c>
      <c r="AM2" s="229" t="e">
        <f t="shared" ref="AM2:AM15" si="19">($Q$44+$R$44*AL2*$Q$31)/$Q$31</f>
        <v>#NUM!</v>
      </c>
      <c r="AN2" s="1"/>
      <c r="AO2" s="1" t="e">
        <f t="shared" ref="AO2:AO15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4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 t="shared" si="6"/>
        <v>7936.5079365079364</v>
      </c>
      <c r="Q3" s="3">
        <f t="shared" si="6"/>
        <v>5.9999999999999995E-25</v>
      </c>
      <c r="R3" s="3">
        <f t="shared" si="7"/>
        <v>17.22332451499118</v>
      </c>
      <c r="S3" s="3">
        <f t="shared" si="7"/>
        <v>1.3020833333333332E-27</v>
      </c>
      <c r="T3" s="3">
        <f>L3</f>
        <v>11</v>
      </c>
      <c r="U3" s="158">
        <f>K3</f>
        <v>3.9959400000000005</v>
      </c>
      <c r="V3" s="1">
        <f t="shared" ref="V3:V14" si="21">($U3-$U$2)</f>
        <v>3.0664600000000006</v>
      </c>
      <c r="W3" s="234">
        <f t="shared" ref="W3:W14" si="22">($U3-$U$2)*0.001341022</f>
        <v>4.1121903221200008E-3</v>
      </c>
      <c r="X3" s="230">
        <f>$W3/$P3*5252</f>
        <v>2.7212501700435545E-3</v>
      </c>
      <c r="Y3" s="230">
        <f>X3-$X$3</f>
        <v>0</v>
      </c>
      <c r="Z3" s="228">
        <f t="shared" si="9"/>
        <v>2.2607867332556594E-2</v>
      </c>
      <c r="AA3" s="229">
        <f t="shared" si="10"/>
        <v>3.3341422214415065E-2</v>
      </c>
      <c r="AB3" s="2">
        <f>AA3/U3*100</f>
        <v>0.83438245355073049</v>
      </c>
      <c r="AC3" s="158">
        <f t="shared" si="11"/>
        <v>2.9495415665679845</v>
      </c>
      <c r="AD3" s="175">
        <f t="shared" si="12"/>
        <v>6.636468524777964</v>
      </c>
      <c r="AE3" s="4">
        <f t="shared" si="13"/>
        <v>1.7278759594743859E-27</v>
      </c>
      <c r="AF3" s="158">
        <f t="shared" ref="AF3:AF14" si="23">AE3/AC3</f>
        <v>5.8581170004832332E-28</v>
      </c>
      <c r="AH3" s="228">
        <f t="shared" si="14"/>
        <v>0.30555555555555552</v>
      </c>
      <c r="AI3" s="228">
        <f t="shared" si="15"/>
        <v>10.999999999999998</v>
      </c>
      <c r="AJ3" s="229">
        <f t="shared" si="16"/>
        <v>2743.6582034189087</v>
      </c>
      <c r="AK3" s="229">
        <f t="shared" si="17"/>
        <v>5.9541193650583955</v>
      </c>
      <c r="AL3" s="229">
        <f t="shared" si="18"/>
        <v>-10.144684268852444</v>
      </c>
      <c r="AM3" s="229">
        <f t="shared" si="19"/>
        <v>6.1762561588604195</v>
      </c>
      <c r="AN3" s="1"/>
      <c r="AO3" s="1">
        <f t="shared" si="20"/>
        <v>0</v>
      </c>
      <c r="AP3" s="227">
        <f t="shared" ref="AP3:AP15" si="24">MAX($J$48+$AJ3*($K$48+$AJ3*$L$48), 0)</f>
        <v>0</v>
      </c>
      <c r="AQ3" s="227">
        <f>AJ3*AP3/5252</f>
        <v>0</v>
      </c>
      <c r="AR3" s="231">
        <f t="shared" ref="AR3:AR15" si="25">MAX($K$48+$L$48*2*AJ3,1E-32)</f>
        <v>2.2408586497235673E-7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1.0833333333333333</v>
      </c>
      <c r="D4" s="73">
        <v>15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15</v>
      </c>
      <c r="M4" s="234">
        <f t="shared" si="4"/>
        <v>2.7080502011022101</v>
      </c>
      <c r="N4" s="3">
        <f t="shared" si="5"/>
        <v>165.56291390728478</v>
      </c>
      <c r="O4" s="3">
        <f t="shared" si="5"/>
        <v>12.500000000000002</v>
      </c>
      <c r="P4" s="3">
        <f t="shared" si="6"/>
        <v>9933.7748344370866</v>
      </c>
      <c r="Q4" s="3">
        <f t="shared" si="6"/>
        <v>750.00000000000011</v>
      </c>
      <c r="R4" s="3">
        <f t="shared" si="7"/>
        <v>21.557671081677704</v>
      </c>
      <c r="S4" s="3">
        <f t="shared" si="7"/>
        <v>1.627604166666667</v>
      </c>
      <c r="T4" s="3">
        <f t="shared" si="8"/>
        <v>15</v>
      </c>
      <c r="U4" s="158">
        <f t="shared" si="0"/>
        <v>5.16906</v>
      </c>
      <c r="V4" s="229">
        <f t="shared" si="21"/>
        <v>4.2395800000000001</v>
      </c>
      <c r="W4" s="234">
        <f t="shared" si="22"/>
        <v>5.6853700507600007E-3</v>
      </c>
      <c r="X4" s="230">
        <f t="shared" ref="X4:X14" si="26">$W4/$P4*5252</f>
        <v>3.0058627263302132E-3</v>
      </c>
      <c r="Y4" s="230">
        <f t="shared" ref="Y4:Y14" si="27">X4-$X$3</f>
        <v>2.8461255628665872E-4</v>
      </c>
      <c r="Z4" s="228">
        <f t="shared" si="9"/>
        <v>4.4331677644672267E-2</v>
      </c>
      <c r="AA4" s="229">
        <f t="shared" si="10"/>
        <v>9.1551608116826624E-2</v>
      </c>
      <c r="AB4" s="2">
        <f t="shared" ref="AB4:AB13" si="28">AA4/U4*100</f>
        <v>1.7711461681007112</v>
      </c>
      <c r="AC4" s="158">
        <f t="shared" si="11"/>
        <v>4.1303019863417774</v>
      </c>
      <c r="AD4" s="175">
        <f t="shared" si="12"/>
        <v>9.2931794692689991</v>
      </c>
      <c r="AE4" s="175">
        <f t="shared" si="13"/>
        <v>2.1598449493429834</v>
      </c>
      <c r="AF4" s="158">
        <f t="shared" si="23"/>
        <v>0.52292664228553554</v>
      </c>
      <c r="AG4" s="151"/>
      <c r="AH4" s="228">
        <f t="shared" si="14"/>
        <v>0.41666666666666663</v>
      </c>
      <c r="AI4" s="228">
        <f t="shared" si="15"/>
        <v>15</v>
      </c>
      <c r="AJ4" s="229">
        <f t="shared" si="16"/>
        <v>7141.6446663120769</v>
      </c>
      <c r="AK4" s="229">
        <f t="shared" si="17"/>
        <v>15.498360820989749</v>
      </c>
      <c r="AL4" s="229">
        <f t="shared" si="18"/>
        <v>-0.52429267352518261</v>
      </c>
      <c r="AM4" s="229">
        <f t="shared" si="19"/>
        <v>15.679652214801351</v>
      </c>
      <c r="AN4" s="2">
        <f t="shared" ref="AN4:AN15" si="29">AO4/$Q$31</f>
        <v>0</v>
      </c>
      <c r="AO4" s="3">
        <f t="shared" si="20"/>
        <v>0</v>
      </c>
      <c r="AP4" s="227">
        <f t="shared" si="24"/>
        <v>0</v>
      </c>
      <c r="AQ4" s="227">
        <f t="shared" ref="AQ4:AQ15" si="30">AJ4*AP4/5252</f>
        <v>0</v>
      </c>
      <c r="AR4" s="231">
        <f t="shared" si="25"/>
        <v>3.0426837276728996E-7</v>
      </c>
      <c r="AS4" s="228">
        <f t="shared" ref="AS4:AS15" si="31">$Q$36/AR4</f>
        <v>0.12300594098690974</v>
      </c>
      <c r="AT4" s="1"/>
      <c r="AU4" s="228"/>
      <c r="AX4" s="127"/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26</v>
      </c>
      <c r="M5" s="234">
        <f t="shared" si="4"/>
        <v>3.2580965380214821</v>
      </c>
      <c r="N5" s="3">
        <f t="shared" si="5"/>
        <v>235.84905660377359</v>
      </c>
      <c r="O5" s="3">
        <f t="shared" si="5"/>
        <v>121.95121951219512</v>
      </c>
      <c r="P5" s="3">
        <f t="shared" si="6"/>
        <v>14150.943396226416</v>
      </c>
      <c r="Q5" s="3">
        <f t="shared" si="6"/>
        <v>7317.0731707317073</v>
      </c>
      <c r="R5" s="3">
        <f t="shared" si="7"/>
        <v>30.709512578616351</v>
      </c>
      <c r="S5" s="3">
        <f t="shared" si="7"/>
        <v>15.879065040650406</v>
      </c>
      <c r="T5" s="3">
        <f t="shared" si="8"/>
        <v>26</v>
      </c>
      <c r="U5" s="158">
        <f t="shared" si="0"/>
        <v>9.6257999999999999</v>
      </c>
      <c r="V5" s="229">
        <f t="shared" si="21"/>
        <v>8.6963200000000001</v>
      </c>
      <c r="W5" s="234">
        <f t="shared" si="22"/>
        <v>1.1661956439040002E-2</v>
      </c>
      <c r="X5" s="230">
        <f t="shared" si="26"/>
        <v>4.3282340620605583E-3</v>
      </c>
      <c r="Y5" s="230">
        <f t="shared" si="27"/>
        <v>1.6069838920170039E-3</v>
      </c>
      <c r="Z5" s="228">
        <f t="shared" si="9"/>
        <v>0.12815259734411796</v>
      </c>
      <c r="AA5" s="229">
        <f t="shared" si="10"/>
        <v>0.44997236896437842</v>
      </c>
      <c r="AB5" s="2">
        <f t="shared" si="28"/>
        <v>4.6746490573705914</v>
      </c>
      <c r="AC5" s="158">
        <f t="shared" si="11"/>
        <v>7.0224463380340776</v>
      </c>
      <c r="AD5" s="175">
        <f t="shared" si="12"/>
        <v>15.800504260576671</v>
      </c>
      <c r="AE5" s="175">
        <f t="shared" si="13"/>
        <v>21.071658042370565</v>
      </c>
      <c r="AF5" s="158">
        <f t="shared" si="23"/>
        <v>3.0006150318650269</v>
      </c>
      <c r="AG5" s="151"/>
      <c r="AH5" s="228">
        <f t="shared" si="14"/>
        <v>0.7222222222222221</v>
      </c>
      <c r="AI5" s="228">
        <f t="shared" si="15"/>
        <v>25.999999999999996</v>
      </c>
      <c r="AJ5" s="229">
        <f t="shared" si="16"/>
        <v>14941.283243601076</v>
      </c>
      <c r="AK5" s="229">
        <f t="shared" si="17"/>
        <v>32.424659816842613</v>
      </c>
      <c r="AL5" s="229">
        <f t="shared" si="18"/>
        <v>16.537055297559757</v>
      </c>
      <c r="AM5" s="229">
        <f t="shared" si="19"/>
        <v>32.53351366220835</v>
      </c>
      <c r="AN5" s="2">
        <f t="shared" si="29"/>
        <v>16.537055297559753</v>
      </c>
      <c r="AO5" s="3">
        <f t="shared" si="20"/>
        <v>7620.2750811155347</v>
      </c>
      <c r="AP5" s="227">
        <f t="shared" si="24"/>
        <v>2.2409562868355819E-3</v>
      </c>
      <c r="AQ5" s="227">
        <f t="shared" si="30"/>
        <v>6.3752404071094754E-3</v>
      </c>
      <c r="AR5" s="231">
        <f t="shared" si="25"/>
        <v>4.464685787701361E-7</v>
      </c>
      <c r="AS5" s="228">
        <f t="shared" si="31"/>
        <v>8.3828558793306446E-2</v>
      </c>
      <c r="AT5" s="232"/>
      <c r="AU5" s="165"/>
      <c r="AX5" s="127"/>
      <c r="AY5" s="96"/>
    </row>
    <row r="6" spans="1:51" ht="13.9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0.69399999999999995</v>
      </c>
      <c r="F6" s="73">
        <v>12.2</v>
      </c>
      <c r="G6" s="73">
        <v>1.0129999999999999</v>
      </c>
      <c r="H6" s="73">
        <v>3770</v>
      </c>
      <c r="I6" s="78">
        <v>6800</v>
      </c>
      <c r="J6" s="61"/>
      <c r="K6" s="2">
        <f t="shared" si="2"/>
        <v>12.358599999999997</v>
      </c>
      <c r="L6" s="1">
        <f t="shared" si="3"/>
        <v>28</v>
      </c>
      <c r="M6" s="234">
        <f t="shared" si="4"/>
        <v>3.3322045101752038</v>
      </c>
      <c r="N6" s="3">
        <f t="shared" si="5"/>
        <v>265.25198938992042</v>
      </c>
      <c r="O6" s="3">
        <f t="shared" si="5"/>
        <v>147.05882352941177</v>
      </c>
      <c r="P6" s="3">
        <f t="shared" si="6"/>
        <v>15915.119363395226</v>
      </c>
      <c r="Q6" s="3">
        <f t="shared" si="6"/>
        <v>8823.5294117647063</v>
      </c>
      <c r="R6" s="3">
        <f t="shared" si="7"/>
        <v>34.538019451812559</v>
      </c>
      <c r="S6" s="3">
        <f t="shared" si="7"/>
        <v>19.14828431372549</v>
      </c>
      <c r="T6" s="3">
        <f t="shared" si="8"/>
        <v>28</v>
      </c>
      <c r="U6" s="158">
        <f t="shared" si="0"/>
        <v>12.358599999999997</v>
      </c>
      <c r="V6" s="229">
        <f t="shared" si="21"/>
        <v>11.429119999999998</v>
      </c>
      <c r="W6" s="234">
        <f t="shared" si="22"/>
        <v>1.5326701360639997E-2</v>
      </c>
      <c r="X6" s="230">
        <f t="shared" si="26"/>
        <v>5.0578216668121061E-3</v>
      </c>
      <c r="Y6" s="230">
        <f t="shared" si="27"/>
        <v>2.3365714967685516E-3</v>
      </c>
      <c r="Z6" s="228">
        <f t="shared" si="9"/>
        <v>0.18230598724436953</v>
      </c>
      <c r="AA6" s="229">
        <f t="shared" si="10"/>
        <v>0.76347729304359446</v>
      </c>
      <c r="AB6" s="2">
        <f t="shared" si="28"/>
        <v>6.1777004923178565</v>
      </c>
      <c r="AC6" s="158">
        <f t="shared" si="11"/>
        <v>8.3757785971143335</v>
      </c>
      <c r="AD6" s="175">
        <f t="shared" si="12"/>
        <v>18.84550184350725</v>
      </c>
      <c r="AE6" s="175">
        <f t="shared" si="13"/>
        <v>25.409940580505676</v>
      </c>
      <c r="AF6" s="158">
        <f t="shared" si="23"/>
        <v>3.0337407186551038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15992.131798892271</v>
      </c>
      <c r="AK6" s="229">
        <f t="shared" si="17"/>
        <v>34.705147133012737</v>
      </c>
      <c r="AL6" s="229">
        <f t="shared" si="18"/>
        <v>18.835737818431976</v>
      </c>
      <c r="AM6" s="229">
        <f t="shared" si="19"/>
        <v>34.804241437294756</v>
      </c>
      <c r="AN6" s="2">
        <f t="shared" si="29"/>
        <v>18.83573781843198</v>
      </c>
      <c r="AO6" s="3">
        <f t="shared" si="20"/>
        <v>8679.5079867334571</v>
      </c>
      <c r="AP6" s="227">
        <f t="shared" si="24"/>
        <v>2.7201935902510686E-3</v>
      </c>
      <c r="AQ6" s="227">
        <f t="shared" si="30"/>
        <v>8.2828816477145944E-3</v>
      </c>
      <c r="AR6" s="231">
        <f t="shared" si="25"/>
        <v>4.6562727177359325E-7</v>
      </c>
      <c r="AS6" s="228">
        <f t="shared" si="31"/>
        <v>8.0379350123192E-2</v>
      </c>
      <c r="AT6" s="232">
        <f>$Q$45*$Q$28*$Q$37^2*$Q$34*PI()/240*($AC6-$Q$47)/$Q$46*$Q$35</f>
        <v>-1.0349585495915727E-7</v>
      </c>
      <c r="AU6" s="165">
        <f t="shared" ref="AU6:AU14" si="32">-$Q$36/AT6</f>
        <v>0.36162624599377557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0">
        <f t="shared" si="1"/>
        <v>1.1888888888888889</v>
      </c>
      <c r="D7" s="73">
        <v>34</v>
      </c>
      <c r="E7" s="73">
        <v>0.88100000000000001</v>
      </c>
      <c r="F7" s="73">
        <v>12.18</v>
      </c>
      <c r="G7" s="73">
        <v>1.3280000000000001</v>
      </c>
      <c r="H7" s="73">
        <v>3350</v>
      </c>
      <c r="I7" s="78">
        <v>5360</v>
      </c>
      <c r="J7" s="61"/>
      <c r="K7" s="2">
        <f t="shared" si="2"/>
        <v>16.175039999999999</v>
      </c>
      <c r="L7" s="1">
        <f t="shared" si="3"/>
        <v>34</v>
      </c>
      <c r="M7" s="234">
        <f t="shared" si="4"/>
        <v>3.5263605246161616</v>
      </c>
      <c r="N7" s="3">
        <f t="shared" si="5"/>
        <v>298.50746268656718</v>
      </c>
      <c r="O7" s="3">
        <f t="shared" si="5"/>
        <v>186.56716417910448</v>
      </c>
      <c r="P7" s="3">
        <f t="shared" si="6"/>
        <v>17910.447761194031</v>
      </c>
      <c r="Q7" s="3">
        <f t="shared" si="6"/>
        <v>11194.029850746268</v>
      </c>
      <c r="R7" s="3">
        <f t="shared" si="7"/>
        <v>38.868159203980099</v>
      </c>
      <c r="S7" s="3">
        <f t="shared" si="7"/>
        <v>24.292599502487562</v>
      </c>
      <c r="T7" s="3">
        <f t="shared" si="8"/>
        <v>34</v>
      </c>
      <c r="U7" s="158">
        <f t="shared" si="0"/>
        <v>16.175039999999999</v>
      </c>
      <c r="V7" s="229">
        <f t="shared" si="21"/>
        <v>15.245559999999999</v>
      </c>
      <c r="W7" s="234">
        <f t="shared" si="22"/>
        <v>2.0444631362320002E-2</v>
      </c>
      <c r="X7" s="230">
        <f t="shared" si="26"/>
        <v>5.9951155519155095E-3</v>
      </c>
      <c r="Y7" s="230">
        <f t="shared" si="27"/>
        <v>3.273865381871955E-3</v>
      </c>
      <c r="Z7" s="228">
        <f t="shared" si="9"/>
        <v>0.25983075865629035</v>
      </c>
      <c r="AA7" s="229">
        <f t="shared" si="10"/>
        <v>1.2990640646721523</v>
      </c>
      <c r="AB7" s="2">
        <f t="shared" si="28"/>
        <v>8.0312881122529056</v>
      </c>
      <c r="AC7" s="158">
        <f t="shared" si="11"/>
        <v>9.9993093303520837</v>
      </c>
      <c r="AD7" s="175">
        <f t="shared" si="12"/>
        <v>22.49844599329219</v>
      </c>
      <c r="AE7" s="175">
        <f t="shared" si="13"/>
        <v>32.236491781238549</v>
      </c>
      <c r="AF7" s="158">
        <f t="shared" si="23"/>
        <v>3.2238718411668015</v>
      </c>
      <c r="AG7" s="151"/>
      <c r="AH7" s="228">
        <f t="shared" si="14"/>
        <v>0.94444444444444442</v>
      </c>
      <c r="AI7" s="228">
        <f t="shared" si="15"/>
        <v>34</v>
      </c>
      <c r="AJ7" s="233">
        <f t="shared" si="16"/>
        <v>18745.257560492664</v>
      </c>
      <c r="AK7" s="233">
        <f t="shared" si="17"/>
        <v>40.679812414263594</v>
      </c>
      <c r="AL7" s="233">
        <f t="shared" si="18"/>
        <v>24.858072848621173</v>
      </c>
      <c r="AM7" s="233">
        <f t="shared" si="19"/>
        <v>40.753337625983526</v>
      </c>
      <c r="AN7" s="9">
        <f t="shared" si="29"/>
        <v>24.858072848621173</v>
      </c>
      <c r="AO7" s="10">
        <f t="shared" si="20"/>
        <v>11454.599968644638</v>
      </c>
      <c r="AP7" s="230">
        <f t="shared" si="24"/>
        <v>4.0712192232491761E-3</v>
      </c>
      <c r="AQ7" s="230">
        <f t="shared" si="30"/>
        <v>1.4530855469351617E-2</v>
      </c>
      <c r="AR7" s="232">
        <f t="shared" si="25"/>
        <v>5.1582127070980987E-7</v>
      </c>
      <c r="AS7" s="228">
        <f t="shared" si="31"/>
        <v>7.2557724215781438E-2</v>
      </c>
      <c r="AT7" s="232">
        <f t="shared" ref="AT7:AT14" si="33">$Q$45*$Q$28*$Q$37^2*$Q$34*PI()/240*($AC7-$Q$47)/$Q$46*$Q$35</f>
        <v>-1.4189558144434033E-7</v>
      </c>
      <c r="AU7" s="165">
        <f t="shared" si="32"/>
        <v>0.2637630934228723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0">
        <f t="shared" si="1"/>
        <v>1.2833333333333332</v>
      </c>
      <c r="D8" s="73">
        <v>51</v>
      </c>
      <c r="E8" s="73">
        <v>1.2849999999999999</v>
      </c>
      <c r="F8" s="73">
        <v>12.14</v>
      </c>
      <c r="G8" s="73">
        <v>2.54</v>
      </c>
      <c r="H8" s="73">
        <v>2620</v>
      </c>
      <c r="I8" s="78">
        <v>3640</v>
      </c>
      <c r="J8" s="61"/>
      <c r="K8" s="2">
        <f t="shared" si="2"/>
        <v>30.835600000000003</v>
      </c>
      <c r="L8" s="1">
        <f t="shared" si="3"/>
        <v>51</v>
      </c>
      <c r="M8" s="234">
        <f t="shared" si="4"/>
        <v>3.9318256327243257</v>
      </c>
      <c r="N8" s="3">
        <f t="shared" si="5"/>
        <v>381.67938931297709</v>
      </c>
      <c r="O8" s="3">
        <f t="shared" si="5"/>
        <v>274.72527472527474</v>
      </c>
      <c r="P8" s="3">
        <f t="shared" si="6"/>
        <v>22900.763358778626</v>
      </c>
      <c r="Q8" s="3">
        <f t="shared" si="6"/>
        <v>16483.516483516483</v>
      </c>
      <c r="R8" s="3">
        <f t="shared" si="7"/>
        <v>49.697837150127228</v>
      </c>
      <c r="S8" s="3">
        <f t="shared" si="7"/>
        <v>35.771520146520146</v>
      </c>
      <c r="T8" s="3">
        <f t="shared" si="8"/>
        <v>51</v>
      </c>
      <c r="U8" s="158">
        <f t="shared" si="0"/>
        <v>30.835600000000003</v>
      </c>
      <c r="V8" s="229">
        <f t="shared" si="21"/>
        <v>29.906120000000001</v>
      </c>
      <c r="W8" s="234">
        <f t="shared" si="22"/>
        <v>4.0104764854640006E-2</v>
      </c>
      <c r="X8" s="230">
        <f t="shared" si="26"/>
        <v>9.1975198257235272E-3</v>
      </c>
      <c r="Y8" s="230">
        <f t="shared" si="27"/>
        <v>6.4762696556799728E-3</v>
      </c>
      <c r="Z8" s="228">
        <f t="shared" si="9"/>
        <v>0.54315165668436749</v>
      </c>
      <c r="AA8" s="229">
        <f t="shared" si="10"/>
        <v>3.9262359022114204</v>
      </c>
      <c r="AB8" s="2">
        <f t="shared" si="28"/>
        <v>12.732802028212262</v>
      </c>
      <c r="AC8" s="158">
        <f t="shared" si="11"/>
        <v>14.457236220833282</v>
      </c>
      <c r="AD8" s="175">
        <f t="shared" si="12"/>
        <v>32.528781496874885</v>
      </c>
      <c r="AE8" s="175">
        <f t="shared" si="13"/>
        <v>47.469119765779844</v>
      </c>
      <c r="AF8" s="158">
        <f t="shared" si="23"/>
        <v>3.2834159337713187</v>
      </c>
      <c r="AG8" s="151"/>
      <c r="AH8" s="228">
        <f t="shared" si="14"/>
        <v>1.4166666666666665</v>
      </c>
      <c r="AI8" s="228">
        <f t="shared" si="15"/>
        <v>51</v>
      </c>
      <c r="AJ8" s="229">
        <f t="shared" si="16"/>
        <v>24494.739170819685</v>
      </c>
      <c r="AK8" s="229">
        <f t="shared" si="17"/>
        <v>53.156986047785772</v>
      </c>
      <c r="AL8" s="229">
        <f t="shared" si="18"/>
        <v>37.434797453883405</v>
      </c>
      <c r="AM8" s="229">
        <f t="shared" si="19"/>
        <v>53.177114124682127</v>
      </c>
      <c r="AN8" s="2">
        <f t="shared" si="29"/>
        <v>37.434797453883405</v>
      </c>
      <c r="AO8" s="3">
        <f t="shared" si="20"/>
        <v>17249.954666749472</v>
      </c>
      <c r="AP8" s="227">
        <f t="shared" si="24"/>
        <v>7.3382615978805268E-3</v>
      </c>
      <c r="AQ8" s="227">
        <f t="shared" si="30"/>
        <v>3.4224829361638613E-2</v>
      </c>
      <c r="AR8" s="231">
        <f t="shared" si="25"/>
        <v>6.2064375207179275E-7</v>
      </c>
      <c r="AS8" s="228">
        <f t="shared" si="31"/>
        <v>6.0303221259958788E-2</v>
      </c>
      <c r="AT8" s="232">
        <f t="shared" si="33"/>
        <v>-2.4733440670392506E-7</v>
      </c>
      <c r="AU8" s="165">
        <f t="shared" si="32"/>
        <v>0.15132070787708315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0">
        <f t="shared" si="1"/>
        <v>1.4222222222222223</v>
      </c>
      <c r="D9" s="73">
        <v>76</v>
      </c>
      <c r="E9" s="73">
        <v>1.702</v>
      </c>
      <c r="F9" s="73">
        <v>12.07</v>
      </c>
      <c r="G9" s="73">
        <v>4.46</v>
      </c>
      <c r="H9" s="73">
        <v>2100</v>
      </c>
      <c r="I9" s="78">
        <v>2740</v>
      </c>
      <c r="J9" s="61"/>
      <c r="K9" s="2">
        <f t="shared" si="2"/>
        <v>53.8322</v>
      </c>
      <c r="L9" s="1">
        <f t="shared" si="3"/>
        <v>76</v>
      </c>
      <c r="M9" s="234">
        <f t="shared" si="4"/>
        <v>4.3307333402863311</v>
      </c>
      <c r="N9" s="3">
        <f t="shared" si="5"/>
        <v>476.1904761904762</v>
      </c>
      <c r="O9" s="3">
        <f t="shared" si="5"/>
        <v>364.96350364963502</v>
      </c>
      <c r="P9" s="3">
        <f t="shared" si="6"/>
        <v>28571.428571428572</v>
      </c>
      <c r="Q9" s="3">
        <f t="shared" si="6"/>
        <v>21897.810218978102</v>
      </c>
      <c r="R9" s="3">
        <f t="shared" si="7"/>
        <v>62.003968253968253</v>
      </c>
      <c r="S9" s="3">
        <f t="shared" si="7"/>
        <v>47.521289537712896</v>
      </c>
      <c r="T9" s="3">
        <f t="shared" si="8"/>
        <v>76</v>
      </c>
      <c r="U9" s="158">
        <f t="shared" si="0"/>
        <v>53.8322</v>
      </c>
      <c r="V9" s="229">
        <f t="shared" si="21"/>
        <v>52.902720000000002</v>
      </c>
      <c r="W9" s="234">
        <f t="shared" si="22"/>
        <v>7.0943711379840013E-2</v>
      </c>
      <c r="X9" s="230">
        <f t="shared" si="26"/>
        <v>1.3040873025842191E-2</v>
      </c>
      <c r="Y9" s="230">
        <f t="shared" si="27"/>
        <v>1.0319622855798637E-2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19.73800459910678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63.061166404174671</v>
      </c>
      <c r="AF9" s="163">
        <f t="shared" si="23"/>
        <v>3.1300676739119901</v>
      </c>
      <c r="AG9" s="159">
        <f>$M$42/($Q$28*$Q$37*$Q$34*($AC9-$Q$47)^2/4/$AF9)/(PI()*$Q$37/60/($AC9-$Q$47))</f>
        <v>-0.97530026020193061</v>
      </c>
      <c r="AH9" s="228">
        <f t="shared" si="14"/>
        <v>2.1111111111111112</v>
      </c>
      <c r="AI9" s="228">
        <f t="shared" si="15"/>
        <v>76</v>
      </c>
      <c r="AJ9" s="229">
        <f t="shared" si="16"/>
        <v>30151.237061714968</v>
      </c>
      <c r="AK9" s="229">
        <f t="shared" si="17"/>
        <v>65.432372095735602</v>
      </c>
      <c r="AL9" s="229">
        <f t="shared" si="18"/>
        <v>49.808124481533518</v>
      </c>
      <c r="AM9" s="229">
        <f t="shared" si="19"/>
        <v>65.399966605089645</v>
      </c>
      <c r="AN9" s="2">
        <f t="shared" si="29"/>
        <v>49.808124481533518</v>
      </c>
      <c r="AO9" s="3">
        <f t="shared" si="20"/>
        <v>22951.583761090646</v>
      </c>
      <c r="AP9" s="227">
        <f t="shared" si="24"/>
        <v>1.1140601167871687E-2</v>
      </c>
      <c r="AQ9" s="227">
        <f t="shared" si="30"/>
        <v>6.395714143612298E-2</v>
      </c>
      <c r="AR9" s="231">
        <f t="shared" si="25"/>
        <v>7.2377098769551724E-7</v>
      </c>
      <c r="AS9" s="228">
        <f t="shared" si="31"/>
        <v>5.1710856252974578E-2</v>
      </c>
      <c r="AT9" s="232">
        <f t="shared" si="33"/>
        <v>-3.8190630106935017E-7</v>
      </c>
      <c r="AU9" s="165">
        <f t="shared" si="32"/>
        <v>9.8000000000000018E-2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0">
        <f t="shared" si="1"/>
        <v>1.5055555555555555</v>
      </c>
      <c r="D10" s="73">
        <v>91</v>
      </c>
      <c r="E10" s="73">
        <v>1.9330000000000001</v>
      </c>
      <c r="F10" s="73">
        <v>12</v>
      </c>
      <c r="G10" s="73">
        <v>5.81</v>
      </c>
      <c r="H10" s="73">
        <v>1870</v>
      </c>
      <c r="I10" s="78">
        <v>2420</v>
      </c>
      <c r="J10" s="61"/>
      <c r="K10" s="2">
        <f t="shared" si="2"/>
        <v>69.72</v>
      </c>
      <c r="L10" s="1">
        <f t="shared" si="3"/>
        <v>91</v>
      </c>
      <c r="M10" s="234">
        <f t="shared" si="4"/>
        <v>4.5108595065168497</v>
      </c>
      <c r="N10" s="3">
        <f t="shared" si="5"/>
        <v>534.75935828877004</v>
      </c>
      <c r="O10" s="3">
        <f t="shared" si="5"/>
        <v>413.22314049586777</v>
      </c>
      <c r="P10" s="3">
        <f t="shared" si="6"/>
        <v>32085.561497326202</v>
      </c>
      <c r="Q10" s="3">
        <f t="shared" si="6"/>
        <v>24793.388429752067</v>
      </c>
      <c r="R10" s="3">
        <f t="shared" si="7"/>
        <v>69.630124777183596</v>
      </c>
      <c r="S10" s="3">
        <f t="shared" si="7"/>
        <v>53.805096418732781</v>
      </c>
      <c r="T10" s="3">
        <f t="shared" si="8"/>
        <v>91</v>
      </c>
      <c r="U10" s="158">
        <f t="shared" si="0"/>
        <v>69.72</v>
      </c>
      <c r="V10" s="229">
        <f t="shared" si="21"/>
        <v>68.790520000000001</v>
      </c>
      <c r="W10" s="234">
        <f t="shared" si="22"/>
        <v>9.2249600711440005E-2</v>
      </c>
      <c r="X10" s="230">
        <f t="shared" si="26"/>
        <v>1.5100091141520385E-2</v>
      </c>
      <c r="Y10" s="230">
        <f t="shared" si="27"/>
        <v>1.2378840971476832E-2</v>
      </c>
      <c r="Z10" s="228">
        <f t="shared" si="9"/>
        <v>1.4938265119186129</v>
      </c>
      <c r="AA10" s="229">
        <f t="shared" si="10"/>
        <v>17.907912822547804</v>
      </c>
      <c r="AB10" s="2">
        <f t="shared" si="28"/>
        <v>25.685474501646304</v>
      </c>
      <c r="AC10" s="158">
        <f t="shared" si="11"/>
        <v>23.975893692698723</v>
      </c>
      <c r="AD10" s="175">
        <f t="shared" si="12"/>
        <v>53.945760808572125</v>
      </c>
      <c r="AE10" s="175">
        <f t="shared" si="13"/>
        <v>71.399833036131668</v>
      </c>
      <c r="AF10" s="165">
        <f t="shared" si="23"/>
        <v>2.9779842182848331</v>
      </c>
      <c r="AG10" s="151"/>
      <c r="AH10" s="228">
        <f t="shared" si="14"/>
        <v>2.5277777777777777</v>
      </c>
      <c r="AI10" s="228">
        <f t="shared" si="15"/>
        <v>91</v>
      </c>
      <c r="AJ10" s="229">
        <f t="shared" si="16"/>
        <v>32705.420047060292</v>
      </c>
      <c r="AK10" s="229">
        <f t="shared" si="17"/>
        <v>70.975303921571808</v>
      </c>
      <c r="AL10" s="229">
        <f t="shared" si="18"/>
        <v>55.395281407200692</v>
      </c>
      <c r="AM10" s="229">
        <f t="shared" si="19"/>
        <v>70.919176978719165</v>
      </c>
      <c r="AN10" s="2">
        <f t="shared" si="29"/>
        <v>55.395281407200692</v>
      </c>
      <c r="AO10" s="3">
        <f t="shared" si="20"/>
        <v>25526.145672438081</v>
      </c>
      <c r="AP10" s="227">
        <f t="shared" si="24"/>
        <v>1.3048714960217825E-2</v>
      </c>
      <c r="AQ10" s="227">
        <f t="shared" si="30"/>
        <v>8.1257369354204786E-2</v>
      </c>
      <c r="AR10" s="231">
        <f t="shared" si="25"/>
        <v>7.703379334694729E-7</v>
      </c>
      <c r="AS10" s="228">
        <f t="shared" si="31"/>
        <v>4.8584933804612498E-2</v>
      </c>
      <c r="AT10" s="232">
        <f t="shared" si="33"/>
        <v>-4.7246956179695217E-7</v>
      </c>
      <c r="AU10" s="165">
        <f t="shared" si="32"/>
        <v>7.9215298785492605E-2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0">
        <f t="shared" si="1"/>
        <v>1.5555555555555556</v>
      </c>
      <c r="D11" s="73">
        <v>100</v>
      </c>
      <c r="E11" s="73">
        <v>1.99</v>
      </c>
      <c r="F11" s="73">
        <v>11.99</v>
      </c>
      <c r="G11" s="73">
        <v>6.26</v>
      </c>
      <c r="H11" s="73">
        <v>1840</v>
      </c>
      <c r="I11" s="78">
        <v>2340</v>
      </c>
      <c r="J11" s="61"/>
      <c r="K11" s="2">
        <f t="shared" si="2"/>
        <v>75.057400000000001</v>
      </c>
      <c r="L11" s="1">
        <f t="shared" si="3"/>
        <v>100</v>
      </c>
      <c r="M11" s="234">
        <f t="shared" si="4"/>
        <v>4.6051701859880918</v>
      </c>
      <c r="N11" s="3">
        <f t="shared" si="5"/>
        <v>543.47826086956525</v>
      </c>
      <c r="O11" s="3">
        <f t="shared" si="5"/>
        <v>427.35042735042737</v>
      </c>
      <c r="P11" s="3">
        <f t="shared" si="6"/>
        <v>32608.695652173916</v>
      </c>
      <c r="Q11" s="3">
        <f t="shared" si="6"/>
        <v>25641.025641025641</v>
      </c>
      <c r="R11" s="3">
        <f t="shared" si="7"/>
        <v>70.76539855072464</v>
      </c>
      <c r="S11" s="3">
        <f t="shared" si="7"/>
        <v>55.644586894586894</v>
      </c>
      <c r="T11" s="3">
        <f t="shared" si="8"/>
        <v>100</v>
      </c>
      <c r="U11" s="158">
        <f t="shared" si="0"/>
        <v>75.057400000000001</v>
      </c>
      <c r="V11" s="229">
        <f t="shared" si="21"/>
        <v>74.127920000000003</v>
      </c>
      <c r="W11" s="234">
        <f t="shared" si="22"/>
        <v>9.9407171534240016E-2</v>
      </c>
      <c r="X11" s="230">
        <f t="shared" si="26"/>
        <v>1.6010651590200077E-2</v>
      </c>
      <c r="Y11" s="230">
        <f t="shared" si="27"/>
        <v>1.3289401420156523E-2</v>
      </c>
      <c r="Z11" s="228">
        <f t="shared" si="9"/>
        <v>1.5680919071916053</v>
      </c>
      <c r="AA11" s="229">
        <f t="shared" si="10"/>
        <v>19.259809953447043</v>
      </c>
      <c r="AB11" s="2">
        <f t="shared" si="28"/>
        <v>25.660108068554255</v>
      </c>
      <c r="AC11" s="158">
        <f t="shared" si="11"/>
        <v>24.564644285347597</v>
      </c>
      <c r="AD11" s="175">
        <f t="shared" si="12"/>
        <v>55.270449642032098</v>
      </c>
      <c r="AE11" s="175">
        <f t="shared" si="13"/>
        <v>73.840852968990859</v>
      </c>
      <c r="AF11" s="165">
        <f t="shared" si="23"/>
        <v>3.0059809582927972</v>
      </c>
      <c r="AG11" s="151"/>
      <c r="AH11" s="228">
        <f t="shared" si="14"/>
        <v>2.7777777777777777</v>
      </c>
      <c r="AI11" s="228">
        <f t="shared" si="15"/>
        <v>100</v>
      </c>
      <c r="AJ11" s="229">
        <f t="shared" si="16"/>
        <v>34042.742313351817</v>
      </c>
      <c r="AK11" s="229">
        <f t="shared" si="17"/>
        <v>73.877478978628076</v>
      </c>
      <c r="AL11" s="229">
        <f t="shared" si="18"/>
        <v>58.320611896374487</v>
      </c>
      <c r="AM11" s="229">
        <f t="shared" si="19"/>
        <v>73.808931928677865</v>
      </c>
      <c r="AN11" s="2">
        <f t="shared" si="29"/>
        <v>58.320611896374487</v>
      </c>
      <c r="AO11" s="3">
        <f t="shared" si="20"/>
        <v>26874.137961849363</v>
      </c>
      <c r="AP11" s="227">
        <f t="shared" si="24"/>
        <v>1.4095208045253131E-2</v>
      </c>
      <c r="AQ11" s="227">
        <f t="shared" si="30"/>
        <v>9.1363201701758517E-2</v>
      </c>
      <c r="AR11" s="231">
        <f t="shared" si="25"/>
        <v>7.947195121637188E-7</v>
      </c>
      <c r="AS11" s="228">
        <f t="shared" si="31"/>
        <v>4.7094373463786414E-2</v>
      </c>
      <c r="AT11" s="232">
        <f t="shared" si="33"/>
        <v>-4.863946826849444E-7</v>
      </c>
      <c r="AU11" s="165">
        <f t="shared" si="32"/>
        <v>7.6947423228800063E-2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0">
        <f t="shared" si="1"/>
        <v>1.588888888888889</v>
      </c>
      <c r="D12" s="73">
        <v>106</v>
      </c>
      <c r="E12" s="73">
        <v>2.1789999999999998</v>
      </c>
      <c r="F12" s="73">
        <v>11.96</v>
      </c>
      <c r="G12" s="73">
        <v>7.56</v>
      </c>
      <c r="H12" s="73">
        <v>1710</v>
      </c>
      <c r="I12" s="78">
        <v>2150</v>
      </c>
      <c r="J12" s="61"/>
      <c r="K12" s="2">
        <f t="shared" si="2"/>
        <v>90.417600000000007</v>
      </c>
      <c r="L12" s="1">
        <f t="shared" si="3"/>
        <v>106</v>
      </c>
      <c r="M12" s="234">
        <f t="shared" si="4"/>
        <v>4.6634390941120669</v>
      </c>
      <c r="N12" s="3">
        <f t="shared" si="5"/>
        <v>584.79532163742692</v>
      </c>
      <c r="O12" s="3">
        <f t="shared" si="5"/>
        <v>465.11627906976747</v>
      </c>
      <c r="P12" s="3">
        <f t="shared" si="6"/>
        <v>35087.719298245618</v>
      </c>
      <c r="Q12" s="3">
        <f t="shared" si="6"/>
        <v>27906.976744186049</v>
      </c>
      <c r="R12" s="3">
        <f t="shared" si="7"/>
        <v>76.145224171539965</v>
      </c>
      <c r="S12" s="3">
        <f t="shared" si="7"/>
        <v>60.562015503875976</v>
      </c>
      <c r="T12" s="3">
        <f t="shared" si="8"/>
        <v>106</v>
      </c>
      <c r="U12" s="158">
        <f t="shared" si="0"/>
        <v>90.417600000000007</v>
      </c>
      <c r="V12" s="229">
        <f t="shared" si="21"/>
        <v>89.488120000000009</v>
      </c>
      <c r="W12" s="234">
        <f t="shared" si="22"/>
        <v>0.12000553765864003</v>
      </c>
      <c r="X12" s="230">
        <f t="shared" si="26"/>
        <v>1.7962668887820554E-2</v>
      </c>
      <c r="Y12" s="230">
        <f t="shared" si="27"/>
        <v>1.5241418717777001E-2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29.620796264784143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80.366323696483093</v>
      </c>
      <c r="AF12" s="165">
        <f t="shared" si="23"/>
        <v>2.9311028230008462</v>
      </c>
      <c r="AG12" s="151"/>
      <c r="AH12" s="228">
        <f t="shared" si="14"/>
        <v>2.9444444444444446</v>
      </c>
      <c r="AI12" s="228">
        <f t="shared" si="15"/>
        <v>106</v>
      </c>
      <c r="AJ12" s="229">
        <f t="shared" si="16"/>
        <v>34868.993472855436</v>
      </c>
      <c r="AK12" s="229">
        <f t="shared" si="17"/>
        <v>75.670558751856419</v>
      </c>
      <c r="AL12" s="229">
        <f t="shared" si="18"/>
        <v>60.127998021271516</v>
      </c>
      <c r="AM12" s="229">
        <f t="shared" si="19"/>
        <v>75.594338063211055</v>
      </c>
      <c r="AN12" s="2">
        <f t="shared" si="29"/>
        <v>60.127998021271502</v>
      </c>
      <c r="AO12" s="3">
        <f t="shared" si="20"/>
        <v>27706.981488201909</v>
      </c>
      <c r="AP12" s="227">
        <f t="shared" si="24"/>
        <v>1.4758069251880725E-2</v>
      </c>
      <c r="AQ12" s="227">
        <f t="shared" si="30"/>
        <v>9.7981534732630909E-2</v>
      </c>
      <c r="AR12" s="231">
        <f t="shared" si="25"/>
        <v>8.09783426206303E-7</v>
      </c>
      <c r="AS12" s="228">
        <f t="shared" si="31"/>
        <v>4.6218305158620708E-2</v>
      </c>
      <c r="AT12" s="232">
        <f t="shared" si="33"/>
        <v>-5.538930779426351E-7</v>
      </c>
      <c r="AU12" s="165">
        <f t="shared" si="32"/>
        <v>6.7570473427495156E-2</v>
      </c>
      <c r="AX12" s="127"/>
      <c r="AY12" s="96"/>
    </row>
    <row r="13" spans="1:51" ht="13.9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2.5299999999999998</v>
      </c>
      <c r="F13" s="73">
        <v>11.83</v>
      </c>
      <c r="G13" s="73">
        <v>10.54</v>
      </c>
      <c r="H13" s="73">
        <v>1500</v>
      </c>
      <c r="I13" s="78">
        <v>1840</v>
      </c>
      <c r="J13" s="61"/>
      <c r="K13" s="2">
        <f t="shared" si="2"/>
        <v>124.68819999999999</v>
      </c>
      <c r="L13" s="1">
        <f t="shared" si="3"/>
        <v>132</v>
      </c>
      <c r="M13" s="234">
        <f t="shared" si="4"/>
        <v>4.8828019225863706</v>
      </c>
      <c r="N13" s="3">
        <f t="shared" si="5"/>
        <v>666.66666666666663</v>
      </c>
      <c r="O13" s="3">
        <f t="shared" si="5"/>
        <v>543.47826086956525</v>
      </c>
      <c r="P13" s="3">
        <f t="shared" si="6"/>
        <v>40000</v>
      </c>
      <c r="Q13" s="3">
        <f t="shared" si="6"/>
        <v>32608.695652173916</v>
      </c>
      <c r="R13" s="3">
        <f t="shared" si="7"/>
        <v>86.805555555555557</v>
      </c>
      <c r="S13" s="3">
        <f t="shared" si="7"/>
        <v>70.76539855072464</v>
      </c>
      <c r="T13" s="3">
        <f t="shared" si="8"/>
        <v>132</v>
      </c>
      <c r="U13" s="158">
        <f t="shared" si="0"/>
        <v>124.68819999999999</v>
      </c>
      <c r="V13" s="229">
        <f t="shared" si="21"/>
        <v>123.75872</v>
      </c>
      <c r="W13" s="234">
        <f t="shared" si="22"/>
        <v>0.16596316621184001</v>
      </c>
      <c r="X13" s="230">
        <f t="shared" si="26"/>
        <v>2.1790963723614595E-2</v>
      </c>
      <c r="Y13" s="230">
        <f t="shared" si="27"/>
        <v>1.9069713553571042E-2</v>
      </c>
      <c r="Z13" s="228">
        <f t="shared" si="9"/>
        <v>2.894351054286735</v>
      </c>
      <c r="AA13" s="229">
        <f t="shared" si="10"/>
        <v>48.297153477389912</v>
      </c>
      <c r="AB13" s="2">
        <f t="shared" si="28"/>
        <v>38.734341723908052</v>
      </c>
      <c r="AC13" s="158">
        <f t="shared" si="11"/>
        <v>33.373390146201146</v>
      </c>
      <c r="AD13" s="175">
        <f t="shared" si="12"/>
        <v>75.090127828952575</v>
      </c>
      <c r="AE13" s="175">
        <f t="shared" si="13"/>
        <v>93.906302145347084</v>
      </c>
      <c r="AF13" s="165">
        <f t="shared" si="23"/>
        <v>2.8138076993066985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37979.551010560695</v>
      </c>
      <c r="AK13" s="229">
        <f t="shared" si="17"/>
        <v>82.420900630557057</v>
      </c>
      <c r="AL13" s="229">
        <f t="shared" si="18"/>
        <v>66.932198499150161</v>
      </c>
      <c r="AM13" s="229">
        <f t="shared" si="19"/>
        <v>82.315791274815339</v>
      </c>
      <c r="AN13" s="2">
        <f t="shared" si="29"/>
        <v>66.932198499150161</v>
      </c>
      <c r="AO13" s="3">
        <f t="shared" si="20"/>
        <v>30842.357068408393</v>
      </c>
      <c r="AP13" s="227">
        <f t="shared" si="24"/>
        <v>1.7365147932308748E-2</v>
      </c>
      <c r="AQ13" s="227">
        <f t="shared" si="30"/>
        <v>0.12557511837415319</v>
      </c>
      <c r="AR13" s="231">
        <f t="shared" si="25"/>
        <v>8.6649399276170052E-7</v>
      </c>
      <c r="AS13" s="228">
        <f t="shared" si="31"/>
        <v>4.3193395242717265E-2</v>
      </c>
      <c r="AT13" s="232">
        <f t="shared" si="33"/>
        <v>-6.9473901815662197E-7</v>
      </c>
      <c r="AU13" s="165">
        <f t="shared" si="32"/>
        <v>5.3871765550324718E-2</v>
      </c>
      <c r="AX13" s="127"/>
      <c r="AY13" s="96"/>
    </row>
    <row r="14" spans="1:51" ht="13.9" customHeight="1" thickBot="1" x14ac:dyDescent="0.35">
      <c r="A14" t="s">
        <v>233</v>
      </c>
      <c r="B14" t="s">
        <v>234</v>
      </c>
      <c r="C14" s="221">
        <f t="shared" si="1"/>
        <v>1.9888888888888889</v>
      </c>
      <c r="D14" s="80">
        <v>178</v>
      </c>
      <c r="E14" s="80">
        <v>2.82</v>
      </c>
      <c r="F14" s="80">
        <v>11.66</v>
      </c>
      <c r="G14" s="80">
        <v>13.79</v>
      </c>
      <c r="H14" s="80">
        <v>1360</v>
      </c>
      <c r="I14" s="81">
        <v>1650</v>
      </c>
      <c r="J14" s="61"/>
      <c r="K14" s="2">
        <f t="shared" si="2"/>
        <v>160.79139999999998</v>
      </c>
      <c r="L14" s="1">
        <f t="shared" si="3"/>
        <v>178</v>
      </c>
      <c r="M14" s="234">
        <f t="shared" si="4"/>
        <v>5.181783550292085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178</v>
      </c>
      <c r="U14" s="158">
        <f t="shared" si="0"/>
        <v>160.79139999999998</v>
      </c>
      <c r="V14" s="229">
        <f t="shared" si="21"/>
        <v>159.86191999999997</v>
      </c>
      <c r="W14" s="234">
        <f t="shared" si="22"/>
        <v>0.21437835168223998</v>
      </c>
      <c r="X14" s="230">
        <f t="shared" si="26"/>
        <v>2.5520742335462816E-2</v>
      </c>
      <c r="Y14" s="230">
        <f t="shared" si="27"/>
        <v>2.2799492165419263E-2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56.779932838024848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4.9444444444444446</v>
      </c>
      <c r="AI14" s="228">
        <f t="shared" si="15"/>
        <v>178</v>
      </c>
      <c r="AJ14" s="229">
        <f t="shared" si="16"/>
        <v>42219.10044636832</v>
      </c>
      <c r="AK14" s="229">
        <f t="shared" si="17"/>
        <v>91.621311732570135</v>
      </c>
      <c r="AL14" s="229">
        <f t="shared" si="18"/>
        <v>76.206016439323477</v>
      </c>
      <c r="AM14" s="229">
        <f t="shared" si="19"/>
        <v>91.47682842833045</v>
      </c>
      <c r="AN14" s="2">
        <f t="shared" si="29"/>
        <v>76.206016439323477</v>
      </c>
      <c r="AO14" s="3">
        <f t="shared" si="20"/>
        <v>35115.732375240259</v>
      </c>
      <c r="AP14" s="227">
        <f t="shared" si="24"/>
        <v>2.1202537792191216E-2</v>
      </c>
      <c r="AQ14" s="227">
        <f t="shared" si="30"/>
        <v>0.17044022710709089</v>
      </c>
      <c r="AR14" s="231">
        <f t="shared" si="25"/>
        <v>9.4378793364846378E-7</v>
      </c>
      <c r="AS14" s="228">
        <f t="shared" si="31"/>
        <v>3.9655961016701061E-2</v>
      </c>
      <c r="AT14" s="232">
        <f t="shared" si="33"/>
        <v>-8.8138496110718124E-7</v>
      </c>
      <c r="AU14" s="165">
        <f t="shared" si="32"/>
        <v>4.246364432833228E-2</v>
      </c>
      <c r="AX14" s="127"/>
      <c r="AY14" s="96"/>
    </row>
    <row r="15" spans="1:51" ht="13.9" customHeight="1" x14ac:dyDescent="0.3">
      <c r="C15" s="267"/>
      <c r="AE15" s="45"/>
      <c r="AF15" s="30"/>
      <c r="AH15" s="228">
        <f t="shared" si="14"/>
        <v>0</v>
      </c>
      <c r="AI15" s="228">
        <f t="shared" si="15"/>
        <v>0</v>
      </c>
      <c r="AJ15" s="229" t="e">
        <f t="shared" si="16"/>
        <v>#NUM!</v>
      </c>
      <c r="AK15" s="229" t="e">
        <f t="shared" si="17"/>
        <v>#NUM!</v>
      </c>
      <c r="AL15" s="229" t="e">
        <f t="shared" si="18"/>
        <v>#NUM!</v>
      </c>
      <c r="AM15" s="229" t="e">
        <f t="shared" si="19"/>
        <v>#NUM!</v>
      </c>
      <c r="AN15" s="2" t="e">
        <f t="shared" si="29"/>
        <v>#NUM!</v>
      </c>
      <c r="AO15" s="3" t="e">
        <f t="shared" si="20"/>
        <v>#NUM!</v>
      </c>
      <c r="AP15" s="227" t="e">
        <f t="shared" si="24"/>
        <v>#NUM!</v>
      </c>
      <c r="AQ15" s="227" t="e">
        <f t="shared" si="30"/>
        <v>#NUM!</v>
      </c>
      <c r="AR15" s="231" t="e">
        <f t="shared" si="25"/>
        <v>#NUM!</v>
      </c>
      <c r="AS15" s="228" t="e">
        <f t="shared" si="31"/>
        <v>#NUM!</v>
      </c>
      <c r="AV15" s="146"/>
      <c r="AW15" s="95"/>
      <c r="AX15" s="128"/>
      <c r="AY15" s="96"/>
    </row>
    <row r="16" spans="1:51" ht="14.45" x14ac:dyDescent="0.3">
      <c r="A16" t="s">
        <v>235</v>
      </c>
      <c r="AE16" s="194"/>
      <c r="AF16" s="30"/>
    </row>
    <row r="17" spans="1:48" ht="13.9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3">
      <c r="A18">
        <v>2</v>
      </c>
      <c r="C18" t="s">
        <v>237</v>
      </c>
      <c r="I18" s="3"/>
      <c r="J18" s="13" t="s">
        <v>277</v>
      </c>
      <c r="K18" s="14"/>
      <c r="L18" s="14"/>
      <c r="AE18" s="149"/>
      <c r="AF18" s="30"/>
    </row>
    <row r="19" spans="1:48" ht="13.9" customHeight="1" x14ac:dyDescent="0.3">
      <c r="A19">
        <v>3</v>
      </c>
      <c r="C19" t="s">
        <v>239</v>
      </c>
      <c r="I19" s="3"/>
      <c r="J19" s="15" t="s">
        <v>275</v>
      </c>
      <c r="K19" s="16"/>
      <c r="L19" s="16"/>
      <c r="AE19" s="149"/>
      <c r="AF19" s="30"/>
    </row>
    <row r="20" spans="1:48" ht="13.9" customHeight="1" x14ac:dyDescent="0.3">
      <c r="A20">
        <v>4</v>
      </c>
      <c r="C20" t="s">
        <v>238</v>
      </c>
      <c r="J20" s="288" t="s">
        <v>298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3">
      <c r="A24" s="45">
        <v>8</v>
      </c>
      <c r="B24" s="45"/>
      <c r="C24" s="45" t="s">
        <v>276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ht="14.45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thickBot="1" x14ac:dyDescent="0.35">
      <c r="B38" s="26" t="s">
        <v>17</v>
      </c>
      <c r="C38" s="200">
        <v>5</v>
      </c>
      <c r="I38" s="208" t="s">
        <v>294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9" thickBot="1" x14ac:dyDescent="0.35">
      <c r="I39" s="193" t="s">
        <v>100</v>
      </c>
      <c r="J39" s="236" t="s">
        <v>295</v>
      </c>
      <c r="K39" s="263" t="s">
        <v>302</v>
      </c>
      <c r="L39" s="263" t="s">
        <v>273</v>
      </c>
      <c r="M39" s="264" t="s">
        <v>274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72.945454545454538</v>
      </c>
      <c r="J40" s="253">
        <f>(I40*$Q$31*$R$44+$Q$44)/$Q$31</f>
        <v>88.255918890989349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34">(I41*$Q$31*$R$44+$Q$44)/$Q$31</f>
        <v>77.443574245031641</v>
      </c>
      <c r="K41" s="243">
        <v>4.2999999999999997E-2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12801.042263485957</v>
      </c>
      <c r="S41" s="67">
        <f>INDEX(LINEST($Q$4:$Q$14,$E$4:$E$14^{1,2},FALSE,FALSE),1)</f>
        <v>28.622970706602811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41">
        <v>48</v>
      </c>
      <c r="J42" s="253">
        <f t="shared" si="34"/>
        <v>63.613831093225244</v>
      </c>
      <c r="K42" s="243">
        <v>9.8000000000000004E-2</v>
      </c>
      <c r="L42" s="251">
        <f>$Q$36/K42</f>
        <v>3.8190630106935023E-7</v>
      </c>
      <c r="M42" s="252">
        <f>-L42/$Q$35</f>
        <v>-5.1771218172961117E-7</v>
      </c>
      <c r="N42" s="265" t="s">
        <v>292</v>
      </c>
      <c r="P42" s="65" t="s">
        <v>21</v>
      </c>
      <c r="Q42" s="205">
        <f>INDEX(LINEST($P$4:$P$14,$M$4:$M$14),2)</f>
        <v>-31258.416201381708</v>
      </c>
      <c r="R42" s="67">
        <f>INDEX(LINEST($P$4:$P$14,$M$4:$M$14),1)</f>
        <v>14179.966402419159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40.893538772400433</v>
      </c>
      <c r="K43" s="243">
        <v>0.28899999999999998</v>
      </c>
      <c r="L43" s="61"/>
      <c r="M43" s="250"/>
      <c r="P43" s="65" t="s">
        <v>122</v>
      </c>
      <c r="Q43" s="205">
        <f>INDEX(LINEST($Q$4:$Q$14,$P$4:$P$14),2)</f>
        <v>-7440.2193965063307</v>
      </c>
      <c r="R43" s="69">
        <f>INDEX(LINEST($Q$4:$Q$14,$P$4:$P$14),1)</f>
        <v>1.0079786476219734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1">
        <v>16</v>
      </c>
      <c r="J44" s="253">
        <f t="shared" si="34"/>
        <v>32.002989603382034</v>
      </c>
      <c r="K44" s="243">
        <v>0.436</v>
      </c>
      <c r="L44" s="61"/>
      <c r="M44" s="250"/>
      <c r="P44" s="65" t="s">
        <v>123</v>
      </c>
      <c r="Q44" s="205">
        <f>INDEX(LINEST($P$4:$P$14,$Q$4:$Q$14),2)</f>
        <v>7463.8397299785684</v>
      </c>
      <c r="R44" s="69">
        <f>INDEX(LINEST($P$4:$P$14,$Q$4:$Q$14),1)</f>
        <v>0.9878387965576001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12.081632653061224</v>
      </c>
      <c r="J45" s="257">
        <f t="shared" si="34"/>
        <v>28.132274318911438</v>
      </c>
      <c r="K45" s="246">
        <v>0.5</v>
      </c>
      <c r="L45" s="255"/>
      <c r="M45" s="256"/>
      <c r="P45" s="65" t="s">
        <v>180</v>
      </c>
      <c r="Q45" s="206">
        <f>AG9</f>
        <v>-0.97530026020193061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AF9</f>
        <v>3.1300676739119901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4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-2.3948237735028164E-3</v>
      </c>
      <c r="K48" s="180">
        <f>INDEX(LINEST($Y$3:$Y$14,$P$3:$P$14^{1,2}),2)</f>
        <v>1.7406447515262797E-7</v>
      </c>
      <c r="L48" s="180">
        <f>INDEX(LINEST($Y$3:$Y$14,$P$3:$P$14^{1,2}),1)</f>
        <v>9.1158202135740588E-12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3"/>
      <c r="T49" s="213"/>
      <c r="U49" s="188"/>
      <c r="V49" s="30"/>
    </row>
    <row r="50" spans="1:45" ht="15.75" thickBot="1" x14ac:dyDescent="0.3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284</v>
      </c>
      <c r="M50" s="237" t="s">
        <v>283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25">
      <c r="I51" s="238" t="s">
        <v>278</v>
      </c>
      <c r="J51" s="236" t="s">
        <v>100</v>
      </c>
      <c r="K51" s="239" t="s">
        <v>279</v>
      </c>
      <c r="L51" s="239" t="s">
        <v>280</v>
      </c>
      <c r="M51" s="239" t="s">
        <v>281</v>
      </c>
      <c r="N51" s="240" t="s">
        <v>282</v>
      </c>
      <c r="P51" s="235" t="s">
        <v>287</v>
      </c>
      <c r="Q51" s="260">
        <v>0</v>
      </c>
      <c r="R51" s="258">
        <f ca="1">J56</f>
        <v>21.632653061224492</v>
      </c>
      <c r="S51" s="258">
        <f ca="1">J55</f>
        <v>37.523560209424083</v>
      </c>
      <c r="T51" s="258">
        <f ca="1">J54</f>
        <v>51.309090909090905</v>
      </c>
      <c r="U51" s="259">
        <f ca="1">J53</f>
        <v>67.854545454545445</v>
      </c>
      <c r="V51" s="261">
        <v>80</v>
      </c>
      <c r="W51" s="45"/>
      <c r="X51" s="45"/>
      <c r="Y51" s="45"/>
    </row>
    <row r="52" spans="1:45" x14ac:dyDescent="0.25">
      <c r="I52" s="241">
        <v>0</v>
      </c>
      <c r="J52" s="253">
        <f t="shared" ref="J52:J57" ca="1" si="35">FORECAST(I52,OFFSET(MeasNt,MATCH(I52,MeasTauT,1)-1,0,2),OFFSET(MeasTauT,MATCH(I52,MeasTauT,1)-1,0,2))</f>
        <v>72.945454545454538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279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288</v>
      </c>
      <c r="X52" s="45"/>
      <c r="Y52" s="45"/>
      <c r="AJ52" s="104"/>
      <c r="AR52" s="3"/>
    </row>
    <row r="53" spans="1:45" x14ac:dyDescent="0.25">
      <c r="I53" s="241">
        <v>0.02</v>
      </c>
      <c r="J53" s="253">
        <f t="shared" ca="1" si="35"/>
        <v>67.854545454545445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280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25">
      <c r="I54" s="241">
        <v>8.5000000000000006E-2</v>
      </c>
      <c r="J54" s="253">
        <f t="shared" ca="1" si="35"/>
        <v>51.309090909090905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285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25">
      <c r="I55" s="241">
        <v>0.185</v>
      </c>
      <c r="J55" s="253">
        <f t="shared" ca="1" si="35"/>
        <v>37.523560209424083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286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25">
      <c r="I56" s="241">
        <v>0.34399999999999997</v>
      </c>
      <c r="J56" s="253">
        <f t="shared" ca="1" si="35"/>
        <v>21.632653061224492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281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289</v>
      </c>
      <c r="X56" s="196"/>
      <c r="Y56" s="45"/>
    </row>
    <row r="57" spans="1:45" ht="15.75" thickBot="1" x14ac:dyDescent="0.3">
      <c r="I57" s="245">
        <v>0.5</v>
      </c>
      <c r="J57" s="257">
        <f t="shared" ca="1" si="35"/>
        <v>12.081632653061224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282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04"/>
  <sheetViews>
    <sheetView topLeftCell="M1" zoomScale="80" zoomScaleNormal="80" workbookViewId="0">
      <pane ySplit="1" topLeftCell="A41" activePane="bottomLeft" state="frozen"/>
      <selection pane="bottomLeft" activeCell="AB63" sqref="AB63"/>
    </sheetView>
  </sheetViews>
  <sheetFormatPr defaultRowHeight="15" x14ac:dyDescent="0.25"/>
  <cols>
    <col min="3" max="3" width="7.140625" bestFit="1" customWidth="1"/>
    <col min="4" max="4" width="6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5.85546875" style="1" bestFit="1" customWidth="1"/>
    <col min="11" max="11" width="10" style="1" bestFit="1" customWidth="1"/>
    <col min="12" max="13" width="5.140625" style="1" customWidth="1"/>
    <col min="14" max="14" width="6.7109375" style="1" customWidth="1"/>
    <col min="15" max="15" width="7.85546875" style="1" customWidth="1"/>
    <col min="16" max="16" width="7.28515625" style="1" bestFit="1" customWidth="1"/>
    <col min="17" max="17" width="7.42578125" style="1" customWidth="1"/>
    <col min="18" max="18" width="6.28515625" style="1" customWidth="1"/>
    <col min="19" max="19" width="5.7109375" style="1" customWidth="1"/>
    <col min="20" max="20" width="8" style="1" customWidth="1"/>
    <col min="21" max="22" width="7.7109375" customWidth="1"/>
    <col min="24" max="24" width="9.85546875" bestFit="1" customWidth="1"/>
    <col min="25" max="25" width="10.7109375" customWidth="1"/>
    <col min="26" max="26" width="8.7109375" customWidth="1"/>
    <col min="27" max="27" width="9.7109375" customWidth="1"/>
    <col min="28" max="28" width="7.7109375" customWidth="1"/>
    <col min="29" max="29" width="7.85546875" customWidth="1"/>
    <col min="30" max="30" width="10" customWidth="1"/>
    <col min="31" max="31" width="10.85546875" customWidth="1"/>
    <col min="32" max="32" width="10" customWidth="1"/>
    <col min="33" max="33" width="10.7109375" customWidth="1"/>
    <col min="34" max="34" width="11.855468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5" width="9.85546875" bestFit="1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2:51" ht="86.45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76" t="s">
        <v>2</v>
      </c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5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159</v>
      </c>
      <c r="AB1" s="4" t="s">
        <v>171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/>
      <c r="AU1" s="4" t="s">
        <v>105</v>
      </c>
      <c r="AV1" s="4" t="s">
        <v>185</v>
      </c>
      <c r="AX1" s="4" t="s">
        <v>82</v>
      </c>
      <c r="AY1" s="4" t="s">
        <v>83</v>
      </c>
    </row>
    <row r="2" spans="2:51" ht="14.45" x14ac:dyDescent="0.3">
      <c r="C2" s="113">
        <f t="shared" ref="C2:C7" si="1">D2/180+1</f>
        <v>1.0000055555555556</v>
      </c>
      <c r="D2" s="110">
        <v>1E-3</v>
      </c>
      <c r="E2" s="110"/>
      <c r="F2" s="110"/>
      <c r="G2" s="110"/>
      <c r="H2" s="110"/>
      <c r="I2" s="110"/>
      <c r="J2" s="114"/>
      <c r="K2" s="4"/>
      <c r="L2" s="1">
        <f t="shared" ref="L2:L15" si="2">D2</f>
        <v>1E-3</v>
      </c>
      <c r="M2" s="1">
        <f t="shared" ref="M2:M7" si="3">LN(L2)</f>
        <v>-6.9077552789821368</v>
      </c>
      <c r="N2" s="3"/>
      <c r="O2" s="4"/>
      <c r="P2" s="4">
        <v>0</v>
      </c>
      <c r="Q2" s="4">
        <v>0</v>
      </c>
      <c r="R2" s="3">
        <f t="shared" ref="R2:R15" si="4">P2/$Y$40*100</f>
        <v>0</v>
      </c>
      <c r="S2" s="3">
        <f t="shared" ref="S2:S15" si="5">Q2/$Y$40*100</f>
        <v>0</v>
      </c>
      <c r="T2" s="3">
        <f t="shared" ref="T2:T15" si="6">L2</f>
        <v>1E-3</v>
      </c>
      <c r="U2" s="4">
        <f t="shared" si="0"/>
        <v>0</v>
      </c>
      <c r="V2" s="4"/>
      <c r="AD2" s="4"/>
      <c r="AE2" s="4"/>
      <c r="AF2" s="4"/>
      <c r="AH2" s="95">
        <f t="shared" ref="AH2:AH10" si="7">D2/$AF$27*$AF$22</f>
        <v>2.7777777777777779E-5</v>
      </c>
      <c r="AI2" s="95">
        <f t="shared" ref="AI2:AI10" si="8">AH2/$AF$22*$AF$27</f>
        <v>1E-3</v>
      </c>
      <c r="AJ2" s="96">
        <f t="shared" ref="AJ2:AJ15" si="9">MAX(($AF$30+$AG$30*LN($AI2)),0)</f>
        <v>0</v>
      </c>
      <c r="AK2" s="96">
        <f>MAX(($AF$30+$AG$30*LN($AI2))/$AF$26,0)</f>
        <v>0</v>
      </c>
      <c r="AL2" s="96">
        <f t="shared" ref="AL2:AL15" si="10">($AF$31+$AG$31*AK2*$AF$26)/$AF$26</f>
        <v>-18.907319518350299</v>
      </c>
      <c r="AM2" s="96">
        <f t="shared" ref="AM2:AM15" si="11">($AF$32+$AG$32*AL2*$AF$26)/$AF$26</f>
        <v>7.9793218228958712E-2</v>
      </c>
      <c r="AO2">
        <f t="shared" ref="AO2:AO15" si="12">MAX($AF$31+$AG$31*AJ2, 0)</f>
        <v>0</v>
      </c>
      <c r="AP2" s="127"/>
      <c r="AQ2" s="127"/>
      <c r="AT2" s="127"/>
      <c r="AU2" s="127"/>
    </row>
    <row r="3" spans="2:51" ht="14.45" x14ac:dyDescent="0.3">
      <c r="C3" s="113">
        <f t="shared" si="1"/>
        <v>1.0408972290491105</v>
      </c>
      <c r="D3" s="111">
        <f>EXP((0-$AF$30)/$AG$30)</f>
        <v>7.361501228839896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115">
        <v>0</v>
      </c>
      <c r="K3" s="2">
        <f t="shared" ref="K3:K8" si="13">F3*G3</f>
        <v>4.4500400000000004</v>
      </c>
      <c r="L3" s="1">
        <f>D3</f>
        <v>7.361501228839896</v>
      </c>
      <c r="M3" s="1">
        <f t="shared" si="3"/>
        <v>1.9962638832512341</v>
      </c>
      <c r="N3" s="3">
        <f t="shared" ref="N3:O7" si="14">1/H3/0.000001</f>
        <v>9.999999999999999E-27</v>
      </c>
      <c r="O3" s="3">
        <f t="shared" si="14"/>
        <v>9.999999999999999E-27</v>
      </c>
      <c r="P3" s="3">
        <f t="shared" ref="P3:P15" si="15">N3*60/$Y$29</f>
        <v>5.9999999999999995E-25</v>
      </c>
      <c r="Q3" s="4">
        <v>0</v>
      </c>
      <c r="R3" s="3">
        <f t="shared" si="4"/>
        <v>1.3020833333333332E-27</v>
      </c>
      <c r="S3" s="3">
        <f t="shared" si="5"/>
        <v>0</v>
      </c>
      <c r="T3" s="3">
        <f t="shared" si="6"/>
        <v>7.361501228839896</v>
      </c>
      <c r="U3" s="4">
        <f t="shared" si="0"/>
        <v>4.4500400000000004</v>
      </c>
      <c r="V3">
        <f>($U3-$U$3)</f>
        <v>0</v>
      </c>
      <c r="W3">
        <f>($U3-$U$3)*0.001341022</f>
        <v>0</v>
      </c>
      <c r="X3" s="127">
        <v>0</v>
      </c>
      <c r="Y3" s="127">
        <v>0</v>
      </c>
      <c r="Z3" s="95">
        <f t="shared" ref="Z3:Z14" si="16">$AF$44*(P3/$AF$26/100)^3</f>
        <v>9.76843480821773E-87</v>
      </c>
      <c r="AA3" s="127">
        <f>SQRT(Z3^3/4/$Y$42/$Y$43)</f>
        <v>9.469612348787209E-129</v>
      </c>
      <c r="AC3">
        <f t="shared" ref="AC3:AC15" si="17">SQRT(Z3/$AF$36/$AF$37)</f>
        <v>1.9388187636407961E-42</v>
      </c>
      <c r="AD3" s="4">
        <f t="shared" ref="AD3:AD14" si="18">AC3*1/1.6/1000*3600</f>
        <v>4.3623422181917907E-42</v>
      </c>
      <c r="AE3" s="4">
        <f t="shared" ref="AE3:AE15" si="19">Q3/60*PI()*$AB$43/1000</f>
        <v>0</v>
      </c>
      <c r="AF3" s="158">
        <f>AE3/AC3</f>
        <v>0</v>
      </c>
      <c r="AH3" s="95">
        <f t="shared" si="7"/>
        <v>0.20448614524555267</v>
      </c>
      <c r="AI3" s="95">
        <f t="shared" si="8"/>
        <v>7.361501228839896</v>
      </c>
      <c r="AJ3" s="96">
        <f t="shared" si="9"/>
        <v>0</v>
      </c>
      <c r="AK3" s="96">
        <f t="shared" ref="AK3:AK15" si="20">MAX(($AF$30+$AG$30*LN(AI3))/$AF$26,0)</f>
        <v>0</v>
      </c>
      <c r="AL3" s="96">
        <f t="shared" si="10"/>
        <v>-18.907319518350299</v>
      </c>
      <c r="AM3" s="96">
        <f t="shared" si="11"/>
        <v>7.9793218228958712E-2</v>
      </c>
      <c r="AO3">
        <f t="shared" si="12"/>
        <v>0</v>
      </c>
      <c r="AP3" s="127"/>
      <c r="AQ3" s="127"/>
      <c r="AR3" s="127"/>
      <c r="AT3" s="127"/>
      <c r="AU3" s="127"/>
    </row>
    <row r="4" spans="2:51" ht="15" customHeight="1" x14ac:dyDescent="0.3">
      <c r="C4" s="113">
        <f t="shared" si="1"/>
        <v>1.05</v>
      </c>
      <c r="D4" s="73">
        <v>9</v>
      </c>
      <c r="E4" s="109"/>
      <c r="F4" s="73">
        <v>13.69</v>
      </c>
      <c r="G4" s="106">
        <v>0.56000000000000005</v>
      </c>
      <c r="H4" s="73">
        <v>7880</v>
      </c>
      <c r="I4" s="105">
        <v>1.0000000000000001E+32</v>
      </c>
      <c r="J4" s="78">
        <v>0</v>
      </c>
      <c r="K4" s="2">
        <f t="shared" si="13"/>
        <v>7.6664000000000003</v>
      </c>
      <c r="L4" s="1">
        <f>D4</f>
        <v>9</v>
      </c>
      <c r="M4" s="1">
        <f t="shared" si="3"/>
        <v>2.1972245773362196</v>
      </c>
      <c r="N4" s="3">
        <f t="shared" si="14"/>
        <v>126.9035532994924</v>
      </c>
      <c r="O4" s="3">
        <f t="shared" si="14"/>
        <v>9.999999999999999E-27</v>
      </c>
      <c r="P4" s="3">
        <f t="shared" si="15"/>
        <v>7614.2131979695441</v>
      </c>
      <c r="Q4" s="3">
        <f t="shared" ref="Q4:Q15" si="21">O4*60/$Y$29</f>
        <v>5.9999999999999995E-25</v>
      </c>
      <c r="R4" s="3">
        <f t="shared" si="4"/>
        <v>16.52390016920474</v>
      </c>
      <c r="S4" s="3">
        <f t="shared" si="5"/>
        <v>1.3020833333333332E-27</v>
      </c>
      <c r="T4" s="3">
        <f>L4</f>
        <v>9</v>
      </c>
      <c r="U4" s="4">
        <f>K4</f>
        <v>7.6664000000000003</v>
      </c>
      <c r="V4">
        <f t="shared" ref="V4:V15" si="22">($U4-$U$3)</f>
        <v>3.2163599999999999</v>
      </c>
      <c r="W4">
        <f t="shared" ref="W4:W15" si="23">($U4-$U$3)*0.001341022</f>
        <v>4.3132095199200004E-3</v>
      </c>
      <c r="X4" s="150">
        <f>$W4/$P4*5252</f>
        <v>2.9750909003520725E-3</v>
      </c>
      <c r="Y4" s="150">
        <f>X4-$X$4</f>
        <v>0</v>
      </c>
      <c r="Z4" s="95">
        <f t="shared" si="16"/>
        <v>1.9963943404514357E-2</v>
      </c>
      <c r="AA4" s="127">
        <f t="shared" ref="AA4:AA13" si="24">SQRT(Z4^3/4/$Y$42/$Y$43)</f>
        <v>2.766713710450296E-2</v>
      </c>
      <c r="AB4" s="97">
        <f>AA4/V4*100</f>
        <v>0.86020026068297573</v>
      </c>
      <c r="AC4">
        <f t="shared" si="17"/>
        <v>2.7717106329049916</v>
      </c>
      <c r="AD4" s="4">
        <f t="shared" si="18"/>
        <v>6.2363489240362311</v>
      </c>
      <c r="AE4" s="4">
        <f t="shared" si="19"/>
        <v>1.7278759594743859E-27</v>
      </c>
      <c r="AF4" s="158">
        <f t="shared" ref="AF4:AF15" si="25">AE4/AC4</f>
        <v>6.2339695167363955E-28</v>
      </c>
      <c r="AH4" s="95">
        <f t="shared" si="7"/>
        <v>0.25</v>
      </c>
      <c r="AI4" s="95">
        <f t="shared" si="8"/>
        <v>9</v>
      </c>
      <c r="AJ4" s="96">
        <f t="shared" si="9"/>
        <v>2851.6343524568838</v>
      </c>
      <c r="AK4" s="96">
        <f t="shared" si="20"/>
        <v>6.1884426051581674</v>
      </c>
      <c r="AL4" s="96">
        <f t="shared" si="10"/>
        <v>-12.826465521236472</v>
      </c>
      <c r="AM4" s="96">
        <f t="shared" si="11"/>
        <v>6.2612708809312894</v>
      </c>
      <c r="AO4">
        <f t="shared" si="12"/>
        <v>0</v>
      </c>
      <c r="AP4" s="127">
        <f t="shared" ref="AP4:AP15" si="26">MAX($AF$33+$AJ4*($AG$33+$AJ4*$AH$33), 0)</f>
        <v>2.8885232311502262E-4</v>
      </c>
      <c r="AQ4" s="127">
        <f>AJ4*AP4/5252</f>
        <v>1.568357211313355E-4</v>
      </c>
      <c r="AR4" s="146">
        <f t="shared" ref="AR4:AR15" si="27">MAX($AG$33+$AH$33*2*AJ4,1E-32)</f>
        <v>1.0000000000000001E-32</v>
      </c>
      <c r="AS4" s="95"/>
      <c r="AT4" s="127"/>
      <c r="AV4" s="95"/>
      <c r="AX4" s="128">
        <f t="shared" ref="AX4:AX15" si="28">$Y$33/$Y$32</f>
        <v>1.0526315789473683E-4</v>
      </c>
      <c r="AY4" s="96"/>
    </row>
    <row r="5" spans="2:51" ht="15" customHeight="1" x14ac:dyDescent="0.3">
      <c r="C5" s="113">
        <f t="shared" si="1"/>
        <v>1.0555555555555556</v>
      </c>
      <c r="D5" s="73">
        <v>10</v>
      </c>
      <c r="E5" s="109"/>
      <c r="F5" s="73">
        <v>13.68</v>
      </c>
      <c r="G5" s="106">
        <v>0.60799999999999998</v>
      </c>
      <c r="H5" s="73">
        <v>7280</v>
      </c>
      <c r="I5" s="105">
        <v>1.0000000000000001E+32</v>
      </c>
      <c r="J5" s="78">
        <v>0</v>
      </c>
      <c r="K5" s="2">
        <f t="shared" si="13"/>
        <v>8.3174399999999995</v>
      </c>
      <c r="L5" s="1">
        <f>D5</f>
        <v>10</v>
      </c>
      <c r="M5" s="1">
        <f t="shared" si="3"/>
        <v>2.3025850929940459</v>
      </c>
      <c r="N5" s="3">
        <f t="shared" si="14"/>
        <v>137.36263736263737</v>
      </c>
      <c r="O5" s="3">
        <f t="shared" si="14"/>
        <v>9.999999999999999E-27</v>
      </c>
      <c r="P5" s="3">
        <f t="shared" si="15"/>
        <v>8241.7582417582416</v>
      </c>
      <c r="Q5" s="3">
        <f t="shared" si="21"/>
        <v>5.9999999999999995E-25</v>
      </c>
      <c r="R5" s="3">
        <f t="shared" si="4"/>
        <v>17.885760073260073</v>
      </c>
      <c r="S5" s="3">
        <f t="shared" si="5"/>
        <v>1.3020833333333332E-27</v>
      </c>
      <c r="T5" s="3">
        <f>L5</f>
        <v>10</v>
      </c>
      <c r="U5" s="158">
        <f>K5</f>
        <v>8.3174399999999995</v>
      </c>
      <c r="V5" s="96">
        <f t="shared" si="22"/>
        <v>3.8673999999999991</v>
      </c>
      <c r="W5">
        <f t="shared" si="23"/>
        <v>5.1862684827999987E-3</v>
      </c>
      <c r="X5" s="150">
        <f>$W5/$P5*5252</f>
        <v>3.3049115580287588E-3</v>
      </c>
      <c r="Y5" s="150">
        <f t="shared" ref="Y5:Y15" si="29">X5-$X$4</f>
        <v>3.2982065767668631E-4</v>
      </c>
      <c r="Z5" s="95">
        <f t="shared" si="16"/>
        <v>2.5318084473527055E-2</v>
      </c>
      <c r="AA5" s="147">
        <f t="shared" si="24"/>
        <v>3.9513090032507601E-2</v>
      </c>
      <c r="AB5" s="97">
        <f t="shared" ref="AB5:AB15" si="30">AA5/V5*100</f>
        <v>1.0216964894375449</v>
      </c>
      <c r="AC5">
        <f t="shared" si="17"/>
        <v>3.1213332962707385</v>
      </c>
      <c r="AD5" s="175">
        <f t="shared" si="18"/>
        <v>7.0229999166091615</v>
      </c>
      <c r="AE5" s="175">
        <f t="shared" si="19"/>
        <v>1.7278759594743859E-27</v>
      </c>
      <c r="AF5" s="158">
        <f t="shared" si="25"/>
        <v>5.5356983553752252E-28</v>
      </c>
      <c r="AH5" s="95">
        <f t="shared" si="7"/>
        <v>0.27777777777777779</v>
      </c>
      <c r="AI5" s="95">
        <f t="shared" si="8"/>
        <v>10</v>
      </c>
      <c r="AJ5" s="96">
        <f t="shared" si="9"/>
        <v>4346.701172416062</v>
      </c>
      <c r="AK5" s="96">
        <f t="shared" si="20"/>
        <v>9.4329452526390227</v>
      </c>
      <c r="AL5" s="96">
        <f t="shared" si="10"/>
        <v>-9.6383698804793578</v>
      </c>
      <c r="AM5" s="96">
        <f t="shared" si="11"/>
        <v>9.5021219191657913</v>
      </c>
      <c r="AO5">
        <f t="shared" si="12"/>
        <v>0</v>
      </c>
      <c r="AP5" s="127">
        <f t="shared" si="26"/>
        <v>1.9093165395329351E-4</v>
      </c>
      <c r="AQ5" s="127">
        <f t="shared" ref="AQ5:AQ15" si="31">AJ5*AP5/5252</f>
        <v>1.5802034350535392E-4</v>
      </c>
      <c r="AR5" s="146">
        <f t="shared" si="27"/>
        <v>1.0000000000000001E-32</v>
      </c>
      <c r="AS5" s="95"/>
      <c r="AT5" s="127"/>
      <c r="AV5" s="95"/>
      <c r="AX5" s="127">
        <f t="shared" si="28"/>
        <v>1.0526315789473683E-4</v>
      </c>
      <c r="AY5" s="96"/>
    </row>
    <row r="6" spans="2:51" ht="15" customHeight="1" x14ac:dyDescent="0.3">
      <c r="C6" s="113">
        <f t="shared" si="1"/>
        <v>1.0611111111111111</v>
      </c>
      <c r="D6" s="73">
        <v>11</v>
      </c>
      <c r="E6" s="109"/>
      <c r="F6" s="73">
        <v>13.65</v>
      </c>
      <c r="G6" s="106">
        <v>0.66400000000000003</v>
      </c>
      <c r="H6" s="73">
        <v>6600</v>
      </c>
      <c r="I6" s="105">
        <v>1.0000000000000001E+32</v>
      </c>
      <c r="J6" s="78">
        <v>0</v>
      </c>
      <c r="K6" s="2">
        <f t="shared" si="13"/>
        <v>9.063600000000001</v>
      </c>
      <c r="L6" s="1">
        <f>D6</f>
        <v>11</v>
      </c>
      <c r="M6" s="1">
        <f t="shared" si="3"/>
        <v>2.3978952727983707</v>
      </c>
      <c r="N6" s="3">
        <f t="shared" si="14"/>
        <v>151.51515151515153</v>
      </c>
      <c r="O6" s="3">
        <f t="shared" si="14"/>
        <v>9.999999999999999E-27</v>
      </c>
      <c r="P6" s="3">
        <f t="shared" si="15"/>
        <v>9090.9090909090919</v>
      </c>
      <c r="Q6" s="3">
        <f t="shared" si="21"/>
        <v>5.9999999999999995E-25</v>
      </c>
      <c r="R6" s="3">
        <f t="shared" si="4"/>
        <v>19.728535353535356</v>
      </c>
      <c r="S6" s="3">
        <f t="shared" si="5"/>
        <v>1.3020833333333332E-27</v>
      </c>
      <c r="T6" s="3">
        <f>L6</f>
        <v>11</v>
      </c>
      <c r="U6" s="158">
        <f>K6</f>
        <v>9.063600000000001</v>
      </c>
      <c r="V6" s="96">
        <f t="shared" si="22"/>
        <v>4.6135600000000005</v>
      </c>
      <c r="W6">
        <f t="shared" si="23"/>
        <v>6.1868854583200013E-3</v>
      </c>
      <c r="X6" s="150">
        <f t="shared" ref="X6:X15" si="32">$W6/$P6*5252</f>
        <v>3.5742874669806306E-3</v>
      </c>
      <c r="Y6" s="150">
        <f t="shared" si="29"/>
        <v>5.9919656662855807E-4</v>
      </c>
      <c r="Z6" s="95">
        <f t="shared" si="16"/>
        <v>3.397763728266736E-2</v>
      </c>
      <c r="AA6" s="147">
        <f t="shared" si="24"/>
        <v>6.1430562354518103E-2</v>
      </c>
      <c r="AB6" s="97">
        <f t="shared" si="30"/>
        <v>1.3315219126773705</v>
      </c>
      <c r="AC6">
        <f t="shared" si="17"/>
        <v>3.6159407932613967</v>
      </c>
      <c r="AD6" s="175">
        <f t="shared" si="18"/>
        <v>8.135866784838143</v>
      </c>
      <c r="AE6" s="175">
        <f t="shared" si="19"/>
        <v>1.7278759594743859E-27</v>
      </c>
      <c r="AF6" s="158">
        <f t="shared" si="25"/>
        <v>4.7784962704434349E-28</v>
      </c>
      <c r="AH6" s="95">
        <f t="shared" si="7"/>
        <v>0.30555555555555552</v>
      </c>
      <c r="AI6" s="95">
        <f t="shared" si="8"/>
        <v>10.999999999999998</v>
      </c>
      <c r="AJ6" s="96">
        <f t="shared" si="9"/>
        <v>5699.1536214204207</v>
      </c>
      <c r="AK6" s="96">
        <f t="shared" si="20"/>
        <v>12.367954907596399</v>
      </c>
      <c r="AL6" s="96">
        <f t="shared" si="10"/>
        <v>-6.7543865698740113</v>
      </c>
      <c r="AM6" s="96">
        <f t="shared" si="11"/>
        <v>12.433828291753372</v>
      </c>
      <c r="AO6">
        <f t="shared" si="12"/>
        <v>0</v>
      </c>
      <c r="AP6" s="127">
        <f t="shared" si="26"/>
        <v>1.7100500229004468E-4</v>
      </c>
      <c r="AQ6" s="127">
        <f t="shared" si="31"/>
        <v>1.8556431418170516E-4</v>
      </c>
      <c r="AR6" s="146">
        <f t="shared" si="27"/>
        <v>9.3761701698468599E-9</v>
      </c>
      <c r="AS6" s="95">
        <f>$Y$36/AR6</f>
        <v>3.9916956312459519</v>
      </c>
      <c r="AT6" s="127"/>
      <c r="AV6" s="95"/>
      <c r="AX6" s="127">
        <f t="shared" si="28"/>
        <v>1.0526315789473683E-4</v>
      </c>
      <c r="AY6" s="96">
        <f t="shared" ref="AY6:AY15" si="33">$Y$35/$Y$32/$Y$30/AR6</f>
        <v>7755.1208650508042</v>
      </c>
    </row>
    <row r="7" spans="2:51" ht="15" customHeight="1" x14ac:dyDescent="0.3">
      <c r="C7" s="113">
        <f t="shared" si="1"/>
        <v>1.0666666666666667</v>
      </c>
      <c r="D7" s="73">
        <v>12</v>
      </c>
      <c r="E7" s="109"/>
      <c r="F7" s="73">
        <v>13.68</v>
      </c>
      <c r="G7" s="106">
        <v>0.68600000000000005</v>
      </c>
      <c r="H7" s="73">
        <v>6200</v>
      </c>
      <c r="I7" s="105">
        <v>1.0000000000000001E+32</v>
      </c>
      <c r="J7" s="78">
        <v>0</v>
      </c>
      <c r="K7" s="2">
        <f t="shared" si="13"/>
        <v>9.3844799999999999</v>
      </c>
      <c r="L7" s="1">
        <f>D7</f>
        <v>12</v>
      </c>
      <c r="M7" s="1">
        <f t="shared" si="3"/>
        <v>2.4849066497880004</v>
      </c>
      <c r="N7" s="3">
        <f t="shared" si="14"/>
        <v>161.29032258064518</v>
      </c>
      <c r="O7" s="3">
        <f t="shared" si="14"/>
        <v>9.999999999999999E-27</v>
      </c>
      <c r="P7" s="3">
        <f t="shared" si="15"/>
        <v>9677.4193548387102</v>
      </c>
      <c r="Q7" s="3">
        <f t="shared" si="21"/>
        <v>5.9999999999999995E-25</v>
      </c>
      <c r="R7" s="3">
        <f t="shared" si="4"/>
        <v>21.001344086021508</v>
      </c>
      <c r="S7" s="3">
        <f t="shared" si="5"/>
        <v>1.3020833333333332E-27</v>
      </c>
      <c r="T7" s="3">
        <f>L7</f>
        <v>12</v>
      </c>
      <c r="U7" s="158">
        <f>K7</f>
        <v>9.3844799999999999</v>
      </c>
      <c r="V7" s="96">
        <f t="shared" si="22"/>
        <v>4.9344399999999995</v>
      </c>
      <c r="W7">
        <f t="shared" si="23"/>
        <v>6.6171925976800001E-3</v>
      </c>
      <c r="X7" s="150">
        <f t="shared" si="32"/>
        <v>3.5911945373782541E-3</v>
      </c>
      <c r="Y7" s="150">
        <f t="shared" si="29"/>
        <v>6.1610363702618159E-4</v>
      </c>
      <c r="Z7" s="95">
        <f t="shared" si="16"/>
        <v>4.0987356954355909E-2</v>
      </c>
      <c r="AA7" s="147">
        <f t="shared" si="24"/>
        <v>8.1389728207219222E-2</v>
      </c>
      <c r="AB7" s="97">
        <f t="shared" si="30"/>
        <v>1.6494217825572755</v>
      </c>
      <c r="AC7">
        <f t="shared" si="17"/>
        <v>3.9714553098827987</v>
      </c>
      <c r="AD7" s="175">
        <f t="shared" si="18"/>
        <v>8.9357744472362963</v>
      </c>
      <c r="AE7" s="175">
        <f t="shared" si="19"/>
        <v>1.7278759594743859E-27</v>
      </c>
      <c r="AF7" s="158">
        <f t="shared" si="25"/>
        <v>4.3507375122027426E-28</v>
      </c>
      <c r="AH7" s="95">
        <f t="shared" si="7"/>
        <v>0.33333333333333331</v>
      </c>
      <c r="AI7" s="95">
        <f t="shared" si="8"/>
        <v>12</v>
      </c>
      <c r="AJ7" s="96">
        <f t="shared" si="9"/>
        <v>6933.8459716233592</v>
      </c>
      <c r="AK7" s="96">
        <f t="shared" si="20"/>
        <v>15.047408792585415</v>
      </c>
      <c r="AL7" s="96">
        <f t="shared" si="10"/>
        <v>-4.1215160875596348</v>
      </c>
      <c r="AM7" s="96">
        <f t="shared" si="11"/>
        <v>15.110266516209885</v>
      </c>
      <c r="AO7">
        <f t="shared" si="12"/>
        <v>0</v>
      </c>
      <c r="AP7" s="127">
        <f t="shared" si="26"/>
        <v>2.0975801042066519E-4</v>
      </c>
      <c r="AQ7" s="127">
        <f t="shared" si="31"/>
        <v>2.7692873868451255E-4</v>
      </c>
      <c r="AR7" s="146">
        <f t="shared" si="27"/>
        <v>5.3397375198359203E-8</v>
      </c>
      <c r="AS7" s="95">
        <f>$Y$36/AR7</f>
        <v>0.70091118459969504</v>
      </c>
      <c r="AT7" s="127"/>
      <c r="AV7" s="95"/>
      <c r="AX7" s="127">
        <f t="shared" si="28"/>
        <v>1.0526315789473683E-4</v>
      </c>
      <c r="AY7" s="96">
        <f t="shared" si="33"/>
        <v>1361.7398354943984</v>
      </c>
    </row>
    <row r="8" spans="2:51" ht="15" customHeight="1" x14ac:dyDescent="0.3">
      <c r="B8">
        <v>28</v>
      </c>
      <c r="C8" s="113">
        <f t="shared" ref="C8:C26" si="34">D8/180+1</f>
        <v>1.1388888888888888</v>
      </c>
      <c r="D8" s="140">
        <v>25</v>
      </c>
      <c r="E8" s="141">
        <v>0.61099999999999999</v>
      </c>
      <c r="F8" s="73">
        <v>13.77</v>
      </c>
      <c r="G8" s="106">
        <v>1.48</v>
      </c>
      <c r="H8" s="73">
        <v>3260</v>
      </c>
      <c r="I8" s="140">
        <v>6740</v>
      </c>
      <c r="J8" s="78">
        <v>4.08</v>
      </c>
      <c r="K8" s="2">
        <f t="shared" si="13"/>
        <v>20.3796</v>
      </c>
      <c r="L8" s="1">
        <f t="shared" si="2"/>
        <v>25</v>
      </c>
      <c r="M8" s="1">
        <f t="shared" ref="M8:M15" si="35">LN(L8)</f>
        <v>3.2188758248682006</v>
      </c>
      <c r="N8" s="3">
        <f t="shared" ref="N8:O15" si="36">1/H8/0.000001</f>
        <v>306.74846625766872</v>
      </c>
      <c r="O8" s="3">
        <f t="shared" si="36"/>
        <v>148.36795252225519</v>
      </c>
      <c r="P8" s="3">
        <f t="shared" si="15"/>
        <v>18404.907975460123</v>
      </c>
      <c r="Q8" s="3">
        <f t="shared" si="21"/>
        <v>8902.077151335312</v>
      </c>
      <c r="R8" s="3">
        <f t="shared" si="4"/>
        <v>39.941206543967276</v>
      </c>
      <c r="S8" s="3">
        <f t="shared" si="5"/>
        <v>19.31874381800198</v>
      </c>
      <c r="T8" s="3">
        <f t="shared" si="6"/>
        <v>25</v>
      </c>
      <c r="U8" s="158">
        <f t="shared" si="0"/>
        <v>20.3796</v>
      </c>
      <c r="V8" s="96">
        <f t="shared" si="22"/>
        <v>15.929559999999999</v>
      </c>
      <c r="W8">
        <f t="shared" si="23"/>
        <v>2.1361890410319998E-2</v>
      </c>
      <c r="X8" s="150">
        <f t="shared" si="32"/>
        <v>6.0958005649683674E-3</v>
      </c>
      <c r="Y8" s="150">
        <f t="shared" si="29"/>
        <v>3.1207096646162949E-3</v>
      </c>
      <c r="Z8" s="95">
        <f t="shared" si="16"/>
        <v>0.28195005411935081</v>
      </c>
      <c r="AA8" s="147">
        <f t="shared" si="24"/>
        <v>1.4684291617572443</v>
      </c>
      <c r="AB8" s="97">
        <f t="shared" si="30"/>
        <v>9.2182656756196923</v>
      </c>
      <c r="AC8">
        <f t="shared" si="17"/>
        <v>10.416236069496557</v>
      </c>
      <c r="AD8" s="175">
        <f t="shared" si="18"/>
        <v>23.436531156367252</v>
      </c>
      <c r="AE8" s="175">
        <f t="shared" si="19"/>
        <v>25.636141831964185</v>
      </c>
      <c r="AF8" s="158">
        <f t="shared" si="25"/>
        <v>2.4611713541169045</v>
      </c>
      <c r="AG8" s="151"/>
      <c r="AH8" s="95">
        <f t="shared" si="7"/>
        <v>0.69444444444444442</v>
      </c>
      <c r="AI8" s="95">
        <f t="shared" si="8"/>
        <v>25</v>
      </c>
      <c r="AJ8" s="96">
        <f t="shared" si="9"/>
        <v>17348.876248230645</v>
      </c>
      <c r="AK8" s="96">
        <f t="shared" si="20"/>
        <v>37.649471024806083</v>
      </c>
      <c r="AL8" s="96">
        <f t="shared" si="10"/>
        <v>18.087600040180838</v>
      </c>
      <c r="AM8" s="96">
        <f t="shared" si="11"/>
        <v>37.686890674124193</v>
      </c>
      <c r="AN8" s="97">
        <f t="shared" ref="AN8:AN15" si="37">AO8/$AF$26</f>
        <v>18.087600040180838</v>
      </c>
      <c r="AO8" s="174">
        <f t="shared" si="12"/>
        <v>8334.7660985153307</v>
      </c>
      <c r="AP8" s="127">
        <f t="shared" si="26"/>
        <v>2.6996162202028583E-3</v>
      </c>
      <c r="AQ8" s="127">
        <f t="shared" si="31"/>
        <v>8.9176138084568844E-3</v>
      </c>
      <c r="AR8" s="146">
        <f t="shared" si="27"/>
        <v>4.2473051183708176E-7</v>
      </c>
      <c r="AS8" s="95">
        <f>$Y$36/AR8</f>
        <v>8.8118975354312457E-2</v>
      </c>
      <c r="AT8" s="127"/>
      <c r="AU8" s="153">
        <f t="shared" ref="AU8:AU15" si="38">$AF$38*$AF$37*$AF$42^2*$AF$36*PI()/240*($AC8-$AF$43)/$AF$39*$AF$40</f>
        <v>-1.4205107110783354E-7</v>
      </c>
      <c r="AV8" s="151">
        <f t="shared" ref="AV8:AV15" si="39">-$AF$41/AU8</f>
        <v>0.26347437729902756</v>
      </c>
      <c r="AX8" s="127">
        <f t="shared" si="28"/>
        <v>1.0526315789473683E-4</v>
      </c>
      <c r="AY8" s="96">
        <f t="shared" si="33"/>
        <v>171.198750482842</v>
      </c>
    </row>
    <row r="9" spans="2:51" ht="13.9" customHeight="1" x14ac:dyDescent="0.3">
      <c r="C9" s="113">
        <f t="shared" si="34"/>
        <v>1.1944444444444444</v>
      </c>
      <c r="D9" s="73">
        <v>35</v>
      </c>
      <c r="E9" s="73">
        <v>0.98599999999999999</v>
      </c>
      <c r="F9" s="73">
        <v>13.69</v>
      </c>
      <c r="G9" s="73">
        <v>2.19</v>
      </c>
      <c r="H9" s="73">
        <v>2680</v>
      </c>
      <c r="I9" s="73">
        <v>4532</v>
      </c>
      <c r="J9" s="78">
        <v>6.04</v>
      </c>
      <c r="K9" s="2">
        <f t="shared" ref="K9:K15" si="40">F9*G9</f>
        <v>29.981099999999998</v>
      </c>
      <c r="L9" s="1">
        <f t="shared" si="2"/>
        <v>35</v>
      </c>
      <c r="M9" s="1">
        <f t="shared" si="35"/>
        <v>3.5553480614894135</v>
      </c>
      <c r="N9" s="3">
        <f t="shared" si="36"/>
        <v>373.13432835820896</v>
      </c>
      <c r="O9" s="3">
        <f t="shared" si="36"/>
        <v>220.65313327449252</v>
      </c>
      <c r="P9" s="3">
        <f t="shared" si="15"/>
        <v>22388.059701492537</v>
      </c>
      <c r="Q9" s="3">
        <f t="shared" si="21"/>
        <v>13239.187996469551</v>
      </c>
      <c r="R9" s="3">
        <f t="shared" si="4"/>
        <v>48.585199004975124</v>
      </c>
      <c r="S9" s="3">
        <f t="shared" si="5"/>
        <v>28.730876728449545</v>
      </c>
      <c r="T9" s="3">
        <f t="shared" si="6"/>
        <v>35</v>
      </c>
      <c r="U9" s="158">
        <f t="shared" si="0"/>
        <v>29.981099999999998</v>
      </c>
      <c r="V9" s="96">
        <f t="shared" si="22"/>
        <v>25.531059999999997</v>
      </c>
      <c r="W9">
        <f t="shared" si="23"/>
        <v>3.4237713143319998E-2</v>
      </c>
      <c r="X9" s="150">
        <f t="shared" si="32"/>
        <v>8.0318023011493427E-3</v>
      </c>
      <c r="Y9" s="150">
        <f t="shared" si="29"/>
        <v>5.0567114007972706E-3</v>
      </c>
      <c r="Z9" s="95">
        <f t="shared" si="16"/>
        <v>0.50748195050056688</v>
      </c>
      <c r="AA9" s="147">
        <f t="shared" si="24"/>
        <v>3.5458930123707444</v>
      </c>
      <c r="AB9" s="97">
        <f t="shared" si="30"/>
        <v>13.888545999933982</v>
      </c>
      <c r="AC9">
        <f t="shared" si="17"/>
        <v>13.974459619196972</v>
      </c>
      <c r="AD9" s="175">
        <f t="shared" si="18"/>
        <v>31.442534143193186</v>
      </c>
      <c r="AE9" s="175">
        <f t="shared" si="19"/>
        <v>38.126124436769338</v>
      </c>
      <c r="AF9" s="158">
        <f t="shared" si="25"/>
        <v>2.728271824149449</v>
      </c>
      <c r="AG9" s="151"/>
      <c r="AH9" s="95">
        <f t="shared" si="7"/>
        <v>0.97222222222222221</v>
      </c>
      <c r="AI9" s="95">
        <f t="shared" si="8"/>
        <v>35</v>
      </c>
      <c r="AJ9" s="96">
        <f t="shared" si="9"/>
        <v>22123.420807632323</v>
      </c>
      <c r="AK9" s="96">
        <f t="shared" si="20"/>
        <v>48.010895849896535</v>
      </c>
      <c r="AL9" s="96">
        <f t="shared" si="10"/>
        <v>28.268887253045815</v>
      </c>
      <c r="AM9" s="96">
        <f t="shared" si="11"/>
        <v>48.036653966213251</v>
      </c>
      <c r="AN9" s="97">
        <f t="shared" si="37"/>
        <v>28.268887253045815</v>
      </c>
      <c r="AO9" s="174">
        <f t="shared" si="12"/>
        <v>13026.303246203512</v>
      </c>
      <c r="AP9" s="127">
        <f t="shared" si="26"/>
        <v>5.1338954187745353E-3</v>
      </c>
      <c r="AQ9" s="127">
        <f t="shared" si="31"/>
        <v>2.1625919408211122E-2</v>
      </c>
      <c r="AR9" s="146">
        <f t="shared" si="27"/>
        <v>5.9496012809140091E-7</v>
      </c>
      <c r="AS9" s="95">
        <f t="shared" ref="AS9:AS15" si="41">$Y$36/AR9</f>
        <v>6.2906429754981188E-2</v>
      </c>
      <c r="AT9" s="127"/>
      <c r="AU9" s="153">
        <f t="shared" si="38"/>
        <v>-2.9000614686773219E-7</v>
      </c>
      <c r="AV9" s="151">
        <f t="shared" si="39"/>
        <v>0.12905525592830341</v>
      </c>
      <c r="AX9" s="127">
        <f t="shared" si="28"/>
        <v>1.0526315789473683E-4</v>
      </c>
      <c r="AY9" s="96">
        <f t="shared" si="33"/>
        <v>122.21547207155994</v>
      </c>
    </row>
    <row r="10" spans="2:51" ht="13.9" customHeight="1" x14ac:dyDescent="0.3">
      <c r="C10" s="113">
        <f t="shared" si="34"/>
        <v>1.3</v>
      </c>
      <c r="D10" s="73">
        <v>54</v>
      </c>
      <c r="E10" s="73">
        <v>1.375</v>
      </c>
      <c r="F10" s="73">
        <v>13.62</v>
      </c>
      <c r="G10" s="73">
        <v>3.93</v>
      </c>
      <c r="H10" s="73">
        <v>2150</v>
      </c>
      <c r="I10" s="73">
        <v>3180</v>
      </c>
      <c r="J10" s="78">
        <v>8.24</v>
      </c>
      <c r="K10" s="2">
        <f t="shared" si="40"/>
        <v>53.526600000000002</v>
      </c>
      <c r="L10" s="1">
        <f t="shared" si="2"/>
        <v>54</v>
      </c>
      <c r="M10" s="1">
        <f t="shared" si="35"/>
        <v>3.9889840465642745</v>
      </c>
      <c r="N10" s="3">
        <f t="shared" si="36"/>
        <v>465.11627906976747</v>
      </c>
      <c r="O10" s="3">
        <f t="shared" si="36"/>
        <v>314.46540880503147</v>
      </c>
      <c r="P10" s="3">
        <f t="shared" si="15"/>
        <v>27906.976744186049</v>
      </c>
      <c r="Q10" s="3">
        <f t="shared" si="21"/>
        <v>18867.92452830189</v>
      </c>
      <c r="R10" s="3">
        <f t="shared" si="4"/>
        <v>60.562015503875976</v>
      </c>
      <c r="S10" s="3">
        <f t="shared" si="5"/>
        <v>40.946016771488473</v>
      </c>
      <c r="T10" s="3">
        <f t="shared" si="6"/>
        <v>54</v>
      </c>
      <c r="U10" s="158">
        <f t="shared" si="0"/>
        <v>53.526600000000002</v>
      </c>
      <c r="V10" s="96">
        <f t="shared" si="22"/>
        <v>49.076560000000001</v>
      </c>
      <c r="W10">
        <f t="shared" si="23"/>
        <v>6.5812746644320005E-2</v>
      </c>
      <c r="X10" s="150">
        <f t="shared" si="32"/>
        <v>1.2385739542638876E-2</v>
      </c>
      <c r="Y10" s="150">
        <f t="shared" si="29"/>
        <v>9.4106486422868042E-3</v>
      </c>
      <c r="Z10" s="95">
        <f t="shared" si="16"/>
        <v>0.98290060580504701</v>
      </c>
      <c r="AA10" s="147">
        <f t="shared" si="24"/>
        <v>9.5578262506065865</v>
      </c>
      <c r="AB10" s="97">
        <f t="shared" si="30"/>
        <v>19.475338635402696</v>
      </c>
      <c r="AC10">
        <f t="shared" si="17"/>
        <v>19.448205025325478</v>
      </c>
      <c r="AD10" s="175">
        <f t="shared" si="18"/>
        <v>43.758461306982326</v>
      </c>
      <c r="AE10" s="175">
        <f t="shared" si="19"/>
        <v>54.335721996049891</v>
      </c>
      <c r="AF10" s="158">
        <f t="shared" si="25"/>
        <v>2.7938682220438258</v>
      </c>
      <c r="AG10" s="151"/>
      <c r="AH10" s="95">
        <f t="shared" si="7"/>
        <v>1.5</v>
      </c>
      <c r="AI10" s="95">
        <f t="shared" si="8"/>
        <v>54</v>
      </c>
      <c r="AJ10" s="96">
        <f t="shared" si="9"/>
        <v>28276.719974572956</v>
      </c>
      <c r="AK10" s="96">
        <f t="shared" si="20"/>
        <v>61.364409667042004</v>
      </c>
      <c r="AL10" s="96">
        <f t="shared" si="10"/>
        <v>41.390244765971858</v>
      </c>
      <c r="AM10" s="96">
        <f t="shared" si="11"/>
        <v>61.375138726574363</v>
      </c>
      <c r="AN10" s="97">
        <f t="shared" si="37"/>
        <v>41.390244765971858</v>
      </c>
      <c r="AO10" s="174">
        <f t="shared" si="12"/>
        <v>19072.624788159832</v>
      </c>
      <c r="AP10" s="127">
        <f t="shared" si="26"/>
        <v>9.4698404838995734E-3</v>
      </c>
      <c r="AQ10" s="127">
        <f t="shared" si="31"/>
        <v>5.0985534571040117E-2</v>
      </c>
      <c r="AR10" s="146">
        <f t="shared" si="27"/>
        <v>8.1434728488810894E-7</v>
      </c>
      <c r="AS10" s="95">
        <f t="shared" si="41"/>
        <v>4.5959283219000058E-2</v>
      </c>
      <c r="AT10" s="127"/>
      <c r="AU10" s="153">
        <f t="shared" si="38"/>
        <v>-5.176108504345801E-7</v>
      </c>
      <c r="AV10" s="151">
        <f t="shared" si="39"/>
        <v>7.2306864265641271E-2</v>
      </c>
      <c r="AX10" s="127">
        <f t="shared" si="28"/>
        <v>1.0526315789473683E-4</v>
      </c>
      <c r="AY10" s="96">
        <f t="shared" si="33"/>
        <v>89.290324002783549</v>
      </c>
    </row>
    <row r="11" spans="2:51" ht="13.9" customHeight="1" x14ac:dyDescent="0.3">
      <c r="B11">
        <v>64</v>
      </c>
      <c r="C11" s="113">
        <f t="shared" si="34"/>
        <v>1.3555555555555556</v>
      </c>
      <c r="D11" s="140">
        <v>64</v>
      </c>
      <c r="E11" s="140">
        <v>1.41</v>
      </c>
      <c r="F11" s="73">
        <v>13.54</v>
      </c>
      <c r="G11" s="140">
        <v>4.6100000000000003</v>
      </c>
      <c r="H11" s="73">
        <v>2020</v>
      </c>
      <c r="I11" s="140">
        <v>2870</v>
      </c>
      <c r="J11" s="78">
        <v>9</v>
      </c>
      <c r="K11" s="2">
        <f t="shared" si="40"/>
        <v>62.419400000000003</v>
      </c>
      <c r="L11" s="1">
        <f t="shared" si="2"/>
        <v>64</v>
      </c>
      <c r="M11" s="1">
        <f t="shared" si="35"/>
        <v>4.1588830833596715</v>
      </c>
      <c r="N11" s="3">
        <f t="shared" si="36"/>
        <v>495.04950495049508</v>
      </c>
      <c r="O11" s="3">
        <f t="shared" si="36"/>
        <v>348.43205574912895</v>
      </c>
      <c r="P11" s="3">
        <f t="shared" si="15"/>
        <v>29702.970297029704</v>
      </c>
      <c r="Q11" s="3">
        <f t="shared" si="21"/>
        <v>20905.923344947736</v>
      </c>
      <c r="R11" s="3">
        <f t="shared" si="4"/>
        <v>64.459570957095707</v>
      </c>
      <c r="S11" s="3">
        <f t="shared" si="5"/>
        <v>45.368757259001164</v>
      </c>
      <c r="T11" s="3">
        <f t="shared" si="6"/>
        <v>64</v>
      </c>
      <c r="U11" s="158">
        <f t="shared" si="0"/>
        <v>62.419400000000003</v>
      </c>
      <c r="V11" s="96">
        <f t="shared" si="22"/>
        <v>57.969360000000002</v>
      </c>
      <c r="W11">
        <f t="shared" si="23"/>
        <v>7.7738187085920007E-2</v>
      </c>
      <c r="X11" s="150">
        <f t="shared" si="32"/>
        <v>1.3745458938700147E-2</v>
      </c>
      <c r="Y11" s="150">
        <f t="shared" si="29"/>
        <v>1.0770368038348075E-2</v>
      </c>
      <c r="Z11" s="95">
        <f t="shared" si="16"/>
        <v>1.1851433231911994</v>
      </c>
      <c r="AA11" s="147">
        <f t="shared" si="24"/>
        <v>12.654676236558226</v>
      </c>
      <c r="AB11" s="97">
        <f t="shared" si="30"/>
        <v>21.829939534537253</v>
      </c>
      <c r="AC11">
        <f t="shared" si="17"/>
        <v>21.355520448756128</v>
      </c>
      <c r="AD11" s="175">
        <f t="shared" si="18"/>
        <v>48.049921009701286</v>
      </c>
      <c r="AE11" s="175">
        <f t="shared" si="19"/>
        <v>60.204737263915909</v>
      </c>
      <c r="AF11" s="158">
        <f t="shared" si="25"/>
        <v>2.819165068272667</v>
      </c>
      <c r="AG11" s="151"/>
      <c r="AH11" s="95"/>
      <c r="AI11" s="151">
        <v>70.201599999999999</v>
      </c>
      <c r="AJ11" s="152">
        <f t="shared" si="9"/>
        <v>31999.995048805355</v>
      </c>
      <c r="AK11" s="152">
        <f t="shared" si="20"/>
        <v>69.444433699664401</v>
      </c>
      <c r="AL11" s="152">
        <f t="shared" si="10"/>
        <v>49.329794273079528</v>
      </c>
      <c r="AM11" s="152">
        <f t="shared" si="11"/>
        <v>69.446068887600987</v>
      </c>
      <c r="AN11" s="173">
        <f t="shared" si="37"/>
        <v>49.329794273079528</v>
      </c>
      <c r="AO11" s="8">
        <f t="shared" si="12"/>
        <v>22731.169201035049</v>
      </c>
      <c r="AP11" s="150">
        <f t="shared" si="26"/>
        <v>1.2749008265139302E-2</v>
      </c>
      <c r="AQ11" s="150">
        <f t="shared" si="31"/>
        <v>7.7678636969085335E-2</v>
      </c>
      <c r="AR11" s="153">
        <f t="shared" si="27"/>
        <v>9.4709537828432563E-7</v>
      </c>
      <c r="AS11" s="151">
        <f t="shared" si="41"/>
        <v>3.9517474546856564E-2</v>
      </c>
      <c r="AT11" s="150"/>
      <c r="AU11" s="153">
        <f t="shared" si="38"/>
        <v>-5.969192452079957E-7</v>
      </c>
      <c r="AV11" s="151">
        <f t="shared" si="39"/>
        <v>6.2699967885530311E-2</v>
      </c>
      <c r="AX11" s="150">
        <f t="shared" si="28"/>
        <v>1.0526315789473683E-4</v>
      </c>
      <c r="AY11" s="152">
        <f t="shared" si="33"/>
        <v>76.775090012758156</v>
      </c>
    </row>
    <row r="12" spans="2:51" ht="13.9" customHeight="1" x14ac:dyDescent="0.3">
      <c r="C12" s="113">
        <f t="shared" si="34"/>
        <v>1.4944444444444445</v>
      </c>
      <c r="D12" s="73">
        <v>89</v>
      </c>
      <c r="E12" s="73">
        <v>1.81</v>
      </c>
      <c r="F12" s="73">
        <v>13.45</v>
      </c>
      <c r="G12" s="73">
        <v>6.61</v>
      </c>
      <c r="H12" s="73">
        <v>1770</v>
      </c>
      <c r="I12" s="73">
        <v>2400</v>
      </c>
      <c r="J12" s="78">
        <v>10.8</v>
      </c>
      <c r="K12" s="2">
        <f t="shared" si="40"/>
        <v>88.904499999999999</v>
      </c>
      <c r="L12" s="1">
        <f t="shared" si="2"/>
        <v>89</v>
      </c>
      <c r="M12" s="1">
        <f t="shared" si="35"/>
        <v>4.4886363697321396</v>
      </c>
      <c r="N12" s="3">
        <f t="shared" si="36"/>
        <v>564.9717514124294</v>
      </c>
      <c r="O12" s="3">
        <f t="shared" si="36"/>
        <v>416.66666666666669</v>
      </c>
      <c r="P12" s="3">
        <f t="shared" si="15"/>
        <v>33898.305084745763</v>
      </c>
      <c r="Q12" s="3">
        <f t="shared" si="21"/>
        <v>25000</v>
      </c>
      <c r="R12" s="3">
        <f t="shared" si="4"/>
        <v>73.56403013182674</v>
      </c>
      <c r="S12" s="3">
        <f t="shared" si="5"/>
        <v>54.253472222222221</v>
      </c>
      <c r="T12" s="3">
        <f t="shared" si="6"/>
        <v>89</v>
      </c>
      <c r="U12" s="158">
        <f t="shared" si="0"/>
        <v>88.904499999999999</v>
      </c>
      <c r="V12" s="96">
        <f t="shared" si="22"/>
        <v>84.454459999999997</v>
      </c>
      <c r="W12">
        <f t="shared" si="23"/>
        <v>0.11325528885812</v>
      </c>
      <c r="X12" s="150">
        <f t="shared" si="32"/>
        <v>1.7547094923943962E-2</v>
      </c>
      <c r="Y12" s="150">
        <f t="shared" si="29"/>
        <v>1.457200402359189E-2</v>
      </c>
      <c r="Z12" s="95">
        <f t="shared" si="16"/>
        <v>1.7615914080107602</v>
      </c>
      <c r="AA12" s="147">
        <f t="shared" si="24"/>
        <v>22.932558091663331</v>
      </c>
      <c r="AB12" s="97">
        <f t="shared" si="30"/>
        <v>27.153756109107007</v>
      </c>
      <c r="AC12">
        <f t="shared" si="17"/>
        <v>26.036182950687113</v>
      </c>
      <c r="AD12" s="175">
        <f t="shared" si="18"/>
        <v>58.58141163904601</v>
      </c>
      <c r="AE12" s="175">
        <f t="shared" si="19"/>
        <v>71.994831644766094</v>
      </c>
      <c r="AF12" s="158">
        <f t="shared" si="25"/>
        <v>2.7651838128932069</v>
      </c>
      <c r="AG12" s="151"/>
      <c r="AH12" s="95">
        <f>D12/$AF$27*$AF$22</f>
        <v>2.4722222222222223</v>
      </c>
      <c r="AI12" s="95">
        <f>AH12/$AF$22*$AF$27</f>
        <v>89</v>
      </c>
      <c r="AJ12" s="96">
        <f t="shared" si="9"/>
        <v>35366.791670025093</v>
      </c>
      <c r="AK12" s="96">
        <f t="shared" si="20"/>
        <v>76.75084997835306</v>
      </c>
      <c r="AL12" s="96">
        <f t="shared" si="10"/>
        <v>56.509185513746289</v>
      </c>
      <c r="AM12" s="96">
        <f t="shared" si="11"/>
        <v>76.744261971507669</v>
      </c>
      <c r="AN12" s="97">
        <f t="shared" si="37"/>
        <v>56.509185513746289</v>
      </c>
      <c r="AO12" s="174">
        <f t="shared" si="12"/>
        <v>26039.432684734289</v>
      </c>
      <c r="AP12" s="127">
        <f t="shared" si="26"/>
        <v>1.6139758156510163E-2</v>
      </c>
      <c r="AQ12" s="127">
        <f t="shared" si="31"/>
        <v>0.10868458955176756</v>
      </c>
      <c r="AR12" s="146">
        <f t="shared" si="27"/>
        <v>1.0671337379029437E-6</v>
      </c>
      <c r="AS12" s="95">
        <f t="shared" si="41"/>
        <v>3.5072283984146989E-2</v>
      </c>
      <c r="AT12" s="127"/>
      <c r="AU12" s="153">
        <f t="shared" si="38"/>
        <v>-7.9154663873924901E-7</v>
      </c>
      <c r="AV12" s="151">
        <f t="shared" si="39"/>
        <v>4.7283148803977743E-2</v>
      </c>
      <c r="AX12" s="127">
        <f t="shared" si="28"/>
        <v>1.0526315789473683E-4</v>
      </c>
      <c r="AY12" s="96">
        <f t="shared" si="33"/>
        <v>68.138912992609036</v>
      </c>
    </row>
    <row r="13" spans="2:51" ht="13.9" customHeight="1" x14ac:dyDescent="0.3">
      <c r="C13" s="113">
        <f t="shared" si="34"/>
        <v>1.6944444444444444</v>
      </c>
      <c r="D13" s="73">
        <v>125</v>
      </c>
      <c r="E13" s="73">
        <v>2.16</v>
      </c>
      <c r="F13" s="73">
        <v>13.2</v>
      </c>
      <c r="G13" s="73">
        <v>10.3</v>
      </c>
      <c r="H13" s="73">
        <v>1520</v>
      </c>
      <c r="I13" s="73">
        <v>2000</v>
      </c>
      <c r="J13" s="78">
        <v>14</v>
      </c>
      <c r="K13" s="2">
        <f t="shared" si="40"/>
        <v>135.96</v>
      </c>
      <c r="L13" s="1">
        <f t="shared" si="2"/>
        <v>125</v>
      </c>
      <c r="M13" s="1">
        <f t="shared" si="35"/>
        <v>4.8283137373023015</v>
      </c>
      <c r="N13" s="3">
        <f t="shared" si="36"/>
        <v>657.89473684210532</v>
      </c>
      <c r="O13" s="3">
        <f t="shared" si="36"/>
        <v>500.00000000000006</v>
      </c>
      <c r="P13" s="3">
        <f t="shared" si="15"/>
        <v>39473.68421052632</v>
      </c>
      <c r="Q13" s="3">
        <f t="shared" si="21"/>
        <v>30000.000000000004</v>
      </c>
      <c r="R13" s="3">
        <f t="shared" si="4"/>
        <v>85.663377192982466</v>
      </c>
      <c r="S13" s="3">
        <f t="shared" si="5"/>
        <v>65.104166666666671</v>
      </c>
      <c r="T13" s="3">
        <f t="shared" si="6"/>
        <v>125</v>
      </c>
      <c r="U13" s="158">
        <f t="shared" si="0"/>
        <v>135.96</v>
      </c>
      <c r="V13" s="96">
        <f t="shared" si="22"/>
        <v>131.50996000000001</v>
      </c>
      <c r="W13">
        <f t="shared" si="23"/>
        <v>0.17635774957912001</v>
      </c>
      <c r="X13" s="150">
        <f t="shared" si="32"/>
        <v>2.3464516153334967E-2</v>
      </c>
      <c r="Y13" s="150">
        <f t="shared" si="29"/>
        <v>2.0489425252982894E-2</v>
      </c>
      <c r="Z13" s="95">
        <f t="shared" si="16"/>
        <v>2.7815970600379454</v>
      </c>
      <c r="AA13" s="147">
        <f t="shared" si="24"/>
        <v>45.502583489373642</v>
      </c>
      <c r="AB13" s="97">
        <f t="shared" si="30"/>
        <v>34.600104425074448</v>
      </c>
      <c r="AC13">
        <f t="shared" si="17"/>
        <v>32.716876317630934</v>
      </c>
      <c r="AD13" s="175">
        <f t="shared" si="18"/>
        <v>73.612971714669598</v>
      </c>
      <c r="AE13" s="175">
        <f t="shared" si="19"/>
        <v>86.39379797371933</v>
      </c>
      <c r="AF13" s="163">
        <f t="shared" si="25"/>
        <v>2.6406493436282674</v>
      </c>
      <c r="AG13" s="159">
        <f>$AT$29/($AF$37*$AF$42*$AF$36*($AC13-$AF$43)^2/4/$AF13)/(PI()*$AF$42/60/($AC13-$AF$43))</f>
        <v>-1.4465197554381539</v>
      </c>
      <c r="AH13" s="95">
        <f>D13/$AF$27*$AF$22</f>
        <v>3.4722222222222223</v>
      </c>
      <c r="AI13" s="95">
        <f>AH13/$AF$22*$AF$27</f>
        <v>125</v>
      </c>
      <c r="AJ13" s="96">
        <f t="shared" si="9"/>
        <v>40186.817071139434</v>
      </c>
      <c r="AK13" s="96">
        <f t="shared" si="20"/>
        <v>87.210974546743557</v>
      </c>
      <c r="AL13" s="96">
        <f t="shared" si="10"/>
        <v>66.787456534469484</v>
      </c>
      <c r="AM13" s="96">
        <f t="shared" si="11"/>
        <v>87.192613922723197</v>
      </c>
      <c r="AN13" s="97">
        <f t="shared" si="37"/>
        <v>66.787456534469484</v>
      </c>
      <c r="AO13" s="174">
        <f t="shared" si="12"/>
        <v>30775.659971083536</v>
      </c>
      <c r="AP13" s="127">
        <f t="shared" si="26"/>
        <v>2.1697533384729531E-2</v>
      </c>
      <c r="AQ13" s="127">
        <f t="shared" si="31"/>
        <v>0.16602338252609797</v>
      </c>
      <c r="AR13" s="146">
        <f t="shared" si="27"/>
        <v>1.2389849090794855E-6</v>
      </c>
      <c r="AS13" s="95">
        <f t="shared" si="41"/>
        <v>3.0207645977385553E-2</v>
      </c>
      <c r="AT13" s="127"/>
      <c r="AU13" s="153">
        <f t="shared" si="38"/>
        <v>-1.0693376429941804E-6</v>
      </c>
      <c r="AV13" s="134">
        <f t="shared" si="39"/>
        <v>3.500000000000001E-2</v>
      </c>
      <c r="AX13" s="127">
        <f t="shared" si="28"/>
        <v>1.0526315789473683E-4</v>
      </c>
      <c r="AY13" s="96">
        <f t="shared" si="33"/>
        <v>58.687827741557669</v>
      </c>
    </row>
    <row r="14" spans="2:51" ht="13.9" customHeight="1" x14ac:dyDescent="0.3">
      <c r="C14" s="113">
        <f t="shared" si="34"/>
        <v>1.8611111111111112</v>
      </c>
      <c r="D14" s="73">
        <v>155</v>
      </c>
      <c r="E14" s="73">
        <v>2.5299999999999998</v>
      </c>
      <c r="F14" s="73">
        <v>12.85</v>
      </c>
      <c r="G14" s="73">
        <v>15</v>
      </c>
      <c r="H14" s="73">
        <v>1364</v>
      </c>
      <c r="I14" s="73">
        <v>1740</v>
      </c>
      <c r="J14" s="78">
        <v>15.8</v>
      </c>
      <c r="K14" s="2">
        <f t="shared" si="40"/>
        <v>192.75</v>
      </c>
      <c r="L14" s="1">
        <f t="shared" si="2"/>
        <v>155</v>
      </c>
      <c r="M14" s="1">
        <f t="shared" si="35"/>
        <v>5.0434251169192468</v>
      </c>
      <c r="N14" s="3">
        <f t="shared" si="36"/>
        <v>733.13782991202345</v>
      </c>
      <c r="O14" s="3">
        <f t="shared" si="36"/>
        <v>574.71264367816093</v>
      </c>
      <c r="P14" s="3">
        <f t="shared" si="15"/>
        <v>43988.269794721404</v>
      </c>
      <c r="Q14" s="3">
        <f t="shared" si="21"/>
        <v>34482.758620689652</v>
      </c>
      <c r="R14" s="3">
        <f t="shared" si="4"/>
        <v>95.460654936461381</v>
      </c>
      <c r="S14" s="3">
        <f t="shared" si="5"/>
        <v>74.83237547892719</v>
      </c>
      <c r="T14" s="3">
        <f t="shared" si="6"/>
        <v>155</v>
      </c>
      <c r="U14" s="158">
        <f t="shared" si="0"/>
        <v>192.75</v>
      </c>
      <c r="V14" s="96">
        <f t="shared" si="22"/>
        <v>188.29996</v>
      </c>
      <c r="W14">
        <f t="shared" si="23"/>
        <v>0.25251438895912004</v>
      </c>
      <c r="X14" s="150">
        <f t="shared" si="32"/>
        <v>3.0149073309822319E-2</v>
      </c>
      <c r="Y14" s="150">
        <f t="shared" si="29"/>
        <v>2.7173982409470245E-2</v>
      </c>
      <c r="Z14" s="95">
        <f t="shared" si="16"/>
        <v>3.8493009912054741</v>
      </c>
      <c r="AA14" s="147">
        <f>SQRT(Z14^3/4/$Y$42/$Y$43)</f>
        <v>74.07429631585768</v>
      </c>
      <c r="AB14" s="97">
        <f t="shared" si="30"/>
        <v>39.338455683080163</v>
      </c>
      <c r="AC14">
        <f t="shared" si="17"/>
        <v>38.487141683695697</v>
      </c>
      <c r="AD14" s="175">
        <f t="shared" si="18"/>
        <v>86.596068788315307</v>
      </c>
      <c r="AE14" s="175">
        <f t="shared" si="19"/>
        <v>99.303216061746326</v>
      </c>
      <c r="AF14" s="158">
        <f t="shared" si="25"/>
        <v>2.5801660429310118</v>
      </c>
      <c r="AG14" s="151"/>
      <c r="AH14" s="95">
        <f>D14/$AF$27*$AF$22</f>
        <v>4.3055555555555554</v>
      </c>
      <c r="AI14" s="95">
        <f>AH14/$AF$22*$AF$27</f>
        <v>155</v>
      </c>
      <c r="AJ14" s="96">
        <f t="shared" si="9"/>
        <v>43239.249799405501</v>
      </c>
      <c r="AK14" s="96">
        <f t="shared" si="20"/>
        <v>93.835177516070971</v>
      </c>
      <c r="AL14" s="96">
        <f t="shared" si="10"/>
        <v>73.296495023434872</v>
      </c>
      <c r="AM14" s="96">
        <f t="shared" si="11"/>
        <v>93.809361511845779</v>
      </c>
      <c r="AN14" s="97">
        <f t="shared" si="37"/>
        <v>73.296495023434872</v>
      </c>
      <c r="AO14" s="174">
        <f t="shared" si="12"/>
        <v>33775.02490679879</v>
      </c>
      <c r="AP14" s="127">
        <f t="shared" si="26"/>
        <v>2.5645549843300849E-2</v>
      </c>
      <c r="AQ14" s="127">
        <f t="shared" si="31"/>
        <v>0.21113753539938881</v>
      </c>
      <c r="AR14" s="146">
        <f t="shared" si="27"/>
        <v>1.3478150698435463E-6</v>
      </c>
      <c r="AS14" s="95">
        <f t="shared" si="41"/>
        <v>2.7768510934620141E-2</v>
      </c>
      <c r="AT14" s="127"/>
      <c r="AU14" s="153">
        <f t="shared" si="38"/>
        <v>-1.3092719915436728E-6</v>
      </c>
      <c r="AV14" s="151">
        <f t="shared" si="39"/>
        <v>2.858597582971964E-2</v>
      </c>
      <c r="AX14" s="127">
        <f t="shared" si="28"/>
        <v>1.0526315789473683E-4</v>
      </c>
      <c r="AY14" s="96">
        <f t="shared" si="33"/>
        <v>53.949042821495425</v>
      </c>
    </row>
    <row r="15" spans="2:51" ht="13.9" customHeight="1" x14ac:dyDescent="0.3">
      <c r="C15" s="113">
        <f t="shared" si="34"/>
        <v>1.9166666666666665</v>
      </c>
      <c r="D15" s="73">
        <v>165</v>
      </c>
      <c r="E15" s="73">
        <v>2.63</v>
      </c>
      <c r="F15" s="73">
        <v>12.75</v>
      </c>
      <c r="G15" s="73">
        <v>16.399999999999999</v>
      </c>
      <c r="H15" s="73">
        <v>1316</v>
      </c>
      <c r="I15" s="73">
        <v>1680</v>
      </c>
      <c r="J15" s="78">
        <v>17.2</v>
      </c>
      <c r="K15" s="2">
        <f t="shared" si="40"/>
        <v>209.1</v>
      </c>
      <c r="L15" s="1">
        <f t="shared" si="2"/>
        <v>165</v>
      </c>
      <c r="M15" s="1">
        <f t="shared" si="35"/>
        <v>5.1059454739005803</v>
      </c>
      <c r="N15" s="3">
        <f t="shared" si="36"/>
        <v>759.87841945288756</v>
      </c>
      <c r="O15" s="3">
        <f t="shared" si="36"/>
        <v>595.2380952380953</v>
      </c>
      <c r="P15" s="3">
        <f t="shared" si="15"/>
        <v>45592.705167173255</v>
      </c>
      <c r="Q15" s="3">
        <f t="shared" si="21"/>
        <v>35714.285714285717</v>
      </c>
      <c r="R15" s="3">
        <f t="shared" si="4"/>
        <v>98.942502532928074</v>
      </c>
      <c r="S15" s="3">
        <f t="shared" si="5"/>
        <v>77.504960317460331</v>
      </c>
      <c r="T15" s="3">
        <f t="shared" si="6"/>
        <v>165</v>
      </c>
      <c r="U15" s="158">
        <f t="shared" si="0"/>
        <v>209.1</v>
      </c>
      <c r="V15" s="96">
        <f t="shared" si="22"/>
        <v>204.64995999999999</v>
      </c>
      <c r="W15">
        <f t="shared" si="23"/>
        <v>0.27444009865912</v>
      </c>
      <c r="X15" s="150">
        <f t="shared" si="32"/>
        <v>3.1613816132925514E-2</v>
      </c>
      <c r="Y15" s="150">
        <f t="shared" si="29"/>
        <v>2.863872523257344E-2</v>
      </c>
      <c r="Z15" s="134">
        <f>$AA$41</f>
        <v>4.4249528005034611</v>
      </c>
      <c r="AA15" s="147">
        <f>SQRT(Z15^3/4/$Y$42/$Y$43)</f>
        <v>91.297248929319878</v>
      </c>
      <c r="AB15" s="97">
        <f t="shared" si="30"/>
        <v>44.611417920296624</v>
      </c>
      <c r="AC15">
        <f t="shared" si="17"/>
        <v>41.264733453849395</v>
      </c>
      <c r="AD15" s="175">
        <f>AC15*1/1.6/1000*3600</f>
        <v>92.845650271161119</v>
      </c>
      <c r="AE15" s="175">
        <f t="shared" si="19"/>
        <v>102.84975949252301</v>
      </c>
      <c r="AF15" s="165">
        <f t="shared" si="25"/>
        <v>2.4924372674683695</v>
      </c>
      <c r="AG15" s="151"/>
      <c r="AH15" s="95">
        <f>D15/$AF$27*$AF$22</f>
        <v>4.583333333333333</v>
      </c>
      <c r="AI15" s="95">
        <f>AH15/$AF$22*$AF$27</f>
        <v>165</v>
      </c>
      <c r="AJ15" s="96">
        <f t="shared" si="9"/>
        <v>44126.414319351083</v>
      </c>
      <c r="AK15" s="96">
        <f t="shared" si="20"/>
        <v>95.760447741647312</v>
      </c>
      <c r="AL15" s="96">
        <f t="shared" si="10"/>
        <v>75.188293637994533</v>
      </c>
      <c r="AM15" s="96">
        <f t="shared" si="11"/>
        <v>95.732464892354869</v>
      </c>
      <c r="AN15" s="97">
        <f t="shared" si="37"/>
        <v>75.188293637994533</v>
      </c>
      <c r="AO15" s="174">
        <f t="shared" si="12"/>
        <v>34646.76570838788</v>
      </c>
      <c r="AP15" s="127">
        <f t="shared" si="26"/>
        <v>2.6855314322647372E-2</v>
      </c>
      <c r="AQ15" s="127">
        <f t="shared" si="31"/>
        <v>0.22563380169031633</v>
      </c>
      <c r="AR15" s="146">
        <f t="shared" si="27"/>
        <v>1.3794456628573665E-6</v>
      </c>
      <c r="AS15" s="95">
        <f t="shared" si="41"/>
        <v>2.7131780912102679E-2</v>
      </c>
      <c r="AT15" s="127"/>
      <c r="AU15" s="153">
        <f t="shared" si="38"/>
        <v>-1.4247674895198362E-6</v>
      </c>
      <c r="AV15" s="151">
        <f t="shared" si="39"/>
        <v>2.62687194788601E-2</v>
      </c>
      <c r="AX15" s="127">
        <f t="shared" si="28"/>
        <v>1.0526315789473683E-4</v>
      </c>
      <c r="AY15" s="96">
        <f t="shared" si="33"/>
        <v>52.711995025471928</v>
      </c>
    </row>
    <row r="16" spans="2:51" ht="13.9" customHeight="1" thickBot="1" x14ac:dyDescent="0.35">
      <c r="C16" s="116">
        <f t="shared" si="34"/>
        <v>2</v>
      </c>
      <c r="D16" s="117">
        <v>180</v>
      </c>
      <c r="E16" s="117"/>
      <c r="F16" s="117"/>
      <c r="G16" s="117"/>
      <c r="H16" s="117"/>
      <c r="I16" s="117"/>
      <c r="J16" s="118"/>
      <c r="P16" s="3"/>
      <c r="Q16" s="3"/>
      <c r="R16" s="3"/>
      <c r="S16" s="3"/>
      <c r="U16" s="4"/>
      <c r="AD16" s="4"/>
      <c r="AE16" s="97"/>
      <c r="AH16" s="95"/>
      <c r="AI16" s="95"/>
      <c r="AJ16" s="96"/>
      <c r="AK16" s="96"/>
      <c r="AL16" s="96"/>
      <c r="AM16" s="96"/>
      <c r="AP16" s="127"/>
      <c r="AQ16" s="127"/>
      <c r="AR16" s="146"/>
      <c r="AS16" s="95"/>
      <c r="AT16" s="127"/>
      <c r="AV16" s="146"/>
      <c r="AW16" s="95"/>
      <c r="AX16" s="128"/>
      <c r="AY16" s="96"/>
    </row>
    <row r="17" spans="2:47" ht="13.9" customHeight="1" x14ac:dyDescent="0.3"/>
    <row r="18" spans="2:47" ht="13.9" customHeight="1" x14ac:dyDescent="0.3">
      <c r="C18" s="120">
        <f t="shared" si="34"/>
        <v>1.05</v>
      </c>
      <c r="D18" s="73">
        <v>9</v>
      </c>
      <c r="E18" s="119"/>
      <c r="F18" s="73">
        <v>13.8</v>
      </c>
      <c r="G18" s="73">
        <v>0.42399999999999999</v>
      </c>
      <c r="H18" s="73">
        <v>6160</v>
      </c>
      <c r="I18" s="119"/>
      <c r="J18" s="119"/>
      <c r="K18" s="2">
        <f t="shared" ref="K18:K26" si="42">F18*G18</f>
        <v>5.8512000000000004</v>
      </c>
      <c r="L18" s="1">
        <f t="shared" ref="L18:L26" si="43">D18</f>
        <v>9</v>
      </c>
      <c r="M18" s="1">
        <f t="shared" ref="M18:M26" si="44">LN(L18)</f>
        <v>2.1972245773362196</v>
      </c>
      <c r="N18" s="3">
        <f t="shared" ref="N18:N26" si="45">1/H18/0.000001</f>
        <v>162.33766233766235</v>
      </c>
      <c r="O18" s="3"/>
      <c r="P18" s="3">
        <f t="shared" ref="P18:P26" si="46">N18*60/$Y$29</f>
        <v>9740.2597402597403</v>
      </c>
      <c r="Q18" s="3"/>
      <c r="R18" s="3">
        <f t="shared" ref="R18:R26" si="47">P18/$Y$40*100</f>
        <v>21.137716450216452</v>
      </c>
      <c r="S18">
        <v>16</v>
      </c>
      <c r="T18" s="3">
        <f t="shared" ref="T18:T26" si="48">L18</f>
        <v>9</v>
      </c>
      <c r="U18" s="4">
        <f t="shared" ref="U18:U26" si="49">K18</f>
        <v>5.8512000000000004</v>
      </c>
      <c r="V18" s="4"/>
      <c r="W18">
        <f t="shared" ref="W18:W26" si="50">U18*0.001341022</f>
        <v>7.8465879264000005E-3</v>
      </c>
      <c r="X18" s="150">
        <f t="shared" ref="X18:X26" si="51">$W18/$P18*5252</f>
        <v>4.230922058383821E-3</v>
      </c>
      <c r="Y18" s="150">
        <f t="shared" ref="Y18:Y26" si="52">X18-$X$4</f>
        <v>1.2558311580317485E-3</v>
      </c>
      <c r="AO18" s="157" t="s">
        <v>219</v>
      </c>
      <c r="AP18" s="157"/>
      <c r="AQ18" s="157"/>
      <c r="AR18" s="157"/>
      <c r="AS18" s="157"/>
    </row>
    <row r="19" spans="2:47" ht="13.9" customHeight="1" x14ac:dyDescent="0.3">
      <c r="C19" s="120">
        <f t="shared" si="34"/>
        <v>1.0722222222222222</v>
      </c>
      <c r="D19" s="73">
        <v>13</v>
      </c>
      <c r="E19" s="119"/>
      <c r="F19" s="73">
        <v>13.8</v>
      </c>
      <c r="G19" s="73">
        <v>0.56499999999999995</v>
      </c>
      <c r="H19" s="73">
        <v>5080</v>
      </c>
      <c r="I19" s="119"/>
      <c r="J19" s="119"/>
      <c r="K19" s="2">
        <f t="shared" si="42"/>
        <v>7.7969999999999997</v>
      </c>
      <c r="L19" s="1">
        <f t="shared" si="43"/>
        <v>13</v>
      </c>
      <c r="M19" s="1">
        <f t="shared" si="44"/>
        <v>2.5649493574615367</v>
      </c>
      <c r="N19" s="3">
        <f t="shared" si="45"/>
        <v>196.85039370078741</v>
      </c>
      <c r="O19" s="3"/>
      <c r="P19" s="3">
        <f t="shared" si="46"/>
        <v>11811.023622047245</v>
      </c>
      <c r="Q19" s="3"/>
      <c r="R19" s="3">
        <f t="shared" si="47"/>
        <v>25.631561679790028</v>
      </c>
      <c r="S19">
        <v>20</v>
      </c>
      <c r="T19" s="3">
        <f t="shared" si="48"/>
        <v>13</v>
      </c>
      <c r="U19" s="4">
        <f t="shared" si="49"/>
        <v>7.7969999999999997</v>
      </c>
      <c r="V19" s="4"/>
      <c r="W19">
        <f t="shared" si="50"/>
        <v>1.0455948534E-2</v>
      </c>
      <c r="X19" s="150">
        <f t="shared" si="51"/>
        <v>4.6494396639814237E-3</v>
      </c>
      <c r="Y19" s="150">
        <f t="shared" si="52"/>
        <v>1.6743487636293511E-3</v>
      </c>
      <c r="AN19" s="5" t="s">
        <v>132</v>
      </c>
      <c r="AO19" s="157" t="s">
        <v>100</v>
      </c>
      <c r="AP19" s="157" t="s">
        <v>139</v>
      </c>
      <c r="AQ19" s="157" t="s">
        <v>140</v>
      </c>
      <c r="AR19" s="157" t="s">
        <v>131</v>
      </c>
      <c r="AS19" s="157" t="s">
        <v>164</v>
      </c>
      <c r="AT19" s="157" t="s">
        <v>173</v>
      </c>
    </row>
    <row r="20" spans="2:47" ht="13.9" customHeight="1" x14ac:dyDescent="0.3">
      <c r="C20" s="120">
        <f t="shared" si="34"/>
        <v>1.1444444444444444</v>
      </c>
      <c r="D20" s="73">
        <v>26</v>
      </c>
      <c r="E20" s="119"/>
      <c r="F20" s="73">
        <v>13.75</v>
      </c>
      <c r="G20" s="73">
        <v>1.32</v>
      </c>
      <c r="H20" s="73">
        <v>3180</v>
      </c>
      <c r="I20" s="119"/>
      <c r="J20" s="119"/>
      <c r="K20" s="2">
        <f t="shared" si="42"/>
        <v>18.150000000000002</v>
      </c>
      <c r="L20" s="1">
        <f t="shared" si="43"/>
        <v>26</v>
      </c>
      <c r="M20" s="1">
        <f t="shared" si="44"/>
        <v>3.2580965380214821</v>
      </c>
      <c r="N20" s="3">
        <f t="shared" si="45"/>
        <v>314.46540880503147</v>
      </c>
      <c r="O20" s="3"/>
      <c r="P20" s="3">
        <f t="shared" si="46"/>
        <v>18867.92452830189</v>
      </c>
      <c r="Q20" s="3"/>
      <c r="R20" s="3">
        <f t="shared" si="47"/>
        <v>40.946016771488473</v>
      </c>
      <c r="S20">
        <v>25</v>
      </c>
      <c r="T20" s="3">
        <f t="shared" si="48"/>
        <v>26</v>
      </c>
      <c r="U20" s="4">
        <f t="shared" si="49"/>
        <v>18.150000000000002</v>
      </c>
      <c r="V20" s="4"/>
      <c r="W20">
        <f t="shared" si="50"/>
        <v>2.4339549300000006E-2</v>
      </c>
      <c r="X20" s="150">
        <f t="shared" si="51"/>
        <v>6.7750595849508004E-3</v>
      </c>
      <c r="Y20" s="150">
        <f t="shared" si="52"/>
        <v>3.7999686845987279E-3</v>
      </c>
      <c r="AN20" s="5"/>
      <c r="AO20" s="157"/>
      <c r="AP20" s="157" t="s">
        <v>152</v>
      </c>
      <c r="AQ20" s="157" t="s">
        <v>153</v>
      </c>
      <c r="AR20" s="157"/>
      <c r="AS20" s="157"/>
      <c r="AT20" s="157"/>
    </row>
    <row r="21" spans="2:47" ht="13.9" customHeight="1" thickBot="1" x14ac:dyDescent="0.35">
      <c r="C21" s="120">
        <f t="shared" si="34"/>
        <v>1.2</v>
      </c>
      <c r="D21" s="73">
        <v>36</v>
      </c>
      <c r="E21" s="119"/>
      <c r="F21" s="73">
        <v>13.71</v>
      </c>
      <c r="G21" s="73">
        <v>2.08</v>
      </c>
      <c r="H21" s="73">
        <v>2650</v>
      </c>
      <c r="I21" s="119"/>
      <c r="J21" s="119"/>
      <c r="K21" s="2">
        <f t="shared" si="42"/>
        <v>28.516800000000003</v>
      </c>
      <c r="L21" s="1">
        <f t="shared" si="43"/>
        <v>36</v>
      </c>
      <c r="M21" s="1">
        <f t="shared" si="44"/>
        <v>3.5835189384561099</v>
      </c>
      <c r="N21" s="3">
        <f t="shared" si="45"/>
        <v>377.35849056603774</v>
      </c>
      <c r="O21" s="3"/>
      <c r="P21" s="3">
        <f t="shared" si="46"/>
        <v>22641.509433962266</v>
      </c>
      <c r="Q21" s="3"/>
      <c r="R21" s="3">
        <f t="shared" si="47"/>
        <v>49.135220125786169</v>
      </c>
      <c r="S21">
        <v>36</v>
      </c>
      <c r="T21" s="3">
        <f t="shared" si="48"/>
        <v>36</v>
      </c>
      <c r="U21" s="4">
        <f t="shared" si="49"/>
        <v>28.516800000000003</v>
      </c>
      <c r="V21" s="4"/>
      <c r="W21">
        <f t="shared" si="50"/>
        <v>3.8241656169600007E-2</v>
      </c>
      <c r="X21" s="150">
        <f t="shared" si="51"/>
        <v>8.8706620372876483E-3</v>
      </c>
      <c r="Y21" s="150">
        <f t="shared" si="52"/>
        <v>5.8955711369355762E-3</v>
      </c>
      <c r="AE21" s="5" t="s">
        <v>56</v>
      </c>
      <c r="AF21" s="5"/>
      <c r="AG21" s="5"/>
      <c r="AH21" s="5"/>
      <c r="AN21" s="5">
        <f t="shared" ref="AN21:AN29" si="53">AO21*$AF$26</f>
        <v>7372.8</v>
      </c>
      <c r="AO21" s="157">
        <v>16</v>
      </c>
      <c r="AP21" s="157">
        <v>3.3218574470251366E-4</v>
      </c>
      <c r="AQ21" s="157">
        <v>7.3801227827272476E-4</v>
      </c>
      <c r="AR21" s="172">
        <v>0.34399999999999997</v>
      </c>
      <c r="AS21" s="185">
        <f t="shared" ref="AS21:AS29" si="54">$AF$41/AR21</f>
        <v>1.0879888809533816E-7</v>
      </c>
      <c r="AT21" s="157" t="s">
        <v>201</v>
      </c>
    </row>
    <row r="22" spans="2:47" ht="13.9" customHeight="1" x14ac:dyDescent="0.3">
      <c r="C22" s="120">
        <f t="shared" si="34"/>
        <v>1.3111111111111111</v>
      </c>
      <c r="D22" s="73">
        <v>56</v>
      </c>
      <c r="E22" s="119"/>
      <c r="F22" s="73">
        <v>13.6</v>
      </c>
      <c r="G22" s="73">
        <v>3.8</v>
      </c>
      <c r="H22" s="73">
        <v>2070</v>
      </c>
      <c r="I22" s="119"/>
      <c r="J22" s="119"/>
      <c r="K22" s="2">
        <f t="shared" si="42"/>
        <v>51.68</v>
      </c>
      <c r="L22" s="1">
        <f t="shared" si="43"/>
        <v>56</v>
      </c>
      <c r="M22" s="1">
        <f t="shared" si="44"/>
        <v>4.0253516907351496</v>
      </c>
      <c r="N22" s="3">
        <f t="shared" si="45"/>
        <v>483.09178743961354</v>
      </c>
      <c r="O22" s="3"/>
      <c r="P22" s="3">
        <f t="shared" si="46"/>
        <v>28985.507246376812</v>
      </c>
      <c r="Q22" s="3"/>
      <c r="R22" s="3">
        <f t="shared" si="47"/>
        <v>62.902576489533011</v>
      </c>
      <c r="S22">
        <v>45</v>
      </c>
      <c r="T22" s="3">
        <f t="shared" si="48"/>
        <v>56</v>
      </c>
      <c r="U22" s="4">
        <f t="shared" si="49"/>
        <v>51.68</v>
      </c>
      <c r="V22" s="4"/>
      <c r="W22">
        <f t="shared" si="50"/>
        <v>6.9304016960000006E-2</v>
      </c>
      <c r="X22" s="150">
        <f t="shared" si="51"/>
        <v>1.255747204905024E-2</v>
      </c>
      <c r="Y22" s="150">
        <f t="shared" si="52"/>
        <v>9.5823811486981676E-3</v>
      </c>
      <c r="AE22" s="62" t="s">
        <v>15</v>
      </c>
      <c r="AF22" s="63">
        <f>Y47</f>
        <v>5</v>
      </c>
      <c r="AG22" s="64"/>
      <c r="AH22" s="29"/>
      <c r="AJ22" s="17" t="s">
        <v>134</v>
      </c>
      <c r="AK22" s="28"/>
      <c r="AL22" s="28"/>
      <c r="AM22" s="29"/>
      <c r="AN22" s="5">
        <f t="shared" si="53"/>
        <v>9216</v>
      </c>
      <c r="AO22" s="157">
        <v>20</v>
      </c>
      <c r="AP22" s="157">
        <v>7.4483427705766901E-4</v>
      </c>
      <c r="AQ22" s="157">
        <v>6.978697406499287E-4</v>
      </c>
      <c r="AR22" s="172">
        <v>0.27100000000000002</v>
      </c>
      <c r="AS22" s="185">
        <f t="shared" si="54"/>
        <v>1.3810633765607499E-7</v>
      </c>
      <c r="AT22" s="157" t="s">
        <v>201</v>
      </c>
    </row>
    <row r="23" spans="2:47" ht="13.9" customHeight="1" x14ac:dyDescent="0.3">
      <c r="C23" s="120">
        <f t="shared" si="34"/>
        <v>1.3555555555555556</v>
      </c>
      <c r="D23" s="73">
        <v>64</v>
      </c>
      <c r="E23" s="119"/>
      <c r="F23" s="73">
        <v>13.55</v>
      </c>
      <c r="G23" s="73">
        <v>4.38</v>
      </c>
      <c r="H23" s="73">
        <v>2000</v>
      </c>
      <c r="I23" s="119"/>
      <c r="J23" s="119"/>
      <c r="K23" s="2">
        <f t="shared" si="42"/>
        <v>59.349000000000004</v>
      </c>
      <c r="L23" s="1">
        <f t="shared" si="43"/>
        <v>64</v>
      </c>
      <c r="M23" s="1">
        <f t="shared" si="44"/>
        <v>4.1588830833596715</v>
      </c>
      <c r="N23" s="3">
        <f t="shared" si="45"/>
        <v>500.00000000000006</v>
      </c>
      <c r="O23" s="3"/>
      <c r="P23" s="3">
        <f t="shared" si="46"/>
        <v>30000.000000000004</v>
      </c>
      <c r="Q23" s="3"/>
      <c r="R23" s="3">
        <f t="shared" si="47"/>
        <v>65.104166666666671</v>
      </c>
      <c r="S23">
        <v>50</v>
      </c>
      <c r="T23" s="3">
        <f t="shared" si="48"/>
        <v>64</v>
      </c>
      <c r="U23" s="4">
        <f t="shared" si="49"/>
        <v>59.349000000000004</v>
      </c>
      <c r="V23" s="4"/>
      <c r="W23">
        <f t="shared" si="50"/>
        <v>7.9588314678000011E-2</v>
      </c>
      <c r="X23" s="150">
        <f t="shared" si="51"/>
        <v>1.39332609562952E-2</v>
      </c>
      <c r="Y23" s="150">
        <f t="shared" si="52"/>
        <v>1.0958170055943128E-2</v>
      </c>
      <c r="AE23" s="65" t="s">
        <v>14</v>
      </c>
      <c r="AF23" s="66">
        <f>Y46</f>
        <v>0</v>
      </c>
      <c r="AG23" s="45"/>
      <c r="AH23" s="31"/>
      <c r="AJ23" s="19" t="s">
        <v>128</v>
      </c>
      <c r="AK23" s="30">
        <v>25</v>
      </c>
      <c r="AL23" s="30" t="s">
        <v>93</v>
      </c>
      <c r="AM23" s="31"/>
      <c r="AN23" s="5">
        <f t="shared" si="53"/>
        <v>11520</v>
      </c>
      <c r="AO23" s="157">
        <v>25</v>
      </c>
      <c r="AP23" s="157">
        <v>1.8196732395486779E-3</v>
      </c>
      <c r="AQ23" s="157">
        <v>8.2156541787077825E-4</v>
      </c>
      <c r="AR23" s="172">
        <v>0.185</v>
      </c>
      <c r="AS23" s="185">
        <f t="shared" si="54"/>
        <v>2.0230712164754772E-7</v>
      </c>
      <c r="AT23" s="157" t="s">
        <v>201</v>
      </c>
    </row>
    <row r="24" spans="2:47" ht="13.9" customHeight="1" x14ac:dyDescent="0.3">
      <c r="C24" s="120">
        <f t="shared" si="34"/>
        <v>1.4944444444444445</v>
      </c>
      <c r="D24" s="73">
        <v>89</v>
      </c>
      <c r="E24" s="119"/>
      <c r="F24" s="73">
        <v>13.42</v>
      </c>
      <c r="G24" s="73">
        <v>6.3</v>
      </c>
      <c r="H24" s="73">
        <v>1760</v>
      </c>
      <c r="I24" s="119"/>
      <c r="J24" s="119"/>
      <c r="K24" s="2">
        <f t="shared" si="42"/>
        <v>84.545999999999992</v>
      </c>
      <c r="L24" s="1">
        <f t="shared" si="43"/>
        <v>89</v>
      </c>
      <c r="M24" s="1">
        <f t="shared" si="44"/>
        <v>4.4886363697321396</v>
      </c>
      <c r="N24" s="3">
        <f t="shared" si="45"/>
        <v>568.18181818181813</v>
      </c>
      <c r="O24" s="3"/>
      <c r="P24" s="3">
        <f t="shared" si="46"/>
        <v>34090.909090909088</v>
      </c>
      <c r="Q24" s="3"/>
      <c r="R24" s="3">
        <f t="shared" si="47"/>
        <v>73.982007575757564</v>
      </c>
      <c r="S24">
        <v>52</v>
      </c>
      <c r="T24" s="3">
        <f t="shared" si="48"/>
        <v>89</v>
      </c>
      <c r="U24" s="4">
        <f t="shared" si="49"/>
        <v>84.545999999999992</v>
      </c>
      <c r="V24" s="4"/>
      <c r="W24">
        <f t="shared" si="50"/>
        <v>0.11337804601199999</v>
      </c>
      <c r="X24" s="150">
        <f t="shared" si="51"/>
        <v>1.7466870597880702E-2</v>
      </c>
      <c r="Y24" s="150">
        <f t="shared" si="52"/>
        <v>1.449177969752863E-2</v>
      </c>
      <c r="AC24" s="147"/>
      <c r="AE24" s="65" t="s">
        <v>17</v>
      </c>
      <c r="AF24" s="66">
        <f>AB31</f>
        <v>5</v>
      </c>
      <c r="AG24" s="30"/>
      <c r="AH24" s="31"/>
      <c r="AJ24" s="19" t="s">
        <v>144</v>
      </c>
      <c r="AK24" s="30">
        <v>2.1797</v>
      </c>
      <c r="AL24" s="30" t="s">
        <v>94</v>
      </c>
      <c r="AM24" s="31"/>
      <c r="AN24" s="5">
        <f t="shared" si="53"/>
        <v>16588.8</v>
      </c>
      <c r="AO24" s="157">
        <v>36</v>
      </c>
      <c r="AP24" s="157">
        <v>7.5397784789642732E-3</v>
      </c>
      <c r="AQ24" s="157">
        <v>2.7131440751281396E-3</v>
      </c>
      <c r="AR24" s="172">
        <v>0.121</v>
      </c>
      <c r="AS24" s="185">
        <f t="shared" si="54"/>
        <v>3.0931254136195313E-7</v>
      </c>
      <c r="AT24" s="157" t="s">
        <v>201</v>
      </c>
    </row>
    <row r="25" spans="2:47" ht="13.9" customHeight="1" x14ac:dyDescent="0.3">
      <c r="C25" s="120">
        <f t="shared" si="34"/>
        <v>1.7944444444444443</v>
      </c>
      <c r="D25" s="73">
        <v>143</v>
      </c>
      <c r="E25" s="119"/>
      <c r="F25" s="73">
        <v>13.1</v>
      </c>
      <c r="G25" s="73">
        <v>11.7</v>
      </c>
      <c r="H25" s="73">
        <v>1430</v>
      </c>
      <c r="I25" s="119"/>
      <c r="J25" s="119"/>
      <c r="K25" s="2">
        <f t="shared" si="42"/>
        <v>153.26999999999998</v>
      </c>
      <c r="L25" s="1">
        <f t="shared" si="43"/>
        <v>143</v>
      </c>
      <c r="M25" s="1">
        <f t="shared" si="44"/>
        <v>4.962844630259907</v>
      </c>
      <c r="N25" s="3">
        <f t="shared" si="45"/>
        <v>699.30069930069931</v>
      </c>
      <c r="O25" s="3"/>
      <c r="P25" s="3">
        <f t="shared" si="46"/>
        <v>41958.041958041955</v>
      </c>
      <c r="Q25" s="3"/>
      <c r="R25" s="3">
        <f t="shared" si="47"/>
        <v>91.054778554778551</v>
      </c>
      <c r="S25">
        <v>55</v>
      </c>
      <c r="T25" s="3">
        <f t="shared" si="48"/>
        <v>143</v>
      </c>
      <c r="U25" s="4">
        <f t="shared" si="49"/>
        <v>153.26999999999998</v>
      </c>
      <c r="V25" s="4"/>
      <c r="W25">
        <f t="shared" si="50"/>
        <v>0.20553844193999998</v>
      </c>
      <c r="X25" s="150">
        <f t="shared" si="51"/>
        <v>2.5727794880141638E-2</v>
      </c>
      <c r="Y25" s="150">
        <f t="shared" si="52"/>
        <v>2.2752703979789565E-2</v>
      </c>
      <c r="AD25" s="97"/>
      <c r="AE25" s="65" t="s">
        <v>16</v>
      </c>
      <c r="AF25" s="66">
        <f>AB30</f>
        <v>0</v>
      </c>
      <c r="AG25" s="30"/>
      <c r="AH25" s="31"/>
      <c r="AJ25" s="19" t="s">
        <v>129</v>
      </c>
      <c r="AK25" s="30">
        <f>($AK$23/25.4)^2*$AK$24/1000*2.2/3</f>
        <v>1.5484983053299442E-3</v>
      </c>
      <c r="AL25" s="30" t="s">
        <v>96</v>
      </c>
      <c r="AM25" s="177" t="s">
        <v>146</v>
      </c>
      <c r="AN25" s="5">
        <f t="shared" si="53"/>
        <v>20736</v>
      </c>
      <c r="AO25" s="157">
        <v>45</v>
      </c>
      <c r="AP25" s="157">
        <v>1.7146093021340732E-2</v>
      </c>
      <c r="AQ25" s="157">
        <v>7.1180011608729891E-3</v>
      </c>
      <c r="AR25" s="172">
        <v>9.6000000000000002E-2</v>
      </c>
      <c r="AS25" s="185">
        <f t="shared" si="54"/>
        <v>3.8986268234162836E-7</v>
      </c>
      <c r="AT25" s="157" t="s">
        <v>201</v>
      </c>
    </row>
    <row r="26" spans="2:47" ht="13.9" customHeight="1" x14ac:dyDescent="0.3">
      <c r="C26" s="120">
        <f t="shared" si="34"/>
        <v>1.9166666666666665</v>
      </c>
      <c r="D26" s="73">
        <v>165</v>
      </c>
      <c r="E26" s="119"/>
      <c r="F26" s="73">
        <v>12.72</v>
      </c>
      <c r="G26" s="73">
        <v>16.86</v>
      </c>
      <c r="H26" s="73">
        <v>1280</v>
      </c>
      <c r="I26" s="119"/>
      <c r="J26" s="119"/>
      <c r="K26" s="2">
        <f t="shared" si="42"/>
        <v>214.45920000000001</v>
      </c>
      <c r="L26" s="1">
        <f t="shared" si="43"/>
        <v>165</v>
      </c>
      <c r="M26" s="1">
        <f t="shared" si="44"/>
        <v>5.1059454739005803</v>
      </c>
      <c r="N26" s="3">
        <f t="shared" si="45"/>
        <v>781.25000000000011</v>
      </c>
      <c r="O26" s="3"/>
      <c r="P26" s="3">
        <f t="shared" si="46"/>
        <v>46875.000000000007</v>
      </c>
      <c r="Q26" s="3"/>
      <c r="R26" s="3">
        <f t="shared" si="47"/>
        <v>101.72526041666667</v>
      </c>
      <c r="S26">
        <v>62</v>
      </c>
      <c r="T26" s="3">
        <f t="shared" si="48"/>
        <v>165</v>
      </c>
      <c r="U26" s="4">
        <f t="shared" si="49"/>
        <v>214.45920000000001</v>
      </c>
      <c r="V26" s="4"/>
      <c r="W26">
        <f t="shared" si="50"/>
        <v>0.28759450530240005</v>
      </c>
      <c r="X26" s="150">
        <f t="shared" si="51"/>
        <v>3.2222855292761705E-2</v>
      </c>
      <c r="Y26" s="150">
        <f t="shared" si="52"/>
        <v>2.9247764392409632E-2</v>
      </c>
      <c r="AE26" s="65" t="s">
        <v>27</v>
      </c>
      <c r="AF26" s="66">
        <f>Y40/100</f>
        <v>460.8</v>
      </c>
      <c r="AG26" s="30"/>
      <c r="AH26" s="31"/>
      <c r="AJ26" s="19" t="s">
        <v>141</v>
      </c>
      <c r="AK26" s="178">
        <f>3/8/2*25.4</f>
        <v>4.7624999999999993</v>
      </c>
      <c r="AL26" s="30" t="s">
        <v>93</v>
      </c>
      <c r="AM26" s="31" t="s">
        <v>142</v>
      </c>
      <c r="AN26" s="5">
        <f t="shared" si="53"/>
        <v>23040</v>
      </c>
      <c r="AO26" s="157">
        <v>50</v>
      </c>
      <c r="AP26" s="157">
        <v>2.4979887676232684E-2</v>
      </c>
      <c r="AQ26" s="157">
        <v>1.1143313366134135E-2</v>
      </c>
      <c r="AR26" s="172">
        <v>7.0999999999999994E-2</v>
      </c>
      <c r="AS26" s="185">
        <f t="shared" si="54"/>
        <v>5.2713827471544122E-7</v>
      </c>
      <c r="AT26" s="157" t="s">
        <v>201</v>
      </c>
    </row>
    <row r="27" spans="2:47" ht="13.9" customHeight="1" x14ac:dyDescent="0.3">
      <c r="C27" s="5"/>
      <c r="D27" s="6"/>
      <c r="E27" s="6"/>
      <c r="F27" s="6"/>
      <c r="G27" s="6"/>
      <c r="H27" s="6"/>
      <c r="I27" s="6"/>
      <c r="J27" s="6"/>
      <c r="K27" s="2"/>
      <c r="N27" s="3"/>
      <c r="O27" s="3"/>
      <c r="P27" s="3"/>
      <c r="Q27" s="3"/>
      <c r="R27" s="3"/>
      <c r="S27" s="3"/>
      <c r="T27" s="3"/>
      <c r="U27" s="4"/>
      <c r="V27" s="4"/>
      <c r="AE27" s="65" t="s">
        <v>18</v>
      </c>
      <c r="AF27" s="66">
        <f>AA47</f>
        <v>180</v>
      </c>
      <c r="AG27" s="30"/>
      <c r="AH27" s="31"/>
      <c r="AJ27" s="19" t="s">
        <v>143</v>
      </c>
      <c r="AK27" s="178">
        <f>3/4*25.4</f>
        <v>19.049999999999997</v>
      </c>
      <c r="AL27" s="30" t="s">
        <v>93</v>
      </c>
      <c r="AM27" s="31" t="s">
        <v>142</v>
      </c>
      <c r="AN27" s="5">
        <f t="shared" si="53"/>
        <v>23961.600000000002</v>
      </c>
      <c r="AO27" s="157">
        <v>52</v>
      </c>
      <c r="AP27" s="157">
        <v>2.8687189497277076E-2</v>
      </c>
      <c r="AQ27" s="157">
        <v>1.3128852647530663E-2</v>
      </c>
      <c r="AR27" s="172">
        <v>6.4000000000000001E-2</v>
      </c>
      <c r="AS27" s="185">
        <f t="shared" si="54"/>
        <v>5.8479402351244256E-7</v>
      </c>
      <c r="AT27" s="157" t="s">
        <v>201</v>
      </c>
    </row>
    <row r="28" spans="2:47" ht="13.9" customHeight="1" thickBot="1" x14ac:dyDescent="0.35">
      <c r="C28" s="5"/>
      <c r="D28" s="6"/>
      <c r="E28" s="6"/>
      <c r="F28" s="6"/>
      <c r="G28" s="6"/>
      <c r="H28" s="6"/>
      <c r="I28" s="6"/>
      <c r="J28" s="6"/>
      <c r="K28" s="2"/>
      <c r="N28" s="3"/>
      <c r="O28" s="3"/>
      <c r="P28" s="3"/>
      <c r="Q28" s="3"/>
      <c r="R28" s="3"/>
      <c r="S28" s="3"/>
      <c r="T28" s="3"/>
      <c r="U28" s="3"/>
      <c r="V28" s="3"/>
      <c r="X28" t="s">
        <v>32</v>
      </c>
      <c r="AA28" t="s">
        <v>33</v>
      </c>
      <c r="AD28" s="30"/>
      <c r="AE28" s="65" t="s">
        <v>13</v>
      </c>
      <c r="AF28" s="66">
        <f>AA46</f>
        <v>0</v>
      </c>
      <c r="AG28" s="30"/>
      <c r="AH28" s="31"/>
      <c r="AJ28" s="19" t="s">
        <v>145</v>
      </c>
      <c r="AK28" s="30">
        <f>PI()*(AK26/25.4)^2/4*3/4*0.3</f>
        <v>6.2126221909368446E-3</v>
      </c>
      <c r="AL28" s="30" t="s">
        <v>148</v>
      </c>
      <c r="AM28" s="31" t="s">
        <v>142</v>
      </c>
      <c r="AN28" s="5">
        <f t="shared" si="53"/>
        <v>25344</v>
      </c>
      <c r="AO28" s="157">
        <v>55</v>
      </c>
      <c r="AP28" s="157">
        <v>3.4912727705496999E-2</v>
      </c>
      <c r="AQ28" s="157">
        <v>1.6549422883591874E-2</v>
      </c>
      <c r="AR28" s="172">
        <v>5.6000000000000001E-2</v>
      </c>
      <c r="AS28" s="185">
        <f t="shared" si="54"/>
        <v>6.6833602687136296E-7</v>
      </c>
      <c r="AT28" s="157" t="s">
        <v>201</v>
      </c>
    </row>
    <row r="29" spans="2:47" ht="13.9" customHeight="1" x14ac:dyDescent="0.3">
      <c r="B29" s="3" t="s">
        <v>28</v>
      </c>
      <c r="C29" s="11" t="s">
        <v>29</v>
      </c>
      <c r="D29" s="12"/>
      <c r="E29" s="12"/>
      <c r="F29" s="6"/>
      <c r="G29" s="6"/>
      <c r="H29" s="6"/>
      <c r="I29" s="6"/>
      <c r="J29" s="6"/>
      <c r="K29" s="2"/>
      <c r="N29" s="3"/>
      <c r="O29" s="3"/>
      <c r="P29" s="3"/>
      <c r="Q29" s="3"/>
      <c r="R29" s="3"/>
      <c r="S29" s="3"/>
      <c r="T29" s="3"/>
      <c r="U29" s="3"/>
      <c r="V29" s="3"/>
      <c r="X29" s="17" t="s">
        <v>3</v>
      </c>
      <c r="Y29" s="18">
        <v>1</v>
      </c>
      <c r="AA29" s="17"/>
      <c r="AB29" s="23" t="s">
        <v>22</v>
      </c>
      <c r="AC29" s="7"/>
      <c r="AD29" s="30"/>
      <c r="AE29" s="65" t="s">
        <v>121</v>
      </c>
      <c r="AF29" s="66">
        <f>Y55</f>
        <v>0</v>
      </c>
      <c r="AG29" s="67">
        <f>Y54</f>
        <v>14542.877489600363</v>
      </c>
      <c r="AH29" s="68">
        <f>Y53</f>
        <v>-351.26655108462336</v>
      </c>
      <c r="AJ29" s="19" t="s">
        <v>135</v>
      </c>
      <c r="AK29" s="30">
        <f>($AK$26/25.4)^2*$AK$28/2</f>
        <v>1.0920624945006168E-4</v>
      </c>
      <c r="AL29" s="30" t="s">
        <v>96</v>
      </c>
      <c r="AM29" s="31" t="s">
        <v>147</v>
      </c>
      <c r="AN29" s="5">
        <f t="shared" si="53"/>
        <v>28569.600000000002</v>
      </c>
      <c r="AO29" s="157">
        <v>62</v>
      </c>
      <c r="AP29" s="157">
        <v>5.2819357330458824E-2</v>
      </c>
      <c r="AQ29" s="157">
        <v>2.6818816528704516E-2</v>
      </c>
      <c r="AR29" s="134">
        <v>3.5000000000000003E-2</v>
      </c>
      <c r="AS29" s="185">
        <f t="shared" si="54"/>
        <v>1.0693376429941806E-6</v>
      </c>
      <c r="AT29" s="136">
        <f>-AS29/$AF$40</f>
        <v>-1.4495941088429112E-6</v>
      </c>
      <c r="AU29" s="146"/>
    </row>
    <row r="30" spans="2:47" ht="14.45" x14ac:dyDescent="0.3">
      <c r="B30" s="3"/>
      <c r="C30" s="13" t="s">
        <v>30</v>
      </c>
      <c r="D30" s="14"/>
      <c r="E30" s="14"/>
      <c r="F30" s="6"/>
      <c r="G30" s="6"/>
      <c r="H30" s="6"/>
      <c r="I30" s="6"/>
      <c r="J30" s="6"/>
      <c r="K30" s="2"/>
      <c r="N30" s="3"/>
      <c r="O30" s="3"/>
      <c r="P30" s="3"/>
      <c r="Q30" s="3"/>
      <c r="R30" s="3"/>
      <c r="S30" s="3"/>
      <c r="T30" s="3"/>
      <c r="U30" s="3"/>
      <c r="V30" s="3"/>
      <c r="X30" s="19" t="s">
        <v>4</v>
      </c>
      <c r="Y30" s="20">
        <v>4800</v>
      </c>
      <c r="Z30" t="s">
        <v>77</v>
      </c>
      <c r="AA30" s="24" t="s">
        <v>16</v>
      </c>
      <c r="AB30" s="25">
        <v>0</v>
      </c>
      <c r="AD30" s="30"/>
      <c r="AE30" s="65" t="s">
        <v>21</v>
      </c>
      <c r="AF30" s="66">
        <f>Y57</f>
        <v>-28327.005397586898</v>
      </c>
      <c r="AG30" s="67">
        <f>Y56</f>
        <v>14190.01046667831</v>
      </c>
      <c r="AH30" s="31"/>
      <c r="AJ30" s="19" t="s">
        <v>95</v>
      </c>
      <c r="AK30" s="30">
        <f>AK25+AK29</f>
        <v>1.6577045547800059E-3</v>
      </c>
      <c r="AL30" s="30" t="s">
        <v>96</v>
      </c>
      <c r="AM30" s="31"/>
    </row>
    <row r="31" spans="2:47" ht="13.9" customHeight="1" thickBot="1" x14ac:dyDescent="0.35">
      <c r="B31" s="3"/>
      <c r="C31" s="15" t="s">
        <v>31</v>
      </c>
      <c r="D31" s="16"/>
      <c r="E31" s="16"/>
      <c r="F31" s="6"/>
      <c r="G31" s="6"/>
      <c r="H31" s="6"/>
      <c r="I31" s="6"/>
      <c r="J31" s="6"/>
      <c r="K31" s="2"/>
      <c r="N31" s="3"/>
      <c r="O31" s="3"/>
      <c r="P31" s="3"/>
      <c r="Q31" s="2"/>
      <c r="R31" s="3"/>
      <c r="S31" s="3"/>
      <c r="T31" s="3"/>
      <c r="U31" s="3"/>
      <c r="V31" s="3"/>
      <c r="X31" s="19" t="s">
        <v>5</v>
      </c>
      <c r="Y31" s="20">
        <v>12</v>
      </c>
      <c r="AA31" s="26" t="s">
        <v>17</v>
      </c>
      <c r="AB31" s="27">
        <v>5</v>
      </c>
      <c r="AD31" s="30"/>
      <c r="AE31" s="65" t="s">
        <v>122</v>
      </c>
      <c r="AF31" s="66">
        <f>AB56</f>
        <v>-8712.4928340558181</v>
      </c>
      <c r="AG31" s="69">
        <f>AB55</f>
        <v>0.98261459063146772</v>
      </c>
      <c r="AH31" s="31"/>
      <c r="AJ31" s="19" t="s">
        <v>95</v>
      </c>
      <c r="AK31" s="30">
        <f>AK30/144</f>
        <v>1.1511837185972264E-5</v>
      </c>
      <c r="AL31" s="30" t="s">
        <v>97</v>
      </c>
      <c r="AM31" s="31"/>
    </row>
    <row r="32" spans="2:47" ht="13.9" customHeight="1" thickBot="1" x14ac:dyDescent="0.35">
      <c r="C32" s="5"/>
      <c r="D32" s="6"/>
      <c r="E32" s="6"/>
      <c r="F32" s="6"/>
      <c r="G32" s="6"/>
      <c r="H32" s="6"/>
      <c r="I32" s="6"/>
      <c r="J32" s="6"/>
      <c r="K32" s="2"/>
      <c r="N32" s="3"/>
      <c r="O32" s="3"/>
      <c r="P32" s="3"/>
      <c r="Q32" s="3"/>
      <c r="R32" s="3"/>
      <c r="S32" s="3"/>
      <c r="T32" s="3"/>
      <c r="U32" s="3"/>
      <c r="V32" s="3"/>
      <c r="X32" s="57" t="s">
        <v>69</v>
      </c>
      <c r="Y32" s="20">
        <v>3.9899999999999998E-2</v>
      </c>
      <c r="Z32" t="s">
        <v>76</v>
      </c>
      <c r="AD32" s="30"/>
      <c r="AE32" s="65" t="s">
        <v>123</v>
      </c>
      <c r="AF32" s="66">
        <f>AB54</f>
        <v>8893.4325759458807</v>
      </c>
      <c r="AG32" s="69">
        <f>AB53</f>
        <v>1.0165476207184487</v>
      </c>
      <c r="AH32" s="31"/>
      <c r="AJ32" s="21" t="s">
        <v>95</v>
      </c>
      <c r="AK32" s="32">
        <f>AK31/2048.5*6.66</f>
        <v>3.7426817504796325E-8</v>
      </c>
      <c r="AL32" s="32" t="s">
        <v>98</v>
      </c>
      <c r="AM32" s="33"/>
    </row>
    <row r="33" spans="3:51" ht="15" customHeight="1" x14ac:dyDescent="0.45">
      <c r="C33" s="5"/>
      <c r="D33" s="6"/>
      <c r="E33" s="6"/>
      <c r="F33" s="6"/>
      <c r="G33" s="6"/>
      <c r="H33" s="6"/>
      <c r="I33" s="6"/>
      <c r="J33" s="6"/>
      <c r="K33" s="2"/>
      <c r="N33" s="3"/>
      <c r="O33" s="3"/>
      <c r="P33" s="3"/>
      <c r="Q33" s="3"/>
      <c r="R33" s="3"/>
      <c r="S33" s="3"/>
      <c r="T33" s="3"/>
      <c r="U33" s="3"/>
      <c r="V33" s="3"/>
      <c r="X33" s="57" t="s">
        <v>70</v>
      </c>
      <c r="Y33" s="129">
        <v>4.1999999999999996E-6</v>
      </c>
      <c r="Z33" t="s">
        <v>75</v>
      </c>
      <c r="AD33" s="94" t="s">
        <v>54</v>
      </c>
      <c r="AE33" s="65" t="s">
        <v>92</v>
      </c>
      <c r="AF33" s="124">
        <f>Y63</f>
        <v>6.9658921582847581E-4</v>
      </c>
      <c r="AG33" s="124">
        <f>Y62</f>
        <v>-1.9381907115184841E-7</v>
      </c>
      <c r="AH33" s="139">
        <f>Y61</f>
        <v>1.782679103068748E-11</v>
      </c>
    </row>
    <row r="34" spans="3:51" ht="14.45" x14ac:dyDescent="0.3">
      <c r="C34" s="5"/>
      <c r="D34" s="6"/>
      <c r="E34" s="6"/>
      <c r="F34" s="6"/>
      <c r="G34" s="6"/>
      <c r="H34" s="6"/>
      <c r="I34" s="6"/>
      <c r="J34" s="6"/>
      <c r="K34" s="2"/>
      <c r="N34" s="3"/>
      <c r="O34" s="3"/>
      <c r="P34" s="3"/>
      <c r="Q34" s="3"/>
      <c r="R34" s="3"/>
      <c r="S34" s="3"/>
      <c r="T34" s="3"/>
      <c r="U34" s="3"/>
      <c r="V34" s="3"/>
      <c r="X34" s="57" t="s">
        <v>71</v>
      </c>
      <c r="Y34" s="130">
        <f>Y30*2*PI()/60</f>
        <v>502.6548245743669</v>
      </c>
      <c r="Z34" t="s">
        <v>73</v>
      </c>
      <c r="AE34" s="65" t="s">
        <v>130</v>
      </c>
      <c r="AF34" s="124">
        <f>AB63</f>
        <v>2.0111653701195102E-3</v>
      </c>
      <c r="AG34" s="124">
        <f>AB62</f>
        <v>-3.0709262345742761E-7</v>
      </c>
      <c r="AH34" s="139">
        <f>AB61</f>
        <v>1.4325144135226059E-11</v>
      </c>
      <c r="AI34" s="5"/>
      <c r="AJ34" s="5"/>
      <c r="AK34" s="5"/>
    </row>
    <row r="35" spans="3:51" ht="14.45" x14ac:dyDescent="0.3">
      <c r="C35" s="5"/>
      <c r="D35" s="6"/>
      <c r="E35" s="6"/>
      <c r="F35" s="6"/>
      <c r="G35" s="6"/>
      <c r="H35" s="6"/>
      <c r="I35" s="6"/>
      <c r="J35" s="6"/>
      <c r="K35" s="2"/>
      <c r="N35" s="3"/>
      <c r="O35" s="3"/>
      <c r="P35" s="3"/>
      <c r="Q35" s="3"/>
      <c r="R35" s="3"/>
      <c r="S35" s="3"/>
      <c r="T35" s="3"/>
      <c r="U35" s="3"/>
      <c r="V35" s="3"/>
      <c r="X35" s="57" t="s">
        <v>72</v>
      </c>
      <c r="Y35" s="132">
        <f>7/Y34</f>
        <v>1.3926057520540842E-2</v>
      </c>
      <c r="Z35" t="s">
        <v>74</v>
      </c>
      <c r="AE35" s="65" t="s">
        <v>179</v>
      </c>
      <c r="AF35" s="69">
        <f>Z15</f>
        <v>4.4249528005034611</v>
      </c>
      <c r="AG35" s="30"/>
      <c r="AH35" s="31"/>
      <c r="AI35" s="5"/>
      <c r="AJ35" s="5"/>
      <c r="AK35" s="151"/>
    </row>
    <row r="36" spans="3:51" thickBot="1" x14ac:dyDescent="0.35">
      <c r="D36" s="6"/>
      <c r="E36" s="6"/>
      <c r="F36" s="6"/>
      <c r="G36" s="6"/>
      <c r="H36" s="6"/>
      <c r="I36" s="6"/>
      <c r="J36" s="6"/>
      <c r="K36" s="2"/>
      <c r="N36" s="3"/>
      <c r="O36" s="3"/>
      <c r="P36" s="3"/>
      <c r="Q36" s="3"/>
      <c r="R36" s="3"/>
      <c r="S36" s="3"/>
      <c r="T36" s="3"/>
      <c r="U36" s="3"/>
      <c r="V36" s="3"/>
      <c r="X36" s="131" t="s">
        <v>79</v>
      </c>
      <c r="Y36" s="145">
        <f>AK32</f>
        <v>3.7426817504796325E-8</v>
      </c>
      <c r="Z36" t="s">
        <v>80</v>
      </c>
      <c r="AB36" t="s">
        <v>112</v>
      </c>
      <c r="AE36" s="65" t="s">
        <v>178</v>
      </c>
      <c r="AF36" s="160">
        <f>$Y$43</f>
        <v>2.1213604393365078E-3</v>
      </c>
      <c r="AG36" s="30"/>
      <c r="AH36" s="31"/>
      <c r="AI36" s="5"/>
      <c r="AJ36" s="5"/>
      <c r="AK36" s="151"/>
    </row>
    <row r="37" spans="3:51" thickBot="1" x14ac:dyDescent="0.35">
      <c r="X37" t="s">
        <v>35</v>
      </c>
      <c r="AE37" s="65" t="s">
        <v>177</v>
      </c>
      <c r="AF37" s="160">
        <f>$Y$42</f>
        <v>1.2250000000000001</v>
      </c>
      <c r="AG37" s="30"/>
      <c r="AH37" s="31"/>
      <c r="AI37" s="5"/>
      <c r="AJ37" s="5"/>
      <c r="AK37" s="151"/>
      <c r="AV37" t="s">
        <v>188</v>
      </c>
      <c r="AY37" t="s">
        <v>193</v>
      </c>
    </row>
    <row r="38" spans="3:51" thickBot="1" x14ac:dyDescent="0.35">
      <c r="X38" s="34">
        <v>240</v>
      </c>
      <c r="Y38" s="35" t="s">
        <v>34</v>
      </c>
      <c r="Z38" s="36"/>
      <c r="AA38" s="35"/>
      <c r="AB38" s="37"/>
      <c r="AC38" s="30"/>
      <c r="AE38" s="65" t="s">
        <v>180</v>
      </c>
      <c r="AF38" s="162">
        <f>$AG$13</f>
        <v>-1.4465197554381539</v>
      </c>
      <c r="AG38" s="30"/>
      <c r="AH38" s="31"/>
      <c r="AI38" s="5"/>
      <c r="AJ38" s="5"/>
      <c r="AK38" s="151"/>
      <c r="AV38" t="s">
        <v>186</v>
      </c>
      <c r="AW38" s="151"/>
      <c r="AX38" s="164" t="s">
        <v>189</v>
      </c>
      <c r="AY38" t="s">
        <v>190</v>
      </c>
    </row>
    <row r="39" spans="3:51" thickBot="1" x14ac:dyDescent="0.35">
      <c r="D39" s="6"/>
      <c r="E39" s="6"/>
      <c r="F39" s="6"/>
      <c r="G39" s="6"/>
      <c r="H39" s="6"/>
      <c r="I39" s="6"/>
      <c r="J39" s="6"/>
      <c r="K39" s="9"/>
      <c r="L39" s="6"/>
      <c r="M39" s="6"/>
      <c r="N39" s="10"/>
      <c r="O39" s="10"/>
      <c r="P39" s="10"/>
      <c r="Q39" s="10"/>
      <c r="R39" s="10"/>
      <c r="S39" s="10"/>
      <c r="T39" s="10"/>
      <c r="U39" s="10"/>
      <c r="V39" s="10"/>
      <c r="X39" t="s">
        <v>36</v>
      </c>
      <c r="AE39" s="65" t="s">
        <v>182</v>
      </c>
      <c r="AF39" s="92">
        <f>AF13</f>
        <v>2.6406493436282674</v>
      </c>
      <c r="AG39" s="30"/>
      <c r="AH39" s="31"/>
      <c r="AI39" s="5"/>
      <c r="AJ39" s="5"/>
      <c r="AK39" s="151"/>
      <c r="AV39" t="s">
        <v>187</v>
      </c>
      <c r="AY39" t="s">
        <v>191</v>
      </c>
    </row>
    <row r="40" spans="3:51" ht="14.45" x14ac:dyDescent="0.3">
      <c r="D40" s="6"/>
      <c r="E40" s="6"/>
      <c r="F40" s="6"/>
      <c r="G40" s="6"/>
      <c r="H40" s="6"/>
      <c r="I40" s="6"/>
      <c r="J40" s="6"/>
      <c r="K40" s="9"/>
      <c r="L40" s="6"/>
      <c r="M40" s="6"/>
      <c r="N40" s="10"/>
      <c r="O40" s="10"/>
      <c r="P40" s="10"/>
      <c r="Q40" s="10"/>
      <c r="R40" s="10"/>
      <c r="S40" s="10"/>
      <c r="T40" s="10"/>
      <c r="U40" s="10"/>
      <c r="V40" s="10"/>
      <c r="X40" s="17" t="s">
        <v>6</v>
      </c>
      <c r="Y40" s="50">
        <f>Y30*Y31/Z40</f>
        <v>46080</v>
      </c>
      <c r="Z40" s="154">
        <v>1.25</v>
      </c>
      <c r="AA40" s="28" t="s">
        <v>9</v>
      </c>
      <c r="AB40" s="155"/>
      <c r="AC40">
        <f>X38</f>
        <v>240</v>
      </c>
      <c r="AD40" t="s">
        <v>156</v>
      </c>
      <c r="AE40" s="65" t="s">
        <v>183</v>
      </c>
      <c r="AF40" s="162">
        <f>1/1.3556</f>
        <v>0.73768073177928595</v>
      </c>
      <c r="AG40" s="30"/>
      <c r="AH40" s="31"/>
      <c r="AI40" s="5"/>
      <c r="AJ40" s="5"/>
      <c r="AK40" s="151"/>
      <c r="AV40" t="s">
        <v>181</v>
      </c>
      <c r="AY40" t="s">
        <v>192</v>
      </c>
    </row>
    <row r="41" spans="3:51" thickBot="1" x14ac:dyDescent="0.35">
      <c r="D41" s="6"/>
      <c r="E41" s="6"/>
      <c r="F41" s="6"/>
      <c r="G41" s="6"/>
      <c r="H41" s="6"/>
      <c r="I41" s="6"/>
      <c r="J41" s="6"/>
      <c r="K41" s="9"/>
      <c r="L41" s="6"/>
      <c r="M41" s="6"/>
      <c r="N41" s="10"/>
      <c r="O41" s="10"/>
      <c r="P41" s="10"/>
      <c r="Q41" s="10"/>
      <c r="R41" s="10"/>
      <c r="S41" s="10"/>
      <c r="T41" s="10"/>
      <c r="U41" s="10"/>
      <c r="V41" s="10"/>
      <c r="X41" s="21" t="s">
        <v>154</v>
      </c>
      <c r="Y41" s="156">
        <f>450/454</f>
        <v>0.99118942731277537</v>
      </c>
      <c r="Z41" s="32" t="s">
        <v>155</v>
      </c>
      <c r="AA41" s="166">
        <f>Y41/0.224</f>
        <v>4.4249528005034611</v>
      </c>
      <c r="AB41" s="33" t="s">
        <v>158</v>
      </c>
      <c r="AE41" s="65" t="s">
        <v>184</v>
      </c>
      <c r="AF41" s="179">
        <f>$Y$36</f>
        <v>3.7426817504796325E-8</v>
      </c>
      <c r="AG41" s="30"/>
      <c r="AH41" s="31"/>
      <c r="AI41" s="5"/>
      <c r="AJ41" s="5"/>
      <c r="AK41" s="151"/>
      <c r="AV41" t="s">
        <v>194</v>
      </c>
      <c r="AW41" t="s">
        <v>197</v>
      </c>
    </row>
    <row r="42" spans="3:51" ht="14.45" x14ac:dyDescent="0.3">
      <c r="C42" t="s">
        <v>55</v>
      </c>
      <c r="D42" s="6"/>
      <c r="E42" s="6"/>
      <c r="F42" s="6"/>
      <c r="G42" s="6"/>
      <c r="H42" s="6"/>
      <c r="I42" s="6"/>
      <c r="J42" s="6"/>
      <c r="K42" s="9"/>
      <c r="L42" s="6"/>
      <c r="M42" s="6"/>
      <c r="N42" s="10"/>
      <c r="O42" s="10"/>
      <c r="P42" s="10"/>
      <c r="Q42" s="10"/>
      <c r="R42" s="10"/>
      <c r="S42" s="10"/>
      <c r="T42" s="10"/>
      <c r="U42" s="10"/>
      <c r="V42" s="10"/>
      <c r="X42" s="45" t="s">
        <v>160</v>
      </c>
      <c r="Y42" s="5">
        <v>1.2250000000000001</v>
      </c>
      <c r="Z42" t="s">
        <v>161</v>
      </c>
      <c r="AA42" t="s">
        <v>169</v>
      </c>
      <c r="AE42" s="65" t="s">
        <v>199</v>
      </c>
      <c r="AF42" s="160">
        <f>AB43/1000</f>
        <v>5.5E-2</v>
      </c>
      <c r="AG42" s="30"/>
      <c r="AH42" s="31"/>
      <c r="AI42" s="5"/>
      <c r="AJ42" s="5"/>
      <c r="AK42" s="151"/>
      <c r="AV42" t="s">
        <v>195</v>
      </c>
      <c r="AX42" s="164" t="s">
        <v>196</v>
      </c>
      <c r="AY42" t="s">
        <v>214</v>
      </c>
    </row>
    <row r="43" spans="3:51" ht="14.45" x14ac:dyDescent="0.3">
      <c r="C43" t="s">
        <v>51</v>
      </c>
      <c r="D43" s="6" t="s">
        <v>52</v>
      </c>
      <c r="E43" s="6" t="s">
        <v>53</v>
      </c>
      <c r="F43" s="6"/>
      <c r="G43" s="6"/>
      <c r="H43" s="6"/>
      <c r="I43" s="6"/>
      <c r="J43" s="6"/>
      <c r="K43" s="9"/>
      <c r="L43" s="6"/>
      <c r="M43" s="6"/>
      <c r="N43" s="10"/>
      <c r="O43" s="10"/>
      <c r="P43" s="10"/>
      <c r="Q43" s="10"/>
      <c r="R43" s="10"/>
      <c r="S43" s="10"/>
      <c r="T43" s="10"/>
      <c r="U43" s="10"/>
      <c r="V43" s="10"/>
      <c r="X43" s="45" t="s">
        <v>162</v>
      </c>
      <c r="Y43" s="157">
        <f>(55^2-18^2)*PI()/4/1000^2</f>
        <v>2.1213604393365078E-3</v>
      </c>
      <c r="Z43" t="s">
        <v>163</v>
      </c>
      <c r="AA43" t="s">
        <v>168</v>
      </c>
      <c r="AB43" s="157">
        <v>55</v>
      </c>
      <c r="AC43" t="s">
        <v>93</v>
      </c>
      <c r="AE43" s="161" t="s">
        <v>211</v>
      </c>
      <c r="AF43" s="160">
        <v>7</v>
      </c>
      <c r="AG43" s="30"/>
      <c r="AH43" s="31"/>
      <c r="AI43" s="5"/>
      <c r="AJ43" s="5"/>
      <c r="AK43" s="151"/>
      <c r="AV43" t="s">
        <v>198</v>
      </c>
    </row>
    <row r="44" spans="3:51" ht="15.75" thickBot="1" x14ac:dyDescent="0.3">
      <c r="C44" s="73">
        <v>87</v>
      </c>
      <c r="D44" s="6">
        <f>C44/180*(2.4-0.53)+0.53</f>
        <v>1.4338333333333333</v>
      </c>
      <c r="E44" s="88">
        <f>(D44-1)*180</f>
        <v>78.089999999999989</v>
      </c>
      <c r="F44" s="6"/>
      <c r="G44" s="6"/>
      <c r="H44" s="6"/>
      <c r="I44" s="6"/>
      <c r="J44" s="6"/>
      <c r="K44" s="9"/>
      <c r="L44" s="6"/>
      <c r="M44" s="6"/>
      <c r="N44" s="10"/>
      <c r="O44" s="10"/>
      <c r="P44" s="10"/>
      <c r="Q44" s="10"/>
      <c r="R44" s="10"/>
      <c r="S44" s="10"/>
      <c r="T44" s="10"/>
      <c r="U44" s="10">
        <f>(60*2.5/PI()/AB43*1000/41)^2</f>
        <v>448.32161728852856</v>
      </c>
      <c r="V44" s="10"/>
      <c r="AA44" t="s">
        <v>174</v>
      </c>
      <c r="AB44" s="157">
        <v>45</v>
      </c>
      <c r="AC44" t="s">
        <v>175</v>
      </c>
      <c r="AD44" t="s">
        <v>176</v>
      </c>
      <c r="AE44" s="70" t="s">
        <v>218</v>
      </c>
      <c r="AF44" s="183">
        <f>$Z$15</f>
        <v>4.4249528005034611</v>
      </c>
      <c r="AG44" s="32"/>
      <c r="AH44" s="33"/>
      <c r="AX44" s="164" t="s">
        <v>189</v>
      </c>
      <c r="AY44" t="s">
        <v>200</v>
      </c>
    </row>
    <row r="45" spans="3:51" ht="28.9" x14ac:dyDescent="0.3">
      <c r="C45" s="73">
        <v>90</v>
      </c>
      <c r="D45" s="6">
        <f t="shared" ref="D45:D50" si="55">C45/180*(2.4-0.53)+0.53</f>
        <v>1.4649999999999999</v>
      </c>
      <c r="E45" s="88">
        <f t="shared" ref="E45:E50" si="56">(D45-1)*180</f>
        <v>83.699999999999974</v>
      </c>
      <c r="F45" s="6"/>
      <c r="G45" s="6"/>
      <c r="H45" s="6"/>
      <c r="I45" s="6"/>
      <c r="J45" s="6"/>
      <c r="K45" s="9"/>
      <c r="L45" s="6"/>
      <c r="M45" s="6"/>
      <c r="N45" s="10"/>
      <c r="O45" s="10"/>
      <c r="P45" s="10"/>
      <c r="Q45" s="10"/>
      <c r="R45" s="10"/>
      <c r="S45" s="10"/>
      <c r="T45" s="10"/>
      <c r="U45" s="10"/>
      <c r="V45" s="10"/>
      <c r="X45" s="17"/>
      <c r="Y45" s="42" t="s">
        <v>19</v>
      </c>
      <c r="Z45" s="28"/>
      <c r="AA45" s="42" t="s">
        <v>20</v>
      </c>
      <c r="AB45" s="29" t="s">
        <v>109</v>
      </c>
      <c r="AV45" t="s">
        <v>217</v>
      </c>
    </row>
    <row r="46" spans="3:51" ht="14.45" x14ac:dyDescent="0.3">
      <c r="C46" s="73">
        <v>100</v>
      </c>
      <c r="D46" s="6">
        <f t="shared" si="55"/>
        <v>1.568888888888889</v>
      </c>
      <c r="E46" s="88">
        <f t="shared" si="56"/>
        <v>102.40000000000002</v>
      </c>
      <c r="F46" s="6"/>
      <c r="G46" s="6"/>
      <c r="H46" s="6"/>
      <c r="I46" s="6"/>
      <c r="J46" s="6"/>
      <c r="K46" s="9"/>
      <c r="L46" s="6"/>
      <c r="M46" s="6"/>
      <c r="N46" s="10"/>
      <c r="O46" s="10"/>
      <c r="P46" s="10"/>
      <c r="Q46" s="10"/>
      <c r="R46" s="10"/>
      <c r="S46" s="10"/>
      <c r="T46" s="10"/>
      <c r="U46" s="10"/>
      <c r="V46" s="10"/>
      <c r="X46" s="57" t="s">
        <v>14</v>
      </c>
      <c r="Y46" s="58">
        <v>0</v>
      </c>
      <c r="Z46" s="45" t="s">
        <v>13</v>
      </c>
      <c r="AA46" s="59">
        <v>0</v>
      </c>
      <c r="AB46" s="89">
        <f>AB56/Y40*100</f>
        <v>-18.907319518350299</v>
      </c>
      <c r="AC46" t="s">
        <v>106</v>
      </c>
      <c r="AV46" t="s">
        <v>215</v>
      </c>
    </row>
    <row r="47" spans="3:51" ht="14.45" x14ac:dyDescent="0.3">
      <c r="C47" s="73">
        <v>110</v>
      </c>
      <c r="D47" s="6">
        <f t="shared" si="55"/>
        <v>1.6727777777777779</v>
      </c>
      <c r="E47" s="88">
        <f t="shared" si="56"/>
        <v>121.10000000000002</v>
      </c>
      <c r="F47" s="6"/>
      <c r="G47" s="6"/>
      <c r="H47" s="6"/>
      <c r="I47" s="6"/>
      <c r="J47" s="6"/>
      <c r="K47" s="2"/>
      <c r="N47" s="3"/>
      <c r="O47" s="3"/>
      <c r="P47" s="3"/>
      <c r="Q47" s="3"/>
      <c r="R47" s="3"/>
      <c r="S47" s="3"/>
      <c r="T47" s="3"/>
      <c r="U47" s="3"/>
      <c r="V47" s="3"/>
      <c r="X47" s="57" t="s">
        <v>15</v>
      </c>
      <c r="Y47" s="58">
        <v>5</v>
      </c>
      <c r="Z47" s="45" t="s">
        <v>18</v>
      </c>
      <c r="AA47" s="59">
        <v>180</v>
      </c>
      <c r="AB47" s="60">
        <v>77</v>
      </c>
      <c r="AV47" t="s">
        <v>216</v>
      </c>
    </row>
    <row r="48" spans="3:51" ht="14.45" x14ac:dyDescent="0.3">
      <c r="C48" s="73">
        <v>114</v>
      </c>
      <c r="D48" s="6">
        <f t="shared" si="55"/>
        <v>1.7143333333333333</v>
      </c>
      <c r="E48" s="88">
        <f t="shared" si="56"/>
        <v>128.57999999999998</v>
      </c>
      <c r="X48" s="19"/>
      <c r="Y48" s="30" t="s">
        <v>40</v>
      </c>
      <c r="Z48" s="30"/>
      <c r="AA48" s="61"/>
      <c r="AB48" s="89">
        <f>(AB47-AB46)/(Y47-Y46)</f>
        <v>19.18146390367006</v>
      </c>
      <c r="AJ48" s="104"/>
      <c r="AR48" s="3"/>
    </row>
    <row r="49" spans="3:45" ht="14.45" x14ac:dyDescent="0.3">
      <c r="C49" s="73">
        <v>127.5</v>
      </c>
      <c r="D49" s="6">
        <f t="shared" si="55"/>
        <v>1.8545833333333333</v>
      </c>
      <c r="E49" s="88">
        <f t="shared" si="56"/>
        <v>153.82499999999999</v>
      </c>
      <c r="X49" s="19"/>
      <c r="Y49" s="30"/>
      <c r="Z49" s="30"/>
      <c r="AA49" s="61"/>
      <c r="AB49" s="89">
        <f>AB47-AB48*(Y47-Y46)</f>
        <v>-18.907319518350306</v>
      </c>
      <c r="AS49" s="3"/>
    </row>
    <row r="50" spans="3:45" thickBot="1" x14ac:dyDescent="0.35">
      <c r="C50" s="80">
        <v>136.4</v>
      </c>
      <c r="D50" s="6">
        <f t="shared" si="55"/>
        <v>1.9470444444444444</v>
      </c>
      <c r="E50" s="88">
        <f t="shared" si="56"/>
        <v>170.46799999999999</v>
      </c>
      <c r="X50" s="21"/>
      <c r="Y50" s="32"/>
      <c r="Z50" s="32"/>
      <c r="AA50" s="47"/>
      <c r="AB50" s="48" t="s">
        <v>124</v>
      </c>
    </row>
    <row r="52" spans="3:45" thickBot="1" x14ac:dyDescent="0.35">
      <c r="X52" t="s">
        <v>38</v>
      </c>
    </row>
    <row r="53" spans="3:45" ht="14.45" x14ac:dyDescent="0.3">
      <c r="X53" s="49" t="s">
        <v>121</v>
      </c>
      <c r="Y53" s="50">
        <f>INDEX(LINEST($Q$8:$Q$15,$E$8:$E$15^{1,2},FALSE,FALSE),1)</f>
        <v>-351.26655108462336</v>
      </c>
      <c r="Z53" s="28"/>
      <c r="AA53" s="51" t="s">
        <v>123</v>
      </c>
      <c r="AB53" s="52">
        <f>INDEX(LINEST($P$8:$P$15,$Q$8:$Q$15),1)</f>
        <v>1.0165476207184487</v>
      </c>
    </row>
    <row r="54" spans="3:45" ht="14.45" x14ac:dyDescent="0.3">
      <c r="X54" s="43"/>
      <c r="Y54" s="54">
        <f>INDEX(LINEST($Q$8:$Q$15,$E$8:$E$15^{1,2},FALSE,FALSE),2)</f>
        <v>14542.877489600363</v>
      </c>
      <c r="Z54" s="30"/>
      <c r="AA54" s="44"/>
      <c r="AB54" s="46">
        <f>INDEX(LINEST($P$8:$P$15,$Q$8:$Q$15),2)</f>
        <v>8893.4325759458807</v>
      </c>
    </row>
    <row r="55" spans="3:45" ht="14.45" x14ac:dyDescent="0.3">
      <c r="X55" s="43"/>
      <c r="Y55" s="54">
        <f>INDEX(LINEST($Q$8:$Q$15,$E$8:$E$15^{1,2},FALSE,FALSE),3)</f>
        <v>0</v>
      </c>
      <c r="Z55" s="30"/>
      <c r="AA55" s="44" t="s">
        <v>122</v>
      </c>
      <c r="AB55" s="46">
        <f>INDEX(LINEST($Q$8:$Q$15,$P$8:$P$15),1)</f>
        <v>0.98261459063146772</v>
      </c>
    </row>
    <row r="56" spans="3:45" ht="14.45" x14ac:dyDescent="0.3">
      <c r="X56" s="43" t="s">
        <v>21</v>
      </c>
      <c r="Y56" s="54">
        <f>INDEX(LINEST($P$8:$P$15,$M$8:$M$15),1)</f>
        <v>14190.01046667831</v>
      </c>
      <c r="Z56" s="30"/>
      <c r="AA56" s="44"/>
      <c r="AB56" s="46">
        <f>INDEX(LINEST($Q$8:$Q$15,$P$8:$P$15),2)</f>
        <v>-8712.4928340558181</v>
      </c>
      <c r="AC56" t="s">
        <v>60</v>
      </c>
    </row>
    <row r="57" spans="3:45" ht="14.45" x14ac:dyDescent="0.3">
      <c r="X57" s="43"/>
      <c r="Y57" s="54">
        <f>INDEX(LINEST($P$8:$P$15,$M$8:$M$15),2)</f>
        <v>-28327.005397586898</v>
      </c>
      <c r="Z57" s="30"/>
      <c r="AA57" s="30"/>
      <c r="AB57" s="31"/>
    </row>
    <row r="58" spans="3:45" ht="14.45" x14ac:dyDescent="0.3">
      <c r="X58" s="19"/>
      <c r="Y58" s="30"/>
      <c r="Z58" s="30"/>
      <c r="AA58" s="30"/>
      <c r="AB58" s="31"/>
    </row>
    <row r="59" spans="3:45" ht="14.45" x14ac:dyDescent="0.3">
      <c r="H59" s="176" t="s">
        <v>212</v>
      </c>
      <c r="X59" s="181" t="s">
        <v>62</v>
      </c>
      <c r="Y59" s="44">
        <f>EXP((0-$AF$30)/$AG$30)</f>
        <v>7.361501228839896</v>
      </c>
      <c r="Z59" s="30"/>
      <c r="AA59" s="30"/>
      <c r="AB59" s="31"/>
      <c r="AC59" t="s">
        <v>65</v>
      </c>
    </row>
    <row r="60" spans="3:45" ht="14.45" x14ac:dyDescent="0.3">
      <c r="X60" s="19"/>
      <c r="Y60" s="30"/>
      <c r="Z60" s="30"/>
      <c r="AA60" s="30"/>
      <c r="AB60" s="31"/>
    </row>
    <row r="61" spans="3:45" ht="14.45" x14ac:dyDescent="0.3">
      <c r="X61" s="43" t="s">
        <v>92</v>
      </c>
      <c r="Y61" s="180">
        <f>INDEX(LINEST($Y$4:$Y$15,$P$4:$P$15^{1,2}),1)</f>
        <v>1.782679103068748E-11</v>
      </c>
      <c r="Z61" s="30"/>
      <c r="AA61" s="44" t="s">
        <v>130</v>
      </c>
      <c r="AB61" s="122">
        <f>INDEX(LINEST($Y$67:$Y$84,$P$67:$P$84^{1,2}),1)</f>
        <v>1.4325144135226059E-11</v>
      </c>
      <c r="AG61" s="45"/>
      <c r="AH61" s="149"/>
    </row>
    <row r="62" spans="3:45" ht="14.45" x14ac:dyDescent="0.3">
      <c r="X62" s="43"/>
      <c r="Y62" s="180">
        <f>INDEX(LINEST($Y$4:$Y$15,$P$4:$P$15^{1,2}),2)</f>
        <v>-1.9381907115184841E-7</v>
      </c>
      <c r="Z62" s="30"/>
      <c r="AA62" s="44"/>
      <c r="AB62" s="122">
        <f>INDEX(LINEST($Y$67:$Y$84,$P$67:$P$84^{1,2}),2)</f>
        <v>-3.0709262345742761E-7</v>
      </c>
      <c r="AG62" s="45"/>
      <c r="AH62" s="149"/>
    </row>
    <row r="63" spans="3:45" thickBot="1" x14ac:dyDescent="0.35">
      <c r="X63" s="55"/>
      <c r="Y63" s="182">
        <f>INDEX(LINEST($Y$4:$Y$15,$P$4:$P$15^{1,2}),3)</f>
        <v>6.9658921582847581E-4</v>
      </c>
      <c r="Z63" s="32"/>
      <c r="AA63" s="108"/>
      <c r="AB63" s="123">
        <f>INDEX(LINEST($Y$67:$Y$84,$P$67:$P$84^{1,2}),3)</f>
        <v>2.0111653701195102E-3</v>
      </c>
      <c r="AG63" s="45"/>
      <c r="AH63" s="149"/>
    </row>
    <row r="66" spans="3:26" x14ac:dyDescent="0.25">
      <c r="C66" t="s">
        <v>116</v>
      </c>
      <c r="W66" t="s">
        <v>89</v>
      </c>
      <c r="X66" t="s">
        <v>150</v>
      </c>
      <c r="Y66" t="s">
        <v>151</v>
      </c>
    </row>
    <row r="67" spans="3:26" x14ac:dyDescent="0.25">
      <c r="C67" s="113">
        <f t="shared" ref="C67:C72" si="57">D67/180+1</f>
        <v>1.0611111111111111</v>
      </c>
      <c r="D67" s="142">
        <v>11</v>
      </c>
      <c r="E67" s="142"/>
      <c r="F67" s="142">
        <v>13.68</v>
      </c>
      <c r="G67" s="142">
        <v>0.6</v>
      </c>
      <c r="H67" s="142">
        <v>6860</v>
      </c>
      <c r="I67" s="143"/>
      <c r="J67" s="142"/>
      <c r="K67" s="2">
        <f>F67*G67</f>
        <v>8.2080000000000002</v>
      </c>
      <c r="L67" s="1">
        <f>D67</f>
        <v>11</v>
      </c>
      <c r="M67" s="1">
        <f>LN(L67)</f>
        <v>2.3978952727983707</v>
      </c>
      <c r="N67" s="3">
        <f>1/H67/0.000001</f>
        <v>145.77259475218659</v>
      </c>
      <c r="O67" s="3"/>
      <c r="P67" s="3">
        <f t="shared" ref="P67:P82" si="58">N67*60/$Y$29</f>
        <v>8746.3556851311951</v>
      </c>
      <c r="Q67" s="3">
        <f t="shared" ref="Q67:Q82" si="59">O67*60/$Y$29</f>
        <v>0</v>
      </c>
      <c r="R67" s="3">
        <f t="shared" ref="R67:R82" si="60">P67/$Y$40*100</f>
        <v>18.980806608357629</v>
      </c>
      <c r="S67" s="3">
        <f t="shared" ref="S67:S82" si="61">Q67/$Y$40*100</f>
        <v>0</v>
      </c>
      <c r="T67" s="3">
        <f>L67</f>
        <v>11</v>
      </c>
      <c r="U67" s="4">
        <f>K67</f>
        <v>8.2080000000000002</v>
      </c>
      <c r="V67" s="4"/>
      <c r="W67">
        <f>(U67-$U$3)*0.001341022</f>
        <v>5.0395070351200002E-3</v>
      </c>
      <c r="X67" s="137">
        <f>$W67/$P67*5252</f>
        <v>3.0261164651061443E-3</v>
      </c>
      <c r="Y67" s="150">
        <f>X67-$X$67</f>
        <v>0</v>
      </c>
      <c r="Z67">
        <f t="shared" ref="Z67:Z84" si="62">-Y67/2/P67</f>
        <v>0</v>
      </c>
    </row>
    <row r="68" spans="3:26" x14ac:dyDescent="0.25">
      <c r="C68" s="113">
        <f t="shared" si="57"/>
        <v>1.0833333333333333</v>
      </c>
      <c r="D68" s="142">
        <v>15</v>
      </c>
      <c r="E68" s="142"/>
      <c r="F68" s="142">
        <v>13.66</v>
      </c>
      <c r="G68" s="142">
        <v>0.65100000000000002</v>
      </c>
      <c r="H68" s="142">
        <v>6180</v>
      </c>
      <c r="I68" s="143"/>
      <c r="J68" s="142"/>
      <c r="K68" s="2">
        <f>F68*G68</f>
        <v>8.8926600000000011</v>
      </c>
      <c r="L68" s="1">
        <f>D68</f>
        <v>15</v>
      </c>
      <c r="M68" s="1">
        <f>LN(L68)</f>
        <v>2.7080502011022101</v>
      </c>
      <c r="N68" s="3">
        <f>1/H68/0.000001</f>
        <v>161.81229773462783</v>
      </c>
      <c r="O68" s="3"/>
      <c r="P68" s="3">
        <f t="shared" si="58"/>
        <v>9708.7378640776697</v>
      </c>
      <c r="Q68" s="3">
        <f t="shared" si="59"/>
        <v>0</v>
      </c>
      <c r="R68" s="3">
        <f t="shared" si="60"/>
        <v>21.069309600862997</v>
      </c>
      <c r="S68" s="3">
        <f t="shared" si="61"/>
        <v>0</v>
      </c>
      <c r="T68" s="3">
        <f>L68</f>
        <v>15</v>
      </c>
      <c r="U68" s="4">
        <f>K68</f>
        <v>8.8926600000000011</v>
      </c>
      <c r="V68" s="4"/>
      <c r="W68">
        <f t="shared" ref="W68:W84" si="63">(U68-$U$3)*0.001341022</f>
        <v>5.9576511576400013E-3</v>
      </c>
      <c r="X68" s="127">
        <f>$W68/$P68*5252</f>
        <v>3.2228271396323046E-3</v>
      </c>
      <c r="Y68" s="150">
        <f t="shared" ref="Y68:Y84" si="64">X68-$X$67</f>
        <v>1.967106745261603E-4</v>
      </c>
      <c r="Z68">
        <f t="shared" si="62"/>
        <v>-1.0130599738097255E-8</v>
      </c>
    </row>
    <row r="69" spans="3:26" x14ac:dyDescent="0.25">
      <c r="C69" s="113">
        <f t="shared" si="57"/>
        <v>1.0666666666666667</v>
      </c>
      <c r="D69" s="142">
        <v>12</v>
      </c>
      <c r="E69" s="142"/>
      <c r="F69" s="142">
        <v>13.63</v>
      </c>
      <c r="G69" s="142">
        <v>0.68</v>
      </c>
      <c r="H69" s="142">
        <v>5840</v>
      </c>
      <c r="I69" s="143"/>
      <c r="J69" s="142"/>
      <c r="K69" s="2">
        <f>F69*G69</f>
        <v>9.2684000000000015</v>
      </c>
      <c r="L69" s="1">
        <f>D69</f>
        <v>12</v>
      </c>
      <c r="M69" s="1">
        <f>LN(L69)</f>
        <v>2.4849066497880004</v>
      </c>
      <c r="N69" s="3">
        <f>1/H69/0.000001</f>
        <v>171.23287671232879</v>
      </c>
      <c r="O69" s="3"/>
      <c r="P69" s="3">
        <f t="shared" si="58"/>
        <v>10273.972602739726</v>
      </c>
      <c r="Q69" s="3">
        <f t="shared" si="59"/>
        <v>0</v>
      </c>
      <c r="R69" s="3">
        <f t="shared" si="60"/>
        <v>22.295947488584474</v>
      </c>
      <c r="S69" s="3">
        <f t="shared" si="61"/>
        <v>0</v>
      </c>
      <c r="T69" s="3">
        <f>L69</f>
        <v>12</v>
      </c>
      <c r="U69" s="4">
        <f>K69</f>
        <v>9.2684000000000015</v>
      </c>
      <c r="V69" s="4"/>
      <c r="W69">
        <f t="shared" si="63"/>
        <v>6.4615267639200015E-3</v>
      </c>
      <c r="X69" s="127">
        <f t="shared" ref="X69:X84" si="65">$W69/$P69*5252</f>
        <v>3.3030980202398302E-3</v>
      </c>
      <c r="Y69" s="150">
        <f t="shared" si="64"/>
        <v>2.7698155513368591E-4</v>
      </c>
      <c r="Z69">
        <f t="shared" si="62"/>
        <v>-1.3479769016506046E-8</v>
      </c>
    </row>
    <row r="70" spans="3:26" x14ac:dyDescent="0.25">
      <c r="C70" s="113">
        <f t="shared" si="57"/>
        <v>1.0722222222222222</v>
      </c>
      <c r="D70" s="142">
        <v>13</v>
      </c>
      <c r="E70" s="142"/>
      <c r="F70" s="142">
        <v>13.6</v>
      </c>
      <c r="G70" s="142">
        <v>0.74</v>
      </c>
      <c r="H70" s="142">
        <v>5280</v>
      </c>
      <c r="I70" s="143"/>
      <c r="J70" s="142"/>
      <c r="K70" s="2">
        <f>F70*G70</f>
        <v>10.064</v>
      </c>
      <c r="L70" s="1">
        <f>D70</f>
        <v>13</v>
      </c>
      <c r="M70" s="1">
        <f>LN(L70)</f>
        <v>2.5649493574615367</v>
      </c>
      <c r="N70" s="3">
        <f>1/H70/0.000001</f>
        <v>189.39393939393941</v>
      </c>
      <c r="O70" s="3"/>
      <c r="P70" s="3">
        <f t="shared" si="58"/>
        <v>11363.636363636364</v>
      </c>
      <c r="Q70" s="3">
        <f t="shared" si="59"/>
        <v>0</v>
      </c>
      <c r="R70" s="3">
        <f t="shared" si="60"/>
        <v>24.660669191919194</v>
      </c>
      <c r="S70" s="3">
        <f t="shared" si="61"/>
        <v>0</v>
      </c>
      <c r="T70" s="3">
        <f>L70</f>
        <v>13</v>
      </c>
      <c r="U70" s="4">
        <f>K70</f>
        <v>10.064</v>
      </c>
      <c r="V70" s="4"/>
      <c r="W70">
        <f t="shared" si="63"/>
        <v>7.52844386712E-3</v>
      </c>
      <c r="X70" s="127">
        <f t="shared" si="65"/>
        <v>3.479466072730053E-3</v>
      </c>
      <c r="Y70" s="150">
        <f t="shared" si="64"/>
        <v>4.5334960762390868E-4</v>
      </c>
      <c r="Z70">
        <f t="shared" si="62"/>
        <v>-1.9947382735451983E-8</v>
      </c>
    </row>
    <row r="71" spans="3:26" x14ac:dyDescent="0.25">
      <c r="C71" s="113">
        <f t="shared" si="57"/>
        <v>1.0777777777777777</v>
      </c>
      <c r="D71" s="142">
        <v>14</v>
      </c>
      <c r="E71" s="142"/>
      <c r="F71" s="142">
        <v>13.57</v>
      </c>
      <c r="G71" s="142">
        <v>0.78700000000000003</v>
      </c>
      <c r="H71" s="142">
        <v>4900</v>
      </c>
      <c r="I71" s="143"/>
      <c r="J71" s="142"/>
      <c r="K71" s="2">
        <f>F71*G71</f>
        <v>10.679590000000001</v>
      </c>
      <c r="L71" s="1">
        <f>D71</f>
        <v>14</v>
      </c>
      <c r="M71" s="1">
        <f>LN(L71)</f>
        <v>2.6390573296152584</v>
      </c>
      <c r="N71" s="3">
        <f>1/H71/0.000001</f>
        <v>204.08163265306123</v>
      </c>
      <c r="O71" s="3"/>
      <c r="P71" s="3">
        <f t="shared" si="58"/>
        <v>12244.897959183674</v>
      </c>
      <c r="Q71" s="3">
        <f t="shared" si="59"/>
        <v>0</v>
      </c>
      <c r="R71" s="3">
        <f t="shared" si="60"/>
        <v>26.573129251700685</v>
      </c>
      <c r="S71" s="3">
        <f t="shared" si="61"/>
        <v>0</v>
      </c>
      <c r="T71" s="3">
        <f>L71</f>
        <v>14</v>
      </c>
      <c r="U71" s="4">
        <f>K71</f>
        <v>10.679590000000001</v>
      </c>
      <c r="V71" s="4"/>
      <c r="W71">
        <f t="shared" si="63"/>
        <v>8.3539636001000016E-3</v>
      </c>
      <c r="X71" s="127">
        <f t="shared" si="65"/>
        <v>3.5831263742642254E-3</v>
      </c>
      <c r="Y71" s="150">
        <f t="shared" si="64"/>
        <v>5.5700990915808109E-4</v>
      </c>
      <c r="Z71">
        <f t="shared" si="62"/>
        <v>-2.2744571290621641E-8</v>
      </c>
    </row>
    <row r="72" spans="3:26" x14ac:dyDescent="0.25">
      <c r="C72" s="113">
        <f t="shared" si="57"/>
        <v>1.1111111111111112</v>
      </c>
      <c r="D72" s="142">
        <v>20</v>
      </c>
      <c r="E72" s="142"/>
      <c r="F72" s="142">
        <v>13.77</v>
      </c>
      <c r="G72" s="142">
        <v>0.92900000000000005</v>
      </c>
      <c r="H72" s="142">
        <v>3500</v>
      </c>
      <c r="I72" s="143"/>
      <c r="J72" s="142"/>
      <c r="K72" s="2">
        <f t="shared" ref="K72:K84" si="66">F72*G72</f>
        <v>12.79233</v>
      </c>
      <c r="L72" s="1">
        <f t="shared" ref="L72:L84" si="67">D72</f>
        <v>20</v>
      </c>
      <c r="M72" s="1">
        <f t="shared" ref="M72:M84" si="68">LN(L72)</f>
        <v>2.9957322735539909</v>
      </c>
      <c r="N72" s="3">
        <f t="shared" ref="N72:N84" si="69">1/H72/0.000001</f>
        <v>285.71428571428572</v>
      </c>
      <c r="O72" s="3"/>
      <c r="P72" s="3">
        <f t="shared" si="58"/>
        <v>17142.857142857145</v>
      </c>
      <c r="Q72" s="3">
        <f t="shared" si="59"/>
        <v>0</v>
      </c>
      <c r="R72" s="3">
        <f t="shared" si="60"/>
        <v>37.202380952380956</v>
      </c>
      <c r="S72" s="3">
        <f t="shared" si="61"/>
        <v>0</v>
      </c>
      <c r="T72" s="3">
        <f t="shared" ref="T72:T84" si="70">L72</f>
        <v>20</v>
      </c>
      <c r="U72" s="4">
        <f t="shared" ref="U72:U84" si="71">K72</f>
        <v>12.79233</v>
      </c>
      <c r="V72" s="4"/>
      <c r="W72">
        <f t="shared" si="63"/>
        <v>1.1187194420379999E-2</v>
      </c>
      <c r="X72" s="127">
        <f t="shared" si="65"/>
        <v>3.4273834639237518E-3</v>
      </c>
      <c r="Y72" s="150">
        <f t="shared" si="64"/>
        <v>4.0126699881760756E-4</v>
      </c>
      <c r="Z72">
        <f t="shared" si="62"/>
        <v>-1.1703620798846885E-8</v>
      </c>
    </row>
    <row r="73" spans="3:26" x14ac:dyDescent="0.25">
      <c r="C73" s="113">
        <f t="shared" ref="C73:C84" si="72">D73/180+1</f>
        <v>1.1388888888888888</v>
      </c>
      <c r="D73" s="142">
        <v>25</v>
      </c>
      <c r="E73" s="142"/>
      <c r="F73" s="142">
        <v>13.74</v>
      </c>
      <c r="G73" s="142">
        <v>1.26</v>
      </c>
      <c r="H73" s="142">
        <v>3010</v>
      </c>
      <c r="I73" s="142"/>
      <c r="J73" s="142"/>
      <c r="K73" s="2">
        <f t="shared" si="66"/>
        <v>17.3124</v>
      </c>
      <c r="L73" s="1">
        <f t="shared" si="67"/>
        <v>25</v>
      </c>
      <c r="M73" s="1">
        <f t="shared" si="68"/>
        <v>3.2188758248682006</v>
      </c>
      <c r="N73" s="3">
        <f t="shared" si="69"/>
        <v>332.22591362126246</v>
      </c>
      <c r="O73" s="3"/>
      <c r="P73" s="3">
        <f t="shared" si="58"/>
        <v>19933.554817275748</v>
      </c>
      <c r="Q73" s="3">
        <f t="shared" si="59"/>
        <v>0</v>
      </c>
      <c r="R73" s="3">
        <f t="shared" si="60"/>
        <v>43.258582502768547</v>
      </c>
      <c r="S73" s="3">
        <f t="shared" si="61"/>
        <v>0</v>
      </c>
      <c r="T73" s="3">
        <f t="shared" si="70"/>
        <v>25</v>
      </c>
      <c r="U73" s="4">
        <f t="shared" si="71"/>
        <v>17.3124</v>
      </c>
      <c r="V73" s="4"/>
      <c r="W73">
        <f t="shared" si="63"/>
        <v>1.7248707731919999E-2</v>
      </c>
      <c r="X73" s="127">
        <f t="shared" si="65"/>
        <v>4.5446090192368654E-3</v>
      </c>
      <c r="Y73" s="150">
        <f t="shared" si="64"/>
        <v>1.5184925541307211E-3</v>
      </c>
      <c r="Z73">
        <f t="shared" si="62"/>
        <v>-3.8088854899445583E-8</v>
      </c>
    </row>
    <row r="74" spans="3:26" x14ac:dyDescent="0.25">
      <c r="C74" s="113">
        <f t="shared" si="72"/>
        <v>1.1666666666666667</v>
      </c>
      <c r="D74" s="142">
        <v>30</v>
      </c>
      <c r="E74" s="142"/>
      <c r="F74" s="142">
        <v>13.72</v>
      </c>
      <c r="G74" s="142">
        <v>1.734</v>
      </c>
      <c r="H74" s="142">
        <v>2650</v>
      </c>
      <c r="I74" s="142"/>
      <c r="J74" s="142"/>
      <c r="K74" s="2">
        <f t="shared" si="66"/>
        <v>23.790480000000002</v>
      </c>
      <c r="L74" s="1">
        <f t="shared" si="67"/>
        <v>30</v>
      </c>
      <c r="M74" s="1">
        <f t="shared" si="68"/>
        <v>3.4011973816621555</v>
      </c>
      <c r="N74" s="3">
        <f t="shared" si="69"/>
        <v>377.35849056603774</v>
      </c>
      <c r="O74" s="3"/>
      <c r="P74" s="3">
        <f t="shared" si="58"/>
        <v>22641.509433962266</v>
      </c>
      <c r="Q74" s="3">
        <f t="shared" si="59"/>
        <v>0</v>
      </c>
      <c r="R74" s="3">
        <f t="shared" si="60"/>
        <v>49.135220125786169</v>
      </c>
      <c r="S74" s="3">
        <f t="shared" si="61"/>
        <v>0</v>
      </c>
      <c r="T74" s="3">
        <f t="shared" si="70"/>
        <v>30</v>
      </c>
      <c r="U74" s="4">
        <f t="shared" si="71"/>
        <v>23.790480000000002</v>
      </c>
      <c r="V74" s="4"/>
      <c r="W74">
        <f t="shared" si="63"/>
        <v>2.5935955529680001E-2</v>
      </c>
      <c r="X74" s="127">
        <f t="shared" si="65"/>
        <v>6.0161906978496715E-3</v>
      </c>
      <c r="Y74" s="150">
        <f t="shared" si="64"/>
        <v>2.9900742327435273E-3</v>
      </c>
      <c r="Z74">
        <f t="shared" si="62"/>
        <v>-6.6030805973086218E-8</v>
      </c>
    </row>
    <row r="75" spans="3:26" x14ac:dyDescent="0.25">
      <c r="C75" s="113">
        <f t="shared" si="72"/>
        <v>1.1944444444444444</v>
      </c>
      <c r="D75" s="142">
        <v>35</v>
      </c>
      <c r="E75" s="142"/>
      <c r="F75" s="142">
        <v>13.69</v>
      </c>
      <c r="G75" s="142">
        <v>2.113</v>
      </c>
      <c r="H75" s="142">
        <v>2500</v>
      </c>
      <c r="I75" s="142"/>
      <c r="J75" s="142"/>
      <c r="K75" s="2">
        <f t="shared" si="66"/>
        <v>28.926969999999997</v>
      </c>
      <c r="L75" s="1">
        <f t="shared" si="67"/>
        <v>35</v>
      </c>
      <c r="M75" s="1">
        <f t="shared" si="68"/>
        <v>3.5553480614894135</v>
      </c>
      <c r="N75" s="3">
        <f t="shared" si="69"/>
        <v>400.00000000000006</v>
      </c>
      <c r="O75" s="3"/>
      <c r="P75" s="3">
        <f t="shared" si="58"/>
        <v>24000.000000000004</v>
      </c>
      <c r="Q75" s="3">
        <f t="shared" si="59"/>
        <v>0</v>
      </c>
      <c r="R75" s="3">
        <f t="shared" si="60"/>
        <v>52.083333333333336</v>
      </c>
      <c r="S75" s="3">
        <f t="shared" si="61"/>
        <v>0</v>
      </c>
      <c r="T75" s="3">
        <f t="shared" si="70"/>
        <v>35</v>
      </c>
      <c r="U75" s="4">
        <f t="shared" si="71"/>
        <v>28.926969999999997</v>
      </c>
      <c r="V75" s="4"/>
      <c r="W75">
        <f t="shared" si="63"/>
        <v>3.2824101622459995E-2</v>
      </c>
      <c r="X75" s="127">
        <f t="shared" si="65"/>
        <v>7.1830075717149939E-3</v>
      </c>
      <c r="Y75" s="150">
        <f t="shared" si="64"/>
        <v>4.1568911066088496E-3</v>
      </c>
      <c r="Z75">
        <f t="shared" si="62"/>
        <v>-8.6601898054351018E-8</v>
      </c>
    </row>
    <row r="76" spans="3:26" x14ac:dyDescent="0.25">
      <c r="C76" s="113">
        <f t="shared" si="72"/>
        <v>1.2222222222222223</v>
      </c>
      <c r="D76" s="142">
        <v>40</v>
      </c>
      <c r="E76" s="142"/>
      <c r="F76" s="142">
        <v>13.66</v>
      </c>
      <c r="G76" s="142">
        <v>2.37</v>
      </c>
      <c r="H76" s="142">
        <v>2270</v>
      </c>
      <c r="I76" s="142"/>
      <c r="J76" s="142"/>
      <c r="K76" s="2">
        <f t="shared" si="66"/>
        <v>32.374200000000002</v>
      </c>
      <c r="L76" s="1">
        <f t="shared" si="67"/>
        <v>40</v>
      </c>
      <c r="M76" s="1">
        <f t="shared" si="68"/>
        <v>3.6888794541139363</v>
      </c>
      <c r="N76" s="3">
        <f t="shared" si="69"/>
        <v>440.52863436123351</v>
      </c>
      <c r="O76" s="3"/>
      <c r="P76" s="3">
        <f t="shared" si="58"/>
        <v>26431.718061674012</v>
      </c>
      <c r="Q76" s="3">
        <f t="shared" si="59"/>
        <v>0</v>
      </c>
      <c r="R76" s="3">
        <f t="shared" si="60"/>
        <v>57.360499265785613</v>
      </c>
      <c r="S76" s="3">
        <f t="shared" si="61"/>
        <v>0</v>
      </c>
      <c r="T76" s="3">
        <f t="shared" si="70"/>
        <v>40</v>
      </c>
      <c r="U76" s="4">
        <f t="shared" si="71"/>
        <v>32.374200000000002</v>
      </c>
      <c r="V76" s="4"/>
      <c r="W76">
        <f t="shared" si="63"/>
        <v>3.7446912891520003E-2</v>
      </c>
      <c r="X76" s="127">
        <f t="shared" si="65"/>
        <v>7.4407265561536179E-3</v>
      </c>
      <c r="Y76" s="150">
        <f t="shared" si="64"/>
        <v>4.4146100910474736E-3</v>
      </c>
      <c r="Z76">
        <f t="shared" si="62"/>
        <v>-8.3509707555648035E-8</v>
      </c>
    </row>
    <row r="77" spans="3:26" x14ac:dyDescent="0.25">
      <c r="C77" s="113">
        <f t="shared" si="72"/>
        <v>1.2777777777777777</v>
      </c>
      <c r="D77" s="142">
        <v>50</v>
      </c>
      <c r="E77" s="142"/>
      <c r="F77" s="142">
        <v>13.6</v>
      </c>
      <c r="G77" s="142">
        <v>3.1</v>
      </c>
      <c r="H77" s="142">
        <v>2020</v>
      </c>
      <c r="I77" s="142"/>
      <c r="J77" s="142"/>
      <c r="K77" s="2">
        <f t="shared" si="66"/>
        <v>42.16</v>
      </c>
      <c r="L77" s="1">
        <f t="shared" si="67"/>
        <v>50</v>
      </c>
      <c r="M77" s="1">
        <f t="shared" si="68"/>
        <v>3.912023005428146</v>
      </c>
      <c r="N77" s="3">
        <f t="shared" si="69"/>
        <v>495.04950495049508</v>
      </c>
      <c r="O77" s="3"/>
      <c r="P77" s="3">
        <f t="shared" si="58"/>
        <v>29702.970297029704</v>
      </c>
      <c r="Q77" s="3">
        <f t="shared" si="59"/>
        <v>0</v>
      </c>
      <c r="R77" s="3">
        <f t="shared" si="60"/>
        <v>64.459570957095707</v>
      </c>
      <c r="S77" s="3">
        <f t="shared" si="61"/>
        <v>0</v>
      </c>
      <c r="T77" s="3">
        <f t="shared" si="70"/>
        <v>50</v>
      </c>
      <c r="U77" s="4">
        <f t="shared" si="71"/>
        <v>42.16</v>
      </c>
      <c r="V77" s="4"/>
      <c r="W77">
        <f t="shared" si="63"/>
        <v>5.0569885979119995E-2</v>
      </c>
      <c r="X77" s="127">
        <f t="shared" si="65"/>
        <v>8.9416323857987191E-3</v>
      </c>
      <c r="Y77" s="150">
        <f t="shared" si="64"/>
        <v>5.9155159206925748E-3</v>
      </c>
      <c r="Z77">
        <f t="shared" si="62"/>
        <v>-9.957785133165834E-8</v>
      </c>
    </row>
    <row r="78" spans="3:26" x14ac:dyDescent="0.25">
      <c r="C78" s="113">
        <f t="shared" si="72"/>
        <v>1.3333333333333333</v>
      </c>
      <c r="D78" s="142">
        <v>60</v>
      </c>
      <c r="E78" s="142"/>
      <c r="F78" s="142">
        <v>13.52</v>
      </c>
      <c r="G78" s="142">
        <v>3.9</v>
      </c>
      <c r="H78" s="142">
        <v>1870</v>
      </c>
      <c r="I78" s="142"/>
      <c r="J78" s="142"/>
      <c r="K78" s="2">
        <f t="shared" si="66"/>
        <v>52.727999999999994</v>
      </c>
      <c r="L78" s="1">
        <f t="shared" si="67"/>
        <v>60</v>
      </c>
      <c r="M78" s="1">
        <f t="shared" si="68"/>
        <v>4.0943445622221004</v>
      </c>
      <c r="N78" s="3">
        <f t="shared" si="69"/>
        <v>534.75935828877004</v>
      </c>
      <c r="O78" s="3"/>
      <c r="P78" s="3">
        <f t="shared" si="58"/>
        <v>32085.561497326202</v>
      </c>
      <c r="Q78" s="3">
        <f t="shared" si="59"/>
        <v>0</v>
      </c>
      <c r="R78" s="3">
        <f t="shared" si="60"/>
        <v>69.630124777183596</v>
      </c>
      <c r="S78" s="3">
        <f t="shared" si="61"/>
        <v>0</v>
      </c>
      <c r="T78" s="3">
        <f t="shared" si="70"/>
        <v>60</v>
      </c>
      <c r="U78" s="4">
        <f t="shared" si="71"/>
        <v>52.727999999999994</v>
      </c>
      <c r="V78" s="4"/>
      <c r="W78">
        <f t="shared" si="63"/>
        <v>6.4741806475119998E-2</v>
      </c>
      <c r="X78" s="127">
        <f t="shared" si="65"/>
        <v>1.0597413657095125E-2</v>
      </c>
      <c r="Y78" s="150">
        <f t="shared" si="64"/>
        <v>7.5712971919889805E-3</v>
      </c>
      <c r="Z78">
        <f t="shared" si="62"/>
        <v>-1.1798604790849495E-7</v>
      </c>
    </row>
    <row r="79" spans="3:26" x14ac:dyDescent="0.25">
      <c r="C79" s="113">
        <f t="shared" si="72"/>
        <v>1.4166666666666667</v>
      </c>
      <c r="D79" s="142">
        <v>75</v>
      </c>
      <c r="E79" s="142"/>
      <c r="F79" s="142">
        <v>13.2</v>
      </c>
      <c r="G79" s="142">
        <v>4.92</v>
      </c>
      <c r="H79" s="142">
        <v>1650</v>
      </c>
      <c r="I79" s="142"/>
      <c r="J79" s="142"/>
      <c r="K79" s="2">
        <f t="shared" si="66"/>
        <v>64.944000000000003</v>
      </c>
      <c r="L79" s="1">
        <f t="shared" si="67"/>
        <v>75</v>
      </c>
      <c r="M79" s="1">
        <f t="shared" si="68"/>
        <v>4.3174881135363101</v>
      </c>
      <c r="N79" s="3">
        <f t="shared" si="69"/>
        <v>606.06060606060612</v>
      </c>
      <c r="O79" s="3"/>
      <c r="P79" s="3">
        <f t="shared" si="58"/>
        <v>36363.636363636368</v>
      </c>
      <c r="Q79" s="3">
        <f t="shared" si="59"/>
        <v>0</v>
      </c>
      <c r="R79" s="3">
        <f t="shared" si="60"/>
        <v>78.914141414141426</v>
      </c>
      <c r="S79" s="3">
        <f t="shared" si="61"/>
        <v>0</v>
      </c>
      <c r="T79" s="3">
        <f t="shared" si="70"/>
        <v>75</v>
      </c>
      <c r="U79" s="4">
        <f t="shared" si="71"/>
        <v>64.944000000000003</v>
      </c>
      <c r="V79" s="4"/>
      <c r="W79">
        <f t="shared" si="63"/>
        <v>8.1123731227120008E-2</v>
      </c>
      <c r="X79" s="127">
        <f t="shared" si="65"/>
        <v>1.1716700501132942E-2</v>
      </c>
      <c r="Y79" s="150">
        <f t="shared" si="64"/>
        <v>8.6905840360267973E-3</v>
      </c>
      <c r="Z79">
        <f t="shared" si="62"/>
        <v>-1.1949553049536844E-7</v>
      </c>
    </row>
    <row r="80" spans="3:26" x14ac:dyDescent="0.25">
      <c r="C80" s="113">
        <f t="shared" si="72"/>
        <v>1.5</v>
      </c>
      <c r="D80" s="142">
        <v>90</v>
      </c>
      <c r="E80" s="142"/>
      <c r="F80" s="142">
        <v>13.31</v>
      </c>
      <c r="G80" s="142">
        <v>6.12</v>
      </c>
      <c r="H80" s="142">
        <v>1510</v>
      </c>
      <c r="I80" s="142"/>
      <c r="J80" s="142"/>
      <c r="K80" s="2">
        <f t="shared" si="66"/>
        <v>81.4572</v>
      </c>
      <c r="L80" s="1">
        <f t="shared" si="67"/>
        <v>90</v>
      </c>
      <c r="M80" s="1">
        <f t="shared" si="68"/>
        <v>4.499809670330265</v>
      </c>
      <c r="N80" s="3">
        <f t="shared" si="69"/>
        <v>662.25165562913912</v>
      </c>
      <c r="O80" s="3"/>
      <c r="P80" s="3">
        <f t="shared" si="58"/>
        <v>39735.099337748346</v>
      </c>
      <c r="Q80" s="3">
        <f t="shared" si="59"/>
        <v>0</v>
      </c>
      <c r="R80" s="3">
        <f t="shared" si="60"/>
        <v>86.230684326710815</v>
      </c>
      <c r="S80" s="3">
        <f t="shared" si="61"/>
        <v>0</v>
      </c>
      <c r="T80" s="3">
        <f t="shared" si="70"/>
        <v>90</v>
      </c>
      <c r="U80" s="4">
        <f t="shared" si="71"/>
        <v>81.4572</v>
      </c>
      <c r="V80" s="4"/>
      <c r="W80">
        <f t="shared" si="63"/>
        <v>0.10326829571752001</v>
      </c>
      <c r="X80" s="127">
        <f t="shared" si="65"/>
        <v>1.3649521409228446E-2</v>
      </c>
      <c r="Y80" s="150">
        <f t="shared" si="64"/>
        <v>1.0623404944122301E-2</v>
      </c>
      <c r="Z80">
        <f t="shared" si="62"/>
        <v>-1.3367784554687227E-7</v>
      </c>
    </row>
    <row r="81" spans="3:26" x14ac:dyDescent="0.25">
      <c r="C81" s="113">
        <f t="shared" si="72"/>
        <v>1.6055555555555556</v>
      </c>
      <c r="D81" s="142">
        <v>109</v>
      </c>
      <c r="E81" s="142"/>
      <c r="F81" s="142">
        <v>12.93</v>
      </c>
      <c r="G81" s="142">
        <v>7.27</v>
      </c>
      <c r="H81" s="142">
        <v>1470</v>
      </c>
      <c r="I81" s="142"/>
      <c r="J81" s="142"/>
      <c r="K81" s="2">
        <f t="shared" si="66"/>
        <v>94.001099999999994</v>
      </c>
      <c r="L81" s="1">
        <f t="shared" si="67"/>
        <v>109</v>
      </c>
      <c r="M81" s="1">
        <f t="shared" si="68"/>
        <v>4.6913478822291435</v>
      </c>
      <c r="N81" s="3">
        <f t="shared" si="69"/>
        <v>680.27210884353735</v>
      </c>
      <c r="O81" s="3"/>
      <c r="P81" s="3">
        <f t="shared" si="58"/>
        <v>40816.326530612241</v>
      </c>
      <c r="Q81" s="3">
        <f t="shared" si="59"/>
        <v>0</v>
      </c>
      <c r="R81" s="3">
        <f t="shared" si="60"/>
        <v>88.577097505668917</v>
      </c>
      <c r="S81" s="3">
        <f t="shared" si="61"/>
        <v>0</v>
      </c>
      <c r="T81" s="3">
        <f t="shared" si="70"/>
        <v>109</v>
      </c>
      <c r="U81" s="4">
        <f t="shared" si="71"/>
        <v>94.001099999999994</v>
      </c>
      <c r="V81" s="4"/>
      <c r="W81">
        <f t="shared" si="63"/>
        <v>0.12008994158332</v>
      </c>
      <c r="X81" s="127">
        <f t="shared" si="65"/>
        <v>1.5452453143292119E-2</v>
      </c>
      <c r="Y81" s="150">
        <f t="shared" si="64"/>
        <v>1.2426336678185976E-2</v>
      </c>
      <c r="Z81">
        <f t="shared" si="62"/>
        <v>-1.5222262430777822E-7</v>
      </c>
    </row>
    <row r="82" spans="3:26" ht="15.75" thickBot="1" x14ac:dyDescent="0.3">
      <c r="C82" s="116">
        <f t="shared" si="72"/>
        <v>1.7222222222222223</v>
      </c>
      <c r="D82" s="142">
        <v>130</v>
      </c>
      <c r="E82" s="142"/>
      <c r="F82" s="142">
        <v>13.08</v>
      </c>
      <c r="G82" s="142">
        <v>8.9600000000000009</v>
      </c>
      <c r="H82" s="142">
        <v>1380</v>
      </c>
      <c r="I82" s="142"/>
      <c r="J82" s="142"/>
      <c r="K82" s="2">
        <f t="shared" si="66"/>
        <v>117.19680000000001</v>
      </c>
      <c r="L82" s="1">
        <f t="shared" si="67"/>
        <v>130</v>
      </c>
      <c r="M82" s="1">
        <f t="shared" si="68"/>
        <v>4.8675344504555822</v>
      </c>
      <c r="N82" s="3">
        <f t="shared" si="69"/>
        <v>724.63768115942037</v>
      </c>
      <c r="O82" s="3"/>
      <c r="P82" s="3">
        <f t="shared" si="58"/>
        <v>43478.260869565223</v>
      </c>
      <c r="Q82" s="3">
        <f t="shared" si="59"/>
        <v>0</v>
      </c>
      <c r="R82" s="3">
        <f t="shared" si="60"/>
        <v>94.353864734299535</v>
      </c>
      <c r="S82" s="3">
        <f t="shared" si="61"/>
        <v>0</v>
      </c>
      <c r="T82" s="3">
        <f t="shared" si="70"/>
        <v>130</v>
      </c>
      <c r="U82" s="4">
        <f t="shared" si="71"/>
        <v>117.19680000000001</v>
      </c>
      <c r="V82" s="4"/>
      <c r="W82">
        <f t="shared" si="63"/>
        <v>0.15119588558872002</v>
      </c>
      <c r="X82" s="127">
        <f t="shared" si="65"/>
        <v>1.8263858195575022E-2</v>
      </c>
      <c r="Y82" s="150">
        <f t="shared" si="64"/>
        <v>1.5237741730468879E-2</v>
      </c>
      <c r="Z82">
        <f t="shared" si="62"/>
        <v>-1.7523402990039207E-7</v>
      </c>
    </row>
    <row r="83" spans="3:26" x14ac:dyDescent="0.25">
      <c r="C83" s="144">
        <f t="shared" si="72"/>
        <v>1.8277777777777777</v>
      </c>
      <c r="D83" s="142">
        <v>149</v>
      </c>
      <c r="E83" s="142"/>
      <c r="F83" s="142">
        <v>12.95</v>
      </c>
      <c r="G83" s="142">
        <v>10.8</v>
      </c>
      <c r="H83" s="142">
        <v>1310</v>
      </c>
      <c r="I83" s="142"/>
      <c r="J83" s="142"/>
      <c r="K83" s="1">
        <f t="shared" si="66"/>
        <v>139.86000000000001</v>
      </c>
      <c r="L83" s="1">
        <f t="shared" si="67"/>
        <v>149</v>
      </c>
      <c r="M83" s="1">
        <f t="shared" si="68"/>
        <v>5.0039463059454592</v>
      </c>
      <c r="N83" s="1">
        <f t="shared" si="69"/>
        <v>763.35877862595419</v>
      </c>
      <c r="P83" s="1">
        <f>N83*60/$Y$29</f>
        <v>45801.526717557252</v>
      </c>
      <c r="R83" s="1">
        <f>P83/$Y$40*100</f>
        <v>99.395674300254456</v>
      </c>
      <c r="T83" s="1">
        <f t="shared" si="70"/>
        <v>149</v>
      </c>
      <c r="U83" s="4">
        <f t="shared" si="71"/>
        <v>139.86000000000001</v>
      </c>
      <c r="V83" s="4"/>
      <c r="W83">
        <f t="shared" si="63"/>
        <v>0.18158773537912004</v>
      </c>
      <c r="X83" s="127">
        <f t="shared" si="65"/>
        <v>2.0822423498943188E-2</v>
      </c>
      <c r="Y83" s="150">
        <f t="shared" si="64"/>
        <v>1.7796307033837045E-2</v>
      </c>
      <c r="Z83">
        <f t="shared" si="62"/>
        <v>-1.942763517860544E-7</v>
      </c>
    </row>
    <row r="84" spans="3:26" x14ac:dyDescent="0.25">
      <c r="C84" s="144">
        <f t="shared" si="72"/>
        <v>1.911111111111111</v>
      </c>
      <c r="D84" s="142">
        <v>164</v>
      </c>
      <c r="E84" s="142"/>
      <c r="F84" s="142">
        <v>12.75</v>
      </c>
      <c r="G84" s="142">
        <v>13.9</v>
      </c>
      <c r="H84" s="142">
        <v>1252</v>
      </c>
      <c r="I84" s="142"/>
      <c r="J84" s="142"/>
      <c r="K84" s="1">
        <f t="shared" si="66"/>
        <v>177.22499999999999</v>
      </c>
      <c r="L84" s="1">
        <f t="shared" si="67"/>
        <v>164</v>
      </c>
      <c r="M84" s="1">
        <f t="shared" si="68"/>
        <v>5.0998664278241987</v>
      </c>
      <c r="N84" s="1">
        <f t="shared" si="69"/>
        <v>798.72204472843453</v>
      </c>
      <c r="P84" s="1">
        <f>N84*60/$Y$29</f>
        <v>47923.322683706072</v>
      </c>
      <c r="R84" s="1">
        <f>P84/$Y$40*100</f>
        <v>104.00026624068157</v>
      </c>
      <c r="T84" s="1">
        <f t="shared" si="70"/>
        <v>164</v>
      </c>
      <c r="U84" s="4">
        <f t="shared" si="71"/>
        <v>177.22499999999999</v>
      </c>
      <c r="V84" s="4"/>
      <c r="W84">
        <f t="shared" si="63"/>
        <v>0.23169502240912002</v>
      </c>
      <c r="X84" s="127">
        <f t="shared" si="65"/>
        <v>2.539185911052097E-2</v>
      </c>
      <c r="Y84" s="150">
        <f t="shared" si="64"/>
        <v>2.2365742645414827E-2</v>
      </c>
      <c r="Z84">
        <f t="shared" si="62"/>
        <v>-2.3334924826716135E-7</v>
      </c>
    </row>
    <row r="87" spans="3:26" x14ac:dyDescent="0.25">
      <c r="C87" t="s">
        <v>117</v>
      </c>
      <c r="W87" t="s">
        <v>90</v>
      </c>
      <c r="Y87" t="s">
        <v>91</v>
      </c>
    </row>
    <row r="88" spans="3:26" x14ac:dyDescent="0.25">
      <c r="C88" s="113">
        <f>D88/180+1</f>
        <v>1.0611111111111111</v>
      </c>
      <c r="D88" s="142">
        <v>11</v>
      </c>
      <c r="E88" s="142"/>
      <c r="F88" s="142">
        <v>13.81</v>
      </c>
      <c r="G88" s="142">
        <v>0.57599999999999996</v>
      </c>
      <c r="H88" s="142">
        <v>4880</v>
      </c>
      <c r="I88" s="143"/>
      <c r="J88" s="142"/>
      <c r="K88" s="2">
        <f>F88*G88</f>
        <v>7.9545599999999999</v>
      </c>
      <c r="L88" s="1">
        <f t="shared" ref="L88:L102" si="73">D88</f>
        <v>11</v>
      </c>
      <c r="M88" s="1">
        <f t="shared" ref="M88:M102" si="74">LN(L88)</f>
        <v>2.3978952727983707</v>
      </c>
      <c r="N88" s="3">
        <f t="shared" ref="N88:N102" si="75">1/H88/0.000001</f>
        <v>204.91803278688525</v>
      </c>
      <c r="O88" s="3"/>
      <c r="P88" s="3">
        <f t="shared" ref="P88:P100" si="76">N88*60/$Y$29</f>
        <v>12295.081967213115</v>
      </c>
      <c r="Q88" s="3">
        <f t="shared" ref="Q88:Q100" si="77">O88*60/$Y$29</f>
        <v>0</v>
      </c>
      <c r="R88" s="3">
        <f t="shared" ref="R88:R100" si="78">P88/$Y$40*100</f>
        <v>26.682035519125684</v>
      </c>
      <c r="S88" s="3">
        <f t="shared" ref="S88:S100" si="79">Q88/$Y$40*100</f>
        <v>0</v>
      </c>
      <c r="T88" s="3">
        <f t="shared" ref="T88:T102" si="80">L88</f>
        <v>11</v>
      </c>
      <c r="U88" s="4">
        <f t="shared" ref="U88:U102" si="81">K88</f>
        <v>7.9545599999999999</v>
      </c>
      <c r="V88" s="4"/>
      <c r="W88">
        <f>U88*0.001341022</f>
        <v>1.0667239960320001E-2</v>
      </c>
      <c r="X88" s="137">
        <f>$W88/$P88*5252</f>
        <v>4.5566466674235194E-3</v>
      </c>
      <c r="Y88" s="127">
        <f>X88-$X$88</f>
        <v>0</v>
      </c>
      <c r="Z88">
        <f t="shared" ref="Z88:Z102" si="82">-Y88/2/P88</f>
        <v>0</v>
      </c>
    </row>
    <row r="89" spans="3:26" x14ac:dyDescent="0.25">
      <c r="C89" s="113">
        <f>D89/180+1</f>
        <v>1.0833333333333333</v>
      </c>
      <c r="D89" s="142">
        <v>15</v>
      </c>
      <c r="E89" s="142"/>
      <c r="F89" s="142">
        <v>13.8</v>
      </c>
      <c r="G89" s="142">
        <v>0.77800000000000002</v>
      </c>
      <c r="H89" s="142">
        <v>3900</v>
      </c>
      <c r="I89" s="143"/>
      <c r="J89" s="142"/>
      <c r="K89" s="2">
        <f t="shared" ref="K89:K102" si="83">F89*G89</f>
        <v>10.736400000000001</v>
      </c>
      <c r="L89" s="1">
        <f t="shared" si="73"/>
        <v>15</v>
      </c>
      <c r="M89" s="1">
        <f t="shared" si="74"/>
        <v>2.7080502011022101</v>
      </c>
      <c r="N89" s="3">
        <f t="shared" si="75"/>
        <v>256.41025641025641</v>
      </c>
      <c r="O89" s="3"/>
      <c r="P89" s="3">
        <f t="shared" si="76"/>
        <v>15384.615384615385</v>
      </c>
      <c r="Q89" s="3">
        <f t="shared" si="77"/>
        <v>0</v>
      </c>
      <c r="R89" s="3">
        <f t="shared" si="78"/>
        <v>33.386752136752136</v>
      </c>
      <c r="S89" s="3">
        <f t="shared" si="79"/>
        <v>0</v>
      </c>
      <c r="T89" s="3">
        <f t="shared" si="80"/>
        <v>15</v>
      </c>
      <c r="U89" s="4">
        <f t="shared" si="81"/>
        <v>10.736400000000001</v>
      </c>
      <c r="V89" s="4"/>
      <c r="W89">
        <f t="shared" ref="W89:W102" si="84">U89*0.001341022</f>
        <v>1.4397748600800004E-2</v>
      </c>
      <c r="X89" s="127">
        <f t="shared" ref="X89:X102" si="85">$W89/$P89*5252</f>
        <v>4.9151034173411049E-3</v>
      </c>
      <c r="Y89" s="127">
        <f t="shared" ref="Y89:Y102" si="86">X89-$X$88</f>
        <v>3.5845674991758555E-4</v>
      </c>
      <c r="Z89">
        <f t="shared" si="82"/>
        <v>-1.1649844372321531E-8</v>
      </c>
    </row>
    <row r="90" spans="3:26" x14ac:dyDescent="0.25">
      <c r="C90" s="113">
        <f>D90/180+1</f>
        <v>1.1111111111111112</v>
      </c>
      <c r="D90" s="142">
        <v>20</v>
      </c>
      <c r="E90" s="142"/>
      <c r="F90" s="142">
        <v>13.78</v>
      </c>
      <c r="G90" s="142">
        <v>1.04</v>
      </c>
      <c r="H90" s="142">
        <v>3260</v>
      </c>
      <c r="I90" s="143"/>
      <c r="J90" s="142"/>
      <c r="K90" s="2">
        <f t="shared" si="83"/>
        <v>14.331199999999999</v>
      </c>
      <c r="L90" s="1">
        <f t="shared" si="73"/>
        <v>20</v>
      </c>
      <c r="M90" s="1">
        <f t="shared" si="74"/>
        <v>2.9957322735539909</v>
      </c>
      <c r="N90" s="3">
        <f t="shared" si="75"/>
        <v>306.74846625766872</v>
      </c>
      <c r="O90" s="3"/>
      <c r="P90" s="3">
        <f t="shared" si="76"/>
        <v>18404.907975460123</v>
      </c>
      <c r="Q90" s="3">
        <f t="shared" si="77"/>
        <v>0</v>
      </c>
      <c r="R90" s="3">
        <f t="shared" si="78"/>
        <v>39.941206543967276</v>
      </c>
      <c r="S90" s="3">
        <f t="shared" si="79"/>
        <v>0</v>
      </c>
      <c r="T90" s="3">
        <f t="shared" si="80"/>
        <v>20</v>
      </c>
      <c r="U90" s="4">
        <f t="shared" si="81"/>
        <v>14.331199999999999</v>
      </c>
      <c r="V90" s="4"/>
      <c r="W90">
        <f t="shared" si="84"/>
        <v>1.92184544864E-2</v>
      </c>
      <c r="X90" s="127">
        <f t="shared" si="85"/>
        <v>5.4841525476331228E-3</v>
      </c>
      <c r="Y90" s="127">
        <f t="shared" si="86"/>
        <v>9.2750588020960346E-4</v>
      </c>
      <c r="Z90">
        <f t="shared" si="82"/>
        <v>-2.519724307902756E-8</v>
      </c>
    </row>
    <row r="91" spans="3:26" x14ac:dyDescent="0.25">
      <c r="C91" s="113">
        <f t="shared" ref="C91:C102" si="87">D91/180+1</f>
        <v>1.1388888888888888</v>
      </c>
      <c r="D91" s="142">
        <v>25</v>
      </c>
      <c r="E91" s="142"/>
      <c r="F91" s="142">
        <v>13.76</v>
      </c>
      <c r="G91" s="142">
        <v>1.363</v>
      </c>
      <c r="H91" s="142">
        <v>2870</v>
      </c>
      <c r="I91" s="142"/>
      <c r="J91" s="142"/>
      <c r="K91" s="2">
        <f t="shared" si="83"/>
        <v>18.75488</v>
      </c>
      <c r="L91" s="1">
        <f t="shared" si="73"/>
        <v>25</v>
      </c>
      <c r="M91" s="1">
        <f t="shared" si="74"/>
        <v>3.2188758248682006</v>
      </c>
      <c r="N91" s="3">
        <f t="shared" si="75"/>
        <v>348.43205574912895</v>
      </c>
      <c r="O91" s="3"/>
      <c r="P91" s="3">
        <f t="shared" si="76"/>
        <v>20905.923344947736</v>
      </c>
      <c r="Q91" s="3">
        <f t="shared" si="77"/>
        <v>0</v>
      </c>
      <c r="R91" s="3">
        <f t="shared" si="78"/>
        <v>45.368757259001164</v>
      </c>
      <c r="S91" s="3">
        <f t="shared" si="79"/>
        <v>0</v>
      </c>
      <c r="T91" s="3">
        <f t="shared" si="80"/>
        <v>25</v>
      </c>
      <c r="U91" s="4">
        <f t="shared" si="81"/>
        <v>18.75488</v>
      </c>
      <c r="V91" s="4"/>
      <c r="W91">
        <f t="shared" si="84"/>
        <v>2.5150706687360001E-2</v>
      </c>
      <c r="X91" s="127">
        <f t="shared" si="85"/>
        <v>6.3183773011363711E-3</v>
      </c>
      <c r="Y91" s="127">
        <f t="shared" si="86"/>
        <v>1.7617306337128517E-3</v>
      </c>
      <c r="Z91">
        <f t="shared" si="82"/>
        <v>-4.21347243229657E-8</v>
      </c>
    </row>
    <row r="92" spans="3:26" x14ac:dyDescent="0.25">
      <c r="C92" s="113">
        <f t="shared" si="87"/>
        <v>1.1666666666666667</v>
      </c>
      <c r="D92" s="142">
        <v>30</v>
      </c>
      <c r="E92" s="142"/>
      <c r="F92" s="142">
        <v>13.74</v>
      </c>
      <c r="G92" s="142">
        <v>1.67</v>
      </c>
      <c r="H92" s="142">
        <v>2640</v>
      </c>
      <c r="I92" s="142"/>
      <c r="J92" s="142"/>
      <c r="K92" s="2">
        <f t="shared" si="83"/>
        <v>22.945799999999998</v>
      </c>
      <c r="L92" s="1">
        <f t="shared" si="73"/>
        <v>30</v>
      </c>
      <c r="M92" s="1">
        <f t="shared" si="74"/>
        <v>3.4011973816621555</v>
      </c>
      <c r="N92" s="3">
        <f t="shared" si="75"/>
        <v>378.78787878787881</v>
      </c>
      <c r="O92" s="3"/>
      <c r="P92" s="3">
        <f t="shared" si="76"/>
        <v>22727.272727272728</v>
      </c>
      <c r="Q92" s="3">
        <f t="shared" si="77"/>
        <v>0</v>
      </c>
      <c r="R92" s="3">
        <f t="shared" si="78"/>
        <v>49.321338383838388</v>
      </c>
      <c r="S92" s="3">
        <f t="shared" si="79"/>
        <v>0</v>
      </c>
      <c r="T92" s="3">
        <f t="shared" si="80"/>
        <v>30</v>
      </c>
      <c r="U92" s="4">
        <f t="shared" si="81"/>
        <v>22.945799999999998</v>
      </c>
      <c r="V92" s="4"/>
      <c r="W92">
        <f t="shared" si="84"/>
        <v>3.0770822607600001E-2</v>
      </c>
      <c r="X92" s="127">
        <f t="shared" si="85"/>
        <v>7.1107678547450686E-3</v>
      </c>
      <c r="Y92" s="127">
        <f t="shared" si="86"/>
        <v>2.5541211873215492E-3</v>
      </c>
      <c r="Z92">
        <f t="shared" si="82"/>
        <v>-5.6190666121074085E-8</v>
      </c>
    </row>
    <row r="93" spans="3:26" x14ac:dyDescent="0.25">
      <c r="C93" s="113">
        <f t="shared" si="87"/>
        <v>1.1944444444444444</v>
      </c>
      <c r="D93" s="142">
        <v>35</v>
      </c>
      <c r="E93" s="142"/>
      <c r="F93" s="142">
        <v>13.72</v>
      </c>
      <c r="G93" s="142">
        <v>2.0550000000000002</v>
      </c>
      <c r="H93" s="142">
        <v>2400</v>
      </c>
      <c r="I93" s="142"/>
      <c r="J93" s="142"/>
      <c r="K93" s="2">
        <f t="shared" si="83"/>
        <v>28.194600000000005</v>
      </c>
      <c r="L93" s="1">
        <f t="shared" si="73"/>
        <v>35</v>
      </c>
      <c r="M93" s="1">
        <f t="shared" si="74"/>
        <v>3.5553480614894135</v>
      </c>
      <c r="N93" s="3">
        <f t="shared" si="75"/>
        <v>416.66666666666669</v>
      </c>
      <c r="O93" s="3"/>
      <c r="P93" s="3">
        <f t="shared" si="76"/>
        <v>25000</v>
      </c>
      <c r="Q93" s="3">
        <f t="shared" si="77"/>
        <v>0</v>
      </c>
      <c r="R93" s="3">
        <f t="shared" si="78"/>
        <v>54.253472222222221</v>
      </c>
      <c r="S93" s="3">
        <f t="shared" si="79"/>
        <v>0</v>
      </c>
      <c r="T93" s="3">
        <f t="shared" si="80"/>
        <v>35</v>
      </c>
      <c r="U93" s="4">
        <f t="shared" si="81"/>
        <v>28.194600000000005</v>
      </c>
      <c r="V93" s="4"/>
      <c r="W93">
        <f t="shared" si="84"/>
        <v>3.7809578881200012E-2</v>
      </c>
      <c r="X93" s="127">
        <f t="shared" si="85"/>
        <v>7.9430363313624987E-3</v>
      </c>
      <c r="Y93" s="127">
        <f t="shared" si="86"/>
        <v>3.3863896639389794E-3</v>
      </c>
      <c r="Z93">
        <f t="shared" si="82"/>
        <v>-6.7727793278779586E-8</v>
      </c>
    </row>
    <row r="94" spans="3:26" x14ac:dyDescent="0.25">
      <c r="C94" s="113">
        <f t="shared" si="87"/>
        <v>1.2222222222222223</v>
      </c>
      <c r="D94" s="142">
        <v>40</v>
      </c>
      <c r="E94" s="142"/>
      <c r="F94" s="142">
        <v>13.7</v>
      </c>
      <c r="G94" s="142">
        <v>2.2999999999999998</v>
      </c>
      <c r="H94" s="142">
        <v>2250</v>
      </c>
      <c r="I94" s="142"/>
      <c r="J94" s="142"/>
      <c r="K94" s="2">
        <f t="shared" si="83"/>
        <v>31.509999999999994</v>
      </c>
      <c r="L94" s="1">
        <f t="shared" si="73"/>
        <v>40</v>
      </c>
      <c r="M94" s="1">
        <f t="shared" si="74"/>
        <v>3.6888794541139363</v>
      </c>
      <c r="N94" s="3">
        <f t="shared" si="75"/>
        <v>444.44444444444451</v>
      </c>
      <c r="O94" s="3"/>
      <c r="P94" s="3">
        <f t="shared" si="76"/>
        <v>26666.666666666672</v>
      </c>
      <c r="Q94" s="3">
        <f t="shared" si="77"/>
        <v>0</v>
      </c>
      <c r="R94" s="3">
        <f t="shared" si="78"/>
        <v>57.870370370370381</v>
      </c>
      <c r="S94" s="3">
        <f t="shared" si="79"/>
        <v>0</v>
      </c>
      <c r="T94" s="3">
        <f t="shared" si="80"/>
        <v>40</v>
      </c>
      <c r="U94" s="4">
        <f t="shared" si="81"/>
        <v>31.509999999999994</v>
      </c>
      <c r="V94" s="4"/>
      <c r="W94">
        <f t="shared" si="84"/>
        <v>4.2255603219999993E-2</v>
      </c>
      <c r="X94" s="127">
        <f t="shared" si="85"/>
        <v>8.3222410541789974E-3</v>
      </c>
      <c r="Y94" s="127">
        <f t="shared" si="86"/>
        <v>3.765594386755478E-3</v>
      </c>
      <c r="Z94">
        <f t="shared" si="82"/>
        <v>-7.0604894751665205E-8</v>
      </c>
    </row>
    <row r="95" spans="3:26" x14ac:dyDescent="0.25">
      <c r="C95" s="113">
        <f t="shared" si="87"/>
        <v>1.2777777777777777</v>
      </c>
      <c r="D95" s="142">
        <v>50</v>
      </c>
      <c r="E95" s="142"/>
      <c r="F95" s="142">
        <v>13.65</v>
      </c>
      <c r="G95" s="142">
        <v>3.02</v>
      </c>
      <c r="H95" s="142">
        <v>2010</v>
      </c>
      <c r="I95" s="142"/>
      <c r="J95" s="142"/>
      <c r="K95" s="2">
        <f t="shared" si="83"/>
        <v>41.222999999999999</v>
      </c>
      <c r="L95" s="1">
        <f t="shared" si="73"/>
        <v>50</v>
      </c>
      <c r="M95" s="1">
        <f t="shared" si="74"/>
        <v>3.912023005428146</v>
      </c>
      <c r="N95" s="3">
        <f t="shared" si="75"/>
        <v>497.51243781094524</v>
      </c>
      <c r="O95" s="3"/>
      <c r="P95" s="3">
        <f t="shared" si="76"/>
        <v>29850.746268656716</v>
      </c>
      <c r="Q95" s="3">
        <f t="shared" si="77"/>
        <v>0</v>
      </c>
      <c r="R95" s="3">
        <f t="shared" si="78"/>
        <v>64.780265339966832</v>
      </c>
      <c r="S95" s="3">
        <f t="shared" si="79"/>
        <v>0</v>
      </c>
      <c r="T95" s="3">
        <f t="shared" si="80"/>
        <v>50</v>
      </c>
      <c r="U95" s="4">
        <f t="shared" si="81"/>
        <v>41.222999999999999</v>
      </c>
      <c r="V95" s="4"/>
      <c r="W95">
        <f t="shared" si="84"/>
        <v>5.5280949906E-2</v>
      </c>
      <c r="X95" s="127">
        <f t="shared" si="85"/>
        <v>9.7262408883614527E-3</v>
      </c>
      <c r="Y95" s="127">
        <f t="shared" si="86"/>
        <v>5.1695942209379333E-3</v>
      </c>
      <c r="Z95">
        <f t="shared" si="82"/>
        <v>-8.6590703200710378E-8</v>
      </c>
    </row>
    <row r="96" spans="3:26" x14ac:dyDescent="0.25">
      <c r="C96" s="113">
        <f t="shared" si="87"/>
        <v>1.3333333333333333</v>
      </c>
      <c r="D96" s="142">
        <v>60</v>
      </c>
      <c r="E96" s="142"/>
      <c r="F96" s="142">
        <v>13.6</v>
      </c>
      <c r="G96" s="142">
        <v>3.81</v>
      </c>
      <c r="H96" s="142">
        <v>1880</v>
      </c>
      <c r="I96" s="142"/>
      <c r="J96" s="142"/>
      <c r="K96" s="2">
        <f t="shared" si="83"/>
        <v>51.816000000000003</v>
      </c>
      <c r="L96" s="1">
        <f t="shared" si="73"/>
        <v>60</v>
      </c>
      <c r="M96" s="1">
        <f t="shared" si="74"/>
        <v>4.0943445622221004</v>
      </c>
      <c r="N96" s="3">
        <f t="shared" si="75"/>
        <v>531.91489361702133</v>
      </c>
      <c r="O96" s="3"/>
      <c r="P96" s="3">
        <f t="shared" si="76"/>
        <v>31914.89361702128</v>
      </c>
      <c r="Q96" s="3">
        <f t="shared" si="77"/>
        <v>0</v>
      </c>
      <c r="R96" s="3">
        <f t="shared" si="78"/>
        <v>69.259751773049643</v>
      </c>
      <c r="S96" s="3">
        <f t="shared" si="79"/>
        <v>0</v>
      </c>
      <c r="T96" s="3">
        <f t="shared" si="80"/>
        <v>60</v>
      </c>
      <c r="U96" s="4">
        <f t="shared" si="81"/>
        <v>51.816000000000003</v>
      </c>
      <c r="V96" s="4"/>
      <c r="W96">
        <f t="shared" si="84"/>
        <v>6.9486395952000013E-2</v>
      </c>
      <c r="X96" s="127">
        <f t="shared" si="85"/>
        <v>1.1434866614916992E-2</v>
      </c>
      <c r="Y96" s="127">
        <f t="shared" si="86"/>
        <v>6.8782199474934731E-3</v>
      </c>
      <c r="Z96">
        <f t="shared" si="82"/>
        <v>-1.0775877917739773E-7</v>
      </c>
    </row>
    <row r="97" spans="3:26" x14ac:dyDescent="0.25">
      <c r="C97" s="113">
        <f t="shared" si="87"/>
        <v>1.4166666666666667</v>
      </c>
      <c r="D97" s="142">
        <v>75</v>
      </c>
      <c r="E97" s="142"/>
      <c r="F97" s="142">
        <v>13.54</v>
      </c>
      <c r="G97" s="142">
        <v>4.91</v>
      </c>
      <c r="H97" s="142">
        <v>1630</v>
      </c>
      <c r="I97" s="142"/>
      <c r="J97" s="142"/>
      <c r="K97" s="2">
        <f t="shared" si="83"/>
        <v>66.481399999999994</v>
      </c>
      <c r="L97" s="1">
        <f t="shared" si="73"/>
        <v>75</v>
      </c>
      <c r="M97" s="1">
        <f t="shared" si="74"/>
        <v>4.3174881135363101</v>
      </c>
      <c r="N97" s="3">
        <f t="shared" si="75"/>
        <v>613.49693251533745</v>
      </c>
      <c r="O97" s="3"/>
      <c r="P97" s="3">
        <f t="shared" si="76"/>
        <v>36809.815950920245</v>
      </c>
      <c r="Q97" s="3">
        <f t="shared" si="77"/>
        <v>0</v>
      </c>
      <c r="R97" s="3">
        <f t="shared" si="78"/>
        <v>79.882413087934552</v>
      </c>
      <c r="S97" s="3">
        <f t="shared" si="79"/>
        <v>0</v>
      </c>
      <c r="T97" s="3">
        <f t="shared" si="80"/>
        <v>75</v>
      </c>
      <c r="U97" s="4">
        <f t="shared" si="81"/>
        <v>66.481399999999994</v>
      </c>
      <c r="V97" s="4"/>
      <c r="W97">
        <f t="shared" si="84"/>
        <v>8.9153019990799998E-2</v>
      </c>
      <c r="X97" s="127">
        <f t="shared" si="85"/>
        <v>1.2720293456940682E-2</v>
      </c>
      <c r="Y97" s="127">
        <f t="shared" si="86"/>
        <v>8.1636467895171635E-3</v>
      </c>
      <c r="Z97">
        <f t="shared" si="82"/>
        <v>-1.1088953555760814E-7</v>
      </c>
    </row>
    <row r="98" spans="3:26" x14ac:dyDescent="0.25">
      <c r="C98" s="113">
        <f t="shared" si="87"/>
        <v>1.5</v>
      </c>
      <c r="D98" s="142">
        <v>90</v>
      </c>
      <c r="E98" s="142"/>
      <c r="F98" s="142">
        <v>13.47</v>
      </c>
      <c r="G98" s="142">
        <v>6</v>
      </c>
      <c r="H98" s="142">
        <v>1520</v>
      </c>
      <c r="I98" s="142"/>
      <c r="J98" s="142"/>
      <c r="K98" s="2">
        <f t="shared" si="83"/>
        <v>80.820000000000007</v>
      </c>
      <c r="L98" s="1">
        <f t="shared" si="73"/>
        <v>90</v>
      </c>
      <c r="M98" s="1">
        <f t="shared" si="74"/>
        <v>4.499809670330265</v>
      </c>
      <c r="N98" s="3">
        <f t="shared" si="75"/>
        <v>657.89473684210532</v>
      </c>
      <c r="O98" s="3"/>
      <c r="P98" s="3">
        <f t="shared" si="76"/>
        <v>39473.68421052632</v>
      </c>
      <c r="Q98" s="3">
        <f t="shared" si="77"/>
        <v>0</v>
      </c>
      <c r="R98" s="3">
        <f t="shared" si="78"/>
        <v>85.663377192982466</v>
      </c>
      <c r="S98" s="3">
        <f t="shared" si="79"/>
        <v>0</v>
      </c>
      <c r="T98" s="3">
        <f t="shared" si="80"/>
        <v>90</v>
      </c>
      <c r="U98" s="4">
        <f t="shared" si="81"/>
        <v>80.820000000000007</v>
      </c>
      <c r="V98" s="4"/>
      <c r="W98">
        <f t="shared" si="84"/>
        <v>0.10838139804000002</v>
      </c>
      <c r="X98" s="127">
        <f t="shared" si="85"/>
        <v>1.4420217263487361E-2</v>
      </c>
      <c r="Y98" s="127">
        <f t="shared" si="86"/>
        <v>9.8635705960638427E-3</v>
      </c>
      <c r="Z98">
        <f t="shared" si="82"/>
        <v>-1.2493856088347532E-7</v>
      </c>
    </row>
    <row r="99" spans="3:26" x14ac:dyDescent="0.25">
      <c r="C99" s="113">
        <f t="shared" si="87"/>
        <v>1.6055555555555556</v>
      </c>
      <c r="D99" s="142">
        <v>109</v>
      </c>
      <c r="E99" s="142"/>
      <c r="F99" s="142">
        <v>13.38</v>
      </c>
      <c r="G99" s="142">
        <v>7.4</v>
      </c>
      <c r="H99" s="142">
        <v>1390</v>
      </c>
      <c r="I99" s="142"/>
      <c r="J99" s="142"/>
      <c r="K99" s="2">
        <f t="shared" si="83"/>
        <v>99.012000000000015</v>
      </c>
      <c r="L99" s="1">
        <f t="shared" si="73"/>
        <v>109</v>
      </c>
      <c r="M99" s="1">
        <f t="shared" si="74"/>
        <v>4.6913478822291435</v>
      </c>
      <c r="N99" s="3">
        <f t="shared" si="75"/>
        <v>719.42446043165478</v>
      </c>
      <c r="O99" s="3"/>
      <c r="P99" s="3">
        <f t="shared" si="76"/>
        <v>43165.467625899284</v>
      </c>
      <c r="Q99" s="3">
        <f t="shared" si="77"/>
        <v>0</v>
      </c>
      <c r="R99" s="3">
        <f t="shared" si="78"/>
        <v>93.675059952038382</v>
      </c>
      <c r="S99" s="3">
        <f t="shared" si="79"/>
        <v>0</v>
      </c>
      <c r="T99" s="3">
        <f t="shared" si="80"/>
        <v>109</v>
      </c>
      <c r="U99" s="4">
        <f t="shared" si="81"/>
        <v>99.012000000000015</v>
      </c>
      <c r="V99" s="4"/>
      <c r="W99">
        <f t="shared" si="84"/>
        <v>0.13277727026400002</v>
      </c>
      <c r="X99" s="127">
        <f t="shared" si="85"/>
        <v>1.6155187509381233E-2</v>
      </c>
      <c r="Y99" s="127">
        <f t="shared" si="86"/>
        <v>1.1598540841957713E-2</v>
      </c>
      <c r="Z99">
        <f t="shared" si="82"/>
        <v>-1.3434976475267684E-7</v>
      </c>
    </row>
    <row r="100" spans="3:26" ht="15.75" thickBot="1" x14ac:dyDescent="0.3">
      <c r="C100" s="116">
        <f t="shared" si="87"/>
        <v>1.7222222222222223</v>
      </c>
      <c r="D100" s="142">
        <v>130</v>
      </c>
      <c r="E100" s="142"/>
      <c r="F100" s="142">
        <v>13.29</v>
      </c>
      <c r="G100" s="142">
        <v>8.9</v>
      </c>
      <c r="H100" s="142">
        <v>1350</v>
      </c>
      <c r="I100" s="142"/>
      <c r="J100" s="142"/>
      <c r="K100" s="2">
        <f t="shared" si="83"/>
        <v>118.28099999999999</v>
      </c>
      <c r="L100" s="1">
        <f t="shared" si="73"/>
        <v>130</v>
      </c>
      <c r="M100" s="1">
        <f t="shared" si="74"/>
        <v>4.8675344504555822</v>
      </c>
      <c r="N100" s="3">
        <f t="shared" si="75"/>
        <v>740.74074074074076</v>
      </c>
      <c r="O100" s="3"/>
      <c r="P100" s="3">
        <f t="shared" si="76"/>
        <v>44444.444444444445</v>
      </c>
      <c r="Q100" s="3">
        <f t="shared" si="77"/>
        <v>0</v>
      </c>
      <c r="R100" s="3">
        <f t="shared" si="78"/>
        <v>96.450617283950621</v>
      </c>
      <c r="S100" s="3">
        <f t="shared" si="79"/>
        <v>0</v>
      </c>
      <c r="T100" s="3">
        <f t="shared" si="80"/>
        <v>130</v>
      </c>
      <c r="U100" s="4">
        <f t="shared" si="81"/>
        <v>118.28099999999999</v>
      </c>
      <c r="V100" s="4"/>
      <c r="W100">
        <f t="shared" si="84"/>
        <v>0.15861742318200001</v>
      </c>
      <c r="X100" s="127">
        <f t="shared" si="85"/>
        <v>1.8743820897416941E-2</v>
      </c>
      <c r="Y100" s="127">
        <f t="shared" si="86"/>
        <v>1.418717422999342E-2</v>
      </c>
      <c r="Z100">
        <f t="shared" si="82"/>
        <v>-1.5960571008742599E-7</v>
      </c>
    </row>
    <row r="101" spans="3:26" x14ac:dyDescent="0.25">
      <c r="C101" s="144">
        <f t="shared" si="87"/>
        <v>1.8444444444444446</v>
      </c>
      <c r="D101" s="142">
        <v>152</v>
      </c>
      <c r="E101" s="142"/>
      <c r="F101" s="142">
        <v>13.1</v>
      </c>
      <c r="G101" s="142">
        <v>11.64</v>
      </c>
      <c r="H101" s="142">
        <v>1280</v>
      </c>
      <c r="I101" s="142"/>
      <c r="J101" s="142"/>
      <c r="K101" s="1">
        <f t="shared" si="83"/>
        <v>152.48400000000001</v>
      </c>
      <c r="L101" s="1">
        <f t="shared" si="73"/>
        <v>152</v>
      </c>
      <c r="M101" s="1">
        <f t="shared" si="74"/>
        <v>5.0238805208462765</v>
      </c>
      <c r="N101" s="1">
        <f t="shared" si="75"/>
        <v>781.25000000000011</v>
      </c>
      <c r="P101" s="1">
        <f>N101*60/$Y$29</f>
        <v>46875.000000000007</v>
      </c>
      <c r="R101" s="1">
        <f>P101/$Y$40*100</f>
        <v>101.72526041666667</v>
      </c>
      <c r="T101" s="1">
        <f t="shared" si="80"/>
        <v>152</v>
      </c>
      <c r="U101" s="4">
        <f t="shared" si="81"/>
        <v>152.48400000000001</v>
      </c>
      <c r="V101" s="4"/>
      <c r="W101">
        <f t="shared" si="84"/>
        <v>0.20448439864800003</v>
      </c>
      <c r="X101" s="127">
        <f t="shared" si="85"/>
        <v>2.2910977316251649E-2</v>
      </c>
      <c r="Y101" s="127">
        <f t="shared" si="86"/>
        <v>1.8354330648828129E-2</v>
      </c>
      <c r="Z101">
        <f t="shared" si="82"/>
        <v>-1.9577952692083334E-7</v>
      </c>
    </row>
    <row r="102" spans="3:26" x14ac:dyDescent="0.25">
      <c r="C102" s="144">
        <f t="shared" si="87"/>
        <v>1.911111111111111</v>
      </c>
      <c r="D102" s="142">
        <v>164</v>
      </c>
      <c r="E102" s="142"/>
      <c r="F102" s="142">
        <v>12.93</v>
      </c>
      <c r="G102" s="142">
        <v>14.16</v>
      </c>
      <c r="H102" s="142">
        <v>1236</v>
      </c>
      <c r="I102" s="142"/>
      <c r="J102" s="142"/>
      <c r="K102" s="1">
        <f t="shared" si="83"/>
        <v>183.08879999999999</v>
      </c>
      <c r="L102" s="1">
        <f t="shared" si="73"/>
        <v>164</v>
      </c>
      <c r="M102" s="1">
        <f t="shared" si="74"/>
        <v>5.0998664278241987</v>
      </c>
      <c r="N102" s="1">
        <f t="shared" si="75"/>
        <v>809.06148867313925</v>
      </c>
      <c r="P102" s="1">
        <f>N102*60/$Y$29</f>
        <v>48543.689320388352</v>
      </c>
      <c r="R102" s="1">
        <f>P102/$Y$40*100</f>
        <v>105.346548004315</v>
      </c>
      <c r="T102" s="1">
        <f t="shared" si="80"/>
        <v>164</v>
      </c>
      <c r="U102" s="4">
        <f t="shared" si="81"/>
        <v>183.08879999999999</v>
      </c>
      <c r="V102" s="4"/>
      <c r="W102">
        <f t="shared" si="84"/>
        <v>0.24552610875360001</v>
      </c>
      <c r="X102" s="127">
        <f t="shared" si="85"/>
        <v>2.6563764337382487E-2</v>
      </c>
      <c r="Y102" s="127">
        <f t="shared" si="86"/>
        <v>2.2007117669958966E-2</v>
      </c>
      <c r="Z102">
        <f t="shared" si="82"/>
        <v>-2.2667331200057733E-7</v>
      </c>
    </row>
    <row r="103" spans="3:26" x14ac:dyDescent="0.25">
      <c r="X103" s="127"/>
    </row>
    <row r="104" spans="3:26" x14ac:dyDescent="0.25">
      <c r="X104" s="12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I1" sqref="I1"/>
    </sheetView>
  </sheetViews>
  <sheetFormatPr defaultRowHeight="15" x14ac:dyDescent="0.25"/>
  <cols>
    <col min="5" max="5" width="13.85546875" bestFit="1" customWidth="1"/>
    <col min="6" max="6" width="13.7109375" bestFit="1" customWidth="1"/>
    <col min="7" max="7" width="13.140625" bestFit="1" customWidth="1"/>
    <col min="8" max="8" width="13.7109375" bestFit="1" customWidth="1"/>
    <col min="9" max="10" width="13.7109375" customWidth="1"/>
    <col min="11" max="11" width="10.7109375" customWidth="1"/>
    <col min="12" max="12" width="9.85546875" bestFit="1" customWidth="1"/>
    <col min="13" max="13" width="10.42578125" customWidth="1"/>
    <col min="16" max="16" width="11.85546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M1" workbookViewId="0">
      <pane ySplit="1" topLeftCell="A23" activePane="bottomLeft" state="frozen"/>
      <selection pane="bottomLeft" activeCell="V8" sqref="V8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6" width="6.2851562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2" width="5.140625" style="1" customWidth="1"/>
    <col min="13" max="13" width="6.7109375" style="1" customWidth="1"/>
    <col min="14" max="14" width="4.7109375" style="1" customWidth="1"/>
    <col min="15" max="15" width="7.28515625" style="1" bestFit="1" customWidth="1"/>
    <col min="16" max="17" width="6.28515625" style="1" customWidth="1"/>
    <col min="18" max="18" width="4.28515625" style="1" customWidth="1"/>
    <col min="19" max="19" width="8" style="1" customWidth="1"/>
    <col min="20" max="20" width="7.7109375" customWidth="1"/>
    <col min="22" max="22" width="9.85546875" bestFit="1" customWidth="1"/>
    <col min="23" max="23" width="10.7109375" customWidth="1"/>
    <col min="24" max="24" width="6.5703125" bestFit="1" customWidth="1"/>
    <col min="25" max="26" width="9.7109375" customWidth="1"/>
    <col min="27" max="27" width="7.85546875" customWidth="1"/>
    <col min="28" max="32" width="10" customWidth="1"/>
    <col min="33" max="34" width="11.5703125" customWidth="1"/>
    <col min="35" max="35" width="8.7109375" customWidth="1"/>
    <col min="36" max="36" width="11.5703125" bestFit="1" customWidth="1"/>
    <col min="37" max="37" width="9.710937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ht="14.45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ht="14.45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ht="14.45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" customHeight="1" x14ac:dyDescent="0.3"/>
    <row r="16" spans="1:49" ht="13.9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ht="14.45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5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ht="14.45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ht="14.45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ht="14.45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ht="14.45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ht="14.45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9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25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25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25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25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.75" thickBot="1" x14ac:dyDescent="0.3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.75" thickBot="1" x14ac:dyDescent="0.3">
      <c r="V50" t="s">
        <v>38</v>
      </c>
    </row>
    <row r="51" spans="22:27" x14ac:dyDescent="0.25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25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25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25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25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25">
      <c r="V56" s="19"/>
      <c r="W56" s="30"/>
      <c r="X56" s="30"/>
      <c r="Y56" s="30"/>
      <c r="Z56" s="31"/>
    </row>
    <row r="57" spans="22:27" ht="15.75" thickBot="1" x14ac:dyDescent="0.3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.75" thickBot="1" x14ac:dyDescent="0.3"/>
    <row r="59" spans="22:27" x14ac:dyDescent="0.25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25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.75" thickBot="1" x14ac:dyDescent="0.3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I2" sqref="I2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5" width="5.7109375" style="1" bestFit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6.7109375" style="1" customWidth="1"/>
    <col min="13" max="13" width="4.7109375" style="1" customWidth="1"/>
    <col min="14" max="14" width="7.28515625" style="1" bestFit="1" customWidth="1"/>
    <col min="15" max="16" width="6.28515625" style="1" customWidth="1"/>
    <col min="17" max="17" width="4.28515625" style="1" customWidth="1"/>
    <col min="18" max="18" width="7.7109375" style="1" customWidth="1"/>
    <col min="19" max="19" width="8" style="1" customWidth="1"/>
    <col min="20" max="20" width="6.28515625" style="1" customWidth="1"/>
    <col min="21" max="21" width="8.140625" style="1" bestFit="1" customWidth="1"/>
    <col min="22" max="23" width="6.140625" customWidth="1"/>
    <col min="24" max="24" width="5.85546875" customWidth="1"/>
    <col min="26" max="26" width="9.85546875" bestFit="1" customWidth="1"/>
    <col min="27" max="27" width="10.7109375" customWidth="1"/>
    <col min="28" max="28" width="6.5703125" bestFit="1" customWidth="1"/>
    <col min="29" max="30" width="9.7109375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ht="14.45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" customHeight="1" x14ac:dyDescent="0.3">
      <c r="V11" s="3">
        <f>D11*D11*$AA$35+D11*$AA$36+$AA$37</f>
        <v>0</v>
      </c>
      <c r="W11" s="3"/>
    </row>
    <row r="12" spans="1:32" ht="13.9" customHeight="1" x14ac:dyDescent="0.3"/>
    <row r="13" spans="1:32" ht="13.9" customHeight="1" x14ac:dyDescent="0.3"/>
    <row r="14" spans="1:32" ht="13.9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ht="14.45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ht="14.45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25">
      <c r="AG25" s="65" t="s">
        <v>27</v>
      </c>
      <c r="AH25" s="66">
        <f>AA24/100</f>
        <v>221.53846153846152</v>
      </c>
      <c r="AI25" s="30"/>
      <c r="AJ25" s="31"/>
    </row>
    <row r="26" spans="1:36" ht="15.75" thickBot="1" x14ac:dyDescent="0.3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30" x14ac:dyDescent="0.25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25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25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25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25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.75" thickBot="1" x14ac:dyDescent="0.3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25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.75" thickBot="1" x14ac:dyDescent="0.3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25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25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.75" thickBot="1" x14ac:dyDescent="0.3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25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.75" thickBot="1" x14ac:dyDescent="0.3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5" x14ac:dyDescent="0.25"/>
  <cols>
    <col min="2" max="2" width="6" customWidth="1"/>
    <col min="3" max="3" width="6.85546875" style="1" customWidth="1"/>
    <col min="4" max="4" width="6.42578125" style="1" customWidth="1"/>
    <col min="5" max="5" width="6.28515625" style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7.28515625" style="1" bestFit="1" customWidth="1"/>
    <col min="13" max="13" width="4.28515625" style="1" customWidth="1"/>
    <col min="14" max="14" width="7.28515625" style="1" bestFit="1" customWidth="1"/>
    <col min="15" max="16" width="6.28515625" style="1" customWidth="1"/>
    <col min="17" max="17" width="10.5703125" style="1" customWidth="1"/>
    <col min="18" max="19" width="7.7109375" style="1" customWidth="1"/>
    <col min="20" max="20" width="6.28515625" style="1" customWidth="1"/>
    <col min="21" max="21" width="8.140625" style="1" bestFit="1" customWidth="1"/>
    <col min="22" max="24" width="6.140625" customWidth="1"/>
    <col min="26" max="26" width="9.85546875" bestFit="1" customWidth="1"/>
    <col min="27" max="27" width="10.7109375" customWidth="1"/>
    <col min="28" max="28" width="6.5703125" bestFit="1" customWidth="1"/>
    <col min="29" max="29" width="9.7109375" customWidth="1"/>
    <col min="30" max="30" width="8.5703125" bestFit="1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9" ht="58.15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ht="14.45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" customHeight="1" x14ac:dyDescent="0.3"/>
    <row r="11" spans="1:39" ht="13.9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ht="14.45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ht="14.45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ht="14.45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30" x14ac:dyDescent="0.25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25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25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.75" thickBot="1" x14ac:dyDescent="0.3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25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.75" thickBot="1" x14ac:dyDescent="0.3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25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.75" thickBot="1" x14ac:dyDescent="0.3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25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25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.75" thickBot="1" x14ac:dyDescent="0.3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25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.75" thickBot="1" x14ac:dyDescent="0.3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Ard1_Turn1_ESC1_G1b_T1a</vt:lpstr>
      <vt:lpstr>Ard2_Turn2_ESC2_G2b_T2a</vt:lpstr>
      <vt:lpstr>Ard3_Turn3_ESC3_G3b_T3a</vt:lpstr>
      <vt:lpstr>Ard4_Turn4_ESC4_G4b_T4a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Ard2_Turn2_ESC2_G2b_T2a!Meas_TauT__s</vt:lpstr>
      <vt:lpstr>Ard3_Turn3_ESC3_G3b_T3a!Meas_TauT__s</vt:lpstr>
      <vt:lpstr>Ard4_Turn4_ESC4_G4b_T4a!Meas_TauT__s</vt:lpstr>
      <vt:lpstr>Meas_TauT__s</vt:lpstr>
      <vt:lpstr>Ard2_Turn2_ESC2_G2b_T2a!MeasNt</vt:lpstr>
      <vt:lpstr>Ard3_Turn3_ESC3_G3b_T3a!MeasNt</vt:lpstr>
      <vt:lpstr>Ard4_Turn4_ESC4_G4b_T4a!MeasNt</vt:lpstr>
      <vt:lpstr>MeasNt</vt:lpstr>
      <vt:lpstr>Ard2_Turn2_ESC2_G2b_T2a!MeasTauT</vt:lpstr>
      <vt:lpstr>Ard3_Turn3_ESC3_G3b_T3a!MeasTauT</vt:lpstr>
      <vt:lpstr>Ard4_Turn4_ESC4_G4b_T4a!MeasTauT</vt:lpstr>
      <vt:lpstr>MeasTauT</vt:lpstr>
      <vt:lpstr>Ard2_Turn2_ESC2_G2b_T2a!Nt</vt:lpstr>
      <vt:lpstr>Ard3_Turn3_ESC3_G3b_T3a!Nt</vt:lpstr>
      <vt:lpstr>Ard4_Turn4_ESC4_G4b_T4a!Nt</vt:lpstr>
      <vt:lpstr>Nt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2016-09-13T12:10:02Z</dcterms:created>
  <dcterms:modified xsi:type="dcterms:W3CDTF">2016-12-16T11:59:57Z</dcterms:modified>
</cp:coreProperties>
</file>