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2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5256" yWindow="1476" windowWidth="23040" windowHeight="9972"/>
  </bookViews>
  <sheets>
    <sheet name="CalPhotonTurnigy" sheetId="4" r:id="rId1"/>
    <sheet name="CalArduinoTurnigy" sheetId="3" r:id="rId2"/>
    <sheet name="CalArduinoHiTec" sheetId="1" r:id="rId3"/>
    <sheet name="CalPhotonHiTec" sheetId="2" r:id="rId4"/>
  </sheets>
  <calcPr calcId="152511"/>
</workbook>
</file>

<file path=xl/calcChain.xml><?xml version="1.0" encoding="utf-8"?>
<calcChain xmlns="http://schemas.openxmlformats.org/spreadsheetml/2006/main">
  <c r="AU14" i="4" l="1"/>
  <c r="AL7" i="4"/>
  <c r="AL8" i="4"/>
  <c r="AL9" i="4"/>
  <c r="AL10" i="4"/>
  <c r="AL11" i="4"/>
  <c r="AL12" i="4"/>
  <c r="AL13" i="4"/>
  <c r="AL14" i="4"/>
  <c r="AL6" i="4"/>
  <c r="AT6" i="4"/>
  <c r="AT7" i="4"/>
  <c r="AT8" i="4"/>
  <c r="AT9" i="4"/>
  <c r="AT10" i="4"/>
  <c r="AT11" i="4"/>
  <c r="AT12" i="4"/>
  <c r="AT13" i="4"/>
  <c r="AT14" i="4"/>
  <c r="AS7" i="4"/>
  <c r="AS8" i="4"/>
  <c r="AS9" i="4"/>
  <c r="AS10" i="4"/>
  <c r="AS11" i="4"/>
  <c r="AS12" i="4"/>
  <c r="AS13" i="4"/>
  <c r="AS14" i="4"/>
  <c r="AS6" i="4"/>
  <c r="AF41" i="4"/>
  <c r="AE41" i="4"/>
  <c r="AD41" i="4"/>
  <c r="AR6" i="4"/>
  <c r="AR7" i="4"/>
  <c r="AR8" i="4"/>
  <c r="AR9" i="4"/>
  <c r="AR10" i="4"/>
  <c r="AR11" i="4"/>
  <c r="AR12" i="4"/>
  <c r="AR13" i="4"/>
  <c r="AR14" i="4"/>
  <c r="AF61" i="4"/>
  <c r="AF60" i="4"/>
  <c r="AF59" i="4"/>
  <c r="Z5" i="4"/>
  <c r="Z6" i="4"/>
  <c r="Z7" i="4"/>
  <c r="Z8" i="4"/>
  <c r="Z9" i="4"/>
  <c r="Z10" i="4"/>
  <c r="Z11" i="4"/>
  <c r="Z12" i="4"/>
  <c r="Z13" i="4"/>
  <c r="Z4" i="4"/>
  <c r="Y6" i="4"/>
  <c r="Y7" i="4"/>
  <c r="Y8" i="4"/>
  <c r="Y9" i="4"/>
  <c r="Y10" i="4"/>
  <c r="Y11" i="4"/>
  <c r="Y12" i="4"/>
  <c r="Y13" i="4"/>
  <c r="AF39" i="4"/>
  <c r="AE39" i="4"/>
  <c r="AD39" i="4"/>
  <c r="AC61" i="4"/>
  <c r="AC60" i="4"/>
  <c r="AC59" i="4"/>
  <c r="M97" i="4" l="1"/>
  <c r="O97" i="4" s="1"/>
  <c r="Q97" i="4" s="1"/>
  <c r="K97" i="4"/>
  <c r="S97" i="4" s="1"/>
  <c r="J97" i="4"/>
  <c r="T97" i="4" s="1"/>
  <c r="U97" i="4" s="1"/>
  <c r="B97" i="4"/>
  <c r="M96" i="4"/>
  <c r="O96" i="4" s="1"/>
  <c r="Q96" i="4" s="1"/>
  <c r="K96" i="4"/>
  <c r="S96" i="4" s="1"/>
  <c r="J96" i="4"/>
  <c r="T96" i="4" s="1"/>
  <c r="U96" i="4" s="1"/>
  <c r="B96" i="4"/>
  <c r="N95" i="4"/>
  <c r="P95" i="4" s="1"/>
  <c r="R95" i="4" s="1"/>
  <c r="M95" i="4"/>
  <c r="O95" i="4" s="1"/>
  <c r="Q95" i="4" s="1"/>
  <c r="L95" i="4"/>
  <c r="K95" i="4"/>
  <c r="S95" i="4" s="1"/>
  <c r="J95" i="4"/>
  <c r="T95" i="4" s="1"/>
  <c r="U95" i="4" s="1"/>
  <c r="B95" i="4"/>
  <c r="N94" i="4"/>
  <c r="P94" i="4" s="1"/>
  <c r="R94" i="4" s="1"/>
  <c r="M94" i="4"/>
  <c r="O94" i="4" s="1"/>
  <c r="Q94" i="4" s="1"/>
  <c r="L94" i="4"/>
  <c r="K94" i="4"/>
  <c r="S94" i="4" s="1"/>
  <c r="J94" i="4"/>
  <c r="T94" i="4" s="1"/>
  <c r="U94" i="4" s="1"/>
  <c r="B94" i="4"/>
  <c r="N93" i="4"/>
  <c r="P93" i="4" s="1"/>
  <c r="R93" i="4" s="1"/>
  <c r="M93" i="4"/>
  <c r="O93" i="4" s="1"/>
  <c r="Q93" i="4" s="1"/>
  <c r="K93" i="4"/>
  <c r="L93" i="4" s="1"/>
  <c r="J93" i="4"/>
  <c r="T93" i="4" s="1"/>
  <c r="U93" i="4" s="1"/>
  <c r="B93" i="4"/>
  <c r="N92" i="4"/>
  <c r="P92" i="4" s="1"/>
  <c r="R92" i="4" s="1"/>
  <c r="M92" i="4"/>
  <c r="O92" i="4" s="1"/>
  <c r="Q92" i="4" s="1"/>
  <c r="K92" i="4"/>
  <c r="L92" i="4" s="1"/>
  <c r="J92" i="4"/>
  <c r="T92" i="4" s="1"/>
  <c r="U92" i="4" s="1"/>
  <c r="B92" i="4"/>
  <c r="N91" i="4"/>
  <c r="P91" i="4" s="1"/>
  <c r="R91" i="4" s="1"/>
  <c r="M91" i="4"/>
  <c r="O91" i="4" s="1"/>
  <c r="Q91" i="4" s="1"/>
  <c r="L91" i="4"/>
  <c r="K91" i="4"/>
  <c r="S91" i="4" s="1"/>
  <c r="J91" i="4"/>
  <c r="T91" i="4" s="1"/>
  <c r="U91" i="4" s="1"/>
  <c r="V91" i="4" s="1"/>
  <c r="W91" i="4" s="1"/>
  <c r="B91" i="4"/>
  <c r="S90" i="4"/>
  <c r="P90" i="4"/>
  <c r="R90" i="4" s="1"/>
  <c r="N90" i="4"/>
  <c r="M90" i="4"/>
  <c r="O90" i="4" s="1"/>
  <c r="Q90" i="4" s="1"/>
  <c r="K90" i="4"/>
  <c r="L90" i="4" s="1"/>
  <c r="J90" i="4"/>
  <c r="T90" i="4" s="1"/>
  <c r="U90" i="4" s="1"/>
  <c r="B90" i="4"/>
  <c r="O89" i="4"/>
  <c r="Q89" i="4" s="1"/>
  <c r="N89" i="4"/>
  <c r="P89" i="4" s="1"/>
  <c r="R89" i="4" s="1"/>
  <c r="M89" i="4"/>
  <c r="K89" i="4"/>
  <c r="L89" i="4" s="1"/>
  <c r="J89" i="4"/>
  <c r="T89" i="4" s="1"/>
  <c r="U89" i="4" s="1"/>
  <c r="B89" i="4"/>
  <c r="N88" i="4"/>
  <c r="P88" i="4" s="1"/>
  <c r="R88" i="4" s="1"/>
  <c r="M88" i="4"/>
  <c r="O88" i="4" s="1"/>
  <c r="Q88" i="4" s="1"/>
  <c r="K88" i="4"/>
  <c r="L88" i="4" s="1"/>
  <c r="J88" i="4"/>
  <c r="T88" i="4" s="1"/>
  <c r="U88" i="4" s="1"/>
  <c r="B88" i="4"/>
  <c r="N87" i="4"/>
  <c r="P87" i="4" s="1"/>
  <c r="R87" i="4" s="1"/>
  <c r="M87" i="4"/>
  <c r="O87" i="4" s="1"/>
  <c r="Q87" i="4" s="1"/>
  <c r="L87" i="4"/>
  <c r="K87" i="4"/>
  <c r="S87" i="4" s="1"/>
  <c r="J87" i="4"/>
  <c r="T87" i="4" s="1"/>
  <c r="U87" i="4" s="1"/>
  <c r="B87" i="4"/>
  <c r="P86" i="4"/>
  <c r="R86" i="4" s="1"/>
  <c r="O86" i="4"/>
  <c r="Q86" i="4" s="1"/>
  <c r="N86" i="4"/>
  <c r="M86" i="4"/>
  <c r="K86" i="4"/>
  <c r="S86" i="4" s="1"/>
  <c r="J86" i="4"/>
  <c r="T86" i="4" s="1"/>
  <c r="U86" i="4" s="1"/>
  <c r="B86" i="4"/>
  <c r="N85" i="4"/>
  <c r="P85" i="4" s="1"/>
  <c r="R85" i="4" s="1"/>
  <c r="M85" i="4"/>
  <c r="O85" i="4" s="1"/>
  <c r="Q85" i="4" s="1"/>
  <c r="K85" i="4"/>
  <c r="L85" i="4" s="1"/>
  <c r="J85" i="4"/>
  <c r="T85" i="4" s="1"/>
  <c r="U85" i="4" s="1"/>
  <c r="B85" i="4"/>
  <c r="N84" i="4"/>
  <c r="P84" i="4" s="1"/>
  <c r="R84" i="4" s="1"/>
  <c r="M84" i="4"/>
  <c r="O84" i="4" s="1"/>
  <c r="Q84" i="4" s="1"/>
  <c r="K84" i="4"/>
  <c r="L84" i="4" s="1"/>
  <c r="J84" i="4"/>
  <c r="T84" i="4" s="1"/>
  <c r="U84" i="4" s="1"/>
  <c r="B84" i="4"/>
  <c r="N83" i="4"/>
  <c r="P83" i="4" s="1"/>
  <c r="R83" i="4" s="1"/>
  <c r="M83" i="4"/>
  <c r="O83" i="4" s="1"/>
  <c r="Q83" i="4" s="1"/>
  <c r="L83" i="4"/>
  <c r="K83" i="4"/>
  <c r="S83" i="4" s="1"/>
  <c r="J83" i="4"/>
  <c r="T83" i="4" s="1"/>
  <c r="U83" i="4" s="1"/>
  <c r="B83" i="4"/>
  <c r="M79" i="4"/>
  <c r="O79" i="4"/>
  <c r="Q79" i="4"/>
  <c r="V79" i="4"/>
  <c r="W79" i="4" s="1"/>
  <c r="J79" i="4"/>
  <c r="T79" i="4" s="1"/>
  <c r="U79" i="4" s="1"/>
  <c r="B79" i="4"/>
  <c r="K79" i="4"/>
  <c r="L79" i="4"/>
  <c r="S79" i="4"/>
  <c r="M78" i="4"/>
  <c r="O78" i="4" s="1"/>
  <c r="J78" i="4"/>
  <c r="T78" i="4" s="1"/>
  <c r="U78" i="4" s="1"/>
  <c r="B78" i="4"/>
  <c r="K78" i="4"/>
  <c r="L78" i="4" s="1"/>
  <c r="S78" i="4"/>
  <c r="J66" i="4"/>
  <c r="K66" i="4"/>
  <c r="L66" i="4"/>
  <c r="M66" i="4"/>
  <c r="O66" i="4" s="1"/>
  <c r="Q66" i="4" s="1"/>
  <c r="N66" i="4"/>
  <c r="P66" i="4" s="1"/>
  <c r="R66" i="4" s="1"/>
  <c r="S66" i="4"/>
  <c r="T66" i="4"/>
  <c r="U66" i="4" s="1"/>
  <c r="J67" i="4"/>
  <c r="T67" i="4" s="1"/>
  <c r="U67" i="4" s="1"/>
  <c r="K67" i="4"/>
  <c r="L67" i="4" s="1"/>
  <c r="M67" i="4"/>
  <c r="N67" i="4"/>
  <c r="P67" i="4" s="1"/>
  <c r="R67" i="4" s="1"/>
  <c r="O67" i="4"/>
  <c r="Q67" i="4" s="1"/>
  <c r="S67" i="4"/>
  <c r="J68" i="4"/>
  <c r="T68" i="4" s="1"/>
  <c r="U68" i="4" s="1"/>
  <c r="K68" i="4"/>
  <c r="L68" i="4"/>
  <c r="M68" i="4"/>
  <c r="O68" i="4" s="1"/>
  <c r="Q68" i="4" s="1"/>
  <c r="N68" i="4"/>
  <c r="P68" i="4" s="1"/>
  <c r="R68" i="4" s="1"/>
  <c r="S68" i="4"/>
  <c r="J69" i="4"/>
  <c r="T69" i="4" s="1"/>
  <c r="U69" i="4" s="1"/>
  <c r="K69" i="4"/>
  <c r="L69" i="4" s="1"/>
  <c r="M69" i="4"/>
  <c r="O69" i="4" s="1"/>
  <c r="Q69" i="4" s="1"/>
  <c r="N69" i="4"/>
  <c r="P69" i="4" s="1"/>
  <c r="R69" i="4" s="1"/>
  <c r="S69" i="4"/>
  <c r="J70" i="4"/>
  <c r="K70" i="4"/>
  <c r="L70" i="4"/>
  <c r="M70" i="4"/>
  <c r="O70" i="4" s="1"/>
  <c r="Q70" i="4" s="1"/>
  <c r="N70" i="4"/>
  <c r="P70" i="4"/>
  <c r="R70" i="4" s="1"/>
  <c r="S70" i="4"/>
  <c r="T70" i="4"/>
  <c r="U70" i="4" s="1"/>
  <c r="J71" i="4"/>
  <c r="T71" i="4" s="1"/>
  <c r="U71" i="4" s="1"/>
  <c r="K71" i="4"/>
  <c r="L71" i="4" s="1"/>
  <c r="M71" i="4"/>
  <c r="O71" i="4" s="1"/>
  <c r="Q71" i="4" s="1"/>
  <c r="N71" i="4"/>
  <c r="P71" i="4" s="1"/>
  <c r="R71" i="4" s="1"/>
  <c r="J72" i="4"/>
  <c r="K72" i="4"/>
  <c r="L72" i="4"/>
  <c r="M72" i="4"/>
  <c r="O72" i="4" s="1"/>
  <c r="Q72" i="4" s="1"/>
  <c r="N72" i="4"/>
  <c r="P72" i="4"/>
  <c r="R72" i="4" s="1"/>
  <c r="S72" i="4"/>
  <c r="T72" i="4"/>
  <c r="U72" i="4" s="1"/>
  <c r="J73" i="4"/>
  <c r="T73" i="4" s="1"/>
  <c r="U73" i="4" s="1"/>
  <c r="K73" i="4"/>
  <c r="L73" i="4" s="1"/>
  <c r="M73" i="4"/>
  <c r="O73" i="4" s="1"/>
  <c r="Q73" i="4" s="1"/>
  <c r="N73" i="4"/>
  <c r="P73" i="4" s="1"/>
  <c r="R73" i="4" s="1"/>
  <c r="S73" i="4"/>
  <c r="J74" i="4"/>
  <c r="T74" i="4" s="1"/>
  <c r="U74" i="4" s="1"/>
  <c r="K74" i="4"/>
  <c r="L74" i="4"/>
  <c r="M74" i="4"/>
  <c r="O74" i="4" s="1"/>
  <c r="Q74" i="4" s="1"/>
  <c r="N74" i="4"/>
  <c r="P74" i="4"/>
  <c r="R74" i="4" s="1"/>
  <c r="S74" i="4"/>
  <c r="J75" i="4"/>
  <c r="T75" i="4" s="1"/>
  <c r="U75" i="4" s="1"/>
  <c r="K75" i="4"/>
  <c r="L75" i="4" s="1"/>
  <c r="M75" i="4"/>
  <c r="O75" i="4" s="1"/>
  <c r="Q75" i="4" s="1"/>
  <c r="N75" i="4"/>
  <c r="P75" i="4" s="1"/>
  <c r="R75" i="4" s="1"/>
  <c r="S75" i="4"/>
  <c r="J76" i="4"/>
  <c r="T76" i="4" s="1"/>
  <c r="U76" i="4" s="1"/>
  <c r="K76" i="4"/>
  <c r="L76" i="4"/>
  <c r="M76" i="4"/>
  <c r="O76" i="4" s="1"/>
  <c r="Q76" i="4" s="1"/>
  <c r="N76" i="4"/>
  <c r="P76" i="4"/>
  <c r="R76" i="4" s="1"/>
  <c r="S76" i="4"/>
  <c r="J77" i="4"/>
  <c r="T77" i="4" s="1"/>
  <c r="U77" i="4" s="1"/>
  <c r="K77" i="4"/>
  <c r="L77" i="4" s="1"/>
  <c r="M77" i="4"/>
  <c r="O77" i="4" s="1"/>
  <c r="Q77" i="4" s="1"/>
  <c r="N77" i="4"/>
  <c r="P77" i="4" s="1"/>
  <c r="R77" i="4" s="1"/>
  <c r="T65" i="4"/>
  <c r="U65" i="4" s="1"/>
  <c r="V65" i="4" s="1"/>
  <c r="W65" i="4" s="1"/>
  <c r="N65" i="4"/>
  <c r="P65" i="4" s="1"/>
  <c r="R65" i="4" s="1"/>
  <c r="M65" i="4"/>
  <c r="O65" i="4" s="1"/>
  <c r="Q65" i="4" s="1"/>
  <c r="L65" i="4"/>
  <c r="K65" i="4"/>
  <c r="S65" i="4" s="1"/>
  <c r="J65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V93" i="4" l="1"/>
  <c r="W93" i="4" s="1"/>
  <c r="V92" i="4"/>
  <c r="W92" i="4" s="1"/>
  <c r="V89" i="4"/>
  <c r="W89" i="4" s="1"/>
  <c r="V88" i="4"/>
  <c r="W88" i="4" s="1"/>
  <c r="V87" i="4"/>
  <c r="W87" i="4" s="1"/>
  <c r="V85" i="4"/>
  <c r="W85" i="4" s="1"/>
  <c r="V90" i="4"/>
  <c r="W90" i="4" s="1"/>
  <c r="V97" i="4"/>
  <c r="W97" i="4" s="1"/>
  <c r="V84" i="4"/>
  <c r="W84" i="4" s="1"/>
  <c r="V83" i="4"/>
  <c r="W83" i="4" s="1"/>
  <c r="V96" i="4"/>
  <c r="W96" i="4" s="1"/>
  <c r="L86" i="4"/>
  <c r="V95" i="4"/>
  <c r="W95" i="4" s="1"/>
  <c r="S85" i="4"/>
  <c r="V86" i="4"/>
  <c r="W86" i="4" s="1"/>
  <c r="S89" i="4"/>
  <c r="V94" i="4"/>
  <c r="W94" i="4" s="1"/>
  <c r="S93" i="4"/>
  <c r="S84" i="4"/>
  <c r="S88" i="4"/>
  <c r="S92" i="4"/>
  <c r="L96" i="4"/>
  <c r="L97" i="4"/>
  <c r="Q78" i="4"/>
  <c r="V78" i="4"/>
  <c r="W78" i="4" s="1"/>
  <c r="V77" i="4"/>
  <c r="W77" i="4" s="1"/>
  <c r="S77" i="4"/>
  <c r="V75" i="4"/>
  <c r="W75" i="4" s="1"/>
  <c r="V74" i="4"/>
  <c r="W74" i="4" s="1"/>
  <c r="V73" i="4"/>
  <c r="W73" i="4" s="1"/>
  <c r="V71" i="4"/>
  <c r="W71" i="4" s="1"/>
  <c r="V69" i="4"/>
  <c r="W69" i="4" s="1"/>
  <c r="V68" i="4"/>
  <c r="W68" i="4" s="1"/>
  <c r="V67" i="4"/>
  <c r="W67" i="4" s="1"/>
  <c r="V76" i="4"/>
  <c r="W76" i="4" s="1"/>
  <c r="V70" i="4"/>
  <c r="W70" i="4" s="1"/>
  <c r="V72" i="4"/>
  <c r="W72" i="4" s="1"/>
  <c r="V66" i="4"/>
  <c r="W66" i="4" s="1"/>
  <c r="S71" i="4"/>
  <c r="AC4" i="4"/>
  <c r="AC3" i="4"/>
  <c r="AB4" i="4"/>
  <c r="AB3" i="4"/>
  <c r="C48" i="4"/>
  <c r="D48" i="4" s="1"/>
  <c r="D47" i="4"/>
  <c r="C47" i="4"/>
  <c r="C46" i="4"/>
  <c r="D46" i="4" s="1"/>
  <c r="C45" i="4"/>
  <c r="D45" i="4" s="1"/>
  <c r="D44" i="4"/>
  <c r="C44" i="4"/>
  <c r="D43" i="4"/>
  <c r="C43" i="4"/>
  <c r="D42" i="4"/>
  <c r="C42" i="4"/>
  <c r="AA40" i="4"/>
  <c r="W40" i="4"/>
  <c r="AD33" i="4"/>
  <c r="W33" i="4"/>
  <c r="AD32" i="4"/>
  <c r="W32" i="4"/>
  <c r="AD31" i="4"/>
  <c r="AD30" i="4"/>
  <c r="AD29" i="4"/>
  <c r="AD28" i="4"/>
  <c r="AD27" i="4"/>
  <c r="V24" i="4"/>
  <c r="W24" i="4" s="1"/>
  <c r="Y24" i="4" s="1"/>
  <c r="Z24" i="4" s="1"/>
  <c r="AA24" i="4" s="1"/>
  <c r="T24" i="4"/>
  <c r="U24" i="4" s="1"/>
  <c r="M24" i="4"/>
  <c r="O24" i="4" s="1"/>
  <c r="Q24" i="4" s="1"/>
  <c r="K24" i="4"/>
  <c r="J24" i="4"/>
  <c r="B24" i="4"/>
  <c r="U23" i="4"/>
  <c r="V23" i="4" s="1"/>
  <c r="W23" i="4" s="1"/>
  <c r="Y23" i="4" s="1"/>
  <c r="Z23" i="4" s="1"/>
  <c r="AA23" i="4" s="1"/>
  <c r="S23" i="4"/>
  <c r="O23" i="4"/>
  <c r="Q23" i="4" s="1"/>
  <c r="M23" i="4"/>
  <c r="L23" i="4"/>
  <c r="K23" i="4"/>
  <c r="J23" i="4"/>
  <c r="T23" i="4" s="1"/>
  <c r="B23" i="4"/>
  <c r="Y22" i="4"/>
  <c r="Z22" i="4" s="1"/>
  <c r="AA22" i="4" s="1"/>
  <c r="T22" i="4"/>
  <c r="U22" i="4" s="1"/>
  <c r="V22" i="4" s="1"/>
  <c r="W22" i="4" s="1"/>
  <c r="M22" i="4"/>
  <c r="O22" i="4" s="1"/>
  <c r="Q22" i="4" s="1"/>
  <c r="K22" i="4"/>
  <c r="S22" i="4" s="1"/>
  <c r="J22" i="4"/>
  <c r="B22" i="4"/>
  <c r="S21" i="4"/>
  <c r="O21" i="4"/>
  <c r="Q21" i="4" s="1"/>
  <c r="M21" i="4"/>
  <c r="L21" i="4"/>
  <c r="K21" i="4"/>
  <c r="J21" i="4"/>
  <c r="T21" i="4" s="1"/>
  <c r="U21" i="4" s="1"/>
  <c r="V21" i="4" s="1"/>
  <c r="W21" i="4" s="1"/>
  <c r="Y21" i="4" s="1"/>
  <c r="Z21" i="4" s="1"/>
  <c r="AA21" i="4" s="1"/>
  <c r="B21" i="4"/>
  <c r="T20" i="4"/>
  <c r="U20" i="4" s="1"/>
  <c r="V20" i="4" s="1"/>
  <c r="W20" i="4" s="1"/>
  <c r="Y20" i="4" s="1"/>
  <c r="Z20" i="4" s="1"/>
  <c r="AA20" i="4" s="1"/>
  <c r="Q20" i="4"/>
  <c r="M20" i="4"/>
  <c r="O20" i="4" s="1"/>
  <c r="K20" i="4"/>
  <c r="J20" i="4"/>
  <c r="B20" i="4"/>
  <c r="S19" i="4"/>
  <c r="O19" i="4"/>
  <c r="Q19" i="4" s="1"/>
  <c r="M19" i="4"/>
  <c r="L19" i="4"/>
  <c r="K19" i="4"/>
  <c r="J19" i="4"/>
  <c r="T19" i="4" s="1"/>
  <c r="U19" i="4" s="1"/>
  <c r="V19" i="4" s="1"/>
  <c r="W19" i="4" s="1"/>
  <c r="Y19" i="4" s="1"/>
  <c r="Z19" i="4" s="1"/>
  <c r="AA19" i="4" s="1"/>
  <c r="B19" i="4"/>
  <c r="T18" i="4"/>
  <c r="U18" i="4" s="1"/>
  <c r="V18" i="4" s="1"/>
  <c r="W18" i="4" s="1"/>
  <c r="Y18" i="4" s="1"/>
  <c r="Z18" i="4" s="1"/>
  <c r="AA18" i="4" s="1"/>
  <c r="M18" i="4"/>
  <c r="O18" i="4" s="1"/>
  <c r="Q18" i="4" s="1"/>
  <c r="K18" i="4"/>
  <c r="S18" i="4" s="1"/>
  <c r="J18" i="4"/>
  <c r="B18" i="4"/>
  <c r="W17" i="4"/>
  <c r="Y17" i="4" s="1"/>
  <c r="Z17" i="4" s="1"/>
  <c r="AA17" i="4" s="1"/>
  <c r="S17" i="4"/>
  <c r="O17" i="4"/>
  <c r="Q17" i="4" s="1"/>
  <c r="M17" i="4"/>
  <c r="L17" i="4"/>
  <c r="K17" i="4"/>
  <c r="J17" i="4"/>
  <c r="T17" i="4" s="1"/>
  <c r="U17" i="4" s="1"/>
  <c r="V17" i="4" s="1"/>
  <c r="B17" i="4"/>
  <c r="T16" i="4"/>
  <c r="U16" i="4" s="1"/>
  <c r="V16" i="4" s="1"/>
  <c r="W16" i="4" s="1"/>
  <c r="Y16" i="4" s="1"/>
  <c r="Z16" i="4" s="1"/>
  <c r="AA16" i="4" s="1"/>
  <c r="Q16" i="4"/>
  <c r="M16" i="4"/>
  <c r="O16" i="4" s="1"/>
  <c r="K16" i="4"/>
  <c r="J16" i="4"/>
  <c r="B16" i="4"/>
  <c r="AV14" i="4"/>
  <c r="AG14" i="4"/>
  <c r="AF14" i="4"/>
  <c r="U14" i="4"/>
  <c r="T14" i="4"/>
  <c r="S14" i="4"/>
  <c r="P14" i="4"/>
  <c r="R14" i="4" s="1"/>
  <c r="K14" i="4"/>
  <c r="L14" i="4" s="1"/>
  <c r="B14" i="4"/>
  <c r="AV13" i="4"/>
  <c r="AF13" i="4"/>
  <c r="AG13" i="4" s="1"/>
  <c r="T13" i="4"/>
  <c r="U13" i="4" s="1"/>
  <c r="V13" i="4" s="1"/>
  <c r="W13" i="4" s="1"/>
  <c r="P13" i="4"/>
  <c r="R13" i="4" s="1"/>
  <c r="N13" i="4"/>
  <c r="M13" i="4"/>
  <c r="O13" i="4" s="1"/>
  <c r="Q13" i="4" s="1"/>
  <c r="L13" i="4"/>
  <c r="K13" i="4"/>
  <c r="S13" i="4" s="1"/>
  <c r="J13" i="4"/>
  <c r="B13" i="4"/>
  <c r="AV12" i="4"/>
  <c r="AF12" i="4"/>
  <c r="AG12" i="4" s="1"/>
  <c r="W12" i="4"/>
  <c r="AB12" i="4" s="1"/>
  <c r="AC12" i="4" s="1"/>
  <c r="AD12" i="4" s="1"/>
  <c r="O12" i="4"/>
  <c r="Q12" i="4" s="1"/>
  <c r="N12" i="4"/>
  <c r="P12" i="4" s="1"/>
  <c r="R12" i="4" s="1"/>
  <c r="M12" i="4"/>
  <c r="K12" i="4"/>
  <c r="L12" i="4" s="1"/>
  <c r="J12" i="4"/>
  <c r="T12" i="4" s="1"/>
  <c r="U12" i="4" s="1"/>
  <c r="V12" i="4" s="1"/>
  <c r="B12" i="4"/>
  <c r="AV11" i="4"/>
  <c r="AG11" i="4"/>
  <c r="AF11" i="4"/>
  <c r="V11" i="4"/>
  <c r="W11" i="4" s="1"/>
  <c r="AB11" i="4" s="1"/>
  <c r="AC11" i="4" s="1"/>
  <c r="AD11" i="4" s="1"/>
  <c r="R11" i="4"/>
  <c r="N11" i="4"/>
  <c r="P11" i="4" s="1"/>
  <c r="M11" i="4"/>
  <c r="O11" i="4" s="1"/>
  <c r="Q11" i="4" s="1"/>
  <c r="L11" i="4"/>
  <c r="K11" i="4"/>
  <c r="S11" i="4" s="1"/>
  <c r="J11" i="4"/>
  <c r="T11" i="4" s="1"/>
  <c r="U11" i="4" s="1"/>
  <c r="B11" i="4"/>
  <c r="AV10" i="4"/>
  <c r="AF10" i="4"/>
  <c r="AG10" i="4" s="1"/>
  <c r="Q10" i="4"/>
  <c r="N10" i="4"/>
  <c r="P10" i="4" s="1"/>
  <c r="R10" i="4" s="1"/>
  <c r="M10" i="4"/>
  <c r="O10" i="4" s="1"/>
  <c r="K10" i="4"/>
  <c r="L10" i="4" s="1"/>
  <c r="J10" i="4"/>
  <c r="T10" i="4" s="1"/>
  <c r="U10" i="4" s="1"/>
  <c r="V10" i="4" s="1"/>
  <c r="W10" i="4" s="1"/>
  <c r="AB10" i="4" s="1"/>
  <c r="AC10" i="4" s="1"/>
  <c r="AD10" i="4" s="1"/>
  <c r="B10" i="4"/>
  <c r="AV9" i="4"/>
  <c r="V9" i="4"/>
  <c r="W9" i="4" s="1"/>
  <c r="AB9" i="4" s="1"/>
  <c r="AC9" i="4" s="1"/>
  <c r="AD9" i="4" s="1"/>
  <c r="R9" i="4"/>
  <c r="O9" i="4"/>
  <c r="Q9" i="4" s="1"/>
  <c r="N9" i="4"/>
  <c r="P9" i="4" s="1"/>
  <c r="M9" i="4"/>
  <c r="L9" i="4"/>
  <c r="K9" i="4"/>
  <c r="S9" i="4" s="1"/>
  <c r="J9" i="4"/>
  <c r="T9" i="4" s="1"/>
  <c r="U9" i="4" s="1"/>
  <c r="B9" i="4"/>
  <c r="AV8" i="4"/>
  <c r="AF8" i="4"/>
  <c r="AG8" i="4" s="1"/>
  <c r="Q8" i="4"/>
  <c r="O8" i="4"/>
  <c r="N8" i="4"/>
  <c r="P8" i="4" s="1"/>
  <c r="R8" i="4" s="1"/>
  <c r="M8" i="4"/>
  <c r="K8" i="4"/>
  <c r="J8" i="4"/>
  <c r="T8" i="4" s="1"/>
  <c r="U8" i="4" s="1"/>
  <c r="V8" i="4" s="1"/>
  <c r="W8" i="4" s="1"/>
  <c r="AB8" i="4" s="1"/>
  <c r="AC8" i="4" s="1"/>
  <c r="AD8" i="4" s="1"/>
  <c r="B8" i="4"/>
  <c r="AV7" i="4"/>
  <c r="AG7" i="4"/>
  <c r="AF7" i="4"/>
  <c r="U7" i="4"/>
  <c r="T7" i="4"/>
  <c r="P7" i="4"/>
  <c r="R7" i="4" s="1"/>
  <c r="N7" i="4"/>
  <c r="M7" i="4"/>
  <c r="O7" i="4" s="1"/>
  <c r="Q7" i="4" s="1"/>
  <c r="L7" i="4"/>
  <c r="K7" i="4"/>
  <c r="S7" i="4" s="1"/>
  <c r="J7" i="4"/>
  <c r="B7" i="4"/>
  <c r="AV6" i="4"/>
  <c r="AF6" i="4"/>
  <c r="AG6" i="4" s="1"/>
  <c r="T6" i="4"/>
  <c r="U6" i="4" s="1"/>
  <c r="V6" i="4" s="1"/>
  <c r="W6" i="4" s="1"/>
  <c r="O6" i="4"/>
  <c r="Q6" i="4" s="1"/>
  <c r="N6" i="4"/>
  <c r="P6" i="4" s="1"/>
  <c r="R6" i="4" s="1"/>
  <c r="M6" i="4"/>
  <c r="L6" i="4"/>
  <c r="K6" i="4"/>
  <c r="S6" i="4" s="1"/>
  <c r="J6" i="4"/>
  <c r="B6" i="4"/>
  <c r="AV5" i="4"/>
  <c r="AG5" i="4"/>
  <c r="AF5" i="4"/>
  <c r="U5" i="4"/>
  <c r="T5" i="4"/>
  <c r="P5" i="4"/>
  <c r="R5" i="4" s="1"/>
  <c r="N5" i="4"/>
  <c r="M5" i="4"/>
  <c r="O5" i="4" s="1"/>
  <c r="Q5" i="4" s="1"/>
  <c r="L5" i="4"/>
  <c r="K5" i="4"/>
  <c r="S5" i="4" s="1"/>
  <c r="J5" i="4"/>
  <c r="B5" i="4"/>
  <c r="AV4" i="4"/>
  <c r="AG4" i="4"/>
  <c r="AF4" i="4"/>
  <c r="N4" i="4"/>
  <c r="P4" i="4" s="1"/>
  <c r="M4" i="4"/>
  <c r="O4" i="4" s="1"/>
  <c r="K4" i="4"/>
  <c r="L4" i="4" s="1"/>
  <c r="J4" i="4"/>
  <c r="T4" i="4" s="1"/>
  <c r="U4" i="4" s="1"/>
  <c r="B4" i="4"/>
  <c r="U3" i="4"/>
  <c r="T3" i="4"/>
  <c r="R3" i="4"/>
  <c r="Q3" i="4"/>
  <c r="AF2" i="4"/>
  <c r="AG2" i="4" s="1"/>
  <c r="U2" i="4"/>
  <c r="T2" i="4"/>
  <c r="R2" i="4"/>
  <c r="Q2" i="4"/>
  <c r="L2" i="4"/>
  <c r="K2" i="4"/>
  <c r="S2" i="4" s="1"/>
  <c r="B2" i="4"/>
  <c r="T1" i="4"/>
  <c r="V7" i="4" l="1"/>
  <c r="W7" i="4" s="1"/>
  <c r="AB7" i="4" s="1"/>
  <c r="AC7" i="4" s="1"/>
  <c r="AD7" i="4" s="1"/>
  <c r="Z61" i="4"/>
  <c r="AD40" i="4" s="1"/>
  <c r="Z59" i="4"/>
  <c r="AF40" i="4" s="1"/>
  <c r="Z54" i="4"/>
  <c r="Z60" i="4"/>
  <c r="AE40" i="4" s="1"/>
  <c r="Z53" i="4"/>
  <c r="AE36" i="4" s="1"/>
  <c r="Q4" i="4"/>
  <c r="Z52" i="4"/>
  <c r="AD37" i="4" s="1"/>
  <c r="W52" i="4"/>
  <c r="AE34" i="4" s="1"/>
  <c r="Z51" i="4"/>
  <c r="AE37" i="4" s="1"/>
  <c r="R4" i="4"/>
  <c r="W53" i="4"/>
  <c r="AD34" i="4" s="1"/>
  <c r="W51" i="4"/>
  <c r="AF34" i="4" s="1"/>
  <c r="V5" i="4"/>
  <c r="W5" i="4" s="1"/>
  <c r="V4" i="4"/>
  <c r="W4" i="4" s="1"/>
  <c r="L8" i="4"/>
  <c r="W54" i="4" s="1"/>
  <c r="AE35" i="4" s="1"/>
  <c r="S8" i="4"/>
  <c r="S4" i="4"/>
  <c r="S20" i="4"/>
  <c r="L20" i="4"/>
  <c r="S24" i="4"/>
  <c r="L24" i="4"/>
  <c r="S12" i="4"/>
  <c r="S16" i="4"/>
  <c r="L16" i="4"/>
  <c r="W55" i="4"/>
  <c r="AD35" i="4" s="1"/>
  <c r="S10" i="4"/>
  <c r="L18" i="4"/>
  <c r="L22" i="4"/>
  <c r="AV5" i="3"/>
  <c r="AV6" i="3"/>
  <c r="AV7" i="3"/>
  <c r="AV8" i="3"/>
  <c r="AV9" i="3"/>
  <c r="AV10" i="3"/>
  <c r="AV11" i="3"/>
  <c r="AV12" i="3"/>
  <c r="AV13" i="3"/>
  <c r="AV14" i="3"/>
  <c r="AV4" i="3"/>
  <c r="W32" i="3"/>
  <c r="W33" i="3" s="1"/>
  <c r="AD36" i="4" l="1"/>
  <c r="Z44" i="4"/>
  <c r="Z46" i="4" s="1"/>
  <c r="Z47" i="4" s="1"/>
  <c r="W61" i="4"/>
  <c r="AD38" i="4" s="1"/>
  <c r="AI13" i="4"/>
  <c r="AI12" i="4"/>
  <c r="AH11" i="4"/>
  <c r="AI14" i="4"/>
  <c r="O14" i="4" s="1"/>
  <c r="Q14" i="4" s="1"/>
  <c r="AH13" i="4"/>
  <c r="AN13" i="4" s="1"/>
  <c r="AO13" i="4" s="1"/>
  <c r="AP13" i="4" s="1"/>
  <c r="AH12" i="4"/>
  <c r="AI9" i="4"/>
  <c r="W57" i="4"/>
  <c r="AH14" i="4"/>
  <c r="AI10" i="4"/>
  <c r="AH9" i="4"/>
  <c r="AI8" i="4"/>
  <c r="AI6" i="4"/>
  <c r="AH2" i="4"/>
  <c r="AH4" i="4"/>
  <c r="AN4" i="4" s="1"/>
  <c r="AO4" i="4" s="1"/>
  <c r="AP4" i="4" s="1"/>
  <c r="AW4" i="4" s="1"/>
  <c r="C3" i="4"/>
  <c r="AI2" i="4"/>
  <c r="AH6" i="4"/>
  <c r="AI5" i="4"/>
  <c r="AH10" i="4"/>
  <c r="AI7" i="4"/>
  <c r="AH5" i="4"/>
  <c r="AI4" i="4"/>
  <c r="AI11" i="4"/>
  <c r="AH8" i="4"/>
  <c r="AH7" i="4"/>
  <c r="W59" i="4"/>
  <c r="AF38" i="4" s="1"/>
  <c r="AN12" i="4"/>
  <c r="AO12" i="4" s="1"/>
  <c r="AP12" i="4" s="1"/>
  <c r="AN7" i="4"/>
  <c r="AO7" i="4" s="1"/>
  <c r="AP7" i="4" s="1"/>
  <c r="AN14" i="4"/>
  <c r="AO14" i="4" s="1"/>
  <c r="AP14" i="4" s="1"/>
  <c r="AW14" i="4" s="1"/>
  <c r="AN9" i="4"/>
  <c r="AO9" i="4" s="1"/>
  <c r="AP9" i="4" s="1"/>
  <c r="AN10" i="4"/>
  <c r="AO10" i="4" s="1"/>
  <c r="AP10" i="4" s="1"/>
  <c r="AN8" i="4"/>
  <c r="AO8" i="4" s="1"/>
  <c r="AP8" i="4" s="1"/>
  <c r="AN6" i="4"/>
  <c r="AO6" i="4" s="1"/>
  <c r="AP6" i="4" s="1"/>
  <c r="AN5" i="4"/>
  <c r="AO5" i="4" s="1"/>
  <c r="AP5" i="4" s="1"/>
  <c r="AW5" i="4" s="1"/>
  <c r="AN2" i="4"/>
  <c r="AN11" i="4"/>
  <c r="AO11" i="4" s="1"/>
  <c r="AP11" i="4" s="1"/>
  <c r="N11" i="3"/>
  <c r="P11" i="3" s="1"/>
  <c r="M11" i="3"/>
  <c r="O11" i="3" s="1"/>
  <c r="K11" i="3"/>
  <c r="L11" i="3" s="1"/>
  <c r="J11" i="3"/>
  <c r="T11" i="3" s="1"/>
  <c r="U11" i="3" s="1"/>
  <c r="B11" i="3"/>
  <c r="AA40" i="3"/>
  <c r="M24" i="3"/>
  <c r="O24" i="3" s="1"/>
  <c r="K24" i="3"/>
  <c r="S24" i="3" s="1"/>
  <c r="J24" i="3"/>
  <c r="T24" i="3" s="1"/>
  <c r="U24" i="3" s="1"/>
  <c r="M23" i="3"/>
  <c r="O23" i="3" s="1"/>
  <c r="K23" i="3"/>
  <c r="L23" i="3" s="1"/>
  <c r="J23" i="3"/>
  <c r="T23" i="3" s="1"/>
  <c r="U23" i="3" s="1"/>
  <c r="M22" i="3"/>
  <c r="O22" i="3" s="1"/>
  <c r="K22" i="3"/>
  <c r="L22" i="3" s="1"/>
  <c r="J22" i="3"/>
  <c r="T22" i="3" s="1"/>
  <c r="U22" i="3" s="1"/>
  <c r="M21" i="3"/>
  <c r="O21" i="3" s="1"/>
  <c r="K21" i="3"/>
  <c r="L21" i="3" s="1"/>
  <c r="J21" i="3"/>
  <c r="T21" i="3" s="1"/>
  <c r="U21" i="3" s="1"/>
  <c r="M20" i="3"/>
  <c r="O20" i="3" s="1"/>
  <c r="K20" i="3"/>
  <c r="S20" i="3" s="1"/>
  <c r="J20" i="3"/>
  <c r="T20" i="3" s="1"/>
  <c r="U20" i="3" s="1"/>
  <c r="M19" i="3"/>
  <c r="O19" i="3" s="1"/>
  <c r="K19" i="3"/>
  <c r="S19" i="3" s="1"/>
  <c r="J19" i="3"/>
  <c r="T19" i="3" s="1"/>
  <c r="U19" i="3" s="1"/>
  <c r="M18" i="3"/>
  <c r="O18" i="3" s="1"/>
  <c r="K18" i="3"/>
  <c r="L18" i="3" s="1"/>
  <c r="J18" i="3"/>
  <c r="T18" i="3" s="1"/>
  <c r="U18" i="3" s="1"/>
  <c r="M17" i="3"/>
  <c r="O17" i="3" s="1"/>
  <c r="K17" i="3"/>
  <c r="L17" i="3" s="1"/>
  <c r="J17" i="3"/>
  <c r="T17" i="3" s="1"/>
  <c r="U17" i="3" s="1"/>
  <c r="M16" i="3"/>
  <c r="O16" i="3" s="1"/>
  <c r="K16" i="3"/>
  <c r="L16" i="3" s="1"/>
  <c r="J16" i="3"/>
  <c r="T16" i="3" s="1"/>
  <c r="U16" i="3" s="1"/>
  <c r="B24" i="3"/>
  <c r="B23" i="3"/>
  <c r="B22" i="3"/>
  <c r="B21" i="3"/>
  <c r="B20" i="3"/>
  <c r="B19" i="3"/>
  <c r="B18" i="3"/>
  <c r="B17" i="3"/>
  <c r="B16" i="3"/>
  <c r="AQ13" i="4" l="1"/>
  <c r="AW13" i="4"/>
  <c r="AQ9" i="4"/>
  <c r="AW9" i="4"/>
  <c r="B3" i="4"/>
  <c r="K3" i="4"/>
  <c r="AF3" i="4"/>
  <c r="AG3" i="4" s="1"/>
  <c r="AQ8" i="4"/>
  <c r="AW8" i="4"/>
  <c r="AQ7" i="4"/>
  <c r="AW7" i="4"/>
  <c r="AQ11" i="4"/>
  <c r="AW11" i="4"/>
  <c r="AW6" i="4"/>
  <c r="AQ6" i="4"/>
  <c r="AQ10" i="4"/>
  <c r="AW10" i="4"/>
  <c r="AQ12" i="4"/>
  <c r="AW12" i="4"/>
  <c r="AJ14" i="4"/>
  <c r="AK14" i="4" s="1"/>
  <c r="AM11" i="4"/>
  <c r="AU11" i="4" s="1"/>
  <c r="AJ9" i="4"/>
  <c r="AK9" i="4" s="1"/>
  <c r="AM13" i="4"/>
  <c r="AU13" i="4" s="1"/>
  <c r="AM12" i="4"/>
  <c r="AU12" i="4" s="1"/>
  <c r="AJ10" i="4"/>
  <c r="AK10" i="4" s="1"/>
  <c r="AJ8" i="4"/>
  <c r="AK8" i="4" s="1"/>
  <c r="AM14" i="4"/>
  <c r="AJ11" i="4"/>
  <c r="AK11" i="4" s="1"/>
  <c r="AM9" i="4"/>
  <c r="AU9" i="4" s="1"/>
  <c r="AJ13" i="4"/>
  <c r="AK13" i="4" s="1"/>
  <c r="AJ5" i="4"/>
  <c r="AK5" i="4" s="1"/>
  <c r="AM2" i="4"/>
  <c r="AM7" i="4"/>
  <c r="AU7" i="4" s="1"/>
  <c r="AJ7" i="4"/>
  <c r="AK7" i="4" s="1"/>
  <c r="AM6" i="4"/>
  <c r="AU6" i="4" s="1"/>
  <c r="AJ4" i="4"/>
  <c r="AK4" i="4" s="1"/>
  <c r="AJ2" i="4"/>
  <c r="AK2" i="4" s="1"/>
  <c r="AJ6" i="4"/>
  <c r="AK6" i="4" s="1"/>
  <c r="AJ12" i="4"/>
  <c r="AK12" i="4" s="1"/>
  <c r="AM10" i="4"/>
  <c r="AU10" i="4" s="1"/>
  <c r="AM8" i="4"/>
  <c r="AU8" i="4" s="1"/>
  <c r="AM5" i="4"/>
  <c r="AM4" i="4"/>
  <c r="L24" i="3"/>
  <c r="V11" i="3"/>
  <c r="W11" i="3" s="1"/>
  <c r="Y11" i="3" s="1"/>
  <c r="Z11" i="3" s="1"/>
  <c r="AA11" i="3" s="1"/>
  <c r="V20" i="3"/>
  <c r="W20" i="3" s="1"/>
  <c r="Y20" i="3" s="1"/>
  <c r="Z20" i="3" s="1"/>
  <c r="AA20" i="3" s="1"/>
  <c r="S11" i="3"/>
  <c r="L19" i="3"/>
  <c r="L20" i="3"/>
  <c r="V17" i="3"/>
  <c r="W17" i="3" s="1"/>
  <c r="Y17" i="3" s="1"/>
  <c r="Z17" i="3" s="1"/>
  <c r="AA17" i="3" s="1"/>
  <c r="V24" i="3"/>
  <c r="W24" i="3" s="1"/>
  <c r="Y24" i="3" s="1"/>
  <c r="Z24" i="3" s="1"/>
  <c r="AA24" i="3" s="1"/>
  <c r="V21" i="3"/>
  <c r="W21" i="3" s="1"/>
  <c r="Y21" i="3" s="1"/>
  <c r="Z21" i="3" s="1"/>
  <c r="AA21" i="3" s="1"/>
  <c r="V16" i="3"/>
  <c r="W16" i="3" s="1"/>
  <c r="Y16" i="3" s="1"/>
  <c r="Z16" i="3" s="1"/>
  <c r="AA16" i="3" s="1"/>
  <c r="V18" i="3"/>
  <c r="W18" i="3" s="1"/>
  <c r="Y18" i="3" s="1"/>
  <c r="Z18" i="3" s="1"/>
  <c r="AA18" i="3" s="1"/>
  <c r="V22" i="3"/>
  <c r="W22" i="3" s="1"/>
  <c r="Y22" i="3" s="1"/>
  <c r="Z22" i="3" s="1"/>
  <c r="AA22" i="3" s="1"/>
  <c r="V19" i="3"/>
  <c r="W19" i="3" s="1"/>
  <c r="Y19" i="3" s="1"/>
  <c r="Z19" i="3" s="1"/>
  <c r="AA19" i="3" s="1"/>
  <c r="V23" i="3"/>
  <c r="W23" i="3" s="1"/>
  <c r="Y23" i="3" s="1"/>
  <c r="Z23" i="3" s="1"/>
  <c r="AA23" i="3" s="1"/>
  <c r="S17" i="3"/>
  <c r="S21" i="3"/>
  <c r="S18" i="3"/>
  <c r="S22" i="3"/>
  <c r="S23" i="3"/>
  <c r="S16" i="3"/>
  <c r="N9" i="3"/>
  <c r="P9" i="3" s="1"/>
  <c r="M9" i="3"/>
  <c r="O9" i="3" s="1"/>
  <c r="K9" i="3"/>
  <c r="L9" i="3" s="1"/>
  <c r="J9" i="3"/>
  <c r="T9" i="3" s="1"/>
  <c r="U9" i="3" s="1"/>
  <c r="B9" i="3"/>
  <c r="AI3" i="4" l="1"/>
  <c r="AJ3" i="4" s="1"/>
  <c r="AK3" i="4" s="1"/>
  <c r="AH3" i="4"/>
  <c r="L3" i="4"/>
  <c r="S3" i="4"/>
  <c r="V9" i="3"/>
  <c r="W9" i="3" s="1"/>
  <c r="Y9" i="3" s="1"/>
  <c r="Z9" i="3" s="1"/>
  <c r="AA9" i="3" s="1"/>
  <c r="S9" i="3"/>
  <c r="N8" i="3"/>
  <c r="P8" i="3" s="1"/>
  <c r="M8" i="3"/>
  <c r="O8" i="3" s="1"/>
  <c r="K8" i="3"/>
  <c r="S8" i="3" s="1"/>
  <c r="J8" i="3"/>
  <c r="T8" i="3" s="1"/>
  <c r="U8" i="3" s="1"/>
  <c r="B8" i="3"/>
  <c r="B6" i="3"/>
  <c r="J6" i="3"/>
  <c r="T6" i="3" s="1"/>
  <c r="U6" i="3" s="1"/>
  <c r="K6" i="3"/>
  <c r="L6" i="3" s="1"/>
  <c r="M6" i="3"/>
  <c r="O6" i="3" s="1"/>
  <c r="N6" i="3"/>
  <c r="P6" i="3" s="1"/>
  <c r="AP3" i="4" l="1"/>
  <c r="AN3" i="4"/>
  <c r="AM3" i="4"/>
  <c r="S6" i="3"/>
  <c r="L8" i="3"/>
  <c r="V8" i="3"/>
  <c r="W8" i="3" s="1"/>
  <c r="Y8" i="3" s="1"/>
  <c r="Z8" i="3" s="1"/>
  <c r="AA8" i="3" s="1"/>
  <c r="V6" i="3"/>
  <c r="W6" i="3" s="1"/>
  <c r="P14" i="3" l="1"/>
  <c r="T14" i="3"/>
  <c r="U14" i="3" s="1"/>
  <c r="K2" i="3"/>
  <c r="S2" i="3" s="1"/>
  <c r="B2" i="3"/>
  <c r="T3" i="3"/>
  <c r="U3" i="3" s="1"/>
  <c r="T2" i="3"/>
  <c r="U2" i="3" s="1"/>
  <c r="B14" i="3"/>
  <c r="K14" i="3"/>
  <c r="L14" i="3" s="1"/>
  <c r="J12" i="3"/>
  <c r="T12" i="3" s="1"/>
  <c r="U12" i="3" s="1"/>
  <c r="B5" i="3"/>
  <c r="B7" i="3"/>
  <c r="B10" i="3"/>
  <c r="B12" i="3"/>
  <c r="B13" i="3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D33" i="3"/>
  <c r="AD32" i="3"/>
  <c r="AD30" i="3"/>
  <c r="W40" i="3"/>
  <c r="AD29" i="3"/>
  <c r="AD28" i="3"/>
  <c r="AD27" i="3"/>
  <c r="N13" i="3"/>
  <c r="P13" i="3" s="1"/>
  <c r="M13" i="3"/>
  <c r="O13" i="3" s="1"/>
  <c r="K13" i="3"/>
  <c r="S13" i="3" s="1"/>
  <c r="J13" i="3"/>
  <c r="T13" i="3" s="1"/>
  <c r="U13" i="3" s="1"/>
  <c r="N12" i="3"/>
  <c r="P12" i="3" s="1"/>
  <c r="M12" i="3"/>
  <c r="O12" i="3" s="1"/>
  <c r="K12" i="3"/>
  <c r="S12" i="3" s="1"/>
  <c r="N10" i="3"/>
  <c r="P10" i="3" s="1"/>
  <c r="M10" i="3"/>
  <c r="O10" i="3" s="1"/>
  <c r="K10" i="3"/>
  <c r="S10" i="3" s="1"/>
  <c r="J10" i="3"/>
  <c r="T10" i="3" s="1"/>
  <c r="U10" i="3" s="1"/>
  <c r="N7" i="3"/>
  <c r="P7" i="3" s="1"/>
  <c r="M7" i="3"/>
  <c r="O7" i="3" s="1"/>
  <c r="K7" i="3"/>
  <c r="S7" i="3" s="1"/>
  <c r="J7" i="3"/>
  <c r="T7" i="3" s="1"/>
  <c r="U7" i="3" s="1"/>
  <c r="N5" i="3"/>
  <c r="P5" i="3" s="1"/>
  <c r="M5" i="3"/>
  <c r="O5" i="3" s="1"/>
  <c r="K5" i="3"/>
  <c r="L5" i="3" s="1"/>
  <c r="J5" i="3"/>
  <c r="T5" i="3" s="1"/>
  <c r="U5" i="3" s="1"/>
  <c r="N4" i="3"/>
  <c r="P4" i="3" s="1"/>
  <c r="M4" i="3"/>
  <c r="O4" i="3" s="1"/>
  <c r="K4" i="3"/>
  <c r="S4" i="3" s="1"/>
  <c r="J4" i="3"/>
  <c r="T4" i="3" s="1"/>
  <c r="U4" i="3" s="1"/>
  <c r="B4" i="3"/>
  <c r="T1" i="3"/>
  <c r="Z61" i="3" l="1"/>
  <c r="AD39" i="3" s="1"/>
  <c r="Z59" i="3"/>
  <c r="AF39" i="3" s="1"/>
  <c r="Z60" i="3"/>
  <c r="AE39" i="3" s="1"/>
  <c r="AF5" i="3"/>
  <c r="AG5" i="3" s="1"/>
  <c r="AF11" i="3"/>
  <c r="AG11" i="3" s="1"/>
  <c r="Q11" i="3"/>
  <c r="R11" i="3"/>
  <c r="Q21" i="3"/>
  <c r="Q20" i="3"/>
  <c r="Q24" i="3"/>
  <c r="Q23" i="3"/>
  <c r="Q22" i="3"/>
  <c r="Q16" i="3"/>
  <c r="Q19" i="3"/>
  <c r="Q18" i="3"/>
  <c r="Q17" i="3"/>
  <c r="Q9" i="3"/>
  <c r="R9" i="3"/>
  <c r="Z52" i="3"/>
  <c r="AD37" i="3" s="1"/>
  <c r="W51" i="3"/>
  <c r="Z51" i="3"/>
  <c r="W52" i="3"/>
  <c r="AE34" i="3" s="1"/>
  <c r="W53" i="3"/>
  <c r="AD34" i="3" s="1"/>
  <c r="Z53" i="3"/>
  <c r="AE36" i="3" s="1"/>
  <c r="Z54" i="3"/>
  <c r="V10" i="3"/>
  <c r="W10" i="3" s="1"/>
  <c r="Y10" i="3" s="1"/>
  <c r="Z10" i="3" s="1"/>
  <c r="AA10" i="3" s="1"/>
  <c r="AF14" i="3"/>
  <c r="AG14" i="3" s="1"/>
  <c r="AD31" i="3"/>
  <c r="Q6" i="3"/>
  <c r="R8" i="3"/>
  <c r="Q8" i="3"/>
  <c r="R6" i="3"/>
  <c r="AF10" i="3"/>
  <c r="AG10" i="3" s="1"/>
  <c r="AF8" i="3"/>
  <c r="AG8" i="3" s="1"/>
  <c r="AF6" i="3"/>
  <c r="AG6" i="3" s="1"/>
  <c r="AF7" i="3"/>
  <c r="AG7" i="3" s="1"/>
  <c r="Q10" i="3"/>
  <c r="Q2" i="3"/>
  <c r="R14" i="3"/>
  <c r="AF13" i="3"/>
  <c r="AG13" i="3" s="1"/>
  <c r="R3" i="3"/>
  <c r="AF12" i="3"/>
  <c r="AG12" i="3" s="1"/>
  <c r="Q3" i="3"/>
  <c r="R2" i="3"/>
  <c r="L2" i="3"/>
  <c r="AF4" i="3"/>
  <c r="AG4" i="3" s="1"/>
  <c r="AF2" i="3"/>
  <c r="AG2" i="3" s="1"/>
  <c r="S14" i="3"/>
  <c r="L13" i="3"/>
  <c r="L12" i="3"/>
  <c r="L10" i="3"/>
  <c r="L4" i="3"/>
  <c r="L7" i="3"/>
  <c r="R4" i="3"/>
  <c r="R10" i="3"/>
  <c r="V7" i="3"/>
  <c r="W7" i="3" s="1"/>
  <c r="Y7" i="3" s="1"/>
  <c r="Z7" i="3" s="1"/>
  <c r="V12" i="3"/>
  <c r="W12" i="3" s="1"/>
  <c r="Y12" i="3" s="1"/>
  <c r="Z12" i="3" s="1"/>
  <c r="AA12" i="3" s="1"/>
  <c r="V5" i="3"/>
  <c r="W5" i="3" s="1"/>
  <c r="V13" i="3"/>
  <c r="W13" i="3" s="1"/>
  <c r="V4" i="3"/>
  <c r="W4" i="3" s="1"/>
  <c r="Q5" i="3"/>
  <c r="R7" i="3"/>
  <c r="Q12" i="3"/>
  <c r="Q7" i="3"/>
  <c r="R12" i="3"/>
  <c r="R13" i="3"/>
  <c r="S5" i="3"/>
  <c r="Q4" i="3"/>
  <c r="R5" i="3"/>
  <c r="Q13" i="3"/>
  <c r="B2" i="2"/>
  <c r="M3" i="2"/>
  <c r="O3" i="2" s="1"/>
  <c r="L3" i="2"/>
  <c r="N3" i="2" s="1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W55" i="3" l="1"/>
  <c r="W54" i="3"/>
  <c r="AF34" i="3"/>
  <c r="AD36" i="3"/>
  <c r="Z44" i="3"/>
  <c r="Z46" i="3" s="1"/>
  <c r="AE37" i="3"/>
  <c r="AA7" i="3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Z47" i="3" l="1"/>
  <c r="AD35" i="3"/>
  <c r="AH24" i="2"/>
  <c r="AH23" i="2"/>
  <c r="AH21" i="2"/>
  <c r="AH20" i="2"/>
  <c r="AH19" i="2"/>
  <c r="AH18" i="2"/>
  <c r="M9" i="2"/>
  <c r="O9" i="2" s="1"/>
  <c r="L9" i="2"/>
  <c r="N9" i="2" s="1"/>
  <c r="K9" i="2"/>
  <c r="X9" i="2"/>
  <c r="AA21" i="2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AH22" i="2" l="1"/>
  <c r="P3" i="2"/>
  <c r="Q3" i="2"/>
  <c r="AE35" i="3"/>
  <c r="AI14" i="3" s="1"/>
  <c r="P4" i="2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AI11" i="3" l="1"/>
  <c r="AH11" i="3"/>
  <c r="AI9" i="3"/>
  <c r="AH9" i="3"/>
  <c r="AH4" i="3"/>
  <c r="AI2" i="3"/>
  <c r="AJ2" i="3" s="1"/>
  <c r="AK2" i="3" s="1"/>
  <c r="AH12" i="3"/>
  <c r="AH8" i="3"/>
  <c r="AH10" i="3"/>
  <c r="AH14" i="3"/>
  <c r="AH7" i="3"/>
  <c r="AH13" i="3"/>
  <c r="AH2" i="3"/>
  <c r="AH6" i="3"/>
  <c r="AH5" i="3"/>
  <c r="AI6" i="3"/>
  <c r="AI8" i="3"/>
  <c r="AI10" i="3"/>
  <c r="AJ10" i="3" s="1"/>
  <c r="AK10" i="3" s="1"/>
  <c r="AI4" i="3"/>
  <c r="AJ4" i="3" s="1"/>
  <c r="AK4" i="3" s="1"/>
  <c r="AI12" i="3"/>
  <c r="AJ12" i="3" s="1"/>
  <c r="AK12" i="3" s="1"/>
  <c r="C3" i="3"/>
  <c r="AF3" i="3" s="1"/>
  <c r="AG3" i="3" s="1"/>
  <c r="AI7" i="3"/>
  <c r="AJ7" i="3" s="1"/>
  <c r="AK7" i="3" s="1"/>
  <c r="AI5" i="3"/>
  <c r="AJ5" i="3" s="1"/>
  <c r="AK5" i="3" s="1"/>
  <c r="AI13" i="3"/>
  <c r="AJ13" i="3" s="1"/>
  <c r="AK13" i="3" s="1"/>
  <c r="AJ14" i="3"/>
  <c r="AK14" i="3" s="1"/>
  <c r="W57" i="3"/>
  <c r="V3" i="2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M2" i="3" l="1"/>
  <c r="AR2" i="3" s="1"/>
  <c r="AS2" i="3" s="1"/>
  <c r="AN2" i="3"/>
  <c r="AM12" i="3"/>
  <c r="AR12" i="3" s="1"/>
  <c r="AS12" i="3" s="1"/>
  <c r="AT12" i="3" s="1"/>
  <c r="AN12" i="3"/>
  <c r="AO12" i="3" s="1"/>
  <c r="AM5" i="3"/>
  <c r="AR5" i="3" s="1"/>
  <c r="AS5" i="3" s="1"/>
  <c r="AN5" i="3"/>
  <c r="AO5" i="3" s="1"/>
  <c r="AM13" i="3"/>
  <c r="AR13" i="3" s="1"/>
  <c r="AS13" i="3" s="1"/>
  <c r="AT13" i="3" s="1"/>
  <c r="AN13" i="3"/>
  <c r="AO13" i="3" s="1"/>
  <c r="AM6" i="3"/>
  <c r="AR6" i="3" s="1"/>
  <c r="AS6" i="3" s="1"/>
  <c r="AT6" i="3" s="1"/>
  <c r="AN6" i="3"/>
  <c r="AO6" i="3" s="1"/>
  <c r="AM7" i="3"/>
  <c r="AR7" i="3" s="1"/>
  <c r="AS7" i="3" s="1"/>
  <c r="AT7" i="3" s="1"/>
  <c r="AN7" i="3"/>
  <c r="AO7" i="3" s="1"/>
  <c r="AM14" i="3"/>
  <c r="AR14" i="3" s="1"/>
  <c r="AS14" i="3" s="1"/>
  <c r="AT14" i="3" s="1"/>
  <c r="AN14" i="3"/>
  <c r="AO14" i="3" s="1"/>
  <c r="AM10" i="3"/>
  <c r="AR10" i="3" s="1"/>
  <c r="AS10" i="3" s="1"/>
  <c r="AT10" i="3" s="1"/>
  <c r="AN10" i="3"/>
  <c r="AO10" i="3" s="1"/>
  <c r="AM8" i="3"/>
  <c r="AR8" i="3" s="1"/>
  <c r="AS8" i="3" s="1"/>
  <c r="AT8" i="3" s="1"/>
  <c r="AN8" i="3"/>
  <c r="AO8" i="3" s="1"/>
  <c r="AM4" i="3"/>
  <c r="AR4" i="3" s="1"/>
  <c r="AS4" i="3" s="1"/>
  <c r="AN4" i="3"/>
  <c r="AO4" i="3" s="1"/>
  <c r="AM9" i="3"/>
  <c r="AR9" i="3" s="1"/>
  <c r="AS9" i="3" s="1"/>
  <c r="AT9" i="3" s="1"/>
  <c r="AN9" i="3"/>
  <c r="AO9" i="3" s="1"/>
  <c r="AM11" i="3"/>
  <c r="AR11" i="3" s="1"/>
  <c r="AS11" i="3" s="1"/>
  <c r="AT11" i="3" s="1"/>
  <c r="AN11" i="3"/>
  <c r="AO11" i="3" s="1"/>
  <c r="AJ11" i="3"/>
  <c r="AK11" i="3" s="1"/>
  <c r="AJ9" i="3"/>
  <c r="AK9" i="3" s="1"/>
  <c r="AI3" i="3"/>
  <c r="AJ3" i="3" s="1"/>
  <c r="AK3" i="3" s="1"/>
  <c r="AH3" i="3"/>
  <c r="AJ8" i="3"/>
  <c r="AK8" i="3" s="1"/>
  <c r="AJ6" i="3"/>
  <c r="AK6" i="3" s="1"/>
  <c r="K3" i="3"/>
  <c r="S3" i="3" s="1"/>
  <c r="B3" i="3"/>
  <c r="O14" i="3"/>
  <c r="AH22" i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AM3" i="3" l="1"/>
  <c r="AR3" i="3" s="1"/>
  <c r="AS3" i="3" s="1"/>
  <c r="AN3" i="3"/>
  <c r="Q14" i="3"/>
  <c r="L3" i="3"/>
  <c r="K4" i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U2" i="1" l="1"/>
  <c r="AF6" i="1"/>
  <c r="AI29" i="1"/>
  <c r="AF2" i="1" s="1"/>
  <c r="AD28" i="2"/>
  <c r="AH27" i="2" s="1"/>
  <c r="AI27" i="2"/>
  <c r="T2" i="2"/>
  <c r="AA35" i="2"/>
  <c r="AA36" i="2"/>
  <c r="AH26" i="2" s="1"/>
  <c r="U5" i="1"/>
  <c r="U7" i="1"/>
  <c r="U3" i="1"/>
  <c r="U6" i="1"/>
  <c r="U8" i="1"/>
  <c r="U9" i="1"/>
  <c r="U4" i="1"/>
  <c r="U3" i="2" l="1"/>
  <c r="AF9" i="1"/>
  <c r="AF4" i="1"/>
  <c r="AF7" i="1"/>
  <c r="AF5" i="1"/>
  <c r="AF3" i="1"/>
  <c r="AF8" i="1"/>
  <c r="AI26" i="2"/>
  <c r="U7" i="2"/>
  <c r="U8" i="2"/>
  <c r="U5" i="2"/>
  <c r="U9" i="2"/>
  <c r="U4" i="2"/>
  <c r="U6" i="2"/>
  <c r="U2" i="2"/>
  <c r="W61" i="3" l="1"/>
  <c r="AD38" i="3" s="1"/>
  <c r="W60" i="3"/>
  <c r="AE38" i="3" s="1"/>
  <c r="W59" i="3"/>
  <c r="AF38" i="3" s="1"/>
  <c r="AP10" i="3" l="1"/>
  <c r="AP8" i="3"/>
  <c r="AP7" i="3"/>
  <c r="AP6" i="3"/>
  <c r="AP3" i="3"/>
  <c r="AP4" i="3"/>
  <c r="AP12" i="3"/>
  <c r="AP5" i="3"/>
  <c r="AP11" i="3"/>
  <c r="AP13" i="3"/>
  <c r="AP9" i="3"/>
  <c r="AU12" i="3" l="1"/>
  <c r="AU10" i="3"/>
  <c r="AP14" i="3"/>
  <c r="AW14" i="3" s="1"/>
  <c r="AU13" i="3"/>
  <c r="AU11" i="3"/>
  <c r="AU8" i="3"/>
  <c r="AU9" i="3"/>
  <c r="AQ8" i="3"/>
  <c r="AW8" i="3"/>
  <c r="AW5" i="3"/>
  <c r="AW10" i="3"/>
  <c r="AQ10" i="3"/>
  <c r="AW9" i="3"/>
  <c r="AQ9" i="3"/>
  <c r="AW13" i="3"/>
  <c r="AQ13" i="3"/>
  <c r="AQ11" i="3"/>
  <c r="AW11" i="3"/>
  <c r="AW12" i="3"/>
  <c r="AQ12" i="3"/>
  <c r="AW4" i="3"/>
  <c r="AQ6" i="3"/>
  <c r="AW6" i="3"/>
  <c r="AQ7" i="3"/>
  <c r="AW7" i="3"/>
  <c r="W60" i="4" l="1"/>
  <c r="AE38" i="4"/>
</calcChain>
</file>

<file path=xl/sharedStrings.xml><?xml version="1.0" encoding="utf-8"?>
<sst xmlns="http://schemas.openxmlformats.org/spreadsheetml/2006/main" count="401" uniqueCount="130">
  <si>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</si>
  <si>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</si>
  <si>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</si>
  <si>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</si>
  <si>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</si>
  <si>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</si>
  <si>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</si>
  <si>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</si>
  <si>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</si>
  <si>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</si>
  <si>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</si>
  <si>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</si>
  <si>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</si>
  <si>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</si>
  <si>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</si>
  <si>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</si>
  <si>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</si>
  <si>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</si>
  <si>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</si>
  <si>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</si>
  <si>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</si>
  <si>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</si>
  <si>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</si>
  <si>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</si>
  <si>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</si>
  <si>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</si>
  <si>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</si>
  <si>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</si>
  <si>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</si>
  <si>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</si>
  <si>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</si>
  <si>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</si>
  <si>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</si>
  <si>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</si>
  <si>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</si>
  <si>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</si>
  <si>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</si>
  <si>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</si>
  <si>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</si>
  <si>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</si>
  <si>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</si>
  <si>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</si>
  <si>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</si>
  <si>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</si>
  <si>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</si>
  <si>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</si>
  <si>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</si>
  <si>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</si>
  <si>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</si>
  <si>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</si>
  <si>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</si>
  <si>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</si>
  <si>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</si>
  <si>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</si>
  <si>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</si>
  <si>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</si>
  <si>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</si>
  <si>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</si>
  <si>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</si>
  <si>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</si>
  <si>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</si>
  <si>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</si>
  <si>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</si>
  <si>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</si>
  <si>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</si>
  <si>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</si>
  <si>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</si>
  <si>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</si>
  <si>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</si>
  <si>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</si>
  <si>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</si>
  <si>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</si>
  <si>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</si>
  <si>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</si>
  <si>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</si>
  <si>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</si>
  <si>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</si>
  <si>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</si>
  <si>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</si>
  <si>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</si>
  <si>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</si>
  <si>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Nf from Model Ng, %</t>
  </si>
  <si>
    <t>Model Ng from pcnfRef at RESET, %</t>
  </si>
  <si>
    <t>model throttle from vpot</t>
  </si>
  <si>
    <t>Model Ng from Model Throttle, %</t>
  </si>
  <si>
    <t>Model pcnfRef from Model Ng,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</si>
  <si>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</si>
  <si>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</si>
  <si>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</si>
  <si>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</si>
  <si>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</si>
  <si>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</si>
  <si>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</si>
  <si>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</si>
  <si>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</si>
  <si>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</si>
  <si>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</si>
  <si>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</si>
  <si>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</si>
  <si>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</si>
  <si>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</si>
  <si>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</si>
  <si>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with fan</t>
  </si>
  <si>
    <t>Model TauG</t>
  </si>
  <si>
    <t>Model TauA</t>
  </si>
  <si>
    <t>Model Inner Gain</t>
  </si>
  <si>
    <t>Model dQgdNg, ft-lbf/rpm</t>
  </si>
  <si>
    <t>Model Qg from Model Ng, ft-lbf</t>
  </si>
  <si>
    <t>Model Qf from Model Nf, ft-lbf</t>
  </si>
  <si>
    <t>Model Nf from Model Ng, rpm</t>
  </si>
  <si>
    <t>Model dQfdNf, ft-lbf/rpm</t>
  </si>
  <si>
    <t>Model TauF</t>
  </si>
  <si>
    <t>P_N_SHP</t>
  </si>
  <si>
    <t>P_N_Q</t>
  </si>
  <si>
    <t>Model SHPg from Model Ng, shp</t>
  </si>
  <si>
    <t>Model SHPf from Model Nf, shp</t>
  </si>
  <si>
    <t>Reverse/Fan connected</t>
  </si>
  <si>
    <t>Reverse/Fan not connected</t>
  </si>
  <si>
    <t>pwr conn, shp</t>
  </si>
  <si>
    <t>pwr unconn, shp</t>
  </si>
  <si>
    <t>Ng Torque Backwards unconn, ft-lbf</t>
  </si>
  <si>
    <t>Ng Torque Backwards conn, ft-lbf</t>
  </si>
  <si>
    <t>P_NG_QG</t>
  </si>
  <si>
    <t>P_NF_QF</t>
  </si>
  <si>
    <t>Nf Torque, ft-lbf</t>
  </si>
  <si>
    <t>dQf/dNf, ft-lbf/rpm</t>
  </si>
  <si>
    <t>dQg/dNg, ft-lbf/rpm</t>
  </si>
  <si>
    <t>Nf Power, SHP</t>
  </si>
  <si>
    <t>P_NG_SHP</t>
  </si>
  <si>
    <t>P_NF_SHP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</si>
</sst>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CalPhotonTurnigy!$P$5:$P$13</c:f>
              <c:numCache>
                <c:formatCode>0</c:formatCode>
                <c:ptCount val="9"/>
                <c:pt idx="0">
                  <c:v>0.6</c:v>
                </c:pt>
                <c:pt idx="1">
                  <c:v>8902.077151335312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20905.923344947736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7088"/>
        <c:axId val="214645128"/>
      </c:scatterChart>
      <c:valAx>
        <c:axId val="21464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5128"/>
        <c:crosses val="autoZero"/>
        <c:crossBetween val="midCat"/>
      </c:valAx>
      <c:valAx>
        <c:axId val="2146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79297331583552066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CalPhotonTurnigy!$V$64</c:f>
              <c:strCache>
                <c:ptCount val="1"/>
                <c:pt idx="0">
                  <c:v>Ng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980861767279091"/>
                  <c:y val="0.215685695538057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CalPhotonTurnigy!$V$65:$V$79</c:f>
              <c:numCache>
                <c:formatCode>0.00000</c:formatCode>
                <c:ptCount val="15"/>
                <c:pt idx="0">
                  <c:v>3.7578782821113517E-3</c:v>
                </c:pt>
                <c:pt idx="1">
                  <c:v>4.4183803517819035E-3</c:v>
                </c:pt>
                <c:pt idx="2">
                  <c:v>5.255657655998021E-3</c:v>
                </c:pt>
                <c:pt idx="3">
                  <c:v>6.1169248244207376E-3</c:v>
                </c:pt>
                <c:pt idx="4">
                  <c:v>7.4004554432773335E-3</c:v>
                </c:pt>
                <c:pt idx="5">
                  <c:v>8.4889177089109008E-3</c:v>
                </c:pt>
                <c:pt idx="6">
                  <c:v>8.6264929607275023E-3</c:v>
                </c:pt>
                <c:pt idx="7">
                  <c:v>9.9968077766530127E-3</c:v>
                </c:pt>
                <c:pt idx="8">
                  <c:v>1.1574234439717663E-2</c:v>
                </c:pt>
                <c:pt idx="9">
                  <c:v>1.257860119168224E-2</c:v>
                </c:pt>
                <c:pt idx="10">
                  <c:v>1.4438291132094773E-2</c:v>
                </c:pt>
                <c:pt idx="11">
                  <c:v>1.6220328303963312E-2</c:v>
                </c:pt>
                <c:pt idx="12">
                  <c:v>1.8984720591307163E-2</c:v>
                </c:pt>
                <c:pt idx="13">
                  <c:v>2.1506720410833846E-2</c:v>
                </c:pt>
                <c:pt idx="14">
                  <c:v>2.6045858907228683E-2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CalPhotonTurnigy!$V$82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CalPhotonTurnigy!$V$83:$V$97</c:f>
              <c:numCache>
                <c:formatCode>0.00000</c:formatCode>
                <c:ptCount val="15"/>
                <c:pt idx="0">
                  <c:v>4.5566466674235194E-3</c:v>
                </c:pt>
                <c:pt idx="1">
                  <c:v>4.9151034173411049E-3</c:v>
                </c:pt>
                <c:pt idx="2">
                  <c:v>5.4841525476331228E-3</c:v>
                </c:pt>
                <c:pt idx="3">
                  <c:v>6.3183773011363711E-3</c:v>
                </c:pt>
                <c:pt idx="4">
                  <c:v>7.1107678547450686E-3</c:v>
                </c:pt>
                <c:pt idx="5">
                  <c:v>7.9430363313624987E-3</c:v>
                </c:pt>
                <c:pt idx="6">
                  <c:v>8.3222410541789974E-3</c:v>
                </c:pt>
                <c:pt idx="7">
                  <c:v>9.7262408883614527E-3</c:v>
                </c:pt>
                <c:pt idx="8">
                  <c:v>1.1434866614916992E-2</c:v>
                </c:pt>
                <c:pt idx="9">
                  <c:v>1.2720293456940682E-2</c:v>
                </c:pt>
                <c:pt idx="10">
                  <c:v>1.4420217263487361E-2</c:v>
                </c:pt>
                <c:pt idx="11">
                  <c:v>1.6155187509381233E-2</c:v>
                </c:pt>
                <c:pt idx="12">
                  <c:v>1.8743820897416941E-2</c:v>
                </c:pt>
                <c:pt idx="13">
                  <c:v>2.2910977316251649E-2</c:v>
                </c:pt>
                <c:pt idx="14">
                  <c:v>2.6563764337382487E-2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xVal>
          <c:yVal>
            <c:numRef>
              <c:f>CalPhotonTurnigy!$V$4:$V$13</c:f>
              <c:numCache>
                <c:formatCode>0.00000</c:formatCode>
                <c:ptCount val="10"/>
                <c:pt idx="0">
                  <c:v>4.6669345940807206E-3</c:v>
                </c:pt>
                <c:pt idx="1">
                  <c:v>4.011393083656359E-3</c:v>
                </c:pt>
                <c:pt idx="2">
                  <c:v>7.7987073838718312E-3</c:v>
                </c:pt>
                <c:pt idx="3">
                  <c:v>9.4317379682233565E-3</c:v>
                </c:pt>
                <c:pt idx="4">
                  <c:v>1.3508822260627353E-2</c:v>
                </c:pt>
                <c:pt idx="5">
                  <c:v>1.4800634329554439E-2</c:v>
                </c:pt>
                <c:pt idx="6">
                  <c:v>1.8471679301078667E-2</c:v>
                </c:pt>
                <c:pt idx="7">
                  <c:v>2.4258509516750081E-2</c:v>
                </c:pt>
                <c:pt idx="8">
                  <c:v>3.0861577880676404E-2</c:v>
                </c:pt>
                <c:pt idx="9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0216"/>
        <c:axId val="217360608"/>
      </c:scatterChart>
      <c:valAx>
        <c:axId val="2173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0608"/>
        <c:crosses val="autoZero"/>
        <c:crossBetween val="midCat"/>
      </c:valAx>
      <c:valAx>
        <c:axId val="2173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60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11111111111112"/>
          <c:y val="6.6549285505978426E-2"/>
          <c:w val="0.50736242344706917"/>
          <c:h val="0.22338291046952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CalPhotonTurnigy!$AS$1</c:f>
              <c:strCache>
                <c:ptCount val="1"/>
                <c:pt idx="0">
                  <c:v>Model Qf from Model Nf, ft-lbf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7436.6059220942916</c:v>
                </c:pt>
                <c:pt idx="5">
                  <c:v>12338.893226620741</c:v>
                </c:pt>
                <c:pt idx="6">
                  <c:v>18656.823662026796</c:v>
                </c:pt>
                <c:pt idx="7">
                  <c:v>22479.714809147346</c:v>
                </c:pt>
                <c:pt idx="8">
                  <c:v>25936.589936771332</c:v>
                </c:pt>
                <c:pt idx="9">
                  <c:v>30885.574921077128</c:v>
                </c:pt>
                <c:pt idx="10">
                  <c:v>34019.675362601745</c:v>
                </c:pt>
                <c:pt idx="11">
                  <c:v>34930.575933126645</c:v>
                </c:pt>
                <c:pt idx="12">
                  <c:v>36198.302426845723</c:v>
                </c:pt>
              </c:numCache>
            </c:numRef>
          </c:xVal>
          <c:yVal>
            <c:numRef>
              <c:f>CalPhotonTurnigy!$AS$2:$AS$14</c:f>
              <c:numCache>
                <c:formatCode>0.00000</c:formatCode>
                <c:ptCount val="13"/>
                <c:pt idx="4">
                  <c:v>4.7083123204557558E-3</c:v>
                </c:pt>
                <c:pt idx="5">
                  <c:v>4.6547337155228904E-3</c:v>
                </c:pt>
                <c:pt idx="6">
                  <c:v>5.5446917623018215E-3</c:v>
                </c:pt>
                <c:pt idx="7">
                  <c:v>6.6076518189279454E-3</c:v>
                </c:pt>
                <c:pt idx="8">
                  <c:v>7.9092860710449058E-3</c:v>
                </c:pt>
                <c:pt idx="9">
                  <c:v>1.0335539637470414E-2</c:v>
                </c:pt>
                <c:pt idx="10">
                  <c:v>1.2214758697245927E-2</c:v>
                </c:pt>
                <c:pt idx="11">
                  <c:v>1.2810784947188427E-2</c:v>
                </c:pt>
                <c:pt idx="12">
                  <c:v>1.3677655931616359E-2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492960"/>
        <c:axId val="567490216"/>
      </c:scatterChart>
      <c:valAx>
        <c:axId val="56749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90216"/>
        <c:crosses val="autoZero"/>
        <c:crossBetween val="midCat"/>
      </c:valAx>
      <c:valAx>
        <c:axId val="5674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9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78915135607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CalPhotonTurnigy!$AL$7:$AL$14</c:f>
              <c:numCache>
                <c:formatCode>General</c:formatCode>
                <c:ptCount val="8"/>
                <c:pt idx="0">
                  <c:v>26.777112036937371</c:v>
                </c:pt>
                <c:pt idx="1">
                  <c:v>40.487898572106765</c:v>
                </c:pt>
                <c:pt idx="2">
                  <c:v>48.784103318462122</c:v>
                </c:pt>
                <c:pt idx="3">
                  <c:v>56.286002466951672</c:v>
                </c:pt>
                <c:pt idx="4">
                  <c:v>67.025987241920845</c:v>
                </c:pt>
                <c:pt idx="5">
                  <c:v>73.827420491757252</c:v>
                </c:pt>
                <c:pt idx="6">
                  <c:v>75.804201243764425</c:v>
                </c:pt>
                <c:pt idx="7">
                  <c:v>78.555343808258939</c:v>
                </c:pt>
              </c:numCache>
            </c:numRef>
          </c:xVal>
          <c:yVal>
            <c:numRef>
              <c:f>CalPhotonTurnigy!$AU$7:$AU$14</c:f>
              <c:numCache>
                <c:formatCode>0.000</c:formatCode>
                <c:ptCount val="8"/>
                <c:pt idx="0">
                  <c:v>0.8124094171529751</c:v>
                </c:pt>
                <c:pt idx="1">
                  <c:v>0.1988214247099786</c:v>
                </c:pt>
                <c:pt idx="2">
                  <c:v>0.13645917864976709</c:v>
                </c:pt>
                <c:pt idx="3">
                  <c:v>0.10630735202119303</c:v>
                </c:pt>
                <c:pt idx="4">
                  <c:v>8.0760279898029766E-2</c:v>
                </c:pt>
                <c:pt idx="5">
                  <c:v>7.0093094531430672E-2</c:v>
                </c:pt>
                <c:pt idx="6">
                  <c:v>6.750175020744914E-2</c:v>
                </c:pt>
                <c:pt idx="7">
                  <c:v>6.4198587586128286E-2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20000"/>
        <c:axId val="561918824"/>
      </c:scatterChart>
      <c:valAx>
        <c:axId val="56192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8824"/>
        <c:crosses val="autoZero"/>
        <c:crossBetween val="midCat"/>
      </c:valAx>
      <c:valAx>
        <c:axId val="56191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2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6576"/>
        <c:axId val="217796968"/>
      </c:scatterChart>
      <c:valAx>
        <c:axId val="21779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6968"/>
        <c:crosses val="autoZero"/>
        <c:crossBetween val="midCat"/>
      </c:valAx>
      <c:valAx>
        <c:axId val="21779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3832"/>
        <c:axId val="217794616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4224"/>
        <c:axId val="217795008"/>
      </c:scatterChart>
      <c:valAx>
        <c:axId val="2177938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4616"/>
        <c:crossesAt val="-40"/>
        <c:crossBetween val="midCat"/>
        <c:majorUnit val="20"/>
      </c:valAx>
      <c:valAx>
        <c:axId val="2177946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3832"/>
        <c:crosses val="autoZero"/>
        <c:crossBetween val="midCat"/>
      </c:valAx>
      <c:valAx>
        <c:axId val="21779500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4224"/>
        <c:crosses val="max"/>
        <c:crossBetween val="midCat"/>
        <c:majorUnit val="40"/>
      </c:valAx>
      <c:valAx>
        <c:axId val="21779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779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7360"/>
        <c:axId val="217797752"/>
      </c:scatterChart>
      <c:valAx>
        <c:axId val="2177973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797752"/>
        <c:crosses val="autoZero"/>
        <c:crossBetween val="midCat"/>
      </c:valAx>
      <c:valAx>
        <c:axId val="217797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779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6184"/>
        <c:axId val="217801280"/>
      </c:scatterChart>
      <c:valAx>
        <c:axId val="21779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01280"/>
        <c:crosses val="autoZero"/>
        <c:crossBetween val="midCat"/>
      </c:valAx>
      <c:valAx>
        <c:axId val="217801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9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8536"/>
        <c:axId val="217798928"/>
      </c:scatterChart>
      <c:valAx>
        <c:axId val="21779853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7798928"/>
        <c:crosses val="autoZero"/>
        <c:crossBetween val="midCat"/>
      </c:valAx>
      <c:valAx>
        <c:axId val="2177989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7798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99712"/>
        <c:axId val="217800496"/>
      </c:scatterChart>
      <c:valAx>
        <c:axId val="2177997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800496"/>
        <c:crosses val="autoZero"/>
        <c:crossBetween val="midCat"/>
        <c:dispUnits>
          <c:builtInUnit val="thousands"/>
          <c:dispUnitsLbl/>
        </c:dispUnits>
      </c:valAx>
      <c:valAx>
        <c:axId val="2178004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79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3816"/>
        <c:axId val="218054600"/>
      </c:scatterChart>
      <c:valAx>
        <c:axId val="21805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54600"/>
        <c:crosses val="autoZero"/>
        <c:crossBetween val="midCat"/>
      </c:valAx>
      <c:valAx>
        <c:axId val="21805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0538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6696"/>
        <c:axId val="21464748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7872"/>
        <c:axId val="214644736"/>
      </c:scatterChart>
      <c:valAx>
        <c:axId val="2146466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480"/>
        <c:crossesAt val="-40"/>
        <c:crossBetween val="midCat"/>
        <c:majorUnit val="20"/>
      </c:valAx>
      <c:valAx>
        <c:axId val="2146474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6696"/>
        <c:crosses val="autoZero"/>
        <c:crossBetween val="midCat"/>
      </c:valAx>
      <c:valAx>
        <c:axId val="21464473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47872"/>
        <c:crosses val="max"/>
        <c:crossBetween val="midCat"/>
        <c:majorUnit val="40"/>
      </c:valAx>
      <c:valAx>
        <c:axId val="214647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64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6168"/>
        <c:axId val="218055384"/>
      </c:scatterChart>
      <c:valAx>
        <c:axId val="2180561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8055384"/>
        <c:crosses val="autoZero"/>
        <c:crossBetween val="midCat"/>
      </c:valAx>
      <c:valAx>
        <c:axId val="218055384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8056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0288"/>
        <c:axId val="218054992"/>
      </c:scatterChart>
      <c:valAx>
        <c:axId val="21805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4992"/>
        <c:crosses val="autoZero"/>
        <c:crossBetween val="midCat"/>
      </c:valAx>
      <c:valAx>
        <c:axId val="218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9504"/>
        <c:axId val="218052640"/>
      </c:scatterChart>
      <c:valAx>
        <c:axId val="2180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2640"/>
        <c:crosses val="autoZero"/>
        <c:crossBetween val="midCat"/>
      </c:valAx>
      <c:valAx>
        <c:axId val="2180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4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49896"/>
        <c:axId val="218050680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1464"/>
        <c:axId val="218051072"/>
      </c:scatterChart>
      <c:valAx>
        <c:axId val="2180498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0680"/>
        <c:crosses val="autoZero"/>
        <c:crossBetween val="midCat"/>
      </c:valAx>
      <c:valAx>
        <c:axId val="21805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49896"/>
        <c:crosses val="autoZero"/>
        <c:crossBetween val="midCat"/>
      </c:valAx>
      <c:valAx>
        <c:axId val="218051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51464"/>
        <c:crosses val="max"/>
        <c:crossBetween val="midCat"/>
      </c:valAx>
      <c:valAx>
        <c:axId val="218051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805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53032"/>
        <c:axId val="217835992"/>
      </c:scatterChart>
      <c:valAx>
        <c:axId val="21805303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835992"/>
        <c:crosses val="autoZero"/>
        <c:crossBetween val="midCat"/>
      </c:valAx>
      <c:valAx>
        <c:axId val="217835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053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0304"/>
        <c:axId val="217839912"/>
      </c:scatterChart>
      <c:valAx>
        <c:axId val="21784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7839912"/>
        <c:crosses val="autoZero"/>
        <c:crossBetween val="midCat"/>
      </c:valAx>
      <c:valAx>
        <c:axId val="21783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84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1088"/>
        <c:axId val="217841480"/>
      </c:scatterChart>
      <c:valAx>
        <c:axId val="21784108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1480"/>
        <c:crosses val="autoZero"/>
        <c:crossBetween val="midCat"/>
      </c:valAx>
      <c:valAx>
        <c:axId val="21784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108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1872"/>
        <c:axId val="217836384"/>
      </c:scatterChart>
      <c:valAx>
        <c:axId val="21784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6384"/>
        <c:crosses val="autoZero"/>
        <c:crossBetween val="midCat"/>
      </c:valAx>
      <c:valAx>
        <c:axId val="2178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42264"/>
        <c:axId val="217835208"/>
      </c:scatterChart>
      <c:valAx>
        <c:axId val="21784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5208"/>
        <c:crosses val="autoZero"/>
        <c:crossBetween val="midCat"/>
      </c:valAx>
      <c:valAx>
        <c:axId val="21783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4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7560"/>
        <c:axId val="217837952"/>
      </c:scatterChart>
      <c:valAx>
        <c:axId val="217837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7952"/>
        <c:crosses val="autoZero"/>
        <c:crossBetween val="midCat"/>
      </c:valAx>
      <c:valAx>
        <c:axId val="2178379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37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CalPhotonTurnigy!$T$4:$T$13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43560"/>
        <c:axId val="214649048"/>
      </c:scatterChart>
      <c:valAx>
        <c:axId val="2146435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14649048"/>
        <c:crosses val="autoZero"/>
        <c:crossBetween val="midCat"/>
      </c:valAx>
      <c:valAx>
        <c:axId val="214649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643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CalPhotonTurnigy!$AH$4:$AH$13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2528"/>
        <c:axId val="217358256"/>
      </c:scatterChart>
      <c:valAx>
        <c:axId val="21382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8256"/>
        <c:crosses val="autoZero"/>
        <c:crossBetween val="midCat"/>
      </c:valAx>
      <c:valAx>
        <c:axId val="217358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CalPhotonTurnigy!$O$5:$O$13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CalPhotonTurnigy!$V$5:$V$13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61392"/>
        <c:axId val="217362176"/>
      </c:scatterChart>
      <c:valAx>
        <c:axId val="2173613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7362176"/>
        <c:crosses val="autoZero"/>
        <c:crossBetween val="midCat"/>
      </c:valAx>
      <c:valAx>
        <c:axId val="21736217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7361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CalPhotonTurnigy!$AH$4:$AH$14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CalPhotonTurnigy!$AQ$4:$AQ$14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5512"/>
        <c:axId val="217362568"/>
      </c:scatterChart>
      <c:valAx>
        <c:axId val="21735551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362568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21736256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355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TauF</c:v>
                </c:pt>
              </c:strCache>
            </c:strRef>
          </c:tx>
          <c:marker>
            <c:symbol val="none"/>
          </c:marker>
          <c:xVal>
            <c:numRef>
              <c:f>CalPhotonTurnigy!$AM$7:$AM$13</c:f>
              <c:numCache>
                <c:formatCode>General</c:formatCode>
                <c:ptCount val="7"/>
                <c:pt idx="0">
                  <c:v>12338.893226620741</c:v>
                </c:pt>
                <c:pt idx="1">
                  <c:v>18656.823662026796</c:v>
                </c:pt>
                <c:pt idx="2">
                  <c:v>22479.714809147346</c:v>
                </c:pt>
                <c:pt idx="3">
                  <c:v>25936.589936771332</c:v>
                </c:pt>
                <c:pt idx="4">
                  <c:v>30885.574921077128</c:v>
                </c:pt>
                <c:pt idx="5">
                  <c:v>34019.675362601745</c:v>
                </c:pt>
                <c:pt idx="6">
                  <c:v>34930.575933126645</c:v>
                </c:pt>
              </c:numCache>
            </c:numRef>
          </c:xVal>
          <c:yVal>
            <c:numRef>
              <c:f>CalPhotonTurnigy!$AU$7:$AU$13</c:f>
              <c:numCache>
                <c:formatCode>0.000</c:formatCode>
                <c:ptCount val="7"/>
                <c:pt idx="0">
                  <c:v>0.8124094171529751</c:v>
                </c:pt>
                <c:pt idx="1">
                  <c:v>0.1988214247099786</c:v>
                </c:pt>
                <c:pt idx="2">
                  <c:v>0.13645917864976709</c:v>
                </c:pt>
                <c:pt idx="3">
                  <c:v>0.10630735202119303</c:v>
                </c:pt>
                <c:pt idx="4">
                  <c:v>8.0760279898029766E-2</c:v>
                </c:pt>
                <c:pt idx="5">
                  <c:v>7.0093094531430672E-2</c:v>
                </c:pt>
                <c:pt idx="6">
                  <c:v>6.750175020744914E-2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9824"/>
        <c:axId val="217356296"/>
      </c:scatterChart>
      <c:valAx>
        <c:axId val="2173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356296"/>
        <c:crosses val="autoZero"/>
        <c:crossBetween val="midCat"/>
      </c:valAx>
      <c:valAx>
        <c:axId val="21735629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7359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CalPhotonTurnigy!$AH$2:$AH$14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CalPhotonTurnigy!$AO$2:$AO$14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7864"/>
        <c:axId val="217355120"/>
      </c:scatterChart>
      <c:valAx>
        <c:axId val="2173578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17355120"/>
        <c:crosses val="autoZero"/>
        <c:crossBetween val="midCat"/>
      </c:valAx>
      <c:valAx>
        <c:axId val="21735512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7357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CalPhotonTurnigy!$U$64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CalPhotonTurnigy!$O$65:$O$79</c:f>
              <c:numCache>
                <c:formatCode>0</c:formatCode>
                <c:ptCount val="15"/>
                <c:pt idx="0">
                  <c:v>11673.151750972764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19933.554817275748</c:v>
                </c:pt>
                <c:pt idx="4">
                  <c:v>22641.509433962266</c:v>
                </c:pt>
                <c:pt idx="5">
                  <c:v>24000.000000000004</c:v>
                </c:pt>
                <c:pt idx="6">
                  <c:v>26431.718061674012</c:v>
                </c:pt>
                <c:pt idx="7">
                  <c:v>29702.970297029704</c:v>
                </c:pt>
                <c:pt idx="8">
                  <c:v>32085.561497326202</c:v>
                </c:pt>
                <c:pt idx="9">
                  <c:v>36363.636363636368</c:v>
                </c:pt>
                <c:pt idx="10">
                  <c:v>39735.099337748346</c:v>
                </c:pt>
                <c:pt idx="11">
                  <c:v>40816.326530612241</c:v>
                </c:pt>
                <c:pt idx="12">
                  <c:v>43478.260869565223</c:v>
                </c:pt>
                <c:pt idx="13" formatCode="General">
                  <c:v>45801.526717557252</c:v>
                </c:pt>
                <c:pt idx="14" formatCode="General">
                  <c:v>47923.322683706072</c:v>
                </c:pt>
              </c:numCache>
            </c:numRef>
          </c:xVal>
          <c:yVal>
            <c:numRef>
              <c:f>CalPhotonTurnigy!$U$65:$U$79</c:f>
              <c:numCache>
                <c:formatCode>General</c:formatCode>
                <c:ptCount val="15"/>
                <c:pt idx="0">
                  <c:v>8.3523007328200009E-3</c:v>
                </c:pt>
                <c:pt idx="1">
                  <c:v>1.2075728777140001E-2</c:v>
                </c:pt>
                <c:pt idx="2">
                  <c:v>1.7154795961259999E-2</c:v>
                </c:pt>
                <c:pt idx="3">
                  <c:v>2.3216309272800002E-2</c:v>
                </c:pt>
                <c:pt idx="4">
                  <c:v>3.1903557070560008E-2</c:v>
                </c:pt>
                <c:pt idx="5">
                  <c:v>3.8791703163339998E-2</c:v>
                </c:pt>
                <c:pt idx="6">
                  <c:v>4.3414514432400006E-2</c:v>
                </c:pt>
                <c:pt idx="7">
                  <c:v>5.6537487519999999E-2</c:v>
                </c:pt>
                <c:pt idx="8">
                  <c:v>7.0709408015999994E-2</c:v>
                </c:pt>
                <c:pt idx="9">
                  <c:v>8.7091332768000004E-2</c:v>
                </c:pt>
                <c:pt idx="10">
                  <c:v>0.10923589725840001</c:v>
                </c:pt>
                <c:pt idx="11">
                  <c:v>0.12605754312420001</c:v>
                </c:pt>
                <c:pt idx="12">
                  <c:v>0.15716348712960002</c:v>
                </c:pt>
                <c:pt idx="13">
                  <c:v>0.18755533692000004</c:v>
                </c:pt>
                <c:pt idx="14">
                  <c:v>0.23766262395000001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CalPhotonTurnigy!$U$82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CalPhotonTurnigy!$O$83:$O$97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CalPhotonTurnigy!$U$83:$U$97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359040"/>
        <c:axId val="217359432"/>
      </c:scatterChart>
      <c:valAx>
        <c:axId val="2173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9432"/>
        <c:crosses val="autoZero"/>
        <c:crossBetween val="midCat"/>
      </c:valAx>
      <c:valAx>
        <c:axId val="2173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241935</xdr:colOff>
      <xdr:row>15</xdr:row>
      <xdr:rowOff>167646</xdr:rowOff>
    </xdr:from>
    <xdr:to>
      <xdr:col>19</xdr:col>
      <xdr:colOff>396240</xdr:colOff>
      <xdr:row>31</xdr:row>
      <xdr:rowOff>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468630</xdr:colOff>
      <xdr:row>72</xdr:row>
      <xdr:rowOff>60960</xdr:rowOff>
    </xdr:from>
    <xdr:to>
      <xdr:col>12</xdr:col>
      <xdr:colOff>278130</xdr:colOff>
      <xdr:row>87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518160</xdr:colOff>
      <xdr:row>89</xdr:row>
      <xdr:rowOff>3810</xdr:rowOff>
    </xdr:from>
    <xdr:to>
      <xdr:col>31</xdr:col>
      <xdr:colOff>480060</xdr:colOff>
      <xdr:row>103</xdr:row>
      <xdr:rowOff>179070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47</xdr:col>
      <xdr:colOff>548640</xdr:colOff>
      <xdr:row>3</xdr:row>
      <xdr:rowOff>53346</xdr:rowOff>
    </xdr:from>
    <xdr:to>
      <xdr:col>55</xdr:col>
      <xdr:colOff>243840</xdr:colOff>
      <xdr:row>18</xdr:row>
      <xdr:rowOff>129546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518160</xdr:colOff>
      <xdr:row>18</xdr:row>
      <xdr:rowOff>114306</xdr:rowOff>
    </xdr:from>
    <xdr:to>
      <xdr:col>53</xdr:col>
      <xdr:colOff>0</xdr:colOff>
      <xdr:row>33</xdr:row>
      <xdr:rowOff>83826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tabSelected="1" topLeftCell="AL1" workbookViewId="0">
      <pane ySplit="1" topLeftCell="A2" activePane="bottomLeft" state="frozen"/>
      <selection pane="bottomLeft" activeCell="AR8" sqref="AR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8.554687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8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126</v>
      </c>
      <c r="X1" s="4" t="s">
        <v>127</v>
      </c>
      <c r="Y1" s="4" t="s">
        <v>124</v>
      </c>
      <c r="Z1" s="4" t="s">
        <v>125</v>
      </c>
      <c r="AA1" s="4" t="s">
        <v>99</v>
      </c>
      <c r="AB1" s="4" t="s">
        <v>62</v>
      </c>
      <c r="AC1" s="4" t="s">
        <v>63</v>
      </c>
      <c r="AD1" s="4" t="s">
        <v>64</v>
      </c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R14" si="4">O2/$W$40*100</f>
        <v>0</v>
      </c>
      <c r="R2" s="3">
        <f t="shared" si="4"/>
        <v>0</v>
      </c>
      <c r="S2" s="3">
        <f t="shared" ref="S2:S14" si="5">K2</f>
        <v>1E-3</v>
      </c>
      <c r="T2" s="4">
        <f t="shared" si="0"/>
        <v>0</v>
      </c>
      <c r="U2">
        <f t="shared" ref="U2:U3" si="6">T2*0.001341022</f>
        <v>0</v>
      </c>
      <c r="AA2" s="4"/>
      <c r="AB2" s="4"/>
      <c r="AC2" s="4"/>
      <c r="AD2" s="4"/>
      <c r="AF2" s="95">
        <f t="shared" ref="AF2:AF8" si="7">C2/$AD$32*$AD$27</f>
        <v>2.7777777777777779E-5</v>
      </c>
      <c r="AG2" s="95">
        <f t="shared" ref="AG2:AG14" si="8">AF2/$AD$27*$AD$32</f>
        <v>1E-3</v>
      </c>
      <c r="AH2" s="96">
        <f t="shared" ref="AH2:AH14" si="9">MAX(($AD$35+$AE$35*LN($AG2)),0)</f>
        <v>0</v>
      </c>
      <c r="AI2" s="96">
        <f>MAX(($AD$35+$AE$35*LN($AG2))/$AD$31,0)</f>
        <v>0</v>
      </c>
      <c r="AJ2" s="96">
        <f t="shared" ref="AJ2:AJ14" si="10">($AD$36+$AE$36*AI2*$AD$31)/$AD$31</f>
        <v>-22.518313374985873</v>
      </c>
      <c r="AK2" s="96">
        <f t="shared" ref="AK2:AK14" si="11">($AD$37+$AE$37*AJ2*$AD$31)/$AD$31</f>
        <v>0.50486728578350204</v>
      </c>
      <c r="AM2">
        <f t="shared" ref="AM2:AM5" si="12">MAX($AD$36+$AE$36*AH2, 0)</f>
        <v>0</v>
      </c>
      <c r="AN2" s="127">
        <f>MAX($AD$40+$AH2*($AE$40+$AH2*$AF$40), 0)</f>
        <v>0</v>
      </c>
      <c r="AO2" s="127"/>
      <c r="AP2" s="127"/>
      <c r="AR2" s="127"/>
      <c r="AS2" s="127"/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4"/>
        <v>0</v>
      </c>
      <c r="S3" s="3">
        <f t="shared" si="5"/>
        <v>7.361501228839896</v>
      </c>
      <c r="T3" s="4">
        <f t="shared" si="0"/>
        <v>0</v>
      </c>
      <c r="U3">
        <f t="shared" si="6"/>
        <v>0</v>
      </c>
      <c r="AA3" s="4"/>
      <c r="AB3" s="4">
        <f>64/45</f>
        <v>1.4222222222222223</v>
      </c>
      <c r="AC3" s="4">
        <f>28/19</f>
        <v>1.4736842105263157</v>
      </c>
      <c r="AD3" s="4"/>
      <c r="AF3" s="95">
        <f t="shared" si="7"/>
        <v>0.20448614524555267</v>
      </c>
      <c r="AG3" s="95">
        <f t="shared" si="8"/>
        <v>7.361501228839896</v>
      </c>
      <c r="AH3" s="96">
        <f t="shared" si="9"/>
        <v>0</v>
      </c>
      <c r="AI3" s="96">
        <f t="shared" ref="AI3:AI14" si="13">MAX(($AD$35+$AE$35*LN(AG3))/$AD$31,0)</f>
        <v>0</v>
      </c>
      <c r="AJ3" s="96">
        <f t="shared" si="10"/>
        <v>-22.518313374985873</v>
      </c>
      <c r="AK3" s="96">
        <f t="shared" si="11"/>
        <v>0.50486728578350204</v>
      </c>
      <c r="AM3">
        <f t="shared" si="12"/>
        <v>0</v>
      </c>
      <c r="AN3" s="127">
        <f>MAX($AD$40+$AH3*($AE$40+$AH3*$AF$40), 0)</f>
        <v>0</v>
      </c>
      <c r="AO3" s="127"/>
      <c r="AP3" t="e">
        <f>AO3/AH3*2</f>
        <v>#DIV/0!</v>
      </c>
      <c r="AR3" s="127"/>
      <c r="AS3" s="127"/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P13" si="15">M4*60/$W$27</f>
        <v>8955.2238805970155</v>
      </c>
      <c r="P4" s="3">
        <f t="shared" si="15"/>
        <v>0.6</v>
      </c>
      <c r="Q4" s="3">
        <f t="shared" si="4"/>
        <v>19.434079601990049</v>
      </c>
      <c r="R4" s="3">
        <f t="shared" si="4"/>
        <v>1.3020833333333333E-3</v>
      </c>
      <c r="S4" s="3">
        <f t="shared" si="5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6">U4/O4*5252</f>
        <v>4.6669345940807206E-3</v>
      </c>
      <c r="W4">
        <f t="shared" ref="W4:W13" si="17">-V4/2/O4</f>
        <v>-2.6057051483617353E-7</v>
      </c>
      <c r="Y4" s="127"/>
      <c r="Z4">
        <f>-Y4/2/P4</f>
        <v>0</v>
      </c>
      <c r="AA4" s="4"/>
      <c r="AB4" s="4">
        <f>5/AB3</f>
        <v>3.515625</v>
      </c>
      <c r="AC4" s="4">
        <f>5/AC3</f>
        <v>3.3928571428571432</v>
      </c>
      <c r="AD4" s="4"/>
      <c r="AF4" s="95">
        <f t="shared" si="7"/>
        <v>0.22222222222222224</v>
      </c>
      <c r="AG4" s="95">
        <f t="shared" si="8"/>
        <v>8</v>
      </c>
      <c r="AH4" s="96">
        <f t="shared" si="9"/>
        <v>1180.2918436956534</v>
      </c>
      <c r="AI4" s="96">
        <f t="shared" si="13"/>
        <v>2.5613972302423034</v>
      </c>
      <c r="AJ4" s="96">
        <f t="shared" si="10"/>
        <v>-19.888386066225014</v>
      </c>
      <c r="AK4" s="96">
        <f t="shared" si="11"/>
        <v>3.0452304636888843</v>
      </c>
      <c r="AM4">
        <f t="shared" si="12"/>
        <v>0</v>
      </c>
      <c r="AN4" s="127">
        <f>MAX($AD$40+$AH4*($AE$40+$AH4*$AF$40), 0)</f>
        <v>0</v>
      </c>
      <c r="AO4" s="127">
        <f t="shared" ref="AO4:AO7" si="18">AN4/AH4*5252</f>
        <v>0</v>
      </c>
      <c r="AP4">
        <f>AO4/AH4*2</f>
        <v>0</v>
      </c>
      <c r="AQ4" s="95"/>
      <c r="AR4" s="127"/>
      <c r="AS4" s="127"/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5"/>
        <v>0.6</v>
      </c>
      <c r="Q5" s="3">
        <f t="shared" si="4"/>
        <v>28.183621933621932</v>
      </c>
      <c r="R5" s="3">
        <f t="shared" si="4"/>
        <v>1.3020833333333333E-3</v>
      </c>
      <c r="S5" s="3">
        <f t="shared" si="5"/>
        <v>13</v>
      </c>
      <c r="T5" s="4">
        <f t="shared" si="0"/>
        <v>7.3968000000000007</v>
      </c>
      <c r="U5">
        <f>T5*0.001341022</f>
        <v>9.9192715296000013E-3</v>
      </c>
      <c r="V5" s="127">
        <f t="shared" si="16"/>
        <v>4.011393083656359E-3</v>
      </c>
      <c r="W5">
        <f t="shared" si="17"/>
        <v>-1.5443863372076981E-7</v>
      </c>
      <c r="Y5" s="127"/>
      <c r="Z5">
        <f>-Y5/2/P5</f>
        <v>0</v>
      </c>
      <c r="AF5" s="95">
        <f t="shared" si="7"/>
        <v>0.36111111111111105</v>
      </c>
      <c r="AG5" s="95">
        <f t="shared" si="8"/>
        <v>12.999999999999998</v>
      </c>
      <c r="AH5" s="96">
        <f t="shared" si="9"/>
        <v>8069.6528312921109</v>
      </c>
      <c r="AI5" s="96">
        <f t="shared" si="13"/>
        <v>17.512267429019339</v>
      </c>
      <c r="AJ5" s="96">
        <f t="shared" si="10"/>
        <v>-4.5375059445255612</v>
      </c>
      <c r="AK5" s="96">
        <f t="shared" si="11"/>
        <v>17.873324943600256</v>
      </c>
      <c r="AM5">
        <f t="shared" si="12"/>
        <v>0</v>
      </c>
      <c r="AN5" s="127">
        <f>MAX($AD$40+$AH5*($AE$40+$AH5*$AF$40), 0)</f>
        <v>0</v>
      </c>
      <c r="AO5" s="127">
        <f t="shared" si="18"/>
        <v>0</v>
      </c>
      <c r="AP5">
        <f t="shared" ref="AP5:AP14" si="22">AO5/AH5*2</f>
        <v>0</v>
      </c>
      <c r="AQ5" s="95"/>
      <c r="AR5" s="127"/>
      <c r="AS5" s="127"/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A6">
        <v>28</v>
      </c>
      <c r="B6" s="113">
        <f t="shared" si="20"/>
        <v>1.1388888888888888</v>
      </c>
      <c r="C6" s="140">
        <v>25</v>
      </c>
      <c r="D6" s="141">
        <v>0.61099999999999999</v>
      </c>
      <c r="E6" s="73">
        <v>13.77</v>
      </c>
      <c r="F6" s="106">
        <v>1.48</v>
      </c>
      <c r="G6" s="73">
        <v>3260</v>
      </c>
      <c r="H6" s="140">
        <v>6740</v>
      </c>
      <c r="I6" s="78">
        <v>4.08</v>
      </c>
      <c r="J6" s="2">
        <f>E6*F6</f>
        <v>20.3796</v>
      </c>
      <c r="K6" s="1">
        <f t="shared" si="2"/>
        <v>25</v>
      </c>
      <c r="L6" s="1">
        <f t="shared" si="21"/>
        <v>3.2188758248682006</v>
      </c>
      <c r="M6" s="3">
        <f t="shared" si="14"/>
        <v>306.74846625766872</v>
      </c>
      <c r="N6" s="3">
        <f t="shared" si="14"/>
        <v>148.36795252225519</v>
      </c>
      <c r="O6" s="3">
        <f t="shared" si="15"/>
        <v>18404.907975460123</v>
      </c>
      <c r="P6" s="3">
        <f t="shared" si="15"/>
        <v>8902.077151335312</v>
      </c>
      <c r="Q6" s="3">
        <f t="shared" si="4"/>
        <v>39.941206543967276</v>
      </c>
      <c r="R6" s="3">
        <f t="shared" si="4"/>
        <v>19.31874381800198</v>
      </c>
      <c r="S6" s="3">
        <f t="shared" si="5"/>
        <v>25</v>
      </c>
      <c r="T6" s="4">
        <f t="shared" si="0"/>
        <v>20.3796</v>
      </c>
      <c r="U6">
        <f>T6*0.001341022</f>
        <v>2.7329491951200002E-2</v>
      </c>
      <c r="V6" s="127">
        <f t="shared" si="16"/>
        <v>7.7987073838718312E-3</v>
      </c>
      <c r="W6">
        <f t="shared" si="17"/>
        <v>-2.118648839285181E-7</v>
      </c>
      <c r="Y6" s="127">
        <f>U6/P6*5252</f>
        <v>1.612370790407857E-2</v>
      </c>
      <c r="Z6">
        <f>-Y6/2/P6</f>
        <v>-9.0561492727907967E-7</v>
      </c>
      <c r="AF6" s="95">
        <f t="shared" si="7"/>
        <v>0.69444444444444442</v>
      </c>
      <c r="AG6" s="95">
        <f t="shared" si="8"/>
        <v>25</v>
      </c>
      <c r="AH6" s="96">
        <f t="shared" si="9"/>
        <v>17348.876248230645</v>
      </c>
      <c r="AI6" s="96">
        <f t="shared" si="13"/>
        <v>37.649471024806083</v>
      </c>
      <c r="AJ6" s="96">
        <f t="shared" si="10"/>
        <v>16.138467712878235</v>
      </c>
      <c r="AK6" s="96">
        <f t="shared" si="11"/>
        <v>37.845162937616266</v>
      </c>
      <c r="AL6">
        <f>AM6/$AD$31</f>
        <v>16.138467712878235</v>
      </c>
      <c r="AM6">
        <f>MAX($AD$36+$AE$36*AH6, 0)</f>
        <v>7436.6059220942916</v>
      </c>
      <c r="AN6" s="127">
        <f>MAX($AD$40+$AH6*($AE$40+$AH6*$AF$40), 0)</f>
        <v>1.4843385324309564E-2</v>
      </c>
      <c r="AO6" s="127">
        <f t="shared" si="18"/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ref="AR3:AS14" si="25">MAX($AD$41+$AM6*($AE$41+$AM6*$AF$41), 0)</f>
        <v>2.7938864492301894E-2</v>
      </c>
      <c r="AS6" s="127">
        <f>MAX($AD$39+$AM6*($AE$39+$AM6*$AF$39), 0)</f>
        <v>4.7083123204557558E-3</v>
      </c>
      <c r="AT6">
        <f>MAX($AE$39+2*$AM6*$AF$39,0)</f>
        <v>0</v>
      </c>
      <c r="AU6" s="95" t="e">
        <f t="shared" ref="AU6:AU14" si="26">$W$34/AT6</f>
        <v>#DIV/0!</v>
      </c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7">E7*F7</f>
        <v>29.981099999999998</v>
      </c>
      <c r="K7" s="1">
        <f t="shared" si="2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5"/>
        <v>13239.187996469551</v>
      </c>
      <c r="Q7" s="3">
        <f t="shared" si="4"/>
        <v>48.585199004975124</v>
      </c>
      <c r="R7" s="3">
        <f t="shared" si="4"/>
        <v>28.730876728449545</v>
      </c>
      <c r="S7" s="3">
        <f t="shared" si="5"/>
        <v>35</v>
      </c>
      <c r="T7" s="4">
        <f t="shared" si="0"/>
        <v>29.981099999999998</v>
      </c>
      <c r="U7">
        <f t="shared" ref="U7:U14" si="28">T7*0.001341022</f>
        <v>4.0205314684200001E-2</v>
      </c>
      <c r="V7" s="127">
        <f t="shared" si="16"/>
        <v>9.4317379682233565E-3</v>
      </c>
      <c r="W7">
        <f t="shared" si="17"/>
        <v>-2.106421479569883E-7</v>
      </c>
      <c r="Y7" s="127">
        <f>U7/P7*5252</f>
        <v>1.5949491220891135E-2</v>
      </c>
      <c r="Z7">
        <f>-Y7/2/P7</f>
        <v>-6.0235911844232185E-7</v>
      </c>
      <c r="AA7">
        <v>0.18</v>
      </c>
      <c r="AB7">
        <f>-AA7*W7</f>
        <v>3.7915586632257891E-8</v>
      </c>
      <c r="AC7">
        <f t="shared" ref="AC7:AC12" si="29">AB7/6.66*2048.5</f>
        <v>1.1662174056483527E-5</v>
      </c>
      <c r="AD7">
        <f t="shared" ref="AD7:AD12" si="30">AC7*144</f>
        <v>1.6793530641336278E-3</v>
      </c>
      <c r="AF7" s="95">
        <f t="shared" si="7"/>
        <v>0.97222222222222221</v>
      </c>
      <c r="AG7" s="95">
        <f t="shared" si="8"/>
        <v>35</v>
      </c>
      <c r="AH7" s="96">
        <f t="shared" si="9"/>
        <v>22123.420807632323</v>
      </c>
      <c r="AI7" s="96">
        <f t="shared" si="13"/>
        <v>48.010895849896535</v>
      </c>
      <c r="AJ7" s="96">
        <f t="shared" si="10"/>
        <v>26.777112036937371</v>
      </c>
      <c r="AK7" s="96">
        <f t="shared" si="11"/>
        <v>48.121500315323402</v>
      </c>
      <c r="AL7">
        <f t="shared" ref="AL7:AL14" si="31">AM7/$AD$31</f>
        <v>26.777112036937371</v>
      </c>
      <c r="AM7">
        <f t="shared" ref="AM7:AM14" si="32">MAX($AD$36+$AE$36*AH7, 0)</f>
        <v>12338.893226620741</v>
      </c>
      <c r="AN7" s="127">
        <f>MAX($AD$40+$AH7*($AE$40+$AH7*$AF$40), 0)</f>
        <v>3.8056725878256127E-2</v>
      </c>
      <c r="AO7" s="127">
        <f t="shared" si="18"/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25"/>
        <v>1.7253931091405696E-2</v>
      </c>
      <c r="AS7" s="127">
        <f t="shared" ref="AS7:AS14" si="33">MAX($AD$39+$AM7*($AE$39+$AM7*$AF$39), 0)</f>
        <v>4.6547337155228904E-3</v>
      </c>
      <c r="AT7">
        <f t="shared" ref="AT7:AT14" si="34">$AE$39+2*$AM7*$AF$39</f>
        <v>5.5390790714488466E-8</v>
      </c>
      <c r="AU7" s="95">
        <f t="shared" si="26"/>
        <v>0.8124094171529751</v>
      </c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 t="shared" si="20"/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si="27"/>
        <v>53.526600000000002</v>
      </c>
      <c r="K8" s="1">
        <f t="shared" si="2"/>
        <v>54</v>
      </c>
      <c r="L8" s="1">
        <f t="shared" si="21"/>
        <v>3.9889840465642745</v>
      </c>
      <c r="M8" s="3">
        <f t="shared" si="14"/>
        <v>465.11627906976747</v>
      </c>
      <c r="N8" s="3">
        <f t="shared" si="14"/>
        <v>314.46540880503147</v>
      </c>
      <c r="O8" s="3">
        <f t="shared" si="15"/>
        <v>27906.976744186049</v>
      </c>
      <c r="P8" s="3">
        <f t="shared" si="15"/>
        <v>18867.92452830189</v>
      </c>
      <c r="Q8" s="3">
        <f t="shared" si="4"/>
        <v>60.562015503875976</v>
      </c>
      <c r="R8" s="3">
        <f t="shared" si="4"/>
        <v>40.946016771488473</v>
      </c>
      <c r="S8" s="3">
        <f t="shared" si="5"/>
        <v>54</v>
      </c>
      <c r="T8" s="4">
        <f t="shared" si="0"/>
        <v>53.526600000000002</v>
      </c>
      <c r="U8">
        <f t="shared" si="28"/>
        <v>7.1780348185200002E-2</v>
      </c>
      <c r="V8" s="127">
        <f t="shared" si="16"/>
        <v>1.3508822260627353E-2</v>
      </c>
      <c r="W8">
        <f t="shared" si="17"/>
        <v>-2.4203306550290671E-7</v>
      </c>
      <c r="Y8" s="127">
        <f>U8/P8*5252</f>
        <v>1.9980490599439529E-2</v>
      </c>
      <c r="Z8">
        <f>-Y8/2/P8</f>
        <v>-5.2948300088514745E-7</v>
      </c>
      <c r="AA8">
        <v>0.18</v>
      </c>
      <c r="AB8">
        <f>-AA8*W8</f>
        <v>4.3565951790523206E-8</v>
      </c>
      <c r="AC8">
        <f t="shared" si="29"/>
        <v>1.3400127964397415E-5</v>
      </c>
      <c r="AD8">
        <f t="shared" si="30"/>
        <v>1.9296184268732279E-3</v>
      </c>
      <c r="AF8" s="95">
        <f t="shared" si="7"/>
        <v>1.5</v>
      </c>
      <c r="AG8" s="95">
        <f t="shared" si="8"/>
        <v>54</v>
      </c>
      <c r="AH8" s="96">
        <f t="shared" si="9"/>
        <v>28276.719974572956</v>
      </c>
      <c r="AI8" s="96">
        <f t="shared" si="13"/>
        <v>61.364409667042004</v>
      </c>
      <c r="AJ8" s="96">
        <f t="shared" si="10"/>
        <v>40.487898572106751</v>
      </c>
      <c r="AK8" s="96">
        <f t="shared" si="11"/>
        <v>61.365355815830107</v>
      </c>
      <c r="AL8">
        <f t="shared" si="31"/>
        <v>40.487898572106765</v>
      </c>
      <c r="AM8">
        <f t="shared" si="32"/>
        <v>18656.823662026796</v>
      </c>
      <c r="AN8" s="127">
        <f>MAX($AD$40+$AH8*($AE$40+$AH8*$AF$40), 0)</f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25"/>
        <v>1.700645961187789E-2</v>
      </c>
      <c r="AS8" s="127">
        <f t="shared" si="33"/>
        <v>5.5446917623018215E-3</v>
      </c>
      <c r="AT8">
        <f t="shared" si="34"/>
        <v>2.2633375686569812E-7</v>
      </c>
      <c r="AU8" s="95">
        <f t="shared" si="26"/>
        <v>0.1988214247099786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A9">
        <v>64</v>
      </c>
      <c r="B9" s="113">
        <f t="shared" si="20"/>
        <v>1.3555555555555556</v>
      </c>
      <c r="C9" s="140">
        <v>64</v>
      </c>
      <c r="D9" s="140">
        <v>1.41</v>
      </c>
      <c r="E9" s="73">
        <v>13.54</v>
      </c>
      <c r="F9" s="140">
        <v>4.6100000000000003</v>
      </c>
      <c r="G9" s="73">
        <v>2020</v>
      </c>
      <c r="H9" s="140">
        <v>2870</v>
      </c>
      <c r="I9" s="78">
        <v>9</v>
      </c>
      <c r="J9" s="2">
        <f t="shared" si="27"/>
        <v>62.419400000000003</v>
      </c>
      <c r="K9" s="1">
        <f t="shared" si="2"/>
        <v>64</v>
      </c>
      <c r="L9" s="1">
        <f t="shared" si="21"/>
        <v>4.1588830833596715</v>
      </c>
      <c r="M9" s="3">
        <f t="shared" si="14"/>
        <v>495.04950495049508</v>
      </c>
      <c r="N9" s="3">
        <f t="shared" si="14"/>
        <v>348.43205574912895</v>
      </c>
      <c r="O9" s="3">
        <f t="shared" si="15"/>
        <v>29702.970297029704</v>
      </c>
      <c r="P9" s="3">
        <f t="shared" si="15"/>
        <v>20905.923344947736</v>
      </c>
      <c r="Q9" s="3">
        <f t="shared" si="4"/>
        <v>64.459570957095707</v>
      </c>
      <c r="R9" s="3">
        <f t="shared" si="4"/>
        <v>45.368757259001164</v>
      </c>
      <c r="S9" s="3">
        <f t="shared" si="5"/>
        <v>64</v>
      </c>
      <c r="T9" s="4">
        <f t="shared" si="0"/>
        <v>62.419400000000003</v>
      </c>
      <c r="U9">
        <f t="shared" si="28"/>
        <v>8.3705788626800004E-2</v>
      </c>
      <c r="V9" s="127">
        <f t="shared" si="16"/>
        <v>1.4800634329554439E-2</v>
      </c>
      <c r="W9">
        <f t="shared" si="17"/>
        <v>-2.4914401121416636E-7</v>
      </c>
      <c r="Y9" s="127">
        <f>U9/P9*5252</f>
        <v>2.1028624022683781E-2</v>
      </c>
      <c r="Z9">
        <f>-Y9/2/P9</f>
        <v>-5.0293459120918706E-7</v>
      </c>
      <c r="AA9">
        <v>0.18</v>
      </c>
      <c r="AB9">
        <f>-AA9*W9</f>
        <v>4.484592201854994E-8</v>
      </c>
      <c r="AC9">
        <f t="shared" si="29"/>
        <v>1.3793824512762695E-5</v>
      </c>
      <c r="AD9">
        <f t="shared" si="30"/>
        <v>1.986310729837828E-3</v>
      </c>
      <c r="AF9" s="95"/>
      <c r="AG9" s="134">
        <v>70.201599999999999</v>
      </c>
      <c r="AH9" s="135">
        <f t="shared" si="9"/>
        <v>31999.995048805355</v>
      </c>
      <c r="AI9" s="135">
        <f t="shared" si="13"/>
        <v>69.444433699664401</v>
      </c>
      <c r="AJ9" s="135">
        <f t="shared" si="10"/>
        <v>48.784103318462122</v>
      </c>
      <c r="AK9" s="135">
        <f t="shared" si="11"/>
        <v>69.37902713815086</v>
      </c>
      <c r="AL9">
        <f t="shared" si="31"/>
        <v>48.784103318462122</v>
      </c>
      <c r="AM9" s="136">
        <f t="shared" si="32"/>
        <v>22479.714809147346</v>
      </c>
      <c r="AN9" s="137">
        <f>MAX($AD$40+$AH9*($AE$40+$AH9*$AF$40), 0)</f>
        <v>0.11227974297099894</v>
      </c>
      <c r="AO9" s="137">
        <f t="shared" ref="AO9:AO14" si="35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27">
        <f t="shared" si="25"/>
        <v>2.4252107885973234E-2</v>
      </c>
      <c r="AS9" s="127">
        <f t="shared" si="33"/>
        <v>6.6076518189279454E-3</v>
      </c>
      <c r="AT9">
        <f t="shared" si="34"/>
        <v>3.2976894955154272E-7</v>
      </c>
      <c r="AU9" s="134">
        <f t="shared" si="26"/>
        <v>0.13645917864976709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7"/>
        <v>88.904499999999999</v>
      </c>
      <c r="K10" s="1">
        <f t="shared" si="2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5"/>
        <v>25000</v>
      </c>
      <c r="Q10" s="3">
        <f t="shared" si="4"/>
        <v>73.56403013182674</v>
      </c>
      <c r="R10" s="3">
        <f t="shared" si="4"/>
        <v>54.253472222222221</v>
      </c>
      <c r="S10" s="3">
        <f t="shared" si="5"/>
        <v>89</v>
      </c>
      <c r="T10" s="4">
        <f t="shared" si="0"/>
        <v>88.904499999999999</v>
      </c>
      <c r="U10">
        <f t="shared" si="28"/>
        <v>0.11922289039900001</v>
      </c>
      <c r="V10" s="127">
        <f t="shared" si="16"/>
        <v>1.8471679301078667E-2</v>
      </c>
      <c r="W10">
        <f t="shared" si="17"/>
        <v>-2.7245726969091031E-7</v>
      </c>
      <c r="Y10" s="127">
        <f>U10/P10*5252</f>
        <v>2.5046344815021923E-2</v>
      </c>
      <c r="Z10">
        <f>-Y10/2/P10</f>
        <v>-5.0092689630043845E-7</v>
      </c>
      <c r="AA10">
        <v>0.18</v>
      </c>
      <c r="AB10">
        <f>-AA10*W10</f>
        <v>4.9042308544363851E-8</v>
      </c>
      <c r="AC10">
        <f t="shared" si="29"/>
        <v>1.508455991788729E-5</v>
      </c>
      <c r="AD10">
        <f t="shared" si="30"/>
        <v>2.1721766281757697E-3</v>
      </c>
      <c r="AF10" s="95">
        <f>C10/$AD$32*$AD$27</f>
        <v>2.4722222222222223</v>
      </c>
      <c r="AG10" s="95">
        <f t="shared" si="8"/>
        <v>89</v>
      </c>
      <c r="AH10" s="96">
        <f t="shared" si="9"/>
        <v>35366.791670025093</v>
      </c>
      <c r="AI10" s="96">
        <f t="shared" si="13"/>
        <v>76.75084997835306</v>
      </c>
      <c r="AJ10" s="96">
        <f t="shared" si="10"/>
        <v>56.286002466951658</v>
      </c>
      <c r="AK10" s="96">
        <f t="shared" si="11"/>
        <v>76.625443530610752</v>
      </c>
      <c r="AL10">
        <f t="shared" si="31"/>
        <v>56.286002466951672</v>
      </c>
      <c r="AM10">
        <f t="shared" si="32"/>
        <v>25936.589936771332</v>
      </c>
      <c r="AN10" s="127">
        <f>MAX($AD$40+$AH10*($AE$40+$AH10*$AF$40), 0)</f>
        <v>0.14565577213038161</v>
      </c>
      <c r="AO10" s="127">
        <f t="shared" si="35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25"/>
        <v>3.5604651971000559E-2</v>
      </c>
      <c r="AS10" s="127">
        <f t="shared" si="33"/>
        <v>7.9092860710449058E-3</v>
      </c>
      <c r="AT10">
        <f t="shared" si="34"/>
        <v>4.2330092081523177E-7</v>
      </c>
      <c r="AU10" s="95">
        <f t="shared" si="26"/>
        <v>0.10630735202119303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 t="shared" si="20"/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si="27"/>
        <v>135.96</v>
      </c>
      <c r="K11" s="1">
        <f t="shared" si="2"/>
        <v>125</v>
      </c>
      <c r="L11" s="1">
        <f t="shared" si="21"/>
        <v>4.8283137373023015</v>
      </c>
      <c r="M11" s="3">
        <f t="shared" si="14"/>
        <v>657.89473684210532</v>
      </c>
      <c r="N11" s="3">
        <f t="shared" si="14"/>
        <v>500.00000000000006</v>
      </c>
      <c r="O11" s="3">
        <f t="shared" si="15"/>
        <v>39473.68421052632</v>
      </c>
      <c r="P11" s="3">
        <f t="shared" si="15"/>
        <v>30000.000000000004</v>
      </c>
      <c r="Q11" s="3">
        <f t="shared" si="4"/>
        <v>85.663377192982466</v>
      </c>
      <c r="R11" s="3">
        <f t="shared" si="4"/>
        <v>65.104166666666671</v>
      </c>
      <c r="S11" s="3">
        <f t="shared" si="5"/>
        <v>125</v>
      </c>
      <c r="T11" s="4">
        <f t="shared" si="0"/>
        <v>135.96</v>
      </c>
      <c r="U11">
        <f t="shared" si="28"/>
        <v>0.18232535112000003</v>
      </c>
      <c r="V11" s="127">
        <f t="shared" si="16"/>
        <v>2.4258509516750081E-2</v>
      </c>
      <c r="W11">
        <f t="shared" si="17"/>
        <v>-3.072744538788343E-7</v>
      </c>
      <c r="Y11" s="127">
        <f>U11/P11*5252</f>
        <v>3.1919091469408002E-2</v>
      </c>
      <c r="Z11">
        <f>-Y11/2/P11</f>
        <v>-5.3198485782346666E-7</v>
      </c>
      <c r="AA11">
        <v>0.14000000000000001</v>
      </c>
      <c r="AB11">
        <f>-AA11*W11</f>
        <v>4.3018423543036807E-8</v>
      </c>
      <c r="AC11">
        <f t="shared" si="29"/>
        <v>1.3231717811998633E-5</v>
      </c>
      <c r="AD11">
        <f t="shared" si="30"/>
        <v>1.9053673649278033E-3</v>
      </c>
      <c r="AF11" s="95">
        <f>C11/$AD$32*$AD$27</f>
        <v>3.4722222222222223</v>
      </c>
      <c r="AG11" s="95">
        <f t="shared" si="8"/>
        <v>125</v>
      </c>
      <c r="AH11" s="96">
        <f t="shared" si="9"/>
        <v>40186.817071139434</v>
      </c>
      <c r="AI11" s="96">
        <f t="shared" si="13"/>
        <v>87.210974546743557</v>
      </c>
      <c r="AJ11" s="96">
        <f t="shared" si="10"/>
        <v>67.025987241920831</v>
      </c>
      <c r="AK11" s="96">
        <f t="shared" si="11"/>
        <v>86.999670134786854</v>
      </c>
      <c r="AL11">
        <f t="shared" si="31"/>
        <v>67.025987241920845</v>
      </c>
      <c r="AM11">
        <f t="shared" si="32"/>
        <v>30885.574921077128</v>
      </c>
      <c r="AN11" s="127">
        <f>MAX($AD$40+$AH11*($AE$40+$AH11*$AF$40), 0)</f>
        <v>0.20058398668919561</v>
      </c>
      <c r="AO11" s="127">
        <f t="shared" si="35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25"/>
        <v>5.9793221896832324E-2</v>
      </c>
      <c r="AS11" s="127">
        <f t="shared" si="33"/>
        <v>1.0335539637470414E-2</v>
      </c>
      <c r="AT11">
        <f t="shared" si="34"/>
        <v>5.5720460673016836E-7</v>
      </c>
      <c r="AU11" s="95">
        <f t="shared" si="26"/>
        <v>8.0760279898029766E-2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7"/>
        <v>192.75</v>
      </c>
      <c r="K12" s="1">
        <f t="shared" si="2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5"/>
        <v>34482.758620689652</v>
      </c>
      <c r="Q12" s="3">
        <f t="shared" si="4"/>
        <v>95.460654936461381</v>
      </c>
      <c r="R12" s="3">
        <f t="shared" si="4"/>
        <v>74.83237547892719</v>
      </c>
      <c r="S12" s="3">
        <f t="shared" si="5"/>
        <v>155</v>
      </c>
      <c r="T12" s="4">
        <f t="shared" si="0"/>
        <v>192.75</v>
      </c>
      <c r="U12">
        <f t="shared" si="28"/>
        <v>0.25848199050000004</v>
      </c>
      <c r="V12" s="127">
        <f t="shared" si="16"/>
        <v>3.0861577880676404E-2</v>
      </c>
      <c r="W12">
        <f t="shared" si="17"/>
        <v>-3.5079326857702185E-7</v>
      </c>
      <c r="Y12" s="127">
        <f>U12/P12*5252</f>
        <v>3.936887500907401E-2</v>
      </c>
      <c r="Z12">
        <f>-Y12/2/P12</f>
        <v>-5.7084868763157318E-7</v>
      </c>
      <c r="AA12">
        <v>0.14000000000000001</v>
      </c>
      <c r="AB12">
        <f>-AA12*W12</f>
        <v>4.9111057600783063E-8</v>
      </c>
      <c r="AC12">
        <f t="shared" si="29"/>
        <v>1.5105705930210826E-5</v>
      </c>
      <c r="AD12">
        <f t="shared" si="30"/>
        <v>2.1752216539503589E-3</v>
      </c>
      <c r="AF12" s="95">
        <f>C12/$AD$32*$AD$27</f>
        <v>4.3055555555555554</v>
      </c>
      <c r="AG12" s="95">
        <f t="shared" si="8"/>
        <v>155</v>
      </c>
      <c r="AH12" s="96">
        <f t="shared" si="9"/>
        <v>43239.249799405501</v>
      </c>
      <c r="AI12" s="96">
        <f t="shared" si="13"/>
        <v>93.835177516070971</v>
      </c>
      <c r="AJ12" s="96">
        <f t="shared" si="10"/>
        <v>73.827420491757252</v>
      </c>
      <c r="AK12" s="96">
        <f t="shared" si="11"/>
        <v>93.569475515836231</v>
      </c>
      <c r="AL12">
        <f t="shared" si="31"/>
        <v>73.827420491757252</v>
      </c>
      <c r="AM12">
        <f t="shared" si="32"/>
        <v>34019.675362601745</v>
      </c>
      <c r="AN12" s="127">
        <f>MAX($AD$40+$AH12*($AE$40+$AH12*$AF$40), 0)</f>
        <v>0.23972060902426137</v>
      </c>
      <c r="AO12" s="127">
        <f t="shared" si="35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25"/>
        <v>7.9944052947817243E-2</v>
      </c>
      <c r="AS12" s="127">
        <f t="shared" si="33"/>
        <v>1.2214758697245927E-2</v>
      </c>
      <c r="AT12">
        <f t="shared" si="34"/>
        <v>6.4200332858497785E-7</v>
      </c>
      <c r="AU12" s="95">
        <f t="shared" si="26"/>
        <v>7.0093094531430672E-2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7"/>
        <v>209.1</v>
      </c>
      <c r="K13" s="1">
        <f t="shared" si="2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5"/>
        <v>35714.285714285717</v>
      </c>
      <c r="Q13" s="3">
        <f t="shared" si="4"/>
        <v>98.942502532928074</v>
      </c>
      <c r="R13" s="3">
        <f t="shared" si="4"/>
        <v>77.504960317460331</v>
      </c>
      <c r="S13" s="3">
        <f t="shared" si="5"/>
        <v>165</v>
      </c>
      <c r="T13" s="4">
        <f t="shared" si="0"/>
        <v>209.1</v>
      </c>
      <c r="U13">
        <f t="shared" si="28"/>
        <v>0.2804077002</v>
      </c>
      <c r="V13" s="127">
        <f t="shared" si="16"/>
        <v>3.2301247229145437E-2</v>
      </c>
      <c r="W13">
        <f t="shared" si="17"/>
        <v>-3.5423701127962827E-7</v>
      </c>
      <c r="Y13" s="127">
        <f>U13/P13*5252</f>
        <v>4.1235634760611192E-2</v>
      </c>
      <c r="Z13">
        <f>-Y13/2/P13</f>
        <v>-5.7729888664855666E-7</v>
      </c>
      <c r="AF13" s="95">
        <f>C13/$AD$32*$AD$27</f>
        <v>4.583333333333333</v>
      </c>
      <c r="AG13" s="95">
        <f t="shared" si="8"/>
        <v>165</v>
      </c>
      <c r="AH13" s="96">
        <f t="shared" si="9"/>
        <v>44126.414319351083</v>
      </c>
      <c r="AI13" s="96">
        <f t="shared" si="13"/>
        <v>95.760447741647312</v>
      </c>
      <c r="AJ13" s="96">
        <f t="shared" si="10"/>
        <v>75.804201243764382</v>
      </c>
      <c r="AK13" s="96">
        <f t="shared" si="11"/>
        <v>95.478935528842101</v>
      </c>
      <c r="AL13">
        <f t="shared" si="31"/>
        <v>75.804201243764425</v>
      </c>
      <c r="AM13">
        <f t="shared" si="32"/>
        <v>34930.575933126645</v>
      </c>
      <c r="AN13" s="127">
        <f>MAX($AD$40+$AH13*($AE$40+$AH13*$AF$40), 0)</f>
        <v>0.2517282669713366</v>
      </c>
      <c r="AO13" s="127">
        <f t="shared" si="35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25"/>
        <v>8.650361375830759E-2</v>
      </c>
      <c r="AS13" s="127">
        <f t="shared" si="33"/>
        <v>1.2810784947188427E-2</v>
      </c>
      <c r="AT13">
        <f t="shared" si="34"/>
        <v>6.6664938111536608E-7</v>
      </c>
      <c r="AU13" s="95">
        <f t="shared" si="26"/>
        <v>6.750175020744914E-2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4"/>
        <v>0</v>
      </c>
      <c r="S14" s="1">
        <f t="shared" si="5"/>
        <v>180</v>
      </c>
      <c r="T14" s="4">
        <f t="shared" si="0"/>
        <v>0</v>
      </c>
      <c r="U14">
        <f t="shared" si="28"/>
        <v>0</v>
      </c>
      <c r="AB14" s="97"/>
      <c r="AF14" s="95">
        <f>C14/$AD$32*$AD$27</f>
        <v>5</v>
      </c>
      <c r="AG14" s="95">
        <f t="shared" si="8"/>
        <v>180</v>
      </c>
      <c r="AH14" s="96">
        <f t="shared" si="9"/>
        <v>45361.106669554021</v>
      </c>
      <c r="AI14" s="96">
        <f t="shared" si="13"/>
        <v>98.439901626636328</v>
      </c>
      <c r="AJ14" s="96">
        <f t="shared" si="10"/>
        <v>78.555343808258939</v>
      </c>
      <c r="AK14" s="96">
        <f t="shared" si="11"/>
        <v>98.136385886777347</v>
      </c>
      <c r="AL14">
        <f t="shared" si="31"/>
        <v>78.555343808258939</v>
      </c>
      <c r="AM14">
        <f t="shared" si="32"/>
        <v>36198.302426845723</v>
      </c>
      <c r="AN14" s="127">
        <f>MAX($AD$40+$AH14*($AE$40+$AH14*$AF$40), 0)</f>
        <v>0.26891409453189768</v>
      </c>
      <c r="AO14" s="127">
        <f t="shared" si="35"/>
        <v>3.1135413753683283E-2</v>
      </c>
      <c r="AP14">
        <f t="shared" si="22"/>
        <v>1.3727801651973849E-6</v>
      </c>
      <c r="AR14" s="127">
        <f t="shared" si="25"/>
        <v>9.6159614187763781E-2</v>
      </c>
      <c r="AS14" s="127">
        <f t="shared" si="33"/>
        <v>1.3677655931616359E-2</v>
      </c>
      <c r="AT14">
        <f t="shared" si="34"/>
        <v>7.0095000049071757E-7</v>
      </c>
      <c r="AU14" s="95">
        <f t="shared" si="26"/>
        <v>6.4198587586128286E-2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:J24" si="36">E16*F16</f>
        <v>5.8512000000000004</v>
      </c>
      <c r="K16" s="1">
        <f t="shared" ref="K16:K24" si="37">C16</f>
        <v>9</v>
      </c>
      <c r="L16" s="1">
        <f t="shared" ref="L16:L24" si="38">LN(K16)</f>
        <v>2.1972245773362196</v>
      </c>
      <c r="M16" s="3">
        <f t="shared" ref="M16:M24" si="39">1/G16/0.000001</f>
        <v>162.33766233766235</v>
      </c>
      <c r="N16" s="3"/>
      <c r="O16" s="3">
        <f t="shared" ref="O16:O24" si="40">M16*60/$W$27</f>
        <v>9740.2597402597403</v>
      </c>
      <c r="P16" s="3"/>
      <c r="Q16" s="3">
        <f t="shared" ref="Q16:Q24" si="41">O16/$W$40*100</f>
        <v>21.137716450216452</v>
      </c>
      <c r="R16" s="3"/>
      <c r="S16" s="3">
        <f t="shared" ref="S16:S24" si="42">K16</f>
        <v>9</v>
      </c>
      <c r="T16" s="4">
        <f t="shared" ref="T16:T24" si="43">J16</f>
        <v>5.8512000000000004</v>
      </c>
      <c r="U16">
        <f t="shared" ref="U16:U24" si="44">T16*0.001341022</f>
        <v>7.8465879264000005E-3</v>
      </c>
      <c r="V16">
        <f t="shared" ref="V16:V24" si="45">U16/O16*5252</f>
        <v>4.230922058383821E-3</v>
      </c>
      <c r="W16">
        <f t="shared" ref="W16:W24" si="46">-V16/2/O16</f>
        <v>-2.1718733233036949E-7</v>
      </c>
      <c r="X16">
        <v>0.18</v>
      </c>
      <c r="Y16">
        <f t="shared" ref="Y16:Y24" si="47">-X16*W16</f>
        <v>3.9093719819466504E-8</v>
      </c>
      <c r="Z16">
        <f t="shared" ref="Z16:Z24" si="48">Y16/6.66*2048.5</f>
        <v>1.2024547304831401E-5</v>
      </c>
      <c r="AA16">
        <f t="shared" ref="AA16:AA24" si="49"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si="36"/>
        <v>7.7969999999999997</v>
      </c>
      <c r="K17" s="1">
        <f t="shared" si="37"/>
        <v>13</v>
      </c>
      <c r="L17" s="1">
        <f t="shared" si="38"/>
        <v>2.5649493574615367</v>
      </c>
      <c r="M17" s="3">
        <f t="shared" si="39"/>
        <v>196.85039370078741</v>
      </c>
      <c r="N17" s="3"/>
      <c r="O17" s="3">
        <f t="shared" si="40"/>
        <v>11811.023622047245</v>
      </c>
      <c r="P17" s="3"/>
      <c r="Q17" s="3">
        <f t="shared" si="41"/>
        <v>25.631561679790028</v>
      </c>
      <c r="R17" s="3"/>
      <c r="S17" s="3">
        <f t="shared" si="42"/>
        <v>13</v>
      </c>
      <c r="T17" s="4">
        <f t="shared" si="43"/>
        <v>7.7969999999999997</v>
      </c>
      <c r="U17">
        <f t="shared" si="44"/>
        <v>1.0455948534E-2</v>
      </c>
      <c r="V17">
        <f t="shared" si="45"/>
        <v>4.6494396639814237E-3</v>
      </c>
      <c r="W17">
        <f t="shared" si="46"/>
        <v>-1.9682627910854693E-7</v>
      </c>
      <c r="X17">
        <v>0.18</v>
      </c>
      <c r="Y17">
        <f t="shared" si="47"/>
        <v>3.5428730239538448E-8</v>
      </c>
      <c r="Z17">
        <f t="shared" si="48"/>
        <v>1.0897260344698876E-5</v>
      </c>
      <c r="AA17">
        <f t="shared" si="49"/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6"/>
        <v>18.150000000000002</v>
      </c>
      <c r="K18" s="1">
        <f t="shared" si="37"/>
        <v>26</v>
      </c>
      <c r="L18" s="1">
        <f t="shared" si="38"/>
        <v>3.2580965380214821</v>
      </c>
      <c r="M18" s="3">
        <f t="shared" si="39"/>
        <v>314.46540880503147</v>
      </c>
      <c r="N18" s="3"/>
      <c r="O18" s="3">
        <f t="shared" si="40"/>
        <v>18867.92452830189</v>
      </c>
      <c r="P18" s="3"/>
      <c r="Q18" s="3">
        <f t="shared" si="41"/>
        <v>40.946016771488473</v>
      </c>
      <c r="R18" s="3"/>
      <c r="S18" s="3">
        <f t="shared" si="42"/>
        <v>26</v>
      </c>
      <c r="T18" s="4">
        <f t="shared" si="43"/>
        <v>18.150000000000002</v>
      </c>
      <c r="U18">
        <f t="shared" si="44"/>
        <v>2.4339549300000006E-2</v>
      </c>
      <c r="V18">
        <f t="shared" si="45"/>
        <v>6.7750595849508004E-3</v>
      </c>
      <c r="W18">
        <f t="shared" si="46"/>
        <v>-1.7953907900119617E-7</v>
      </c>
      <c r="X18">
        <v>0.18</v>
      </c>
      <c r="Y18">
        <f t="shared" si="47"/>
        <v>3.2317034220215307E-8</v>
      </c>
      <c r="Z18">
        <f t="shared" si="48"/>
        <v>9.9401568468635218E-6</v>
      </c>
      <c r="AA18">
        <f t="shared" si="49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6"/>
        <v>28.516800000000003</v>
      </c>
      <c r="K19" s="1">
        <f t="shared" si="37"/>
        <v>36</v>
      </c>
      <c r="L19" s="1">
        <f t="shared" si="38"/>
        <v>3.5835189384561099</v>
      </c>
      <c r="M19" s="3">
        <f t="shared" si="39"/>
        <v>377.35849056603774</v>
      </c>
      <c r="N19" s="3"/>
      <c r="O19" s="3">
        <f t="shared" si="40"/>
        <v>22641.509433962266</v>
      </c>
      <c r="P19" s="3"/>
      <c r="Q19" s="3">
        <f t="shared" si="41"/>
        <v>49.135220125786169</v>
      </c>
      <c r="R19" s="3"/>
      <c r="S19" s="3">
        <f t="shared" si="42"/>
        <v>36</v>
      </c>
      <c r="T19" s="4">
        <f t="shared" si="43"/>
        <v>28.516800000000003</v>
      </c>
      <c r="U19">
        <f t="shared" si="44"/>
        <v>3.8241656169600007E-2</v>
      </c>
      <c r="V19">
        <f t="shared" si="45"/>
        <v>8.8706620372876483E-3</v>
      </c>
      <c r="W19">
        <f t="shared" si="46"/>
        <v>-1.9589378665676887E-7</v>
      </c>
      <c r="X19">
        <v>0.18</v>
      </c>
      <c r="Y19">
        <f t="shared" si="47"/>
        <v>3.5260881598218394E-8</v>
      </c>
      <c r="Z19">
        <f t="shared" si="48"/>
        <v>1.0845633026118675E-5</v>
      </c>
      <c r="AA19">
        <f t="shared" si="49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6"/>
        <v>51.68</v>
      </c>
      <c r="K20" s="1">
        <f t="shared" si="37"/>
        <v>56</v>
      </c>
      <c r="L20" s="1">
        <f t="shared" si="38"/>
        <v>4.0253516907351496</v>
      </c>
      <c r="M20" s="3">
        <f t="shared" si="39"/>
        <v>483.09178743961354</v>
      </c>
      <c r="N20" s="3"/>
      <c r="O20" s="3">
        <f t="shared" si="40"/>
        <v>28985.507246376812</v>
      </c>
      <c r="P20" s="3"/>
      <c r="Q20" s="3">
        <f t="shared" si="41"/>
        <v>62.902576489533011</v>
      </c>
      <c r="R20" s="3"/>
      <c r="S20" s="3">
        <f t="shared" si="42"/>
        <v>56</v>
      </c>
      <c r="T20" s="4">
        <f t="shared" si="43"/>
        <v>51.68</v>
      </c>
      <c r="U20">
        <f t="shared" si="44"/>
        <v>6.9304016960000006E-2</v>
      </c>
      <c r="V20">
        <f t="shared" si="45"/>
        <v>1.255747204905024E-2</v>
      </c>
      <c r="W20">
        <f t="shared" si="46"/>
        <v>-2.1661639284611662E-7</v>
      </c>
      <c r="X20">
        <v>0.18</v>
      </c>
      <c r="Y20">
        <f t="shared" si="47"/>
        <v>3.8990950712300994E-8</v>
      </c>
      <c r="Z20">
        <f t="shared" si="48"/>
        <v>1.1992937317439727E-5</v>
      </c>
      <c r="AA20">
        <f t="shared" si="49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6"/>
        <v>59.349000000000004</v>
      </c>
      <c r="K21" s="1">
        <f t="shared" si="37"/>
        <v>64</v>
      </c>
      <c r="L21" s="1">
        <f t="shared" si="38"/>
        <v>4.1588830833596715</v>
      </c>
      <c r="M21" s="3">
        <f t="shared" si="39"/>
        <v>500.00000000000006</v>
      </c>
      <c r="N21" s="3"/>
      <c r="O21" s="3">
        <f t="shared" si="40"/>
        <v>30000.000000000004</v>
      </c>
      <c r="P21" s="3"/>
      <c r="Q21" s="3">
        <f t="shared" si="41"/>
        <v>65.104166666666671</v>
      </c>
      <c r="R21" s="3"/>
      <c r="S21" s="3">
        <f t="shared" si="42"/>
        <v>64</v>
      </c>
      <c r="T21" s="4">
        <f t="shared" si="43"/>
        <v>59.349000000000004</v>
      </c>
      <c r="U21">
        <f t="shared" si="44"/>
        <v>7.9588314678000011E-2</v>
      </c>
      <c r="V21">
        <f t="shared" si="45"/>
        <v>1.39332609562952E-2</v>
      </c>
      <c r="W21">
        <f t="shared" si="46"/>
        <v>-2.3222101593825331E-7</v>
      </c>
      <c r="X21">
        <v>0.18</v>
      </c>
      <c r="Y21">
        <f t="shared" si="47"/>
        <v>4.1799782868885597E-8</v>
      </c>
      <c r="Z21">
        <f t="shared" si="48"/>
        <v>1.2856885166203024E-5</v>
      </c>
      <c r="AA21">
        <f t="shared" si="49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6"/>
        <v>84.545999999999992</v>
      </c>
      <c r="K22" s="1">
        <f t="shared" si="37"/>
        <v>89</v>
      </c>
      <c r="L22" s="1">
        <f t="shared" si="38"/>
        <v>4.4886363697321396</v>
      </c>
      <c r="M22" s="3">
        <f t="shared" si="39"/>
        <v>568.18181818181813</v>
      </c>
      <c r="N22" s="3"/>
      <c r="O22" s="3">
        <f t="shared" si="40"/>
        <v>34090.909090909088</v>
      </c>
      <c r="P22" s="3"/>
      <c r="Q22" s="3">
        <f t="shared" si="41"/>
        <v>73.982007575757564</v>
      </c>
      <c r="R22" s="3"/>
      <c r="S22" s="3">
        <f t="shared" si="42"/>
        <v>89</v>
      </c>
      <c r="T22" s="4">
        <f t="shared" si="43"/>
        <v>84.545999999999992</v>
      </c>
      <c r="U22">
        <f t="shared" si="44"/>
        <v>0.11337804601199999</v>
      </c>
      <c r="V22">
        <f t="shared" si="45"/>
        <v>1.7466870597880702E-2</v>
      </c>
      <c r="W22">
        <f t="shared" si="46"/>
        <v>-2.5618076876891696E-7</v>
      </c>
      <c r="X22">
        <v>0.18</v>
      </c>
      <c r="Y22">
        <f t="shared" si="47"/>
        <v>4.611253837840505E-8</v>
      </c>
      <c r="Z22">
        <f t="shared" si="48"/>
        <v>1.4183413643868279E-5</v>
      </c>
      <c r="AA22">
        <f t="shared" si="49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6"/>
        <v>153.26999999999998</v>
      </c>
      <c r="K23" s="1">
        <f t="shared" si="37"/>
        <v>143</v>
      </c>
      <c r="L23" s="1">
        <f t="shared" si="38"/>
        <v>4.962844630259907</v>
      </c>
      <c r="M23" s="3">
        <f t="shared" si="39"/>
        <v>699.30069930069931</v>
      </c>
      <c r="N23" s="3"/>
      <c r="O23" s="3">
        <f t="shared" si="40"/>
        <v>41958.041958041955</v>
      </c>
      <c r="P23" s="3"/>
      <c r="Q23" s="3">
        <f t="shared" si="41"/>
        <v>91.054778554778551</v>
      </c>
      <c r="R23" s="3"/>
      <c r="S23" s="3">
        <f t="shared" si="42"/>
        <v>143</v>
      </c>
      <c r="T23" s="4">
        <f t="shared" si="43"/>
        <v>153.26999999999998</v>
      </c>
      <c r="U23">
        <f t="shared" si="44"/>
        <v>0.20553844193999998</v>
      </c>
      <c r="V23">
        <f t="shared" si="45"/>
        <v>2.5727794880141638E-2</v>
      </c>
      <c r="W23">
        <f t="shared" si="46"/>
        <v>-3.0658955565502124E-7</v>
      </c>
      <c r="X23">
        <v>0.18</v>
      </c>
      <c r="Y23">
        <f t="shared" si="47"/>
        <v>5.5186120017903822E-8</v>
      </c>
      <c r="Z23">
        <f t="shared" si="48"/>
        <v>1.6974289317819214E-5</v>
      </c>
      <c r="AA23">
        <f t="shared" si="49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6"/>
        <v>214.45920000000001</v>
      </c>
      <c r="K24" s="1">
        <f t="shared" si="37"/>
        <v>165</v>
      </c>
      <c r="L24" s="1">
        <f t="shared" si="38"/>
        <v>5.1059454739005803</v>
      </c>
      <c r="M24" s="3">
        <f t="shared" si="39"/>
        <v>781.25000000000011</v>
      </c>
      <c r="N24" s="3"/>
      <c r="O24" s="3">
        <f t="shared" si="40"/>
        <v>46875.000000000007</v>
      </c>
      <c r="P24" s="3"/>
      <c r="Q24" s="3">
        <f t="shared" si="41"/>
        <v>101.72526041666667</v>
      </c>
      <c r="R24" s="3"/>
      <c r="S24" s="3">
        <f t="shared" si="42"/>
        <v>165</v>
      </c>
      <c r="T24" s="4">
        <f t="shared" si="43"/>
        <v>214.45920000000001</v>
      </c>
      <c r="U24">
        <f t="shared" si="44"/>
        <v>0.28759450530240005</v>
      </c>
      <c r="V24">
        <f t="shared" si="45"/>
        <v>3.2222855292761705E-2</v>
      </c>
      <c r="W24">
        <f t="shared" si="46"/>
        <v>-3.4371045645612482E-7</v>
      </c>
      <c r="X24">
        <v>0.18</v>
      </c>
      <c r="Y24">
        <f t="shared" si="47"/>
        <v>6.1867882162102469E-8</v>
      </c>
      <c r="Z24">
        <f t="shared" si="48"/>
        <v>1.9029482974334368E-5</v>
      </c>
      <c r="AA24">
        <f t="shared" si="49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14542.70476789044</v>
      </c>
      <c r="AF34" s="68">
        <f>W51</f>
        <v>-351.19080582654192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-10376.43880319349</v>
      </c>
      <c r="AE36" s="69">
        <f>Z53</f>
        <v>1.0267549592501404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10255.704306193587</v>
      </c>
      <c r="AE37" s="69">
        <f>Z51</f>
        <v>0.96594425611798695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122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65" t="s">
        <v>123</v>
      </c>
      <c r="AD39" s="124">
        <f>AC61</f>
        <v>6.0309482069359523E-3</v>
      </c>
      <c r="AE39" s="124">
        <f>AC60</f>
        <v>-2.7846014809314311E-7</v>
      </c>
      <c r="AF39" s="139">
        <f>AC59</f>
        <v>1.3528398887809465E-11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  <c r="AC40" s="65" t="s">
        <v>128</v>
      </c>
      <c r="AD40" s="124">
        <f>Z61</f>
        <v>0</v>
      </c>
      <c r="AE40" s="124">
        <f>Z60</f>
        <v>-2.2861135714873372E-6</v>
      </c>
      <c r="AF40" s="139">
        <f>Z59</f>
        <v>1.8108928058840401E-10</v>
      </c>
    </row>
    <row r="41" spans="2:48" ht="15" thickBot="1" x14ac:dyDescent="0.35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  <c r="AC41" s="70" t="s">
        <v>129</v>
      </c>
      <c r="AD41" s="125">
        <f>AF61</f>
        <v>6.1651940753022438E-2</v>
      </c>
      <c r="AE41" s="125">
        <f>AF60</f>
        <v>-5.952030864750611E-6</v>
      </c>
      <c r="AF41" s="126">
        <f>AF59</f>
        <v>1.9076381358433116E-10</v>
      </c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50">B43/180*(2.4-0.53)+0.53</f>
        <v>1.4649999999999999</v>
      </c>
      <c r="D43" s="88">
        <f t="shared" ref="D43:D48" si="51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50"/>
        <v>1.568888888888889</v>
      </c>
      <c r="D44" s="88">
        <f t="shared" si="51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-22.518313374985873</v>
      </c>
      <c r="AA44" t="s">
        <v>70</v>
      </c>
    </row>
    <row r="45" spans="2:48" x14ac:dyDescent="0.3">
      <c r="B45" s="73">
        <v>110</v>
      </c>
      <c r="C45" s="6">
        <f t="shared" si="50"/>
        <v>1.6727777777777779</v>
      </c>
      <c r="D45" s="88">
        <f t="shared" si="51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50"/>
        <v>1.7143333333333333</v>
      </c>
      <c r="D46" s="88">
        <f t="shared" si="51"/>
        <v>128.57999999999998</v>
      </c>
      <c r="V46" s="19"/>
      <c r="W46" s="30" t="s">
        <v>53</v>
      </c>
      <c r="X46" s="30"/>
      <c r="Y46" s="61"/>
      <c r="Z46" s="89">
        <f>(Z45-Z44)/(W45-W44)</f>
        <v>19.903662674997172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50"/>
        <v>1.8545833333333333</v>
      </c>
      <c r="D47" s="88">
        <f t="shared" si="51"/>
        <v>153.82499999999999</v>
      </c>
      <c r="V47" s="19"/>
      <c r="W47" s="30"/>
      <c r="X47" s="30"/>
      <c r="Y47" s="61"/>
      <c r="Z47" s="89">
        <f>Z45-Z46*(W45-W44)</f>
        <v>-22.518313374985865</v>
      </c>
    </row>
    <row r="48" spans="2:48" ht="15" thickBot="1" x14ac:dyDescent="0.35">
      <c r="B48" s="80">
        <v>136.4</v>
      </c>
      <c r="C48" s="6">
        <f t="shared" si="50"/>
        <v>1.9470444444444444</v>
      </c>
      <c r="D48" s="88">
        <f t="shared" si="51"/>
        <v>170.46799999999999</v>
      </c>
      <c r="V48" s="21"/>
      <c r="W48" s="32"/>
      <c r="X48" s="32"/>
      <c r="Y48" s="47"/>
      <c r="Z48" s="48" t="s">
        <v>19</v>
      </c>
    </row>
    <row r="50" spans="2:32" ht="15" thickBot="1" x14ac:dyDescent="0.35">
      <c r="V50" t="s">
        <v>51</v>
      </c>
    </row>
    <row r="51" spans="2:32" x14ac:dyDescent="0.3">
      <c r="V51" s="49" t="s">
        <v>18</v>
      </c>
      <c r="W51" s="50">
        <f>INDEX(LINEST($P$4:$P$13,$D$4:$D$13^{1,2},FALSE,FALSE),1)</f>
        <v>-351.19080582654192</v>
      </c>
      <c r="X51" s="28"/>
      <c r="Y51" s="51" t="s">
        <v>21</v>
      </c>
      <c r="Z51" s="52">
        <f>INDEX(LINEST($O$4:$O$13,$P$4:$P$13),1)</f>
        <v>0.96594425611798695</v>
      </c>
    </row>
    <row r="52" spans="2:32" x14ac:dyDescent="0.3">
      <c r="V52" s="43"/>
      <c r="W52" s="54">
        <f>INDEX(LINEST($P$4:$P$13,$D$4:$D$13^{1,2},FALSE,FALSE),2)</f>
        <v>14542.70476789044</v>
      </c>
      <c r="X52" s="30"/>
      <c r="Y52" s="44"/>
      <c r="Z52" s="46">
        <f>INDEX(LINEST($O$4:$O$13,$P$4:$P$13),2)</f>
        <v>10255.704306193587</v>
      </c>
    </row>
    <row r="53" spans="2:32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1.0267549592501404</v>
      </c>
    </row>
    <row r="54" spans="2:32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-10376.43880319349</v>
      </c>
      <c r="AA54" t="s">
        <v>78</v>
      </c>
    </row>
    <row r="55" spans="2:32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:32" x14ac:dyDescent="0.3">
      <c r="V56" s="19"/>
      <c r="W56" s="30"/>
      <c r="X56" s="30"/>
      <c r="Y56" s="30"/>
      <c r="Z56" s="31"/>
    </row>
    <row r="57" spans="2:32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:32" ht="15" thickBot="1" x14ac:dyDescent="0.35"/>
    <row r="59" spans="2:32" x14ac:dyDescent="0.3">
      <c r="V59" s="49" t="s">
        <v>122</v>
      </c>
      <c r="W59" s="121">
        <f>INDEX(LINEST($V$4:$V$13,$O$4:$O$13^{1,2},FALSE,FALSE),1)</f>
        <v>1.1535982759687281E-11</v>
      </c>
      <c r="Y59" s="49" t="s">
        <v>128</v>
      </c>
      <c r="Z59" s="121">
        <f>INDEX(LINEST($U$4:$U$13,$O$4:$O$13^{1,2},FALSE,FALSE),1)</f>
        <v>1.8108928058840401E-10</v>
      </c>
      <c r="AB59" s="49" t="s">
        <v>123</v>
      </c>
      <c r="AC59" s="121">
        <f>INDEX(LINEST($V$65:$V$79,$O$65:$O$79^{1,2}),1)</f>
        <v>1.3528398887809465E-11</v>
      </c>
      <c r="AE59" s="49" t="s">
        <v>129</v>
      </c>
      <c r="AF59" s="121">
        <f>INDEX(LINEST($U$65:$U$79,$O$65:$O$79^{1,2}),1)</f>
        <v>1.9076381358433116E-10</v>
      </c>
    </row>
    <row r="60" spans="2:32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  <c r="AB60" s="43"/>
      <c r="AC60" s="122">
        <f>INDEX(LINEST($V$65:$V$79,$O$65:$O$79^{1,2}),2)</f>
        <v>-2.7846014809314311E-7</v>
      </c>
      <c r="AE60" s="43"/>
      <c r="AF60" s="122">
        <f>INDEX(LINEST($U$65:$U$79,$O$65:$O$79^{1,2}),2)</f>
        <v>-5.952030864750611E-6</v>
      </c>
    </row>
    <row r="61" spans="2:32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  <c r="AB61" s="55"/>
      <c r="AC61" s="123">
        <f>INDEX(LINEST($V$65:$V$79,$O$65:$O$79^{1,2}),3)</f>
        <v>6.0309482069359523E-3</v>
      </c>
      <c r="AE61" s="55"/>
      <c r="AF61" s="123">
        <f>INDEX(LINEST($U$65:$U$79,$O$65:$O$79^{1,2}),3)</f>
        <v>6.1651940753022438E-2</v>
      </c>
    </row>
    <row r="64" spans="2:32" x14ac:dyDescent="0.3">
      <c r="B64" t="s">
        <v>116</v>
      </c>
      <c r="U64" t="s">
        <v>118</v>
      </c>
      <c r="V64" t="s">
        <v>121</v>
      </c>
    </row>
    <row r="65" spans="2:23" x14ac:dyDescent="0.3">
      <c r="B65" s="113">
        <f t="shared" ref="B65" si="52">C65/180+1</f>
        <v>1.0611111111111111</v>
      </c>
      <c r="C65" s="142">
        <v>11</v>
      </c>
      <c r="D65" s="142"/>
      <c r="E65" s="142">
        <v>13.81</v>
      </c>
      <c r="F65" s="142">
        <v>0.45100000000000001</v>
      </c>
      <c r="G65" s="142">
        <v>5140</v>
      </c>
      <c r="H65" s="143"/>
      <c r="I65" s="142"/>
      <c r="J65" s="2">
        <f>E65*F65</f>
        <v>6.2283100000000005</v>
      </c>
      <c r="K65" s="1">
        <f t="shared" ref="K65" si="53">C65</f>
        <v>11</v>
      </c>
      <c r="L65" s="1">
        <f t="shared" ref="L65" si="54">LN(K65)</f>
        <v>2.3978952727983707</v>
      </c>
      <c r="M65" s="3">
        <f t="shared" ref="M65" si="55">1/G65/0.000001</f>
        <v>194.5525291828794</v>
      </c>
      <c r="N65" s="3" t="e">
        <f t="shared" ref="N65" si="56">1/H65/0.000001</f>
        <v>#DIV/0!</v>
      </c>
      <c r="O65" s="3">
        <f t="shared" ref="O65" si="57">M65*60/$W$27</f>
        <v>11673.151750972764</v>
      </c>
      <c r="P65" s="3" t="e">
        <f t="shared" ref="P65" si="58">N65*60/$W$27</f>
        <v>#DIV/0!</v>
      </c>
      <c r="Q65" s="3">
        <f t="shared" ref="Q65" si="59">O65/$W$40*100</f>
        <v>25.332360570687424</v>
      </c>
      <c r="R65" s="3" t="e">
        <f t="shared" ref="R65" si="60">P65/$W$40*100</f>
        <v>#DIV/0!</v>
      </c>
      <c r="S65" s="3">
        <f t="shared" ref="S65" si="61">K65</f>
        <v>11</v>
      </c>
      <c r="T65" s="4">
        <f t="shared" ref="T65" si="62">J65</f>
        <v>6.2283100000000005</v>
      </c>
      <c r="U65">
        <f>T65*0.001341022</f>
        <v>8.3523007328200009E-3</v>
      </c>
      <c r="V65" s="127">
        <f t="shared" ref="V65" si="63">U65/O65*5252</f>
        <v>3.7578782821113517E-3</v>
      </c>
      <c r="W65">
        <f t="shared" ref="W65" si="64">-V65/2/O65</f>
        <v>-1.6096245308376956E-7</v>
      </c>
    </row>
    <row r="66" spans="2:23" x14ac:dyDescent="0.3">
      <c r="B66" s="113">
        <f>C66/180+1</f>
        <v>1.0833333333333333</v>
      </c>
      <c r="C66" s="142">
        <v>15</v>
      </c>
      <c r="D66" s="142"/>
      <c r="E66" s="142">
        <v>13.79</v>
      </c>
      <c r="F66" s="142">
        <v>0.65300000000000002</v>
      </c>
      <c r="G66" s="142">
        <v>4180</v>
      </c>
      <c r="H66" s="143"/>
      <c r="I66" s="142"/>
      <c r="J66" s="2">
        <f t="shared" ref="J66:J79" si="65">E66*F66</f>
        <v>9.0048700000000004</v>
      </c>
      <c r="K66" s="1">
        <f t="shared" ref="K66:K79" si="66">C66</f>
        <v>15</v>
      </c>
      <c r="L66" s="1">
        <f t="shared" ref="L66:L79" si="67">LN(K66)</f>
        <v>2.7080502011022101</v>
      </c>
      <c r="M66" s="3">
        <f t="shared" ref="M66:M79" si="68">1/G66/0.000001</f>
        <v>239.23444976076556</v>
      </c>
      <c r="N66" s="3" t="e">
        <f t="shared" ref="N66:N77" si="69">1/H66/0.000001</f>
        <v>#DIV/0!</v>
      </c>
      <c r="O66" s="3">
        <f t="shared" ref="O66:O79" si="70">M66*60/$W$27</f>
        <v>14354.066985645934</v>
      </c>
      <c r="P66" s="3" t="e">
        <f t="shared" ref="P66:P77" si="71">N66*60/$W$27</f>
        <v>#DIV/0!</v>
      </c>
      <c r="Q66" s="3">
        <f t="shared" ref="Q66:Q79" si="72">O66/$W$40*100</f>
        <v>31.150318979266352</v>
      </c>
      <c r="R66" s="3" t="e">
        <f t="shared" ref="R66:R77" si="73">P66/$W$40*100</f>
        <v>#DIV/0!</v>
      </c>
      <c r="S66" s="3">
        <f t="shared" ref="S66:S79" si="74">K66</f>
        <v>15</v>
      </c>
      <c r="T66" s="4">
        <f t="shared" ref="T66:T79" si="75">J66</f>
        <v>9.0048700000000004</v>
      </c>
      <c r="U66">
        <f t="shared" ref="U66:U79" si="76">T66*0.001341022</f>
        <v>1.2075728777140001E-2</v>
      </c>
      <c r="V66" s="127">
        <f t="shared" ref="V66:V79" si="77">U66/O66*5252</f>
        <v>4.4183803517819035E-3</v>
      </c>
      <c r="W66">
        <f t="shared" ref="W66:W79" si="78">-V66/2/O66</f>
        <v>-1.5390691558706963E-7</v>
      </c>
    </row>
    <row r="67" spans="2:23" x14ac:dyDescent="0.3">
      <c r="B67" s="113">
        <f>C67/180+1</f>
        <v>1.1111111111111112</v>
      </c>
      <c r="C67" s="142">
        <v>20</v>
      </c>
      <c r="D67" s="142"/>
      <c r="E67" s="142">
        <v>13.77</v>
      </c>
      <c r="F67" s="142">
        <v>0.92900000000000005</v>
      </c>
      <c r="G67" s="142">
        <v>3500</v>
      </c>
      <c r="H67" s="143"/>
      <c r="I67" s="142"/>
      <c r="J67" s="2">
        <f t="shared" si="65"/>
        <v>12.79233</v>
      </c>
      <c r="K67" s="1">
        <f t="shared" si="66"/>
        <v>20</v>
      </c>
      <c r="L67" s="1">
        <f t="shared" si="67"/>
        <v>2.9957322735539909</v>
      </c>
      <c r="M67" s="3">
        <f t="shared" si="68"/>
        <v>285.71428571428572</v>
      </c>
      <c r="N67" s="3" t="e">
        <f t="shared" si="69"/>
        <v>#DIV/0!</v>
      </c>
      <c r="O67" s="3">
        <f t="shared" si="70"/>
        <v>17142.857142857145</v>
      </c>
      <c r="P67" s="3" t="e">
        <f t="shared" si="71"/>
        <v>#DIV/0!</v>
      </c>
      <c r="Q67" s="3">
        <f t="shared" si="72"/>
        <v>37.202380952380956</v>
      </c>
      <c r="R67" s="3" t="e">
        <f t="shared" si="73"/>
        <v>#DIV/0!</v>
      </c>
      <c r="S67" s="3">
        <f t="shared" si="74"/>
        <v>20</v>
      </c>
      <c r="T67" s="4">
        <f t="shared" si="75"/>
        <v>12.79233</v>
      </c>
      <c r="U67">
        <f t="shared" si="76"/>
        <v>1.7154795961259999E-2</v>
      </c>
      <c r="V67" s="127">
        <f t="shared" si="77"/>
        <v>5.255657655998021E-3</v>
      </c>
      <c r="W67">
        <f t="shared" si="78"/>
        <v>-1.5329001496660892E-7</v>
      </c>
    </row>
    <row r="68" spans="2:23" x14ac:dyDescent="0.3">
      <c r="B68" s="113">
        <f t="shared" ref="B68:B79" si="79">C68/180+1</f>
        <v>1.1388888888888888</v>
      </c>
      <c r="C68" s="142">
        <v>25</v>
      </c>
      <c r="D68" s="142"/>
      <c r="E68" s="142">
        <v>13.74</v>
      </c>
      <c r="F68" s="142">
        <v>1.26</v>
      </c>
      <c r="G68" s="142">
        <v>3010</v>
      </c>
      <c r="H68" s="142"/>
      <c r="I68" s="142"/>
      <c r="J68" s="2">
        <f t="shared" si="65"/>
        <v>17.3124</v>
      </c>
      <c r="K68" s="1">
        <f t="shared" si="66"/>
        <v>25</v>
      </c>
      <c r="L68" s="1">
        <f t="shared" si="67"/>
        <v>3.2188758248682006</v>
      </c>
      <c r="M68" s="3">
        <f t="shared" si="68"/>
        <v>332.22591362126246</v>
      </c>
      <c r="N68" s="3" t="e">
        <f t="shared" si="69"/>
        <v>#DIV/0!</v>
      </c>
      <c r="O68" s="3">
        <f t="shared" si="70"/>
        <v>19933.554817275748</v>
      </c>
      <c r="P68" s="3" t="e">
        <f t="shared" si="71"/>
        <v>#DIV/0!</v>
      </c>
      <c r="Q68" s="3">
        <f t="shared" si="72"/>
        <v>43.258582502768547</v>
      </c>
      <c r="R68" s="3" t="e">
        <f t="shared" si="73"/>
        <v>#DIV/0!</v>
      </c>
      <c r="S68" s="3">
        <f t="shared" si="74"/>
        <v>25</v>
      </c>
      <c r="T68" s="4">
        <f t="shared" si="75"/>
        <v>17.3124</v>
      </c>
      <c r="U68">
        <f t="shared" si="76"/>
        <v>2.3216309272800002E-2</v>
      </c>
      <c r="V68" s="127">
        <f t="shared" si="77"/>
        <v>6.1169248244207376E-3</v>
      </c>
      <c r="W68">
        <f t="shared" si="78"/>
        <v>-1.5343286434588683E-7</v>
      </c>
    </row>
    <row r="69" spans="2:23" x14ac:dyDescent="0.3">
      <c r="B69" s="113">
        <f t="shared" si="79"/>
        <v>1.1666666666666667</v>
      </c>
      <c r="C69" s="142">
        <v>30</v>
      </c>
      <c r="D69" s="142"/>
      <c r="E69" s="142">
        <v>13.72</v>
      </c>
      <c r="F69" s="142">
        <v>1.734</v>
      </c>
      <c r="G69" s="142">
        <v>2650</v>
      </c>
      <c r="H69" s="142"/>
      <c r="I69" s="142"/>
      <c r="J69" s="2">
        <f t="shared" si="65"/>
        <v>23.790480000000002</v>
      </c>
      <c r="K69" s="1">
        <f t="shared" si="66"/>
        <v>30</v>
      </c>
      <c r="L69" s="1">
        <f t="shared" si="67"/>
        <v>3.4011973816621555</v>
      </c>
      <c r="M69" s="3">
        <f t="shared" si="68"/>
        <v>377.35849056603774</v>
      </c>
      <c r="N69" s="3" t="e">
        <f t="shared" si="69"/>
        <v>#DIV/0!</v>
      </c>
      <c r="O69" s="3">
        <f t="shared" si="70"/>
        <v>22641.509433962266</v>
      </c>
      <c r="P69" s="3" t="e">
        <f t="shared" si="71"/>
        <v>#DIV/0!</v>
      </c>
      <c r="Q69" s="3">
        <f t="shared" si="72"/>
        <v>49.135220125786169</v>
      </c>
      <c r="R69" s="3" t="e">
        <f t="shared" si="73"/>
        <v>#DIV/0!</v>
      </c>
      <c r="S69" s="3">
        <f t="shared" si="74"/>
        <v>30</v>
      </c>
      <c r="T69" s="4">
        <f t="shared" si="75"/>
        <v>23.790480000000002</v>
      </c>
      <c r="U69">
        <f t="shared" si="76"/>
        <v>3.1903557070560008E-2</v>
      </c>
      <c r="V69" s="127">
        <f t="shared" si="77"/>
        <v>7.4004554432773335E-3</v>
      </c>
      <c r="W69">
        <f t="shared" si="78"/>
        <v>-1.6342672437237443E-7</v>
      </c>
    </row>
    <row r="70" spans="2:23" x14ac:dyDescent="0.3">
      <c r="B70" s="113">
        <f t="shared" si="79"/>
        <v>1.1944444444444444</v>
      </c>
      <c r="C70" s="142">
        <v>35</v>
      </c>
      <c r="D70" s="142"/>
      <c r="E70" s="142">
        <v>13.69</v>
      </c>
      <c r="F70" s="142">
        <v>2.113</v>
      </c>
      <c r="G70" s="142">
        <v>2500</v>
      </c>
      <c r="H70" s="142"/>
      <c r="I70" s="142"/>
      <c r="J70" s="2">
        <f t="shared" si="65"/>
        <v>28.926969999999997</v>
      </c>
      <c r="K70" s="1">
        <f t="shared" si="66"/>
        <v>35</v>
      </c>
      <c r="L70" s="1">
        <f t="shared" si="67"/>
        <v>3.5553480614894135</v>
      </c>
      <c r="M70" s="3">
        <f t="shared" si="68"/>
        <v>400.00000000000006</v>
      </c>
      <c r="N70" s="3" t="e">
        <f t="shared" si="69"/>
        <v>#DIV/0!</v>
      </c>
      <c r="O70" s="3">
        <f t="shared" si="70"/>
        <v>24000.000000000004</v>
      </c>
      <c r="P70" s="3" t="e">
        <f t="shared" si="71"/>
        <v>#DIV/0!</v>
      </c>
      <c r="Q70" s="3">
        <f t="shared" si="72"/>
        <v>52.083333333333336</v>
      </c>
      <c r="R70" s="3" t="e">
        <f t="shared" si="73"/>
        <v>#DIV/0!</v>
      </c>
      <c r="S70" s="3">
        <f t="shared" si="74"/>
        <v>35</v>
      </c>
      <c r="T70" s="4">
        <f t="shared" si="75"/>
        <v>28.926969999999997</v>
      </c>
      <c r="U70">
        <f t="shared" si="76"/>
        <v>3.8791703163339998E-2</v>
      </c>
      <c r="V70" s="127">
        <f t="shared" si="77"/>
        <v>8.4889177089109008E-3</v>
      </c>
      <c r="W70">
        <f t="shared" si="78"/>
        <v>-1.7685245226897709E-7</v>
      </c>
    </row>
    <row r="71" spans="2:23" x14ac:dyDescent="0.3">
      <c r="B71" s="113">
        <f t="shared" si="79"/>
        <v>1.2222222222222223</v>
      </c>
      <c r="C71" s="142">
        <v>40</v>
      </c>
      <c r="D71" s="142"/>
      <c r="E71" s="142">
        <v>13.66</v>
      </c>
      <c r="F71" s="142">
        <v>2.37</v>
      </c>
      <c r="G71" s="142">
        <v>2270</v>
      </c>
      <c r="H71" s="142"/>
      <c r="I71" s="142"/>
      <c r="J71" s="2">
        <f t="shared" si="65"/>
        <v>32.374200000000002</v>
      </c>
      <c r="K71" s="1">
        <f t="shared" si="66"/>
        <v>40</v>
      </c>
      <c r="L71" s="1">
        <f t="shared" si="67"/>
        <v>3.6888794541139363</v>
      </c>
      <c r="M71" s="3">
        <f t="shared" si="68"/>
        <v>440.52863436123351</v>
      </c>
      <c r="N71" s="3" t="e">
        <f t="shared" si="69"/>
        <v>#DIV/0!</v>
      </c>
      <c r="O71" s="3">
        <f t="shared" si="70"/>
        <v>26431.718061674012</v>
      </c>
      <c r="P71" s="3" t="e">
        <f t="shared" si="71"/>
        <v>#DIV/0!</v>
      </c>
      <c r="Q71" s="3">
        <f t="shared" si="72"/>
        <v>57.360499265785613</v>
      </c>
      <c r="R71" s="3" t="e">
        <f t="shared" si="73"/>
        <v>#DIV/0!</v>
      </c>
      <c r="S71" s="3">
        <f t="shared" si="74"/>
        <v>40</v>
      </c>
      <c r="T71" s="4">
        <f t="shared" si="75"/>
        <v>32.374200000000002</v>
      </c>
      <c r="U71">
        <f t="shared" si="76"/>
        <v>4.3414514432400006E-2</v>
      </c>
      <c r="V71" s="127">
        <f t="shared" si="77"/>
        <v>8.6264929607275023E-3</v>
      </c>
      <c r="W71">
        <f t="shared" si="78"/>
        <v>-1.6318449184042857E-7</v>
      </c>
    </row>
    <row r="72" spans="2:23" x14ac:dyDescent="0.3">
      <c r="B72" s="113">
        <f t="shared" si="79"/>
        <v>1.2777777777777777</v>
      </c>
      <c r="C72" s="142">
        <v>50</v>
      </c>
      <c r="D72" s="142"/>
      <c r="E72" s="142">
        <v>13.6</v>
      </c>
      <c r="F72" s="142">
        <v>3.1</v>
      </c>
      <c r="G72" s="142">
        <v>2020</v>
      </c>
      <c r="H72" s="142"/>
      <c r="I72" s="142"/>
      <c r="J72" s="2">
        <f t="shared" si="65"/>
        <v>42.16</v>
      </c>
      <c r="K72" s="1">
        <f t="shared" si="66"/>
        <v>50</v>
      </c>
      <c r="L72" s="1">
        <f t="shared" si="67"/>
        <v>3.912023005428146</v>
      </c>
      <c r="M72" s="3">
        <f t="shared" si="68"/>
        <v>495.04950495049508</v>
      </c>
      <c r="N72" s="3" t="e">
        <f t="shared" si="69"/>
        <v>#DIV/0!</v>
      </c>
      <c r="O72" s="3">
        <f t="shared" si="70"/>
        <v>29702.970297029704</v>
      </c>
      <c r="P72" s="3" t="e">
        <f t="shared" si="71"/>
        <v>#DIV/0!</v>
      </c>
      <c r="Q72" s="3">
        <f t="shared" si="72"/>
        <v>64.459570957095707</v>
      </c>
      <c r="R72" s="3" t="e">
        <f t="shared" si="73"/>
        <v>#DIV/0!</v>
      </c>
      <c r="S72" s="3">
        <f t="shared" si="74"/>
        <v>50</v>
      </c>
      <c r="T72" s="4">
        <f t="shared" si="75"/>
        <v>42.16</v>
      </c>
      <c r="U72">
        <f t="shared" si="76"/>
        <v>5.6537487519999999E-2</v>
      </c>
      <c r="V72" s="127">
        <f t="shared" si="77"/>
        <v>9.9968077766530127E-3</v>
      </c>
      <c r="W72">
        <f t="shared" si="78"/>
        <v>-1.6827959757365904E-7</v>
      </c>
    </row>
    <row r="73" spans="2:23" x14ac:dyDescent="0.3">
      <c r="B73" s="113">
        <f t="shared" si="79"/>
        <v>1.3333333333333333</v>
      </c>
      <c r="C73" s="142">
        <v>60</v>
      </c>
      <c r="D73" s="142"/>
      <c r="E73" s="142">
        <v>13.52</v>
      </c>
      <c r="F73" s="142">
        <v>3.9</v>
      </c>
      <c r="G73" s="142">
        <v>1870</v>
      </c>
      <c r="H73" s="142"/>
      <c r="I73" s="142"/>
      <c r="J73" s="2">
        <f t="shared" si="65"/>
        <v>52.727999999999994</v>
      </c>
      <c r="K73" s="1">
        <f t="shared" si="66"/>
        <v>60</v>
      </c>
      <c r="L73" s="1">
        <f t="shared" si="67"/>
        <v>4.0943445622221004</v>
      </c>
      <c r="M73" s="3">
        <f t="shared" si="68"/>
        <v>534.75935828877004</v>
      </c>
      <c r="N73" s="3" t="e">
        <f t="shared" si="69"/>
        <v>#DIV/0!</v>
      </c>
      <c r="O73" s="3">
        <f t="shared" si="70"/>
        <v>32085.561497326202</v>
      </c>
      <c r="P73" s="3" t="e">
        <f t="shared" si="71"/>
        <v>#DIV/0!</v>
      </c>
      <c r="Q73" s="3">
        <f t="shared" si="72"/>
        <v>69.630124777183596</v>
      </c>
      <c r="R73" s="3" t="e">
        <f t="shared" si="73"/>
        <v>#DIV/0!</v>
      </c>
      <c r="S73" s="3">
        <f t="shared" si="74"/>
        <v>60</v>
      </c>
      <c r="T73" s="4">
        <f t="shared" si="75"/>
        <v>52.727999999999994</v>
      </c>
      <c r="U73">
        <f t="shared" si="76"/>
        <v>7.0709408015999994E-2</v>
      </c>
      <c r="V73" s="127">
        <f t="shared" si="77"/>
        <v>1.1574234439717663E-2</v>
      </c>
      <c r="W73">
        <f t="shared" si="78"/>
        <v>-1.8036515335226691E-7</v>
      </c>
    </row>
    <row r="74" spans="2:23" x14ac:dyDescent="0.3">
      <c r="B74" s="113">
        <f t="shared" si="79"/>
        <v>1.4166666666666667</v>
      </c>
      <c r="C74" s="142">
        <v>75</v>
      </c>
      <c r="D74" s="142"/>
      <c r="E74" s="142">
        <v>13.2</v>
      </c>
      <c r="F74" s="142">
        <v>4.92</v>
      </c>
      <c r="G74" s="142">
        <v>1650</v>
      </c>
      <c r="H74" s="142"/>
      <c r="I74" s="142"/>
      <c r="J74" s="2">
        <f t="shared" si="65"/>
        <v>64.944000000000003</v>
      </c>
      <c r="K74" s="1">
        <f t="shared" si="66"/>
        <v>75</v>
      </c>
      <c r="L74" s="1">
        <f t="shared" si="67"/>
        <v>4.3174881135363101</v>
      </c>
      <c r="M74" s="3">
        <f t="shared" si="68"/>
        <v>606.06060606060612</v>
      </c>
      <c r="N74" s="3" t="e">
        <f t="shared" si="69"/>
        <v>#DIV/0!</v>
      </c>
      <c r="O74" s="3">
        <f t="shared" si="70"/>
        <v>36363.636363636368</v>
      </c>
      <c r="P74" s="3" t="e">
        <f t="shared" si="71"/>
        <v>#DIV/0!</v>
      </c>
      <c r="Q74" s="3">
        <f t="shared" si="72"/>
        <v>78.914141414141426</v>
      </c>
      <c r="R74" s="3" t="e">
        <f t="shared" si="73"/>
        <v>#DIV/0!</v>
      </c>
      <c r="S74" s="3">
        <f t="shared" si="74"/>
        <v>75</v>
      </c>
      <c r="T74" s="4">
        <f t="shared" si="75"/>
        <v>64.944000000000003</v>
      </c>
      <c r="U74">
        <f t="shared" si="76"/>
        <v>8.7091332768000004E-2</v>
      </c>
      <c r="V74" s="127">
        <f t="shared" si="77"/>
        <v>1.257860119168224E-2</v>
      </c>
      <c r="W74">
        <f t="shared" si="78"/>
        <v>-1.7295576638563078E-7</v>
      </c>
    </row>
    <row r="75" spans="2:23" x14ac:dyDescent="0.3">
      <c r="B75" s="113">
        <f t="shared" si="79"/>
        <v>1.5</v>
      </c>
      <c r="C75" s="142">
        <v>90</v>
      </c>
      <c r="D75" s="142"/>
      <c r="E75" s="142">
        <v>13.31</v>
      </c>
      <c r="F75" s="142">
        <v>6.12</v>
      </c>
      <c r="G75" s="142">
        <v>1510</v>
      </c>
      <c r="H75" s="142"/>
      <c r="I75" s="142"/>
      <c r="J75" s="2">
        <f t="shared" si="65"/>
        <v>81.4572</v>
      </c>
      <c r="K75" s="1">
        <f t="shared" si="66"/>
        <v>90</v>
      </c>
      <c r="L75" s="1">
        <f t="shared" si="67"/>
        <v>4.499809670330265</v>
      </c>
      <c r="M75" s="3">
        <f t="shared" si="68"/>
        <v>662.25165562913912</v>
      </c>
      <c r="N75" s="3" t="e">
        <f t="shared" si="69"/>
        <v>#DIV/0!</v>
      </c>
      <c r="O75" s="3">
        <f t="shared" si="70"/>
        <v>39735.099337748346</v>
      </c>
      <c r="P75" s="3" t="e">
        <f t="shared" si="71"/>
        <v>#DIV/0!</v>
      </c>
      <c r="Q75" s="3">
        <f t="shared" si="72"/>
        <v>86.230684326710815</v>
      </c>
      <c r="R75" s="3" t="e">
        <f t="shared" si="73"/>
        <v>#DIV/0!</v>
      </c>
      <c r="S75" s="3">
        <f t="shared" si="74"/>
        <v>90</v>
      </c>
      <c r="T75" s="4">
        <f t="shared" si="75"/>
        <v>81.4572</v>
      </c>
      <c r="U75">
        <f t="shared" si="76"/>
        <v>0.10923589725840001</v>
      </c>
      <c r="V75" s="127">
        <f t="shared" si="77"/>
        <v>1.4438291132094773E-2</v>
      </c>
      <c r="W75">
        <f t="shared" si="78"/>
        <v>-1.8168183007885921E-7</v>
      </c>
    </row>
    <row r="76" spans="2:23" x14ac:dyDescent="0.3">
      <c r="B76" s="113">
        <f t="shared" si="79"/>
        <v>1.6055555555555556</v>
      </c>
      <c r="C76" s="142">
        <v>109</v>
      </c>
      <c r="D76" s="142"/>
      <c r="E76" s="142">
        <v>12.93</v>
      </c>
      <c r="F76" s="142">
        <v>7.27</v>
      </c>
      <c r="G76" s="142">
        <v>1470</v>
      </c>
      <c r="H76" s="142"/>
      <c r="I76" s="142"/>
      <c r="J76" s="2">
        <f t="shared" si="65"/>
        <v>94.001099999999994</v>
      </c>
      <c r="K76" s="1">
        <f t="shared" si="66"/>
        <v>109</v>
      </c>
      <c r="L76" s="1">
        <f t="shared" si="67"/>
        <v>4.6913478822291435</v>
      </c>
      <c r="M76" s="3">
        <f t="shared" si="68"/>
        <v>680.27210884353735</v>
      </c>
      <c r="N76" s="3" t="e">
        <f t="shared" si="69"/>
        <v>#DIV/0!</v>
      </c>
      <c r="O76" s="3">
        <f t="shared" si="70"/>
        <v>40816.326530612241</v>
      </c>
      <c r="P76" s="3" t="e">
        <f t="shared" si="71"/>
        <v>#DIV/0!</v>
      </c>
      <c r="Q76" s="3">
        <f t="shared" si="72"/>
        <v>88.577097505668917</v>
      </c>
      <c r="R76" s="3" t="e">
        <f t="shared" si="73"/>
        <v>#DIV/0!</v>
      </c>
      <c r="S76" s="3">
        <f t="shared" si="74"/>
        <v>109</v>
      </c>
      <c r="T76" s="4">
        <f t="shared" si="75"/>
        <v>94.001099999999994</v>
      </c>
      <c r="U76">
        <f t="shared" si="76"/>
        <v>0.12605754312420001</v>
      </c>
      <c r="V76" s="127">
        <f t="shared" si="77"/>
        <v>1.6220328303963312E-2</v>
      </c>
      <c r="W76">
        <f t="shared" si="78"/>
        <v>-1.986990217235506E-7</v>
      </c>
    </row>
    <row r="77" spans="2:23" ht="15" thickBot="1" x14ac:dyDescent="0.35">
      <c r="B77" s="116">
        <f t="shared" si="79"/>
        <v>1.7222222222222223</v>
      </c>
      <c r="C77" s="142">
        <v>130</v>
      </c>
      <c r="D77" s="142"/>
      <c r="E77" s="142">
        <v>13.08</v>
      </c>
      <c r="F77" s="142">
        <v>8.9600000000000009</v>
      </c>
      <c r="G77" s="142">
        <v>1380</v>
      </c>
      <c r="H77" s="142"/>
      <c r="I77" s="142"/>
      <c r="J77" s="2">
        <f t="shared" si="65"/>
        <v>117.19680000000001</v>
      </c>
      <c r="K77" s="1">
        <f t="shared" si="66"/>
        <v>130</v>
      </c>
      <c r="L77" s="1">
        <f t="shared" si="67"/>
        <v>4.8675344504555822</v>
      </c>
      <c r="M77" s="3">
        <f t="shared" si="68"/>
        <v>724.63768115942037</v>
      </c>
      <c r="N77" s="3" t="e">
        <f t="shared" si="69"/>
        <v>#DIV/0!</v>
      </c>
      <c r="O77" s="3">
        <f t="shared" si="70"/>
        <v>43478.260869565223</v>
      </c>
      <c r="P77" s="3" t="e">
        <f t="shared" si="71"/>
        <v>#DIV/0!</v>
      </c>
      <c r="Q77" s="3">
        <f t="shared" si="72"/>
        <v>94.353864734299535</v>
      </c>
      <c r="R77" s="3" t="e">
        <f t="shared" si="73"/>
        <v>#DIV/0!</v>
      </c>
      <c r="S77" s="3">
        <f t="shared" si="74"/>
        <v>130</v>
      </c>
      <c r="T77" s="4">
        <f t="shared" si="75"/>
        <v>117.19680000000001</v>
      </c>
      <c r="U77">
        <f t="shared" si="76"/>
        <v>0.15716348712960002</v>
      </c>
      <c r="V77" s="127">
        <f t="shared" si="77"/>
        <v>1.8984720591307163E-2</v>
      </c>
      <c r="W77">
        <f t="shared" si="78"/>
        <v>-2.1832428680003235E-7</v>
      </c>
    </row>
    <row r="78" spans="2:23" x14ac:dyDescent="0.3">
      <c r="B78" s="144">
        <f t="shared" si="79"/>
        <v>1.8277777777777777</v>
      </c>
      <c r="C78" s="142">
        <v>149</v>
      </c>
      <c r="D78" s="142"/>
      <c r="E78" s="142">
        <v>12.95</v>
      </c>
      <c r="F78" s="142">
        <v>10.8</v>
      </c>
      <c r="G78" s="142">
        <v>1310</v>
      </c>
      <c r="H78" s="142"/>
      <c r="I78" s="142"/>
      <c r="J78" s="1">
        <f t="shared" si="65"/>
        <v>139.86000000000001</v>
      </c>
      <c r="K78" s="1">
        <f t="shared" si="66"/>
        <v>149</v>
      </c>
      <c r="L78" s="1">
        <f t="shared" si="67"/>
        <v>5.0039463059454592</v>
      </c>
      <c r="M78" s="1">
        <f t="shared" si="68"/>
        <v>763.35877862595419</v>
      </c>
      <c r="O78" s="1">
        <f t="shared" si="70"/>
        <v>45801.526717557252</v>
      </c>
      <c r="Q78" s="1">
        <f t="shared" si="72"/>
        <v>99.395674300254456</v>
      </c>
      <c r="S78" s="1">
        <f t="shared" si="74"/>
        <v>149</v>
      </c>
      <c r="T78" s="4">
        <f t="shared" si="75"/>
        <v>139.86000000000001</v>
      </c>
      <c r="U78">
        <f t="shared" si="76"/>
        <v>0.18755533692000004</v>
      </c>
      <c r="V78" s="127">
        <f t="shared" si="77"/>
        <v>2.1506720410833846E-2</v>
      </c>
      <c r="W78">
        <f t="shared" si="78"/>
        <v>-2.3478169781826949E-7</v>
      </c>
    </row>
    <row r="79" spans="2:23" x14ac:dyDescent="0.3">
      <c r="B79" s="144">
        <f t="shared" si="79"/>
        <v>1.911111111111111</v>
      </c>
      <c r="C79" s="142">
        <v>164</v>
      </c>
      <c r="D79" s="142"/>
      <c r="E79" s="142">
        <v>12.75</v>
      </c>
      <c r="F79" s="142">
        <v>13.9</v>
      </c>
      <c r="G79" s="142">
        <v>1252</v>
      </c>
      <c r="H79" s="142"/>
      <c r="I79" s="142"/>
      <c r="J79" s="1">
        <f t="shared" si="65"/>
        <v>177.22499999999999</v>
      </c>
      <c r="K79" s="1">
        <f t="shared" si="66"/>
        <v>164</v>
      </c>
      <c r="L79" s="1">
        <f t="shared" si="67"/>
        <v>5.0998664278241987</v>
      </c>
      <c r="M79" s="1">
        <f t="shared" si="68"/>
        <v>798.72204472843453</v>
      </c>
      <c r="O79" s="1">
        <f t="shared" si="70"/>
        <v>47923.322683706072</v>
      </c>
      <c r="Q79" s="1">
        <f t="shared" si="72"/>
        <v>104.00026624068157</v>
      </c>
      <c r="S79" s="1">
        <f t="shared" si="74"/>
        <v>164</v>
      </c>
      <c r="T79" s="4">
        <f t="shared" si="75"/>
        <v>177.22499999999999</v>
      </c>
      <c r="U79">
        <f t="shared" si="76"/>
        <v>0.23766262395000001</v>
      </c>
      <c r="V79" s="127">
        <f t="shared" si="77"/>
        <v>2.6045858907228683E-2</v>
      </c>
      <c r="W79">
        <f t="shared" si="78"/>
        <v>-2.7174512793208589E-7</v>
      </c>
    </row>
    <row r="82" spans="2:23" x14ac:dyDescent="0.3">
      <c r="B82" t="s">
        <v>117</v>
      </c>
      <c r="U82" t="s">
        <v>119</v>
      </c>
      <c r="V82" t="s">
        <v>120</v>
      </c>
    </row>
    <row r="83" spans="2:23" x14ac:dyDescent="0.3">
      <c r="B83" s="113">
        <f t="shared" ref="B83" si="80">C83/180+1</f>
        <v>1.0611111111111111</v>
      </c>
      <c r="C83" s="142">
        <v>11</v>
      </c>
      <c r="D83" s="142"/>
      <c r="E83" s="142">
        <v>13.81</v>
      </c>
      <c r="F83" s="142">
        <v>0.57599999999999996</v>
      </c>
      <c r="G83" s="142">
        <v>4880</v>
      </c>
      <c r="H83" s="143"/>
      <c r="I83" s="142"/>
      <c r="J83" s="2">
        <f>E83*F83</f>
        <v>7.9545599999999999</v>
      </c>
      <c r="K83" s="1">
        <f t="shared" ref="K83:K97" si="81">C83</f>
        <v>11</v>
      </c>
      <c r="L83" s="1">
        <f t="shared" ref="L83:L97" si="82">LN(K83)</f>
        <v>2.3978952727983707</v>
      </c>
      <c r="M83" s="3">
        <f t="shared" ref="M83:M97" si="83">1/G83/0.000001</f>
        <v>204.91803278688525</v>
      </c>
      <c r="N83" s="3" t="e">
        <f t="shared" ref="N83:N95" si="84">1/H83/0.000001</f>
        <v>#DIV/0!</v>
      </c>
      <c r="O83" s="3">
        <f t="shared" ref="O83:O97" si="85">M83*60/$W$27</f>
        <v>12295.081967213115</v>
      </c>
      <c r="P83" s="3" t="e">
        <f t="shared" ref="P83:P95" si="86">N83*60/$W$27</f>
        <v>#DIV/0!</v>
      </c>
      <c r="Q83" s="3">
        <f t="shared" ref="Q83:Q97" si="87">O83/$W$40*100</f>
        <v>26.682035519125684</v>
      </c>
      <c r="R83" s="3" t="e">
        <f t="shared" ref="R83:R95" si="88">P83/$W$40*100</f>
        <v>#DIV/0!</v>
      </c>
      <c r="S83" s="3">
        <f t="shared" ref="S83:S97" si="89">K83</f>
        <v>11</v>
      </c>
      <c r="T83" s="4">
        <f t="shared" ref="T83:T97" si="90">J83</f>
        <v>7.9545599999999999</v>
      </c>
      <c r="U83">
        <f>T83*0.001341022</f>
        <v>1.0667239960320001E-2</v>
      </c>
      <c r="V83" s="127">
        <f t="shared" ref="V83:V97" si="91">U83/O83*5252</f>
        <v>4.5566466674235194E-3</v>
      </c>
      <c r="W83">
        <f t="shared" ref="W83:W97" si="92">-V83/2/O83</f>
        <v>-1.8530363114188979E-7</v>
      </c>
    </row>
    <row r="84" spans="2:23" x14ac:dyDescent="0.3">
      <c r="B84" s="113">
        <f>C84/180+1</f>
        <v>1.0833333333333333</v>
      </c>
      <c r="C84" s="142">
        <v>15</v>
      </c>
      <c r="D84" s="142"/>
      <c r="E84" s="142">
        <v>13.8</v>
      </c>
      <c r="F84" s="142">
        <v>0.77800000000000002</v>
      </c>
      <c r="G84" s="142">
        <v>3900</v>
      </c>
      <c r="H84" s="143"/>
      <c r="I84" s="142"/>
      <c r="J84" s="2">
        <f t="shared" ref="J84:J97" si="93">E84*F84</f>
        <v>10.736400000000001</v>
      </c>
      <c r="K84" s="1">
        <f t="shared" si="81"/>
        <v>15</v>
      </c>
      <c r="L84" s="1">
        <f t="shared" si="82"/>
        <v>2.7080502011022101</v>
      </c>
      <c r="M84" s="3">
        <f t="shared" si="83"/>
        <v>256.41025641025641</v>
      </c>
      <c r="N84" s="3" t="e">
        <f t="shared" si="84"/>
        <v>#DIV/0!</v>
      </c>
      <c r="O84" s="3">
        <f t="shared" si="85"/>
        <v>15384.615384615385</v>
      </c>
      <c r="P84" s="3" t="e">
        <f t="shared" si="86"/>
        <v>#DIV/0!</v>
      </c>
      <c r="Q84" s="3">
        <f t="shared" si="87"/>
        <v>33.386752136752136</v>
      </c>
      <c r="R84" s="3" t="e">
        <f t="shared" si="88"/>
        <v>#DIV/0!</v>
      </c>
      <c r="S84" s="3">
        <f t="shared" si="89"/>
        <v>15</v>
      </c>
      <c r="T84" s="4">
        <f t="shared" si="90"/>
        <v>10.736400000000001</v>
      </c>
      <c r="U84">
        <f t="shared" ref="U84:U97" si="94">T84*0.001341022</f>
        <v>1.4397748600800004E-2</v>
      </c>
      <c r="V84" s="127">
        <f t="shared" si="91"/>
        <v>4.9151034173411049E-3</v>
      </c>
      <c r="W84">
        <f t="shared" si="92"/>
        <v>-1.5974086106358592E-7</v>
      </c>
    </row>
    <row r="85" spans="2:23" x14ac:dyDescent="0.3">
      <c r="B85" s="113">
        <f>C85/180+1</f>
        <v>1.1111111111111112</v>
      </c>
      <c r="C85" s="142">
        <v>20</v>
      </c>
      <c r="D85" s="142"/>
      <c r="E85" s="142">
        <v>13.78</v>
      </c>
      <c r="F85" s="142">
        <v>1.04</v>
      </c>
      <c r="G85" s="142">
        <v>3260</v>
      </c>
      <c r="H85" s="143"/>
      <c r="I85" s="142"/>
      <c r="J85" s="2">
        <f t="shared" si="93"/>
        <v>14.331199999999999</v>
      </c>
      <c r="K85" s="1">
        <f t="shared" si="81"/>
        <v>20</v>
      </c>
      <c r="L85" s="1">
        <f t="shared" si="82"/>
        <v>2.9957322735539909</v>
      </c>
      <c r="M85" s="3">
        <f t="shared" si="83"/>
        <v>306.74846625766872</v>
      </c>
      <c r="N85" s="3" t="e">
        <f t="shared" si="84"/>
        <v>#DIV/0!</v>
      </c>
      <c r="O85" s="3">
        <f t="shared" si="85"/>
        <v>18404.907975460123</v>
      </c>
      <c r="P85" s="3" t="e">
        <f t="shared" si="86"/>
        <v>#DIV/0!</v>
      </c>
      <c r="Q85" s="3">
        <f t="shared" si="87"/>
        <v>39.941206543967276</v>
      </c>
      <c r="R85" s="3" t="e">
        <f t="shared" si="88"/>
        <v>#DIV/0!</v>
      </c>
      <c r="S85" s="3">
        <f t="shared" si="89"/>
        <v>20</v>
      </c>
      <c r="T85" s="4">
        <f t="shared" si="90"/>
        <v>14.331199999999999</v>
      </c>
      <c r="U85">
        <f t="shared" si="94"/>
        <v>1.92184544864E-2</v>
      </c>
      <c r="V85" s="127">
        <f t="shared" si="91"/>
        <v>5.4841525476331228E-3</v>
      </c>
      <c r="W85">
        <f t="shared" si="92"/>
        <v>-1.4898614421069984E-7</v>
      </c>
    </row>
    <row r="86" spans="2:23" x14ac:dyDescent="0.3">
      <c r="B86" s="113">
        <f t="shared" ref="B86:B97" si="95">C86/180+1</f>
        <v>1.1388888888888888</v>
      </c>
      <c r="C86" s="142">
        <v>25</v>
      </c>
      <c r="D86" s="142"/>
      <c r="E86" s="142">
        <v>13.76</v>
      </c>
      <c r="F86" s="142">
        <v>1.363</v>
      </c>
      <c r="G86" s="142">
        <v>2870</v>
      </c>
      <c r="H86" s="142"/>
      <c r="I86" s="142"/>
      <c r="J86" s="2">
        <f t="shared" si="93"/>
        <v>18.75488</v>
      </c>
      <c r="K86" s="1">
        <f t="shared" si="81"/>
        <v>25</v>
      </c>
      <c r="L86" s="1">
        <f t="shared" si="82"/>
        <v>3.2188758248682006</v>
      </c>
      <c r="M86" s="3">
        <f t="shared" si="83"/>
        <v>348.43205574912895</v>
      </c>
      <c r="N86" s="3" t="e">
        <f t="shared" si="84"/>
        <v>#DIV/0!</v>
      </c>
      <c r="O86" s="3">
        <f t="shared" si="85"/>
        <v>20905.923344947736</v>
      </c>
      <c r="P86" s="3" t="e">
        <f t="shared" si="86"/>
        <v>#DIV/0!</v>
      </c>
      <c r="Q86" s="3">
        <f t="shared" si="87"/>
        <v>45.368757259001164</v>
      </c>
      <c r="R86" s="3" t="e">
        <f t="shared" si="88"/>
        <v>#DIV/0!</v>
      </c>
      <c r="S86" s="3">
        <f t="shared" si="89"/>
        <v>25</v>
      </c>
      <c r="T86" s="4">
        <f t="shared" si="90"/>
        <v>18.75488</v>
      </c>
      <c r="U86">
        <f t="shared" si="94"/>
        <v>2.5150706687360001E-2</v>
      </c>
      <c r="V86" s="127">
        <f t="shared" si="91"/>
        <v>6.3183773011363711E-3</v>
      </c>
      <c r="W86">
        <f t="shared" si="92"/>
        <v>-1.5111452378551155E-7</v>
      </c>
    </row>
    <row r="87" spans="2:23" x14ac:dyDescent="0.3">
      <c r="B87" s="113">
        <f t="shared" si="95"/>
        <v>1.1666666666666667</v>
      </c>
      <c r="C87" s="142">
        <v>30</v>
      </c>
      <c r="D87" s="142"/>
      <c r="E87" s="142">
        <v>13.74</v>
      </c>
      <c r="F87" s="142">
        <v>1.67</v>
      </c>
      <c r="G87" s="142">
        <v>2640</v>
      </c>
      <c r="H87" s="142"/>
      <c r="I87" s="142"/>
      <c r="J87" s="2">
        <f t="shared" si="93"/>
        <v>22.945799999999998</v>
      </c>
      <c r="K87" s="1">
        <f t="shared" si="81"/>
        <v>30</v>
      </c>
      <c r="L87" s="1">
        <f t="shared" si="82"/>
        <v>3.4011973816621555</v>
      </c>
      <c r="M87" s="3">
        <f t="shared" si="83"/>
        <v>378.78787878787881</v>
      </c>
      <c r="N87" s="3" t="e">
        <f t="shared" si="84"/>
        <v>#DIV/0!</v>
      </c>
      <c r="O87" s="3">
        <f t="shared" si="85"/>
        <v>22727.272727272728</v>
      </c>
      <c r="P87" s="3" t="e">
        <f t="shared" si="86"/>
        <v>#DIV/0!</v>
      </c>
      <c r="Q87" s="3">
        <f t="shared" si="87"/>
        <v>49.321338383838388</v>
      </c>
      <c r="R87" s="3" t="e">
        <f t="shared" si="88"/>
        <v>#DIV/0!</v>
      </c>
      <c r="S87" s="3">
        <f t="shared" si="89"/>
        <v>30</v>
      </c>
      <c r="T87" s="4">
        <f t="shared" si="90"/>
        <v>22.945799999999998</v>
      </c>
      <c r="U87">
        <f t="shared" si="94"/>
        <v>3.0770822607600001E-2</v>
      </c>
      <c r="V87" s="127">
        <f t="shared" si="91"/>
        <v>7.1107678547450686E-3</v>
      </c>
      <c r="W87">
        <f t="shared" si="92"/>
        <v>-1.564368928043915E-7</v>
      </c>
    </row>
    <row r="88" spans="2:23" x14ac:dyDescent="0.3">
      <c r="B88" s="113">
        <f t="shared" si="95"/>
        <v>1.1944444444444444</v>
      </c>
      <c r="C88" s="142">
        <v>35</v>
      </c>
      <c r="D88" s="142"/>
      <c r="E88" s="142">
        <v>13.72</v>
      </c>
      <c r="F88" s="142">
        <v>2.0550000000000002</v>
      </c>
      <c r="G88" s="142">
        <v>2400</v>
      </c>
      <c r="H88" s="142"/>
      <c r="I88" s="142"/>
      <c r="J88" s="2">
        <f t="shared" si="93"/>
        <v>28.194600000000005</v>
      </c>
      <c r="K88" s="1">
        <f t="shared" si="81"/>
        <v>35</v>
      </c>
      <c r="L88" s="1">
        <f t="shared" si="82"/>
        <v>3.5553480614894135</v>
      </c>
      <c r="M88" s="3">
        <f t="shared" si="83"/>
        <v>416.66666666666669</v>
      </c>
      <c r="N88" s="3" t="e">
        <f t="shared" si="84"/>
        <v>#DIV/0!</v>
      </c>
      <c r="O88" s="3">
        <f t="shared" si="85"/>
        <v>25000</v>
      </c>
      <c r="P88" s="3" t="e">
        <f t="shared" si="86"/>
        <v>#DIV/0!</v>
      </c>
      <c r="Q88" s="3">
        <f t="shared" si="87"/>
        <v>54.253472222222221</v>
      </c>
      <c r="R88" s="3" t="e">
        <f t="shared" si="88"/>
        <v>#DIV/0!</v>
      </c>
      <c r="S88" s="3">
        <f t="shared" si="89"/>
        <v>35</v>
      </c>
      <c r="T88" s="4">
        <f t="shared" si="90"/>
        <v>28.194600000000005</v>
      </c>
      <c r="U88">
        <f t="shared" si="94"/>
        <v>3.7809578881200012E-2</v>
      </c>
      <c r="V88" s="127">
        <f t="shared" si="91"/>
        <v>7.9430363313624987E-3</v>
      </c>
      <c r="W88">
        <f t="shared" si="92"/>
        <v>-1.5886072662724997E-7</v>
      </c>
    </row>
    <row r="89" spans="2:23" x14ac:dyDescent="0.3">
      <c r="B89" s="113">
        <f t="shared" si="95"/>
        <v>1.2222222222222223</v>
      </c>
      <c r="C89" s="142">
        <v>40</v>
      </c>
      <c r="D89" s="142"/>
      <c r="E89" s="142">
        <v>13.7</v>
      </c>
      <c r="F89" s="142">
        <v>2.2999999999999998</v>
      </c>
      <c r="G89" s="142">
        <v>2250</v>
      </c>
      <c r="H89" s="142"/>
      <c r="I89" s="142"/>
      <c r="J89" s="2">
        <f t="shared" si="93"/>
        <v>31.509999999999994</v>
      </c>
      <c r="K89" s="1">
        <f t="shared" si="81"/>
        <v>40</v>
      </c>
      <c r="L89" s="1">
        <f t="shared" si="82"/>
        <v>3.6888794541139363</v>
      </c>
      <c r="M89" s="3">
        <f t="shared" si="83"/>
        <v>444.44444444444451</v>
      </c>
      <c r="N89" s="3" t="e">
        <f t="shared" si="84"/>
        <v>#DIV/0!</v>
      </c>
      <c r="O89" s="3">
        <f t="shared" si="85"/>
        <v>26666.666666666672</v>
      </c>
      <c r="P89" s="3" t="e">
        <f t="shared" si="86"/>
        <v>#DIV/0!</v>
      </c>
      <c r="Q89" s="3">
        <f t="shared" si="87"/>
        <v>57.870370370370381</v>
      </c>
      <c r="R89" s="3" t="e">
        <f t="shared" si="88"/>
        <v>#DIV/0!</v>
      </c>
      <c r="S89" s="3">
        <f t="shared" si="89"/>
        <v>40</v>
      </c>
      <c r="T89" s="4">
        <f t="shared" si="90"/>
        <v>31.509999999999994</v>
      </c>
      <c r="U89">
        <f t="shared" si="94"/>
        <v>4.2255603219999993E-2</v>
      </c>
      <c r="V89" s="127">
        <f t="shared" si="91"/>
        <v>8.3222410541789974E-3</v>
      </c>
      <c r="W89">
        <f t="shared" si="92"/>
        <v>-1.5604201976585617E-7</v>
      </c>
    </row>
    <row r="90" spans="2:23" x14ac:dyDescent="0.3">
      <c r="B90" s="113">
        <f t="shared" si="95"/>
        <v>1.2777777777777777</v>
      </c>
      <c r="C90" s="142">
        <v>50</v>
      </c>
      <c r="D90" s="142"/>
      <c r="E90" s="142">
        <v>13.65</v>
      </c>
      <c r="F90" s="142">
        <v>3.02</v>
      </c>
      <c r="G90" s="142">
        <v>2010</v>
      </c>
      <c r="H90" s="142"/>
      <c r="I90" s="142"/>
      <c r="J90" s="2">
        <f t="shared" si="93"/>
        <v>41.222999999999999</v>
      </c>
      <c r="K90" s="1">
        <f t="shared" si="81"/>
        <v>50</v>
      </c>
      <c r="L90" s="1">
        <f t="shared" si="82"/>
        <v>3.912023005428146</v>
      </c>
      <c r="M90" s="3">
        <f t="shared" si="83"/>
        <v>497.51243781094524</v>
      </c>
      <c r="N90" s="3" t="e">
        <f t="shared" si="84"/>
        <v>#DIV/0!</v>
      </c>
      <c r="O90" s="3">
        <f t="shared" si="85"/>
        <v>29850.746268656716</v>
      </c>
      <c r="P90" s="3" t="e">
        <f t="shared" si="86"/>
        <v>#DIV/0!</v>
      </c>
      <c r="Q90" s="3">
        <f t="shared" si="87"/>
        <v>64.780265339966832</v>
      </c>
      <c r="R90" s="3" t="e">
        <f t="shared" si="88"/>
        <v>#DIV/0!</v>
      </c>
      <c r="S90" s="3">
        <f t="shared" si="89"/>
        <v>50</v>
      </c>
      <c r="T90" s="4">
        <f t="shared" si="90"/>
        <v>41.222999999999999</v>
      </c>
      <c r="U90">
        <f t="shared" si="94"/>
        <v>5.5280949906E-2</v>
      </c>
      <c r="V90" s="127">
        <f t="shared" si="91"/>
        <v>9.7262408883614527E-3</v>
      </c>
      <c r="W90">
        <f t="shared" si="92"/>
        <v>-1.6291453488005435E-7</v>
      </c>
    </row>
    <row r="91" spans="2:23" x14ac:dyDescent="0.3">
      <c r="B91" s="113">
        <f t="shared" si="95"/>
        <v>1.3333333333333333</v>
      </c>
      <c r="C91" s="142">
        <v>60</v>
      </c>
      <c r="D91" s="142"/>
      <c r="E91" s="142">
        <v>13.6</v>
      </c>
      <c r="F91" s="142">
        <v>3.81</v>
      </c>
      <c r="G91" s="142">
        <v>1880</v>
      </c>
      <c r="H91" s="142"/>
      <c r="I91" s="142"/>
      <c r="J91" s="2">
        <f t="shared" si="93"/>
        <v>51.816000000000003</v>
      </c>
      <c r="K91" s="1">
        <f t="shared" si="81"/>
        <v>60</v>
      </c>
      <c r="L91" s="1">
        <f t="shared" si="82"/>
        <v>4.0943445622221004</v>
      </c>
      <c r="M91" s="3">
        <f t="shared" si="83"/>
        <v>531.91489361702133</v>
      </c>
      <c r="N91" s="3" t="e">
        <f t="shared" si="84"/>
        <v>#DIV/0!</v>
      </c>
      <c r="O91" s="3">
        <f t="shared" si="85"/>
        <v>31914.89361702128</v>
      </c>
      <c r="P91" s="3" t="e">
        <f t="shared" si="86"/>
        <v>#DIV/0!</v>
      </c>
      <c r="Q91" s="3">
        <f t="shared" si="87"/>
        <v>69.259751773049643</v>
      </c>
      <c r="R91" s="3" t="e">
        <f t="shared" si="88"/>
        <v>#DIV/0!</v>
      </c>
      <c r="S91" s="3">
        <f t="shared" si="89"/>
        <v>60</v>
      </c>
      <c r="T91" s="4">
        <f t="shared" si="90"/>
        <v>51.816000000000003</v>
      </c>
      <c r="U91">
        <f t="shared" si="94"/>
        <v>6.9486395952000013E-2</v>
      </c>
      <c r="V91" s="127">
        <f t="shared" si="91"/>
        <v>1.1434866614916992E-2</v>
      </c>
      <c r="W91">
        <f t="shared" si="92"/>
        <v>-1.7914624363369954E-7</v>
      </c>
    </row>
    <row r="92" spans="2:23" x14ac:dyDescent="0.3">
      <c r="B92" s="113">
        <f t="shared" si="95"/>
        <v>1.4166666666666667</v>
      </c>
      <c r="C92" s="142">
        <v>75</v>
      </c>
      <c r="D92" s="142"/>
      <c r="E92" s="142">
        <v>13.54</v>
      </c>
      <c r="F92" s="142">
        <v>4.91</v>
      </c>
      <c r="G92" s="142">
        <v>1630</v>
      </c>
      <c r="H92" s="142"/>
      <c r="I92" s="142"/>
      <c r="J92" s="2">
        <f t="shared" si="93"/>
        <v>66.481399999999994</v>
      </c>
      <c r="K92" s="1">
        <f t="shared" si="81"/>
        <v>75</v>
      </c>
      <c r="L92" s="1">
        <f t="shared" si="82"/>
        <v>4.3174881135363101</v>
      </c>
      <c r="M92" s="3">
        <f t="shared" si="83"/>
        <v>613.49693251533745</v>
      </c>
      <c r="N92" s="3" t="e">
        <f t="shared" si="84"/>
        <v>#DIV/0!</v>
      </c>
      <c r="O92" s="3">
        <f t="shared" si="85"/>
        <v>36809.815950920245</v>
      </c>
      <c r="P92" s="3" t="e">
        <f t="shared" si="86"/>
        <v>#DIV/0!</v>
      </c>
      <c r="Q92" s="3">
        <f t="shared" si="87"/>
        <v>79.882413087934552</v>
      </c>
      <c r="R92" s="3" t="e">
        <f t="shared" si="88"/>
        <v>#DIV/0!</v>
      </c>
      <c r="S92" s="3">
        <f t="shared" si="89"/>
        <v>75</v>
      </c>
      <c r="T92" s="4">
        <f t="shared" si="90"/>
        <v>66.481399999999994</v>
      </c>
      <c r="U92">
        <f t="shared" si="94"/>
        <v>8.9153019990799998E-2</v>
      </c>
      <c r="V92" s="127">
        <f t="shared" si="91"/>
        <v>1.2720293456940682E-2</v>
      </c>
      <c r="W92">
        <f t="shared" si="92"/>
        <v>-1.7278398612344427E-7</v>
      </c>
    </row>
    <row r="93" spans="2:23" x14ac:dyDescent="0.3">
      <c r="B93" s="113">
        <f t="shared" si="95"/>
        <v>1.5</v>
      </c>
      <c r="C93" s="142">
        <v>90</v>
      </c>
      <c r="D93" s="142"/>
      <c r="E93" s="142">
        <v>13.47</v>
      </c>
      <c r="F93" s="142">
        <v>6</v>
      </c>
      <c r="G93" s="142">
        <v>1520</v>
      </c>
      <c r="H93" s="142"/>
      <c r="I93" s="142"/>
      <c r="J93" s="2">
        <f t="shared" si="93"/>
        <v>80.820000000000007</v>
      </c>
      <c r="K93" s="1">
        <f t="shared" si="81"/>
        <v>90</v>
      </c>
      <c r="L93" s="1">
        <f t="shared" si="82"/>
        <v>4.499809670330265</v>
      </c>
      <c r="M93" s="3">
        <f t="shared" si="83"/>
        <v>657.89473684210532</v>
      </c>
      <c r="N93" s="3" t="e">
        <f t="shared" si="84"/>
        <v>#DIV/0!</v>
      </c>
      <c r="O93" s="3">
        <f t="shared" si="85"/>
        <v>39473.68421052632</v>
      </c>
      <c r="P93" s="3" t="e">
        <f t="shared" si="86"/>
        <v>#DIV/0!</v>
      </c>
      <c r="Q93" s="3">
        <f t="shared" si="87"/>
        <v>85.663377192982466</v>
      </c>
      <c r="R93" s="3" t="e">
        <f t="shared" si="88"/>
        <v>#DIV/0!</v>
      </c>
      <c r="S93" s="3">
        <f t="shared" si="89"/>
        <v>90</v>
      </c>
      <c r="T93" s="4">
        <f t="shared" si="90"/>
        <v>80.820000000000007</v>
      </c>
      <c r="U93">
        <f t="shared" si="94"/>
        <v>0.10838139804000002</v>
      </c>
      <c r="V93" s="127">
        <f t="shared" si="91"/>
        <v>1.4420217263487361E-2</v>
      </c>
      <c r="W93">
        <f t="shared" si="92"/>
        <v>-1.8265608533750656E-7</v>
      </c>
    </row>
    <row r="94" spans="2:23" x14ac:dyDescent="0.3">
      <c r="B94" s="113">
        <f t="shared" si="95"/>
        <v>1.6055555555555556</v>
      </c>
      <c r="C94" s="142">
        <v>109</v>
      </c>
      <c r="D94" s="142"/>
      <c r="E94" s="142">
        <v>13.38</v>
      </c>
      <c r="F94" s="142">
        <v>7.4</v>
      </c>
      <c r="G94" s="142">
        <v>1390</v>
      </c>
      <c r="H94" s="142"/>
      <c r="I94" s="142"/>
      <c r="J94" s="2">
        <f t="shared" si="93"/>
        <v>99.012000000000015</v>
      </c>
      <c r="K94" s="1">
        <f t="shared" si="81"/>
        <v>109</v>
      </c>
      <c r="L94" s="1">
        <f t="shared" si="82"/>
        <v>4.6913478822291435</v>
      </c>
      <c r="M94" s="3">
        <f t="shared" si="83"/>
        <v>719.42446043165478</v>
      </c>
      <c r="N94" s="3" t="e">
        <f t="shared" si="84"/>
        <v>#DIV/0!</v>
      </c>
      <c r="O94" s="3">
        <f t="shared" si="85"/>
        <v>43165.467625899284</v>
      </c>
      <c r="P94" s="3" t="e">
        <f t="shared" si="86"/>
        <v>#DIV/0!</v>
      </c>
      <c r="Q94" s="3">
        <f t="shared" si="87"/>
        <v>93.675059952038382</v>
      </c>
      <c r="R94" s="3" t="e">
        <f t="shared" si="88"/>
        <v>#DIV/0!</v>
      </c>
      <c r="S94" s="3">
        <f t="shared" si="89"/>
        <v>109</v>
      </c>
      <c r="T94" s="4">
        <f t="shared" si="90"/>
        <v>99.012000000000015</v>
      </c>
      <c r="U94">
        <f t="shared" si="94"/>
        <v>0.13277727026400002</v>
      </c>
      <c r="V94" s="127">
        <f t="shared" si="91"/>
        <v>1.6155187509381233E-2</v>
      </c>
      <c r="W94">
        <f t="shared" si="92"/>
        <v>-1.8713092198366594E-7</v>
      </c>
    </row>
    <row r="95" spans="2:23" ht="15" thickBot="1" x14ac:dyDescent="0.35">
      <c r="B95" s="116">
        <f t="shared" si="95"/>
        <v>1.7222222222222223</v>
      </c>
      <c r="C95" s="142">
        <v>130</v>
      </c>
      <c r="D95" s="142"/>
      <c r="E95" s="142">
        <v>13.29</v>
      </c>
      <c r="F95" s="142">
        <v>8.9</v>
      </c>
      <c r="G95" s="142">
        <v>1350</v>
      </c>
      <c r="H95" s="142"/>
      <c r="I95" s="142"/>
      <c r="J95" s="2">
        <f t="shared" si="93"/>
        <v>118.28099999999999</v>
      </c>
      <c r="K95" s="1">
        <f t="shared" si="81"/>
        <v>130</v>
      </c>
      <c r="L95" s="1">
        <f t="shared" si="82"/>
        <v>4.8675344504555822</v>
      </c>
      <c r="M95" s="3">
        <f t="shared" si="83"/>
        <v>740.74074074074076</v>
      </c>
      <c r="N95" s="3" t="e">
        <f t="shared" si="84"/>
        <v>#DIV/0!</v>
      </c>
      <c r="O95" s="3">
        <f t="shared" si="85"/>
        <v>44444.444444444445</v>
      </c>
      <c r="P95" s="3" t="e">
        <f t="shared" si="86"/>
        <v>#DIV/0!</v>
      </c>
      <c r="Q95" s="3">
        <f t="shared" si="87"/>
        <v>96.450617283950621</v>
      </c>
      <c r="R95" s="3" t="e">
        <f t="shared" si="88"/>
        <v>#DIV/0!</v>
      </c>
      <c r="S95" s="3">
        <f t="shared" si="89"/>
        <v>130</v>
      </c>
      <c r="T95" s="4">
        <f t="shared" si="90"/>
        <v>118.28099999999999</v>
      </c>
      <c r="U95">
        <f t="shared" si="94"/>
        <v>0.15861742318200001</v>
      </c>
      <c r="V95" s="127">
        <f t="shared" si="91"/>
        <v>1.8743820897416941E-2</v>
      </c>
      <c r="W95">
        <f t="shared" si="92"/>
        <v>-2.1086798509594057E-7</v>
      </c>
    </row>
    <row r="96" spans="2:23" x14ac:dyDescent="0.3">
      <c r="B96" s="144">
        <f t="shared" si="95"/>
        <v>1.8444444444444446</v>
      </c>
      <c r="C96" s="142">
        <v>152</v>
      </c>
      <c r="D96" s="142"/>
      <c r="E96" s="142">
        <v>13.1</v>
      </c>
      <c r="F96" s="142">
        <v>11.64</v>
      </c>
      <c r="G96" s="142">
        <v>1280</v>
      </c>
      <c r="H96" s="142"/>
      <c r="I96" s="142"/>
      <c r="J96" s="1">
        <f t="shared" si="93"/>
        <v>152.48400000000001</v>
      </c>
      <c r="K96" s="1">
        <f t="shared" si="81"/>
        <v>152</v>
      </c>
      <c r="L96" s="1">
        <f t="shared" si="82"/>
        <v>5.0238805208462765</v>
      </c>
      <c r="M96" s="1">
        <f t="shared" si="83"/>
        <v>781.25000000000011</v>
      </c>
      <c r="O96" s="1">
        <f t="shared" si="85"/>
        <v>46875.000000000007</v>
      </c>
      <c r="Q96" s="1">
        <f t="shared" si="87"/>
        <v>101.72526041666667</v>
      </c>
      <c r="S96" s="1">
        <f t="shared" si="89"/>
        <v>152</v>
      </c>
      <c r="T96" s="4">
        <f t="shared" si="90"/>
        <v>152.48400000000001</v>
      </c>
      <c r="U96">
        <f t="shared" si="94"/>
        <v>0.20448439864800003</v>
      </c>
      <c r="V96" s="127">
        <f t="shared" si="91"/>
        <v>2.2910977316251649E-2</v>
      </c>
      <c r="W96">
        <f t="shared" si="92"/>
        <v>-2.4438375804001754E-7</v>
      </c>
    </row>
    <row r="97" spans="2:23" x14ac:dyDescent="0.3">
      <c r="B97" s="144">
        <f t="shared" si="95"/>
        <v>1.911111111111111</v>
      </c>
      <c r="C97" s="142">
        <v>164</v>
      </c>
      <c r="D97" s="142"/>
      <c r="E97" s="142">
        <v>12.93</v>
      </c>
      <c r="F97" s="142">
        <v>14.16</v>
      </c>
      <c r="G97" s="142">
        <v>1236</v>
      </c>
      <c r="H97" s="142"/>
      <c r="I97" s="142"/>
      <c r="J97" s="1">
        <f t="shared" si="93"/>
        <v>183.08879999999999</v>
      </c>
      <c r="K97" s="1">
        <f t="shared" si="81"/>
        <v>164</v>
      </c>
      <c r="L97" s="1">
        <f t="shared" si="82"/>
        <v>5.0998664278241987</v>
      </c>
      <c r="M97" s="1">
        <f t="shared" si="83"/>
        <v>809.06148867313925</v>
      </c>
      <c r="O97" s="1">
        <f t="shared" si="85"/>
        <v>48543.689320388352</v>
      </c>
      <c r="Q97" s="1">
        <f t="shared" si="87"/>
        <v>105.346548004315</v>
      </c>
      <c r="S97" s="1">
        <f t="shared" si="89"/>
        <v>164</v>
      </c>
      <c r="T97" s="4">
        <f t="shared" si="90"/>
        <v>183.08879999999999</v>
      </c>
      <c r="U97">
        <f t="shared" si="94"/>
        <v>0.24552610875360001</v>
      </c>
      <c r="V97" s="127">
        <f t="shared" si="91"/>
        <v>2.6563764337382487E-2</v>
      </c>
      <c r="W97">
        <f t="shared" si="92"/>
        <v>-2.7360677267503959E-7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X1" workbookViewId="0">
      <pane ySplit="1" topLeftCell="A2" activePane="bottomLeft" state="frozen"/>
      <selection pane="bottomLeft" activeCell="AP9" sqref="AP9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79</v>
      </c>
      <c r="M1" s="4" t="s">
        <v>36</v>
      </c>
      <c r="N1" s="4" t="s">
        <v>35</v>
      </c>
      <c r="O1" s="4" t="s">
        <v>37</v>
      </c>
      <c r="P1" s="4" t="s">
        <v>7</v>
      </c>
      <c r="Q1" s="4" t="s">
        <v>38</v>
      </c>
      <c r="R1" s="4" t="s">
        <v>73</v>
      </c>
      <c r="S1" s="4" t="s">
        <v>10</v>
      </c>
      <c r="T1" s="4" t="str">
        <f t="shared" ref="T1:T14" si="0">J1</f>
        <v>Charger Pwr, W</v>
      </c>
      <c r="U1" s="4" t="s">
        <v>58</v>
      </c>
      <c r="V1" s="4" t="s">
        <v>59</v>
      </c>
      <c r="W1" s="4" t="s">
        <v>60</v>
      </c>
      <c r="X1" s="4" t="s">
        <v>99</v>
      </c>
      <c r="Y1" s="4" t="s">
        <v>62</v>
      </c>
      <c r="Z1" s="4" t="s">
        <v>63</v>
      </c>
      <c r="AA1" s="4" t="s">
        <v>64</v>
      </c>
      <c r="AB1" s="4"/>
      <c r="AF1" s="4" t="s">
        <v>87</v>
      </c>
      <c r="AG1" s="4" t="s">
        <v>83</v>
      </c>
      <c r="AH1" s="4" t="s">
        <v>88</v>
      </c>
      <c r="AI1" s="4" t="s">
        <v>84</v>
      </c>
      <c r="AJ1" s="4" t="s">
        <v>85</v>
      </c>
      <c r="AK1" s="4" t="s">
        <v>82</v>
      </c>
      <c r="AL1" s="4" t="s">
        <v>81</v>
      </c>
      <c r="AM1" s="4" t="s">
        <v>109</v>
      </c>
      <c r="AN1" s="4" t="s">
        <v>114</v>
      </c>
      <c r="AO1" s="4" t="s">
        <v>107</v>
      </c>
      <c r="AP1" s="4" t="s">
        <v>106</v>
      </c>
      <c r="AQ1" s="4" t="s">
        <v>103</v>
      </c>
      <c r="AR1" s="4" t="s">
        <v>115</v>
      </c>
      <c r="AS1" s="4" t="s">
        <v>108</v>
      </c>
      <c r="AT1" s="4" t="s">
        <v>110</v>
      </c>
      <c r="AU1" s="4" t="s">
        <v>111</v>
      </c>
      <c r="AV1" s="4" t="s">
        <v>104</v>
      </c>
      <c r="AW1" s="4" t="s">
        <v>105</v>
      </c>
    </row>
    <row r="2" spans="1:49" x14ac:dyDescent="0.3">
      <c r="B2" s="113">
        <f t="shared" ref="B2" si="1"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2">C2</f>
        <v>1E-3</v>
      </c>
      <c r="L2" s="1">
        <f t="shared" ref="L2:L3" si="3">LN(K2)</f>
        <v>-6.9077552789821368</v>
      </c>
      <c r="M2" s="3"/>
      <c r="N2" s="4"/>
      <c r="O2" s="4">
        <v>0</v>
      </c>
      <c r="P2" s="4">
        <v>0</v>
      </c>
      <c r="Q2" s="3">
        <f t="shared" ref="Q2:Q14" si="4">O2/$W$40*100</f>
        <v>0</v>
      </c>
      <c r="R2" s="3">
        <f t="shared" ref="R2:R14" si="5">P2/$W$40*100</f>
        <v>0</v>
      </c>
      <c r="S2" s="3">
        <f t="shared" ref="S2:S14" si="6">K2</f>
        <v>1E-3</v>
      </c>
      <c r="T2" s="4">
        <f t="shared" si="0"/>
        <v>0</v>
      </c>
      <c r="U2">
        <f t="shared" ref="U2:U3" si="7">T2*0.001341022</f>
        <v>0</v>
      </c>
      <c r="X2" s="4"/>
      <c r="Y2" s="4"/>
      <c r="Z2" s="4"/>
      <c r="AA2" s="4"/>
      <c r="AB2" s="97"/>
      <c r="AF2" s="95">
        <f t="shared" ref="AF2:AF8" si="8">C2/$AD$32*$AD$27</f>
        <v>2.7777777777777779E-5</v>
      </c>
      <c r="AG2" s="95">
        <f t="shared" ref="AG2:AG14" si="9">AF2/$AD$27*$AD$32</f>
        <v>1E-3</v>
      </c>
      <c r="AH2" s="96">
        <f t="shared" ref="AH2:AH14" si="10">MAX(($AD$35+$AE$35*LN($AG2)),0)</f>
        <v>0</v>
      </c>
      <c r="AI2" s="96">
        <f>MAX(($AD$35+$AE$35*LN($AG2))/$AD$31,0)</f>
        <v>0</v>
      </c>
      <c r="AJ2" s="96">
        <f t="shared" ref="AJ2:AJ14" si="11">($AD$36+$AE$36*AI2*$AD$31)/$AD$31</f>
        <v>-22.202069774198112</v>
      </c>
      <c r="AK2" s="96">
        <f t="shared" ref="AK2:AK14" si="12">($AD$37+$AE$37*AJ2*$AD$31)/$AD$31</f>
        <v>0.53820371820708912</v>
      </c>
      <c r="AM2">
        <f t="shared" ref="AM2:AM5" si="13"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 t="shared" si="3"/>
        <v>1.9962638832512341</v>
      </c>
      <c r="M3" s="3"/>
      <c r="N3" s="4"/>
      <c r="O3" s="4">
        <v>0</v>
      </c>
      <c r="P3" s="4">
        <v>0</v>
      </c>
      <c r="Q3" s="3">
        <f t="shared" si="4"/>
        <v>0</v>
      </c>
      <c r="R3" s="3">
        <f t="shared" si="5"/>
        <v>0</v>
      </c>
      <c r="S3" s="3">
        <f t="shared" si="6"/>
        <v>7.361501228839896</v>
      </c>
      <c r="T3" s="4">
        <f t="shared" si="0"/>
        <v>0</v>
      </c>
      <c r="U3">
        <f t="shared" si="7"/>
        <v>0</v>
      </c>
      <c r="X3" s="4"/>
      <c r="Y3" s="4"/>
      <c r="Z3" s="4"/>
      <c r="AA3" s="4"/>
      <c r="AB3" s="97"/>
      <c r="AF3" s="95">
        <f t="shared" si="8"/>
        <v>0.20448614524555267</v>
      </c>
      <c r="AG3" s="95">
        <f t="shared" si="9"/>
        <v>7.361501228839896</v>
      </c>
      <c r="AH3" s="96">
        <f t="shared" si="10"/>
        <v>0</v>
      </c>
      <c r="AI3" s="96">
        <f t="shared" ref="AI3:AI14" si="14">MAX(($AD$35+$AE$35*LN(AG3))/$AD$31,0)</f>
        <v>0</v>
      </c>
      <c r="AJ3" s="96">
        <f t="shared" si="11"/>
        <v>-22.202069774198112</v>
      </c>
      <c r="AK3" s="96">
        <f t="shared" si="12"/>
        <v>0.53820371820708912</v>
      </c>
      <c r="AM3">
        <f t="shared" si="13"/>
        <v>0</v>
      </c>
      <c r="AN3" s="127">
        <f t="shared" ref="AN3:AN14" si="15">MAX($AD$39+$AH3*($AE$39+$AH3*$AF$39), 0)</f>
        <v>0</v>
      </c>
      <c r="AO3" s="127"/>
      <c r="AP3" t="e">
        <f>AO3/AH3*2</f>
        <v>#DIV/0!</v>
      </c>
      <c r="AR3" s="127">
        <f t="shared" ref="AR3:AR14" si="16">MAX($AD$39+$AM3*($AE$39+$AM3*$AF$39), 0)</f>
        <v>0</v>
      </c>
      <c r="AS3" s="127">
        <f t="shared" ref="AS3:AS14" si="17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2"/>
        <v>8</v>
      </c>
      <c r="L4" s="1">
        <f>LN(K4)</f>
        <v>2.0794415416798357</v>
      </c>
      <c r="M4" s="3">
        <f t="shared" ref="M4:N13" si="18">1/G4/0.000001</f>
        <v>149.25373134328359</v>
      </c>
      <c r="N4" s="3">
        <f t="shared" si="18"/>
        <v>0.01</v>
      </c>
      <c r="O4" s="3">
        <f t="shared" ref="O4:O13" si="19">M4*60/$W$27</f>
        <v>8955.2238805970155</v>
      </c>
      <c r="P4" s="3">
        <f t="shared" ref="P4:P13" si="20">N4*60/$W$27</f>
        <v>0.6</v>
      </c>
      <c r="Q4" s="3">
        <f t="shared" si="4"/>
        <v>19.434079601990049</v>
      </c>
      <c r="R4" s="3">
        <f t="shared" si="5"/>
        <v>1.3020833333333333E-3</v>
      </c>
      <c r="S4" s="3">
        <f t="shared" si="6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21">U4/O4*5252</f>
        <v>4.6669345940807206E-3</v>
      </c>
      <c r="W4">
        <f t="shared" ref="W4:W13" si="22">-V4/2/O4</f>
        <v>-2.6057051483617353E-7</v>
      </c>
      <c r="X4" s="4"/>
      <c r="Y4" s="4"/>
      <c r="Z4" s="4"/>
      <c r="AA4" s="4"/>
      <c r="AB4" s="97"/>
      <c r="AF4" s="95">
        <f t="shared" si="8"/>
        <v>0.22222222222222224</v>
      </c>
      <c r="AG4" s="95">
        <f t="shared" si="9"/>
        <v>8</v>
      </c>
      <c r="AH4" s="96">
        <f t="shared" si="10"/>
        <v>1180.2918436956534</v>
      </c>
      <c r="AI4" s="96">
        <f t="shared" si="14"/>
        <v>2.5613972302423034</v>
      </c>
      <c r="AJ4" s="96">
        <f t="shared" si="11"/>
        <v>-19.579847910331843</v>
      </c>
      <c r="AK4" s="96">
        <f t="shared" si="12"/>
        <v>3.0771780157392215</v>
      </c>
      <c r="AM4">
        <f t="shared" si="13"/>
        <v>0</v>
      </c>
      <c r="AN4" s="127">
        <f t="shared" si="15"/>
        <v>0</v>
      </c>
      <c r="AO4" s="127">
        <f t="shared" ref="AO4:AO7" si="23">AN4/AH4*5252</f>
        <v>0</v>
      </c>
      <c r="AP4">
        <f>AO4/AH4*2</f>
        <v>0</v>
      </c>
      <c r="AQ4" s="95"/>
      <c r="AR4" s="127">
        <f t="shared" si="16"/>
        <v>0</v>
      </c>
      <c r="AS4" s="127">
        <f t="shared" si="17"/>
        <v>0</v>
      </c>
      <c r="AU4" s="95"/>
      <c r="AV4" s="128">
        <f>$W$31/$W$30</f>
        <v>1.0526315789473683E-4</v>
      </c>
      <c r="AW4" t="e">
        <f t="shared" ref="AW4:AW14" si="24">$W$33/$W$30/$W$28/AP4</f>
        <v>#DIV/0!</v>
      </c>
    </row>
    <row r="5" spans="1:49" ht="15" customHeight="1" x14ac:dyDescent="0.3">
      <c r="B5" s="113">
        <f t="shared" ref="B5:B24" si="25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2"/>
        <v>13</v>
      </c>
      <c r="L5" s="1">
        <f t="shared" ref="L5:L14" si="26">LN(K5)</f>
        <v>2.5649493574615367</v>
      </c>
      <c r="M5" s="3">
        <f t="shared" si="18"/>
        <v>216.45021645021646</v>
      </c>
      <c r="N5" s="3">
        <f t="shared" si="18"/>
        <v>0.01</v>
      </c>
      <c r="O5" s="3">
        <f t="shared" si="19"/>
        <v>12987.012987012988</v>
      </c>
      <c r="P5" s="3">
        <f t="shared" si="20"/>
        <v>0.6</v>
      </c>
      <c r="Q5" s="3">
        <f t="shared" si="4"/>
        <v>28.183621933621932</v>
      </c>
      <c r="R5" s="3">
        <f t="shared" si="5"/>
        <v>1.3020833333333333E-3</v>
      </c>
      <c r="S5" s="3">
        <f t="shared" si="6"/>
        <v>13</v>
      </c>
      <c r="T5" s="4">
        <f t="shared" si="0"/>
        <v>7.3968000000000007</v>
      </c>
      <c r="U5">
        <f>T5*0.001341022</f>
        <v>9.9192715296000013E-3</v>
      </c>
      <c r="V5" s="127">
        <f t="shared" si="21"/>
        <v>4.011393083656359E-3</v>
      </c>
      <c r="W5">
        <f t="shared" si="22"/>
        <v>-1.5443863372076981E-7</v>
      </c>
      <c r="AB5" s="97"/>
      <c r="AF5" s="95">
        <f t="shared" si="8"/>
        <v>0.36111111111111105</v>
      </c>
      <c r="AG5" s="95">
        <f t="shared" si="9"/>
        <v>12.999999999999998</v>
      </c>
      <c r="AH5" s="96">
        <f t="shared" si="10"/>
        <v>8069.6528312921109</v>
      </c>
      <c r="AI5" s="96">
        <f t="shared" si="14"/>
        <v>17.512267429019339</v>
      </c>
      <c r="AJ5" s="96">
        <f t="shared" si="11"/>
        <v>-4.2739444541345701</v>
      </c>
      <c r="AK5" s="96">
        <f t="shared" si="12"/>
        <v>17.897165603858483</v>
      </c>
      <c r="AM5">
        <f t="shared" si="13"/>
        <v>0</v>
      </c>
      <c r="AN5" s="127">
        <f t="shared" si="15"/>
        <v>0</v>
      </c>
      <c r="AO5" s="127">
        <f t="shared" si="23"/>
        <v>0</v>
      </c>
      <c r="AP5">
        <f t="shared" ref="AP5:AP14" si="27">AO5/AH5*2</f>
        <v>0</v>
      </c>
      <c r="AQ5" s="95"/>
      <c r="AR5" s="127">
        <f t="shared" si="16"/>
        <v>0</v>
      </c>
      <c r="AS5" s="127">
        <f t="shared" si="17"/>
        <v>0</v>
      </c>
      <c r="AU5" s="95"/>
      <c r="AV5" s="128">
        <f t="shared" ref="AV5:AV14" si="28">$W$31/$W$30</f>
        <v>1.0526315789473683E-4</v>
      </c>
      <c r="AW5" t="e">
        <f t="shared" si="24"/>
        <v>#DIV/0!</v>
      </c>
    </row>
    <row r="6" spans="1:49" ht="15" customHeight="1" x14ac:dyDescent="0.3">
      <c r="B6" s="113">
        <f t="shared" si="25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 t="shared" ref="K6" si="29">C6</f>
        <v>25</v>
      </c>
      <c r="L6" s="1">
        <f t="shared" ref="L6" si="30">LN(K6)</f>
        <v>3.2188758248682006</v>
      </c>
      <c r="M6" s="3">
        <f t="shared" ref="M6" si="31">1/G6/0.000001</f>
        <v>306.74846625766872</v>
      </c>
      <c r="N6" s="3">
        <f t="shared" ref="N6" si="32">1/H6/0.000001</f>
        <v>156.00624024960999</v>
      </c>
      <c r="O6" s="3">
        <f t="shared" si="19"/>
        <v>18404.907975460123</v>
      </c>
      <c r="P6" s="3">
        <f t="shared" si="20"/>
        <v>9360.3744149765989</v>
      </c>
      <c r="Q6" s="3">
        <f t="shared" si="4"/>
        <v>39.941206543967276</v>
      </c>
      <c r="R6" s="3">
        <f t="shared" si="5"/>
        <v>20.3133125325013</v>
      </c>
      <c r="S6" s="3">
        <f t="shared" si="6"/>
        <v>25</v>
      </c>
      <c r="T6" s="4">
        <f t="shared" si="0"/>
        <v>20.3796</v>
      </c>
      <c r="U6">
        <f>T6*0.001341022</f>
        <v>2.7329491951200002E-2</v>
      </c>
      <c r="V6" s="127">
        <f t="shared" si="21"/>
        <v>7.7987073838718312E-3</v>
      </c>
      <c r="W6">
        <f t="shared" si="22"/>
        <v>-2.118648839285181E-7</v>
      </c>
      <c r="AB6" s="97"/>
      <c r="AF6" s="95">
        <f t="shared" si="8"/>
        <v>0.69444444444444442</v>
      </c>
      <c r="AG6" s="95">
        <f t="shared" si="9"/>
        <v>25</v>
      </c>
      <c r="AH6" s="96">
        <f t="shared" si="10"/>
        <v>17348.876248230645</v>
      </c>
      <c r="AI6" s="96">
        <f t="shared" si="14"/>
        <v>37.649471024806083</v>
      </c>
      <c r="AJ6" s="96">
        <f t="shared" si="11"/>
        <v>16.341450503953713</v>
      </c>
      <c r="AK6" s="96">
        <f t="shared" si="12"/>
        <v>37.858084492272184</v>
      </c>
      <c r="AM6">
        <f>MAX($AD$36+$AE$36*AH6, 0)</f>
        <v>7530.1403922218742</v>
      </c>
      <c r="AN6" s="127">
        <f t="shared" si="15"/>
        <v>1.4843385324309564E-2</v>
      </c>
      <c r="AO6" s="127">
        <f t="shared" si="23"/>
        <v>4.4935163873351426E-3</v>
      </c>
      <c r="AP6">
        <f t="shared" si="27"/>
        <v>5.1801814976845215E-7</v>
      </c>
      <c r="AQ6" s="95">
        <f t="shared" ref="AQ6:AQ13" si="33">$W$34/AP6</f>
        <v>8.6869543123372139E-2</v>
      </c>
      <c r="AR6" s="127">
        <f t="shared" si="16"/>
        <v>0</v>
      </c>
      <c r="AS6" s="127">
        <f t="shared" si="17"/>
        <v>0</v>
      </c>
      <c r="AT6">
        <f t="shared" ref="AT6:AT8" si="34">AS6/AM6*2</f>
        <v>0</v>
      </c>
      <c r="AU6" s="95"/>
      <c r="AV6" s="128">
        <f t="shared" si="28"/>
        <v>1.0526315789473683E-4</v>
      </c>
      <c r="AW6">
        <f t="shared" si="24"/>
        <v>140.36831132451306</v>
      </c>
    </row>
    <row r="7" spans="1:49" ht="13.95" customHeight="1" x14ac:dyDescent="0.3">
      <c r="B7" s="113">
        <f t="shared" si="25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35">E7*F7</f>
        <v>29.981099999999998</v>
      </c>
      <c r="K7" s="1">
        <f t="shared" si="2"/>
        <v>35</v>
      </c>
      <c r="L7" s="1">
        <f t="shared" si="26"/>
        <v>3.5553480614894135</v>
      </c>
      <c r="M7" s="3">
        <f t="shared" si="18"/>
        <v>373.13432835820896</v>
      </c>
      <c r="N7" s="3">
        <f t="shared" si="18"/>
        <v>220.65313327449252</v>
      </c>
      <c r="O7" s="3">
        <f t="shared" si="19"/>
        <v>22388.059701492537</v>
      </c>
      <c r="P7" s="3">
        <f t="shared" si="20"/>
        <v>13239.187996469551</v>
      </c>
      <c r="Q7" s="3">
        <f t="shared" si="4"/>
        <v>48.585199004975124</v>
      </c>
      <c r="R7" s="3">
        <f t="shared" si="5"/>
        <v>28.730876728449545</v>
      </c>
      <c r="S7" s="3">
        <f t="shared" si="6"/>
        <v>35</v>
      </c>
      <c r="T7" s="4">
        <f t="shared" si="0"/>
        <v>29.981099999999998</v>
      </c>
      <c r="U7">
        <f t="shared" ref="U7:U13" si="36">T7*0.001341022</f>
        <v>4.0205314684200001E-2</v>
      </c>
      <c r="V7" s="127">
        <f t="shared" si="21"/>
        <v>9.4317379682233565E-3</v>
      </c>
      <c r="W7">
        <f t="shared" si="22"/>
        <v>-2.106421479569883E-7</v>
      </c>
      <c r="X7">
        <v>0.18</v>
      </c>
      <c r="Y7">
        <f t="shared" ref="Y7:Y12" si="37">-X7*W7</f>
        <v>3.7915586632257891E-8</v>
      </c>
      <c r="Z7">
        <f t="shared" ref="Z7:Z12" si="38">Y7/6.66*2048.5</f>
        <v>1.1662174056483527E-5</v>
      </c>
      <c r="AA7">
        <f t="shared" ref="AA7:AA12" si="39">Z7*144</f>
        <v>1.6793530641336278E-3</v>
      </c>
      <c r="AB7" s="97"/>
      <c r="AF7" s="95">
        <f t="shared" si="8"/>
        <v>0.97222222222222221</v>
      </c>
      <c r="AG7" s="95">
        <f t="shared" si="9"/>
        <v>35</v>
      </c>
      <c r="AH7" s="96">
        <f t="shared" si="10"/>
        <v>22123.420807632323</v>
      </c>
      <c r="AI7" s="96">
        <f t="shared" si="14"/>
        <v>48.010895849896535</v>
      </c>
      <c r="AJ7" s="96">
        <f t="shared" si="11"/>
        <v>26.948924579573251</v>
      </c>
      <c r="AK7" s="96">
        <f t="shared" si="12"/>
        <v>48.128803538153008</v>
      </c>
      <c r="AM7">
        <f t="shared" ref="AM7:AM14" si="40">MAX($AD$36+$AE$36*AH7, 0)</f>
        <v>12418.064446267355</v>
      </c>
      <c r="AN7" s="127">
        <f t="shared" si="15"/>
        <v>3.8056725878256127E-2</v>
      </c>
      <c r="AO7" s="127">
        <f t="shared" si="23"/>
        <v>9.0344945318604156E-3</v>
      </c>
      <c r="AP7">
        <f t="shared" si="27"/>
        <v>8.1673576707844562E-7</v>
      </c>
      <c r="AQ7" s="95">
        <f t="shared" si="33"/>
        <v>5.5097378875630716E-2</v>
      </c>
      <c r="AR7" s="127">
        <f t="shared" si="16"/>
        <v>0</v>
      </c>
      <c r="AS7" s="127">
        <f t="shared" si="17"/>
        <v>0</v>
      </c>
      <c r="AT7">
        <f t="shared" si="34"/>
        <v>0</v>
      </c>
      <c r="AU7" s="95"/>
      <c r="AV7" s="128">
        <f t="shared" si="28"/>
        <v>1.0526315789473683E-4</v>
      </c>
      <c r="AW7">
        <f t="shared" si="24"/>
        <v>89.02920118038908</v>
      </c>
    </row>
    <row r="8" spans="1:49" ht="13.95" customHeight="1" x14ac:dyDescent="0.3">
      <c r="B8" s="113">
        <f t="shared" ref="B8:B9" si="41"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 t="shared" ref="J8:J9" si="42">E8*F8</f>
        <v>53.526600000000002</v>
      </c>
      <c r="K8" s="1">
        <f t="shared" ref="K8:K9" si="43">C8</f>
        <v>54</v>
      </c>
      <c r="L8" s="1">
        <f t="shared" ref="L8:L9" si="44">LN(K8)</f>
        <v>3.9889840465642745</v>
      </c>
      <c r="M8" s="3">
        <f t="shared" ref="M8:M9" si="45">1/G8/0.000001</f>
        <v>465.11627906976747</v>
      </c>
      <c r="N8" s="3">
        <f t="shared" ref="N8:N9" si="46">1/H8/0.000001</f>
        <v>314.46540880503147</v>
      </c>
      <c r="O8" s="3">
        <f t="shared" si="19"/>
        <v>27906.976744186049</v>
      </c>
      <c r="P8" s="3">
        <f t="shared" si="20"/>
        <v>18867.92452830189</v>
      </c>
      <c r="Q8" s="3">
        <f t="shared" si="4"/>
        <v>60.562015503875976</v>
      </c>
      <c r="R8" s="3">
        <f t="shared" si="5"/>
        <v>40.946016771488473</v>
      </c>
      <c r="S8" s="3">
        <f t="shared" si="6"/>
        <v>54</v>
      </c>
      <c r="T8" s="4">
        <f t="shared" si="0"/>
        <v>53.526600000000002</v>
      </c>
      <c r="U8">
        <f t="shared" ref="U8:U9" si="47">T8*0.001341022</f>
        <v>7.1780348185200002E-2</v>
      </c>
      <c r="V8" s="127">
        <f t="shared" si="21"/>
        <v>1.3508822260627353E-2</v>
      </c>
      <c r="W8">
        <f t="shared" si="22"/>
        <v>-2.4203306550290671E-7</v>
      </c>
      <c r="X8">
        <v>0.18</v>
      </c>
      <c r="Y8">
        <f t="shared" ref="Y8:Y9" si="48">-X8*W8</f>
        <v>4.3565951790523206E-8</v>
      </c>
      <c r="Z8">
        <f t="shared" ref="Z8:Z9" si="49">Y8/6.66*2048.5</f>
        <v>1.3400127964397415E-5</v>
      </c>
      <c r="AA8">
        <f t="shared" ref="AA8:AA9" si="50">Z8*144</f>
        <v>1.9296184268732279E-3</v>
      </c>
      <c r="AB8" s="97"/>
      <c r="AF8" s="95">
        <f t="shared" si="8"/>
        <v>1.5</v>
      </c>
      <c r="AG8" s="95">
        <f t="shared" si="9"/>
        <v>54</v>
      </c>
      <c r="AH8" s="96">
        <f t="shared" si="10"/>
        <v>28276.719974572956</v>
      </c>
      <c r="AI8" s="96">
        <f t="shared" si="14"/>
        <v>61.364409667042004</v>
      </c>
      <c r="AJ8" s="96">
        <f t="shared" si="11"/>
        <v>40.619539772456378</v>
      </c>
      <c r="AK8" s="96">
        <f t="shared" si="12"/>
        <v>61.365418290119948</v>
      </c>
      <c r="AM8">
        <f t="shared" si="40"/>
        <v>18717.4839271479</v>
      </c>
      <c r="AN8" s="127">
        <f t="shared" si="15"/>
        <v>8.0150286593492603E-2</v>
      </c>
      <c r="AO8" s="127">
        <f>AN8/AH8*5252</f>
        <v>1.488677985167834E-2</v>
      </c>
      <c r="AP8">
        <f t="shared" si="27"/>
        <v>1.0529354087082843E-6</v>
      </c>
      <c r="AQ8" s="95">
        <f t="shared" si="33"/>
        <v>4.2737664274397333E-2</v>
      </c>
      <c r="AR8" s="127">
        <f t="shared" si="16"/>
        <v>2.0653285932688642E-2</v>
      </c>
      <c r="AS8" s="127">
        <f t="shared" si="17"/>
        <v>5.7951730126052873E-3</v>
      </c>
      <c r="AT8">
        <f t="shared" si="34"/>
        <v>6.1922564327141741E-7</v>
      </c>
      <c r="AU8" s="95">
        <f t="shared" ref="AU8:AU13" si="51">$W$34/AT8</f>
        <v>7.2671409023472425E-2</v>
      </c>
      <c r="AV8" s="128">
        <f t="shared" si="28"/>
        <v>1.0526315789473683E-4</v>
      </c>
      <c r="AW8">
        <f t="shared" si="24"/>
        <v>69.057733567578751</v>
      </c>
    </row>
    <row r="9" spans="1:49" ht="13.95" customHeight="1" x14ac:dyDescent="0.3">
      <c r="B9" s="113">
        <f t="shared" si="41"/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 t="shared" si="42"/>
        <v>62.419400000000003</v>
      </c>
      <c r="K9" s="1">
        <f t="shared" si="43"/>
        <v>64</v>
      </c>
      <c r="L9" s="1">
        <f t="shared" si="44"/>
        <v>4.1588830833596715</v>
      </c>
      <c r="M9" s="3">
        <f t="shared" si="45"/>
        <v>495.04950495049508</v>
      </c>
      <c r="N9" s="3">
        <f t="shared" si="46"/>
        <v>350.87719298245611</v>
      </c>
      <c r="O9" s="3">
        <f t="shared" si="19"/>
        <v>29702.970297029704</v>
      </c>
      <c r="P9" s="3">
        <f t="shared" si="20"/>
        <v>21052.631578947367</v>
      </c>
      <c r="Q9" s="3">
        <f t="shared" si="4"/>
        <v>64.459570957095707</v>
      </c>
      <c r="R9" s="3">
        <f t="shared" si="5"/>
        <v>45.687134502923968</v>
      </c>
      <c r="S9" s="3">
        <f t="shared" si="6"/>
        <v>64</v>
      </c>
      <c r="T9" s="4">
        <f t="shared" si="0"/>
        <v>62.419400000000003</v>
      </c>
      <c r="U9">
        <f t="shared" si="47"/>
        <v>8.3705788626800004E-2</v>
      </c>
      <c r="V9" s="127">
        <f t="shared" si="21"/>
        <v>1.4800634329554439E-2</v>
      </c>
      <c r="W9">
        <f t="shared" si="22"/>
        <v>-2.4914401121416636E-7</v>
      </c>
      <c r="X9">
        <v>0.18</v>
      </c>
      <c r="Y9">
        <f t="shared" si="48"/>
        <v>4.484592201854994E-8</v>
      </c>
      <c r="Z9">
        <f t="shared" si="49"/>
        <v>1.3793824512762695E-5</v>
      </c>
      <c r="AA9">
        <f t="shared" si="50"/>
        <v>1.986310729837828E-3</v>
      </c>
      <c r="AB9" s="97"/>
      <c r="AF9" s="95"/>
      <c r="AG9" s="134">
        <v>70.201599999999999</v>
      </c>
      <c r="AH9" s="135">
        <f t="shared" si="10"/>
        <v>31999.995048805355</v>
      </c>
      <c r="AI9" s="135">
        <f t="shared" si="14"/>
        <v>69.444433699664401</v>
      </c>
      <c r="AJ9" s="135">
        <f t="shared" si="11"/>
        <v>48.891437402681838</v>
      </c>
      <c r="AK9" s="135">
        <f t="shared" si="12"/>
        <v>69.374708336993905</v>
      </c>
      <c r="AL9" s="136"/>
      <c r="AM9" s="136">
        <f t="shared" si="40"/>
        <v>22529.174355155788</v>
      </c>
      <c r="AN9" s="137">
        <f t="shared" si="15"/>
        <v>0.11227974297099894</v>
      </c>
      <c r="AO9" s="137">
        <f t="shared" ref="AO9:AO14" si="52">AN9/AH9*5252</f>
        <v>1.8427915666371371E-2</v>
      </c>
      <c r="AP9" s="136">
        <f t="shared" si="27"/>
        <v>1.1517449073517487E-6</v>
      </c>
      <c r="AQ9" s="134">
        <f t="shared" si="33"/>
        <v>3.9071151704477884E-2</v>
      </c>
      <c r="AR9" s="137">
        <f t="shared" si="16"/>
        <v>4.0410093517432376E-2</v>
      </c>
      <c r="AS9" s="137">
        <f t="shared" si="17"/>
        <v>9.4203989816868394E-3</v>
      </c>
      <c r="AT9" s="136">
        <f>AS9/AM9*2</f>
        <v>8.3628444018242383E-7</v>
      </c>
      <c r="AU9" s="134">
        <f t="shared" si="51"/>
        <v>5.3809443100703722E-2</v>
      </c>
      <c r="AV9" s="138">
        <f t="shared" si="28"/>
        <v>1.0526315789473683E-4</v>
      </c>
      <c r="AW9" s="136">
        <f t="shared" si="24"/>
        <v>63.133192475440495</v>
      </c>
    </row>
    <row r="10" spans="1:49" ht="13.95" customHeight="1" x14ac:dyDescent="0.3">
      <c r="B10" s="113">
        <f t="shared" si="25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35"/>
        <v>88.904499999999999</v>
      </c>
      <c r="K10" s="1">
        <f t="shared" si="2"/>
        <v>89</v>
      </c>
      <c r="L10" s="1">
        <f t="shared" si="26"/>
        <v>4.4886363697321396</v>
      </c>
      <c r="M10" s="3">
        <f t="shared" si="18"/>
        <v>564.9717514124294</v>
      </c>
      <c r="N10" s="3">
        <f t="shared" si="18"/>
        <v>416.66666666666669</v>
      </c>
      <c r="O10" s="3">
        <f t="shared" si="19"/>
        <v>33898.305084745763</v>
      </c>
      <c r="P10" s="3">
        <f t="shared" si="20"/>
        <v>25000</v>
      </c>
      <c r="Q10" s="3">
        <f t="shared" si="4"/>
        <v>73.56403013182674</v>
      </c>
      <c r="R10" s="3">
        <f t="shared" si="5"/>
        <v>54.253472222222221</v>
      </c>
      <c r="S10" s="3">
        <f t="shared" si="6"/>
        <v>89</v>
      </c>
      <c r="T10" s="4">
        <f t="shared" si="0"/>
        <v>88.904499999999999</v>
      </c>
      <c r="U10">
        <f t="shared" si="36"/>
        <v>0.11922289039900001</v>
      </c>
      <c r="V10" s="127">
        <f t="shared" si="21"/>
        <v>1.8471679301078667E-2</v>
      </c>
      <c r="W10">
        <f t="shared" si="22"/>
        <v>-2.7245726969091031E-7</v>
      </c>
      <c r="X10">
        <v>0.18</v>
      </c>
      <c r="Y10">
        <f t="shared" si="37"/>
        <v>4.9042308544363851E-8</v>
      </c>
      <c r="Z10">
        <f t="shared" si="38"/>
        <v>1.508455991788729E-5</v>
      </c>
      <c r="AA10">
        <f t="shared" si="39"/>
        <v>2.1721766281757697E-3</v>
      </c>
      <c r="AB10" s="97"/>
      <c r="AF10" s="95">
        <f>C10/$AD$32*$AD$27</f>
        <v>2.4722222222222223</v>
      </c>
      <c r="AG10" s="95">
        <f t="shared" si="9"/>
        <v>89</v>
      </c>
      <c r="AH10" s="96">
        <f t="shared" si="10"/>
        <v>35366.791670025093</v>
      </c>
      <c r="AI10" s="96">
        <f t="shared" si="14"/>
        <v>76.75084997835306</v>
      </c>
      <c r="AJ10" s="96">
        <f t="shared" si="11"/>
        <v>56.37135667731674</v>
      </c>
      <c r="AK10" s="96">
        <f t="shared" si="12"/>
        <v>76.617162931553622</v>
      </c>
      <c r="AM10">
        <f t="shared" si="40"/>
        <v>25975.921156907556</v>
      </c>
      <c r="AN10" s="127">
        <f t="shared" si="15"/>
        <v>0.14565577213038161</v>
      </c>
      <c r="AO10" s="127">
        <f t="shared" si="52"/>
        <v>2.1630011632554215E-2</v>
      </c>
      <c r="AP10">
        <f t="shared" si="27"/>
        <v>1.2231820083859401E-6</v>
      </c>
      <c r="AQ10" s="95">
        <f t="shared" si="33"/>
        <v>3.6789291938147554E-2</v>
      </c>
      <c r="AR10" s="127">
        <f t="shared" si="16"/>
        <v>6.2805810923551059E-2</v>
      </c>
      <c r="AS10" s="127">
        <f t="shared" si="17"/>
        <v>1.2698534037657191E-2</v>
      </c>
      <c r="AT10">
        <f t="shared" ref="AT10:AT14" si="53">AS10/AM10*2</f>
        <v>9.7771578231637638E-7</v>
      </c>
      <c r="AU10" s="95">
        <f t="shared" si="51"/>
        <v>4.6025645503427672E-2</v>
      </c>
      <c r="AV10" s="128">
        <f t="shared" si="28"/>
        <v>1.0526315789473683E-4</v>
      </c>
      <c r="AW10">
        <f t="shared" si="24"/>
        <v>59.446045167387481</v>
      </c>
    </row>
    <row r="11" spans="1:49" ht="13.95" customHeight="1" x14ac:dyDescent="0.3">
      <c r="B11" s="113">
        <f t="shared" ref="B11" si="54"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 t="shared" ref="J11" si="55">E11*F11</f>
        <v>135.96</v>
      </c>
      <c r="K11" s="1">
        <f t="shared" ref="K11" si="56">C11</f>
        <v>125</v>
      </c>
      <c r="L11" s="1">
        <f t="shared" ref="L11" si="57">LN(K11)</f>
        <v>4.8283137373023015</v>
      </c>
      <c r="M11" s="3">
        <f t="shared" ref="M11" si="58">1/G11/0.000001</f>
        <v>657.89473684210532</v>
      </c>
      <c r="N11" s="3">
        <f t="shared" ref="N11" si="59">1/H11/0.000001</f>
        <v>500.00000000000006</v>
      </c>
      <c r="O11" s="3">
        <f t="shared" ref="O11" si="60">M11*60/$W$27</f>
        <v>39473.68421052632</v>
      </c>
      <c r="P11" s="3">
        <f t="shared" ref="P11" si="61">N11*60/$W$27</f>
        <v>30000.000000000004</v>
      </c>
      <c r="Q11" s="3">
        <f t="shared" si="4"/>
        <v>85.663377192982466</v>
      </c>
      <c r="R11" s="3">
        <f t="shared" si="5"/>
        <v>65.104166666666671</v>
      </c>
      <c r="S11" s="3">
        <f t="shared" ref="S11" si="62">K11</f>
        <v>125</v>
      </c>
      <c r="T11" s="4">
        <f t="shared" ref="T11" si="63">J11</f>
        <v>135.96</v>
      </c>
      <c r="U11">
        <f t="shared" ref="U11" si="64">T11*0.001341022</f>
        <v>0.18232535112000003</v>
      </c>
      <c r="V11" s="127">
        <f t="shared" ref="V11" si="65">U11/O11*5252</f>
        <v>2.4258509516750081E-2</v>
      </c>
      <c r="W11">
        <f t="shared" ref="W11" si="66">-V11/2/O11</f>
        <v>-3.072744538788343E-7</v>
      </c>
      <c r="X11">
        <v>0.14000000000000001</v>
      </c>
      <c r="Y11">
        <f t="shared" ref="Y11" si="67">-X11*W11</f>
        <v>4.3018423543036807E-8</v>
      </c>
      <c r="Z11">
        <f t="shared" ref="Z11" si="68">Y11/6.66*2048.5</f>
        <v>1.3231717811998633E-5</v>
      </c>
      <c r="AA11">
        <f t="shared" ref="AA11" si="69">Z11*144</f>
        <v>1.9053673649278033E-3</v>
      </c>
      <c r="AB11" s="97"/>
      <c r="AF11" s="95">
        <f>C11/$AD$32*$AD$27</f>
        <v>3.4722222222222223</v>
      </c>
      <c r="AG11" s="95">
        <f t="shared" si="9"/>
        <v>125</v>
      </c>
      <c r="AH11" s="96">
        <f t="shared" si="10"/>
        <v>40186.817071139434</v>
      </c>
      <c r="AI11" s="96">
        <f t="shared" ref="AI11" si="70">MAX(($AD$35+$AE$35*LN(AG11))/$AD$31,0)</f>
        <v>87.210974546743557</v>
      </c>
      <c r="AJ11" s="96">
        <f t="shared" si="11"/>
        <v>67.079874285654896</v>
      </c>
      <c r="AK11" s="96">
        <f t="shared" si="12"/>
        <v>86.985717685403912</v>
      </c>
      <c r="AM11">
        <f t="shared" si="40"/>
        <v>30910.406070829777</v>
      </c>
      <c r="AN11" s="127">
        <f t="shared" si="15"/>
        <v>0.20058398668919561</v>
      </c>
      <c r="AO11" s="127">
        <f t="shared" si="52"/>
        <v>2.621424573702338E-2</v>
      </c>
      <c r="AP11">
        <f t="shared" si="27"/>
        <v>1.3046191585971313E-6</v>
      </c>
      <c r="AQ11" s="95">
        <f t="shared" si="33"/>
        <v>3.4492824747713272E-2</v>
      </c>
      <c r="AR11" s="127">
        <f t="shared" si="16"/>
        <v>0.10235763443239904</v>
      </c>
      <c r="AS11" s="127">
        <f t="shared" si="17"/>
        <v>1.7391628398770127E-2</v>
      </c>
      <c r="AT11">
        <f t="shared" si="53"/>
        <v>1.1252927806200935E-6</v>
      </c>
      <c r="AU11" s="95">
        <f t="shared" si="51"/>
        <v>3.9989592730882637E-2</v>
      </c>
      <c r="AV11" s="128">
        <f t="shared" si="28"/>
        <v>1.0526315789473683E-4</v>
      </c>
      <c r="AW11">
        <f t="shared" si="24"/>
        <v>55.735294426179998</v>
      </c>
    </row>
    <row r="12" spans="1:49" ht="13.95" customHeight="1" x14ac:dyDescent="0.3">
      <c r="B12" s="113">
        <f t="shared" si="25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35"/>
        <v>192.75</v>
      </c>
      <c r="K12" s="1">
        <f t="shared" si="2"/>
        <v>155</v>
      </c>
      <c r="L12" s="1">
        <f t="shared" si="26"/>
        <v>5.0434251169192468</v>
      </c>
      <c r="M12" s="3">
        <f t="shared" si="18"/>
        <v>733.13782991202345</v>
      </c>
      <c r="N12" s="3">
        <f t="shared" si="18"/>
        <v>574.71264367816093</v>
      </c>
      <c r="O12" s="3">
        <f t="shared" si="19"/>
        <v>43988.269794721404</v>
      </c>
      <c r="P12" s="3">
        <f t="shared" si="20"/>
        <v>34482.758620689652</v>
      </c>
      <c r="Q12" s="3">
        <f t="shared" si="4"/>
        <v>95.460654936461381</v>
      </c>
      <c r="R12" s="3">
        <f t="shared" si="5"/>
        <v>74.83237547892719</v>
      </c>
      <c r="S12" s="3">
        <f t="shared" si="6"/>
        <v>155</v>
      </c>
      <c r="T12" s="4">
        <f t="shared" si="0"/>
        <v>192.75</v>
      </c>
      <c r="U12">
        <f t="shared" si="36"/>
        <v>0.25848199050000004</v>
      </c>
      <c r="V12" s="127">
        <f t="shared" si="21"/>
        <v>3.0861577880676404E-2</v>
      </c>
      <c r="W12">
        <f t="shared" si="22"/>
        <v>-3.5079326857702185E-7</v>
      </c>
      <c r="X12">
        <v>0.14000000000000001</v>
      </c>
      <c r="Y12">
        <f t="shared" si="37"/>
        <v>4.9111057600783063E-8</v>
      </c>
      <c r="Z12">
        <f t="shared" si="38"/>
        <v>1.5105705930210826E-5</v>
      </c>
      <c r="AA12">
        <f t="shared" si="39"/>
        <v>2.1752216539503589E-3</v>
      </c>
      <c r="AB12" s="97"/>
      <c r="AF12" s="95">
        <f>C12/$AD$32*$AD$27</f>
        <v>4.3055555555555554</v>
      </c>
      <c r="AG12" s="95">
        <f t="shared" si="9"/>
        <v>155</v>
      </c>
      <c r="AH12" s="96">
        <f t="shared" si="10"/>
        <v>43239.249799405501</v>
      </c>
      <c r="AI12" s="96">
        <f t="shared" si="14"/>
        <v>93.835177516070971</v>
      </c>
      <c r="AJ12" s="96">
        <f t="shared" si="11"/>
        <v>73.861379962232448</v>
      </c>
      <c r="AK12" s="96">
        <f t="shared" si="12"/>
        <v>93.551931188792182</v>
      </c>
      <c r="AM12">
        <f t="shared" si="40"/>
        <v>34035.323886596707</v>
      </c>
      <c r="AN12" s="127">
        <f t="shared" si="15"/>
        <v>0.23972060902426137</v>
      </c>
      <c r="AO12" s="127">
        <f t="shared" si="52"/>
        <v>2.911735620844955E-2</v>
      </c>
      <c r="AP12">
        <f t="shared" si="27"/>
        <v>1.3468020996446561E-6</v>
      </c>
      <c r="AQ12" s="95">
        <f t="shared" si="33"/>
        <v>3.3412481322885462E-2</v>
      </c>
      <c r="AR12" s="127">
        <f t="shared" si="16"/>
        <v>0.13196579932248606</v>
      </c>
      <c r="AS12" s="127">
        <f t="shared" si="17"/>
        <v>2.0363678052572821E-2</v>
      </c>
      <c r="AT12">
        <f t="shared" si="53"/>
        <v>1.1966202008491623E-6</v>
      </c>
      <c r="AU12" s="95">
        <f t="shared" si="51"/>
        <v>3.7605917038728308E-2</v>
      </c>
      <c r="AV12" s="128">
        <f t="shared" si="28"/>
        <v>1.0526315789473683E-4</v>
      </c>
      <c r="AW12">
        <f t="shared" si="24"/>
        <v>53.989619512496461</v>
      </c>
    </row>
    <row r="13" spans="1:49" ht="13.95" customHeight="1" x14ac:dyDescent="0.3">
      <c r="B13" s="113">
        <f t="shared" si="25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35"/>
        <v>209.1</v>
      </c>
      <c r="K13" s="1">
        <f t="shared" si="2"/>
        <v>165</v>
      </c>
      <c r="L13" s="1">
        <f t="shared" si="26"/>
        <v>5.1059454739005803</v>
      </c>
      <c r="M13" s="3">
        <f t="shared" si="18"/>
        <v>759.87841945288756</v>
      </c>
      <c r="N13" s="3">
        <f t="shared" si="18"/>
        <v>595.2380952380953</v>
      </c>
      <c r="O13" s="3">
        <f t="shared" si="19"/>
        <v>45592.705167173255</v>
      </c>
      <c r="P13" s="3">
        <f t="shared" si="20"/>
        <v>35714.285714285717</v>
      </c>
      <c r="Q13" s="3">
        <f t="shared" si="4"/>
        <v>98.942502532928074</v>
      </c>
      <c r="R13" s="3">
        <f t="shared" si="5"/>
        <v>77.504960317460331</v>
      </c>
      <c r="S13" s="3">
        <f t="shared" si="6"/>
        <v>165</v>
      </c>
      <c r="T13" s="4">
        <f t="shared" si="0"/>
        <v>209.1</v>
      </c>
      <c r="U13">
        <f t="shared" si="36"/>
        <v>0.2804077002</v>
      </c>
      <c r="V13" s="127">
        <f t="shared" si="21"/>
        <v>3.2301247229145437E-2</v>
      </c>
      <c r="W13">
        <f t="shared" si="22"/>
        <v>-3.5423701127962827E-7</v>
      </c>
      <c r="AB13" s="97"/>
      <c r="AF13" s="95">
        <f>C13/$AD$32*$AD$27</f>
        <v>4.583333333333333</v>
      </c>
      <c r="AG13" s="95">
        <f t="shared" si="9"/>
        <v>165</v>
      </c>
      <c r="AH13" s="96">
        <f t="shared" si="10"/>
        <v>44126.414319351083</v>
      </c>
      <c r="AI13" s="96">
        <f t="shared" si="14"/>
        <v>95.760447741647312</v>
      </c>
      <c r="AJ13" s="96">
        <f t="shared" si="11"/>
        <v>75.832368928625399</v>
      </c>
      <c r="AK13" s="96">
        <f t="shared" si="12"/>
        <v>95.460347252035845</v>
      </c>
      <c r="AM13">
        <f t="shared" si="40"/>
        <v>34943.555602310582</v>
      </c>
      <c r="AN13" s="127">
        <f t="shared" si="15"/>
        <v>0.2517282669713366</v>
      </c>
      <c r="AO13" s="127">
        <f t="shared" si="52"/>
        <v>2.996112143999155E-2</v>
      </c>
      <c r="AP13">
        <f t="shared" si="27"/>
        <v>1.3579676437408819E-6</v>
      </c>
      <c r="AQ13" s="95">
        <f t="shared" si="33"/>
        <v>3.3137755680272003E-2</v>
      </c>
      <c r="AR13" s="127">
        <f t="shared" si="16"/>
        <v>0.14123450569139354</v>
      </c>
      <c r="AS13" s="127">
        <f t="shared" si="17"/>
        <v>2.1227479891661367E-2</v>
      </c>
      <c r="AT13">
        <f t="shared" si="53"/>
        <v>1.2149582105066456E-6</v>
      </c>
      <c r="AU13" s="95">
        <f t="shared" si="51"/>
        <v>3.7038310956584011E-2</v>
      </c>
      <c r="AV13" s="128">
        <f t="shared" si="28"/>
        <v>1.0526315789473683E-4</v>
      </c>
      <c r="AW13">
        <f t="shared" si="24"/>
        <v>53.545703576661204</v>
      </c>
    </row>
    <row r="14" spans="1:49" ht="13.95" customHeight="1" thickBot="1" x14ac:dyDescent="0.35">
      <c r="B14" s="116">
        <f t="shared" si="25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2"/>
        <v>180</v>
      </c>
      <c r="L14" s="1">
        <f t="shared" si="26"/>
        <v>5.1929568508902104</v>
      </c>
      <c r="O14" s="3">
        <f>AI14*$AD$31</f>
        <v>45361.106669554021</v>
      </c>
      <c r="P14" s="3">
        <f>N14*60/$W$27</f>
        <v>0</v>
      </c>
      <c r="Q14" s="3">
        <f t="shared" si="4"/>
        <v>98.439901626636328</v>
      </c>
      <c r="R14" s="3">
        <f t="shared" si="5"/>
        <v>0</v>
      </c>
      <c r="S14" s="1">
        <f t="shared" si="6"/>
        <v>180</v>
      </c>
      <c r="T14" s="4">
        <f t="shared" si="0"/>
        <v>0</v>
      </c>
      <c r="U14">
        <f t="shared" ref="U14" si="71">T14*0.001341022</f>
        <v>0</v>
      </c>
      <c r="AB14" s="97"/>
      <c r="AF14" s="95">
        <f>C14/$AD$32*$AD$27</f>
        <v>5</v>
      </c>
      <c r="AG14" s="95">
        <f t="shared" si="9"/>
        <v>180</v>
      </c>
      <c r="AH14" s="96">
        <f t="shared" si="10"/>
        <v>45361.106669554021</v>
      </c>
      <c r="AI14" s="96">
        <f t="shared" si="14"/>
        <v>98.439901626636328</v>
      </c>
      <c r="AJ14" s="96">
        <f t="shared" si="11"/>
        <v>78.575450898685531</v>
      </c>
      <c r="AK14" s="96">
        <f t="shared" si="12"/>
        <v>98.116344715094769</v>
      </c>
      <c r="AM14">
        <f t="shared" si="40"/>
        <v>36207.567774114286</v>
      </c>
      <c r="AN14" s="127">
        <f t="shared" si="15"/>
        <v>0.26891409453189768</v>
      </c>
      <c r="AO14" s="127">
        <f t="shared" si="52"/>
        <v>3.1135413753683283E-2</v>
      </c>
      <c r="AP14">
        <f t="shared" si="27"/>
        <v>1.3727801651973849E-6</v>
      </c>
      <c r="AR14" s="127">
        <f t="shared" si="16"/>
        <v>0.15463125520306809</v>
      </c>
      <c r="AS14" s="127">
        <f t="shared" si="17"/>
        <v>2.2429657727717388E-2</v>
      </c>
      <c r="AT14">
        <f t="shared" si="53"/>
        <v>1.2389486014441944E-6</v>
      </c>
      <c r="AV14" s="128">
        <f t="shared" si="28"/>
        <v>1.0526315789473683E-4</v>
      </c>
      <c r="AW14">
        <f t="shared" si="24"/>
        <v>52.967936718397489</v>
      </c>
    </row>
    <row r="15" spans="1:49" ht="13.95" customHeight="1" x14ac:dyDescent="0.3"/>
    <row r="16" spans="1:49" ht="13.95" customHeight="1" x14ac:dyDescent="0.3">
      <c r="B16" s="120">
        <f t="shared" si="25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 t="shared" ref="J16" si="72">E16*F16</f>
        <v>5.8512000000000004</v>
      </c>
      <c r="K16" s="1">
        <f t="shared" ref="K16" si="73">C16</f>
        <v>9</v>
      </c>
      <c r="L16" s="1">
        <f t="shared" ref="L16" si="74">LN(K16)</f>
        <v>2.1972245773362196</v>
      </c>
      <c r="M16" s="3">
        <f t="shared" ref="M16" si="75">1/G16/0.000001</f>
        <v>162.33766233766235</v>
      </c>
      <c r="N16" s="3"/>
      <c r="O16" s="3">
        <f t="shared" ref="O16" si="76">M16*60/$W$27</f>
        <v>9740.2597402597403</v>
      </c>
      <c r="P16" s="3"/>
      <c r="Q16" s="3">
        <f t="shared" ref="Q16:Q24" si="77">O16/$W$40*100</f>
        <v>21.137716450216452</v>
      </c>
      <c r="R16" s="3"/>
      <c r="S16" s="3">
        <f t="shared" ref="S16" si="78">K16</f>
        <v>9</v>
      </c>
      <c r="T16" s="4">
        <f t="shared" ref="T16" si="79">J16</f>
        <v>5.8512000000000004</v>
      </c>
      <c r="U16">
        <f t="shared" ref="U16" si="80">T16*0.001341022</f>
        <v>7.8465879264000005E-3</v>
      </c>
      <c r="V16">
        <f t="shared" ref="V16" si="81">U16/O16*5252</f>
        <v>4.230922058383821E-3</v>
      </c>
      <c r="W16">
        <f t="shared" ref="W16" si="82">-V16/2/O16</f>
        <v>-2.1718733233036949E-7</v>
      </c>
      <c r="X16">
        <v>0.18</v>
      </c>
      <c r="Y16">
        <f t="shared" ref="Y16" si="83">-X16*W16</f>
        <v>3.9093719819466504E-8</v>
      </c>
      <c r="Z16">
        <f t="shared" ref="Z16" si="84">Y16/6.66*2048.5</f>
        <v>1.2024547304831401E-5</v>
      </c>
      <c r="AA16">
        <f t="shared" ref="AA16" si="85">Z16*144</f>
        <v>1.7315348118957217E-3</v>
      </c>
    </row>
    <row r="17" spans="1:32" ht="13.95" customHeight="1" x14ac:dyDescent="0.3">
      <c r="B17" s="120">
        <f t="shared" si="25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86">E17*F17</f>
        <v>7.7969999999999997</v>
      </c>
      <c r="K17" s="1">
        <f t="shared" ref="K17:K24" si="87">C17</f>
        <v>13</v>
      </c>
      <c r="L17" s="1">
        <f t="shared" ref="L17:L24" si="88">LN(K17)</f>
        <v>2.5649493574615367</v>
      </c>
      <c r="M17" s="3">
        <f t="shared" ref="M17:M24" si="89">1/G17/0.000001</f>
        <v>196.85039370078741</v>
      </c>
      <c r="N17" s="3"/>
      <c r="O17" s="3">
        <f t="shared" ref="O17:O24" si="90">M17*60/$W$27</f>
        <v>11811.023622047245</v>
      </c>
      <c r="P17" s="3"/>
      <c r="Q17" s="3">
        <f t="shared" si="77"/>
        <v>25.631561679790028</v>
      </c>
      <c r="R17" s="3"/>
      <c r="S17" s="3">
        <f t="shared" ref="S17:S24" si="91">K17</f>
        <v>13</v>
      </c>
      <c r="T17" s="4">
        <f t="shared" ref="T17:T24" si="92">J17</f>
        <v>7.7969999999999997</v>
      </c>
      <c r="U17">
        <f t="shared" ref="U17:U24" si="93">T17*0.001341022</f>
        <v>1.0455948534E-2</v>
      </c>
      <c r="V17">
        <f t="shared" ref="V17:V24" si="94">U17/O17*5252</f>
        <v>4.6494396639814237E-3</v>
      </c>
      <c r="W17">
        <f t="shared" ref="W17:W24" si="95">-V17/2/O17</f>
        <v>-1.9682627910854693E-7</v>
      </c>
      <c r="X17">
        <v>0.18</v>
      </c>
      <c r="Y17">
        <f t="shared" ref="Y17:Y24" si="96">-X17*W17</f>
        <v>3.5428730239538448E-8</v>
      </c>
      <c r="Z17">
        <f t="shared" ref="Z17:Z24" si="97">Y17/6.66*2048.5</f>
        <v>1.0897260344698876E-5</v>
      </c>
      <c r="AA17">
        <f t="shared" ref="AA17:AA24" si="98">Z17*144</f>
        <v>1.569205489636638E-3</v>
      </c>
    </row>
    <row r="18" spans="1:32" ht="13.95" customHeight="1" x14ac:dyDescent="0.3">
      <c r="B18" s="120">
        <f t="shared" si="25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86"/>
        <v>18.150000000000002</v>
      </c>
      <c r="K18" s="1">
        <f t="shared" si="87"/>
        <v>26</v>
      </c>
      <c r="L18" s="1">
        <f t="shared" si="88"/>
        <v>3.2580965380214821</v>
      </c>
      <c r="M18" s="3">
        <f t="shared" si="89"/>
        <v>314.46540880503147</v>
      </c>
      <c r="N18" s="3"/>
      <c r="O18" s="3">
        <f t="shared" si="90"/>
        <v>18867.92452830189</v>
      </c>
      <c r="P18" s="3"/>
      <c r="Q18" s="3">
        <f t="shared" si="77"/>
        <v>40.946016771488473</v>
      </c>
      <c r="R18" s="3"/>
      <c r="S18" s="3">
        <f t="shared" si="91"/>
        <v>26</v>
      </c>
      <c r="T18" s="4">
        <f t="shared" si="92"/>
        <v>18.150000000000002</v>
      </c>
      <c r="U18">
        <f t="shared" si="93"/>
        <v>2.4339549300000006E-2</v>
      </c>
      <c r="V18">
        <f t="shared" si="94"/>
        <v>6.7750595849508004E-3</v>
      </c>
      <c r="W18">
        <f t="shared" si="95"/>
        <v>-1.7953907900119617E-7</v>
      </c>
      <c r="X18">
        <v>0.18</v>
      </c>
      <c r="Y18">
        <f t="shared" si="96"/>
        <v>3.2317034220215307E-8</v>
      </c>
      <c r="Z18">
        <f t="shared" si="97"/>
        <v>9.9401568468635218E-6</v>
      </c>
      <c r="AA18">
        <f t="shared" si="98"/>
        <v>1.4313825859483471E-3</v>
      </c>
    </row>
    <row r="19" spans="1:32" ht="13.95" customHeight="1" x14ac:dyDescent="0.3">
      <c r="B19" s="120">
        <f t="shared" si="25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86"/>
        <v>28.516800000000003</v>
      </c>
      <c r="K19" s="1">
        <f t="shared" si="87"/>
        <v>36</v>
      </c>
      <c r="L19" s="1">
        <f t="shared" si="88"/>
        <v>3.5835189384561099</v>
      </c>
      <c r="M19" s="3">
        <f t="shared" si="89"/>
        <v>377.35849056603774</v>
      </c>
      <c r="N19" s="3"/>
      <c r="O19" s="3">
        <f t="shared" si="90"/>
        <v>22641.509433962266</v>
      </c>
      <c r="P19" s="3"/>
      <c r="Q19" s="3">
        <f t="shared" si="77"/>
        <v>49.135220125786169</v>
      </c>
      <c r="R19" s="3"/>
      <c r="S19" s="3">
        <f t="shared" si="91"/>
        <v>36</v>
      </c>
      <c r="T19" s="4">
        <f t="shared" si="92"/>
        <v>28.516800000000003</v>
      </c>
      <c r="U19">
        <f t="shared" si="93"/>
        <v>3.8241656169600007E-2</v>
      </c>
      <c r="V19">
        <f t="shared" si="94"/>
        <v>8.8706620372876483E-3</v>
      </c>
      <c r="W19">
        <f t="shared" si="95"/>
        <v>-1.9589378665676887E-7</v>
      </c>
      <c r="X19">
        <v>0.18</v>
      </c>
      <c r="Y19">
        <f t="shared" si="96"/>
        <v>3.5260881598218394E-8</v>
      </c>
      <c r="Z19">
        <f t="shared" si="97"/>
        <v>1.0845633026118675E-5</v>
      </c>
      <c r="AA19">
        <f t="shared" si="98"/>
        <v>1.5617711557610891E-3</v>
      </c>
    </row>
    <row r="20" spans="1:32" ht="13.95" customHeight="1" x14ac:dyDescent="0.3">
      <c r="B20" s="120">
        <f t="shared" si="25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86"/>
        <v>51.68</v>
      </c>
      <c r="K20" s="1">
        <f t="shared" si="87"/>
        <v>56</v>
      </c>
      <c r="L20" s="1">
        <f t="shared" si="88"/>
        <v>4.0253516907351496</v>
      </c>
      <c r="M20" s="3">
        <f t="shared" si="89"/>
        <v>483.09178743961354</v>
      </c>
      <c r="N20" s="3"/>
      <c r="O20" s="3">
        <f t="shared" si="90"/>
        <v>28985.507246376812</v>
      </c>
      <c r="P20" s="3"/>
      <c r="Q20" s="3">
        <f t="shared" si="77"/>
        <v>62.902576489533011</v>
      </c>
      <c r="R20" s="3"/>
      <c r="S20" s="3">
        <f t="shared" si="91"/>
        <v>56</v>
      </c>
      <c r="T20" s="4">
        <f t="shared" si="92"/>
        <v>51.68</v>
      </c>
      <c r="U20">
        <f t="shared" si="93"/>
        <v>6.9304016960000006E-2</v>
      </c>
      <c r="V20">
        <f t="shared" si="94"/>
        <v>1.255747204905024E-2</v>
      </c>
      <c r="W20">
        <f t="shared" si="95"/>
        <v>-2.1661639284611662E-7</v>
      </c>
      <c r="X20">
        <v>0.18</v>
      </c>
      <c r="Y20">
        <f t="shared" si="96"/>
        <v>3.8990950712300994E-8</v>
      </c>
      <c r="Z20">
        <f t="shared" si="97"/>
        <v>1.1992937317439727E-5</v>
      </c>
      <c r="AA20">
        <f t="shared" si="98"/>
        <v>1.7269829737113207E-3</v>
      </c>
    </row>
    <row r="21" spans="1:32" ht="13.95" customHeight="1" x14ac:dyDescent="0.3">
      <c r="B21" s="120">
        <f t="shared" si="25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86"/>
        <v>59.349000000000004</v>
      </c>
      <c r="K21" s="1">
        <f t="shared" si="87"/>
        <v>64</v>
      </c>
      <c r="L21" s="1">
        <f t="shared" si="88"/>
        <v>4.1588830833596715</v>
      </c>
      <c r="M21" s="3">
        <f t="shared" si="89"/>
        <v>500.00000000000006</v>
      </c>
      <c r="N21" s="3"/>
      <c r="O21" s="3">
        <f t="shared" si="90"/>
        <v>30000.000000000004</v>
      </c>
      <c r="P21" s="3"/>
      <c r="Q21" s="3">
        <f t="shared" si="77"/>
        <v>65.104166666666671</v>
      </c>
      <c r="R21" s="3"/>
      <c r="S21" s="3">
        <f t="shared" si="91"/>
        <v>64</v>
      </c>
      <c r="T21" s="4">
        <f t="shared" si="92"/>
        <v>59.349000000000004</v>
      </c>
      <c r="U21">
        <f t="shared" si="93"/>
        <v>7.9588314678000011E-2</v>
      </c>
      <c r="V21">
        <f t="shared" si="94"/>
        <v>1.39332609562952E-2</v>
      </c>
      <c r="W21">
        <f t="shared" si="95"/>
        <v>-2.3222101593825331E-7</v>
      </c>
      <c r="X21">
        <v>0.18</v>
      </c>
      <c r="Y21">
        <f t="shared" si="96"/>
        <v>4.1799782868885597E-8</v>
      </c>
      <c r="Z21">
        <f t="shared" si="97"/>
        <v>1.2856885166203024E-5</v>
      </c>
      <c r="AA21">
        <f t="shared" si="98"/>
        <v>1.8513914639332356E-3</v>
      </c>
    </row>
    <row r="22" spans="1:32" ht="13.95" customHeight="1" x14ac:dyDescent="0.3">
      <c r="B22" s="120">
        <f t="shared" si="25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86"/>
        <v>84.545999999999992</v>
      </c>
      <c r="K22" s="1">
        <f t="shared" si="87"/>
        <v>89</v>
      </c>
      <c r="L22" s="1">
        <f t="shared" si="88"/>
        <v>4.4886363697321396</v>
      </c>
      <c r="M22" s="3">
        <f t="shared" si="89"/>
        <v>568.18181818181813</v>
      </c>
      <c r="N22" s="3"/>
      <c r="O22" s="3">
        <f t="shared" si="90"/>
        <v>34090.909090909088</v>
      </c>
      <c r="P22" s="3"/>
      <c r="Q22" s="3">
        <f t="shared" si="77"/>
        <v>73.982007575757564</v>
      </c>
      <c r="R22" s="3"/>
      <c r="S22" s="3">
        <f t="shared" si="91"/>
        <v>89</v>
      </c>
      <c r="T22" s="4">
        <f t="shared" si="92"/>
        <v>84.545999999999992</v>
      </c>
      <c r="U22">
        <f t="shared" si="93"/>
        <v>0.11337804601199999</v>
      </c>
      <c r="V22">
        <f t="shared" si="94"/>
        <v>1.7466870597880702E-2</v>
      </c>
      <c r="W22">
        <f t="shared" si="95"/>
        <v>-2.5618076876891696E-7</v>
      </c>
      <c r="X22">
        <v>0.18</v>
      </c>
      <c r="Y22">
        <f t="shared" si="96"/>
        <v>4.611253837840505E-8</v>
      </c>
      <c r="Z22">
        <f t="shared" si="97"/>
        <v>1.4183413643868279E-5</v>
      </c>
      <c r="AA22">
        <f t="shared" si="98"/>
        <v>2.0424115647170323E-3</v>
      </c>
    </row>
    <row r="23" spans="1:32" ht="13.95" customHeight="1" x14ac:dyDescent="0.3">
      <c r="B23" s="120">
        <f t="shared" si="25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86"/>
        <v>153.26999999999998</v>
      </c>
      <c r="K23" s="1">
        <f t="shared" si="87"/>
        <v>143</v>
      </c>
      <c r="L23" s="1">
        <f t="shared" si="88"/>
        <v>4.962844630259907</v>
      </c>
      <c r="M23" s="3">
        <f t="shared" si="89"/>
        <v>699.30069930069931</v>
      </c>
      <c r="N23" s="3"/>
      <c r="O23" s="3">
        <f t="shared" si="90"/>
        <v>41958.041958041955</v>
      </c>
      <c r="P23" s="3"/>
      <c r="Q23" s="3">
        <f t="shared" si="77"/>
        <v>91.054778554778551</v>
      </c>
      <c r="R23" s="3"/>
      <c r="S23" s="3">
        <f t="shared" si="91"/>
        <v>143</v>
      </c>
      <c r="T23" s="4">
        <f t="shared" si="92"/>
        <v>153.26999999999998</v>
      </c>
      <c r="U23">
        <f t="shared" si="93"/>
        <v>0.20553844193999998</v>
      </c>
      <c r="V23">
        <f t="shared" si="94"/>
        <v>2.5727794880141638E-2</v>
      </c>
      <c r="W23">
        <f t="shared" si="95"/>
        <v>-3.0658955565502124E-7</v>
      </c>
      <c r="X23">
        <v>0.18</v>
      </c>
      <c r="Y23">
        <f t="shared" si="96"/>
        <v>5.5186120017903822E-8</v>
      </c>
      <c r="Z23">
        <f t="shared" si="97"/>
        <v>1.6974289317819214E-5</v>
      </c>
      <c r="AA23">
        <f t="shared" si="98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5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86"/>
        <v>214.45920000000001</v>
      </c>
      <c r="K24" s="1">
        <f t="shared" si="87"/>
        <v>165</v>
      </c>
      <c r="L24" s="1">
        <f t="shared" si="88"/>
        <v>5.1059454739005803</v>
      </c>
      <c r="M24" s="3">
        <f t="shared" si="89"/>
        <v>781.25000000000011</v>
      </c>
      <c r="N24" s="3"/>
      <c r="O24" s="3">
        <f t="shared" si="90"/>
        <v>46875.000000000007</v>
      </c>
      <c r="P24" s="3"/>
      <c r="Q24" s="3">
        <f t="shared" si="77"/>
        <v>101.72526041666667</v>
      </c>
      <c r="R24" s="3"/>
      <c r="S24" s="3">
        <f t="shared" si="91"/>
        <v>165</v>
      </c>
      <c r="T24" s="4">
        <f t="shared" si="92"/>
        <v>214.45920000000001</v>
      </c>
      <c r="U24">
        <f t="shared" si="93"/>
        <v>0.28759450530240005</v>
      </c>
      <c r="V24">
        <f t="shared" si="94"/>
        <v>3.2222855292761705E-2</v>
      </c>
      <c r="W24">
        <f t="shared" si="95"/>
        <v>-3.4371045645612482E-7</v>
      </c>
      <c r="X24">
        <v>0.18</v>
      </c>
      <c r="Y24">
        <f t="shared" si="96"/>
        <v>6.1867882162102469E-8</v>
      </c>
      <c r="Z24">
        <f t="shared" si="97"/>
        <v>1.9029482974334368E-5</v>
      </c>
      <c r="AA24">
        <f t="shared" si="98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44</v>
      </c>
      <c r="Y26" t="s">
        <v>45</v>
      </c>
      <c r="AB26" s="30"/>
      <c r="AC26" s="5" t="s">
        <v>74</v>
      </c>
      <c r="AD26" s="5"/>
      <c r="AE26" s="5"/>
      <c r="AF26" s="5"/>
    </row>
    <row r="27" spans="1:32" ht="13.95" customHeight="1" x14ac:dyDescent="0.3">
      <c r="A27" s="3" t="s">
        <v>40</v>
      </c>
      <c r="B27" s="11" t="s">
        <v>41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32</v>
      </c>
      <c r="AA27" s="7"/>
      <c r="AB27" s="30"/>
      <c r="AC27" s="62" t="s">
        <v>24</v>
      </c>
      <c r="AD27" s="63">
        <f>W45</f>
        <v>5</v>
      </c>
      <c r="AE27" s="64"/>
      <c r="AF27" s="29"/>
    </row>
    <row r="28" spans="1:32" x14ac:dyDescent="0.3">
      <c r="A28" s="3"/>
      <c r="B28" s="13" t="s">
        <v>42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98</v>
      </c>
      <c r="Y28" s="24" t="s">
        <v>25</v>
      </c>
      <c r="Z28" s="25">
        <v>0</v>
      </c>
      <c r="AB28" s="30"/>
      <c r="AC28" s="65" t="s">
        <v>23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43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26</v>
      </c>
      <c r="Z29" s="27">
        <v>5</v>
      </c>
      <c r="AB29" s="30"/>
      <c r="AC29" s="65" t="s">
        <v>26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90</v>
      </c>
      <c r="W30" s="20">
        <v>3.9899999999999998E-2</v>
      </c>
      <c r="X30" t="s">
        <v>97</v>
      </c>
      <c r="AB30" s="30"/>
      <c r="AC30" s="65" t="s">
        <v>25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91</v>
      </c>
      <c r="W31" s="129">
        <v>4.1999999999999996E-6</v>
      </c>
      <c r="X31" t="s">
        <v>96</v>
      </c>
      <c r="AB31" s="94" t="s">
        <v>71</v>
      </c>
      <c r="AC31" s="65" t="s">
        <v>39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92</v>
      </c>
      <c r="W32" s="130">
        <f>W28*2*PI()/60</f>
        <v>502.6548245743669</v>
      </c>
      <c r="X32" t="s">
        <v>94</v>
      </c>
      <c r="AC32" s="65" t="s">
        <v>27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93</v>
      </c>
      <c r="W33" s="132">
        <f>7/W32</f>
        <v>1.3926057520540842E-2</v>
      </c>
      <c r="X33" t="s">
        <v>95</v>
      </c>
      <c r="AC33" s="65" t="s">
        <v>22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100</v>
      </c>
      <c r="W34" s="133">
        <v>4.4999999999999999E-8</v>
      </c>
      <c r="X34" t="s">
        <v>101</v>
      </c>
      <c r="Z34" t="s">
        <v>102</v>
      </c>
      <c r="AC34" s="65" t="s">
        <v>18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30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47</v>
      </c>
      <c r="AC36" s="65" t="s">
        <v>20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46</v>
      </c>
      <c r="X37" s="36"/>
      <c r="Y37" s="35"/>
      <c r="Z37" s="35"/>
      <c r="AA37" s="37"/>
      <c r="AC37" s="65" t="s">
        <v>21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89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48</v>
      </c>
      <c r="AC39" s="70" t="s">
        <v>112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72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14</v>
      </c>
      <c r="Z40" s="41"/>
      <c r="AA40">
        <f>V37</f>
        <v>240</v>
      </c>
    </row>
    <row r="41" spans="2:48" x14ac:dyDescent="0.3">
      <c r="B41" t="s">
        <v>67</v>
      </c>
      <c r="C41" s="6" t="s">
        <v>68</v>
      </c>
      <c r="D41" s="6" t="s">
        <v>69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49</v>
      </c>
    </row>
    <row r="43" spans="2:48" ht="28.8" x14ac:dyDescent="0.3">
      <c r="B43" s="73">
        <v>90</v>
      </c>
      <c r="C43" s="6">
        <f t="shared" ref="C43:C48" si="99">B43/180*(2.4-0.53)+0.53</f>
        <v>1.4649999999999999</v>
      </c>
      <c r="D43" s="88">
        <f t="shared" ref="D43:D48" si="100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28</v>
      </c>
      <c r="X43" s="28"/>
      <c r="Y43" s="42" t="s">
        <v>29</v>
      </c>
      <c r="Z43" s="29" t="s">
        <v>50</v>
      </c>
    </row>
    <row r="44" spans="2:48" x14ac:dyDescent="0.3">
      <c r="B44" s="73">
        <v>100</v>
      </c>
      <c r="C44" s="6">
        <f t="shared" si="99"/>
        <v>1.568888888888889</v>
      </c>
      <c r="D44" s="88">
        <f t="shared" si="100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23</v>
      </c>
      <c r="W44" s="58">
        <v>0</v>
      </c>
      <c r="X44" s="45" t="s">
        <v>22</v>
      </c>
      <c r="Y44" s="59">
        <v>0</v>
      </c>
      <c r="Z44" s="89">
        <f>Z54/W40*100</f>
        <v>-22.202069774198112</v>
      </c>
      <c r="AA44" t="s">
        <v>70</v>
      </c>
    </row>
    <row r="45" spans="2:48" x14ac:dyDescent="0.3">
      <c r="B45" s="73">
        <v>110</v>
      </c>
      <c r="C45" s="6">
        <f t="shared" si="99"/>
        <v>1.6727777777777779</v>
      </c>
      <c r="D45" s="88">
        <f t="shared" si="100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24</v>
      </c>
      <c r="W45" s="58">
        <v>5</v>
      </c>
      <c r="X45" s="45" t="s">
        <v>27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99"/>
        <v>1.7143333333333333</v>
      </c>
      <c r="D46" s="88">
        <f t="shared" si="100"/>
        <v>128.57999999999998</v>
      </c>
      <c r="V46" s="19"/>
      <c r="W46" s="30" t="s">
        <v>53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99"/>
        <v>1.8545833333333333</v>
      </c>
      <c r="D47" s="88">
        <f t="shared" si="100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99"/>
        <v>1.9470444444444444</v>
      </c>
      <c r="D48" s="88">
        <f t="shared" si="100"/>
        <v>170.46799999999999</v>
      </c>
      <c r="V48" s="21"/>
      <c r="W48" s="32"/>
      <c r="X48" s="32"/>
      <c r="Y48" s="47"/>
      <c r="Z48" s="48" t="s">
        <v>19</v>
      </c>
    </row>
    <row r="50" spans="22:27" ht="15" thickBot="1" x14ac:dyDescent="0.35">
      <c r="V50" t="s">
        <v>51</v>
      </c>
    </row>
    <row r="51" spans="22:27" x14ac:dyDescent="0.3">
      <c r="V51" s="49" t="s">
        <v>18</v>
      </c>
      <c r="W51" s="50">
        <f>INDEX(LINEST($P$4:$P$13,$D$4:$D$13^{1,2},FALSE,FALSE),1)</f>
        <v>-170.6101401015417</v>
      </c>
      <c r="X51" s="28"/>
      <c r="Y51" s="51" t="s">
        <v>21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20</v>
      </c>
      <c r="Z53" s="46">
        <f>INDEX(LINEST($P$4:$P$13,$O$4:$O$13),1)</f>
        <v>1.0237466617461022</v>
      </c>
    </row>
    <row r="54" spans="22:27" x14ac:dyDescent="0.3">
      <c r="V54" s="43" t="s">
        <v>30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78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80</v>
      </c>
      <c r="W57" s="108">
        <f>EXP((0-$AD$35)/$AE$35)</f>
        <v>7.361501228839896</v>
      </c>
      <c r="X57" s="32"/>
      <c r="Y57" s="32"/>
      <c r="Z57" s="33"/>
      <c r="AA57" t="s">
        <v>86</v>
      </c>
    </row>
    <row r="58" spans="22:27" ht="15" thickBot="1" x14ac:dyDescent="0.35"/>
    <row r="59" spans="22:27" x14ac:dyDescent="0.3">
      <c r="V59" s="49" t="s">
        <v>113</v>
      </c>
      <c r="W59" s="121">
        <f>INDEX(LINEST($V$4:$V$13,$O$4:$O$13^{1,2},FALSE,FALSE),1)</f>
        <v>1.1535982759687281E-11</v>
      </c>
      <c r="Y59" s="49" t="s">
        <v>112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M6" sqref="M6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 t="shared" ref="K2" si="1">C2</f>
        <v>47</v>
      </c>
      <c r="L2" s="3">
        <f t="shared" ref="L2:M9" si="2">1/G2/0.000001</f>
        <v>200.80321285140565</v>
      </c>
      <c r="M2" s="3">
        <f t="shared" si="2"/>
        <v>1E-10</v>
      </c>
      <c r="N2" s="3">
        <f t="shared" ref="N2:O9" si="3">L2*60/$AA$16</f>
        <v>6024.0963855421696</v>
      </c>
      <c r="O2" s="3">
        <f t="shared" si="3"/>
        <v>3E-9</v>
      </c>
      <c r="P2" s="3">
        <f t="shared" ref="P2:Q9" si="4">N2/$AA$24*100</f>
        <v>27.192101740294518</v>
      </c>
      <c r="Q2" s="3">
        <f t="shared" si="4"/>
        <v>1.3541666666666668E-11</v>
      </c>
      <c r="R2" s="3">
        <f t="shared" ref="R2:R9" si="5">O2*$AD$35+$AD$36</f>
        <v>4180.4182204543986</v>
      </c>
      <c r="S2" s="3">
        <f t="shared" ref="S2:S9" si="6">K2</f>
        <v>47</v>
      </c>
      <c r="T2" s="3">
        <f t="shared" ref="T2:T9" si="7">R2/$AA$24*100</f>
        <v>18.869943356217771</v>
      </c>
      <c r="U2" s="3">
        <f t="shared" ref="U2:U9" si="8">$AA$38*LN(C2)+$AA$39</f>
        <v>464.32038932937508</v>
      </c>
      <c r="V2" s="3">
        <f t="shared" ref="V2:V9" si="9">D2*D2*$AA$35+D2*$AA$36+$AA$37</f>
        <v>0</v>
      </c>
      <c r="W2" s="3">
        <f t="shared" ref="W2:W9" si="10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1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2">C3</f>
        <v>78.089999999999989</v>
      </c>
      <c r="L3" s="3">
        <f t="shared" si="2"/>
        <v>260.41666666666669</v>
      </c>
      <c r="M3" s="3">
        <f t="shared" si="2"/>
        <v>109.2896174863388</v>
      </c>
      <c r="N3" s="3">
        <f t="shared" si="3"/>
        <v>7812.5000000000009</v>
      </c>
      <c r="O3" s="3">
        <f t="shared" si="3"/>
        <v>3278.688524590164</v>
      </c>
      <c r="P3" s="3">
        <f t="shared" si="4"/>
        <v>35.26475694444445</v>
      </c>
      <c r="Q3" s="3">
        <f t="shared" si="4"/>
        <v>14.799635701275045</v>
      </c>
      <c r="R3" s="3">
        <f t="shared" si="5"/>
        <v>7656.5024245703744</v>
      </c>
      <c r="S3" s="3">
        <f t="shared" si="6"/>
        <v>78.089999999999989</v>
      </c>
      <c r="T3" s="3">
        <f t="shared" si="7"/>
        <v>34.560601222019052</v>
      </c>
      <c r="U3" s="3">
        <f t="shared" si="8"/>
        <v>525.54976935129287</v>
      </c>
      <c r="V3" s="3">
        <f t="shared" si="9"/>
        <v>3494.6201834301496</v>
      </c>
      <c r="W3" s="3">
        <f t="shared" si="10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1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3">E4*F4</f>
        <v>18.12</v>
      </c>
      <c r="K4" s="1">
        <f t="shared" si="12"/>
        <v>83.699999999999974</v>
      </c>
      <c r="L4" s="3">
        <f t="shared" si="2"/>
        <v>314.46540880503147</v>
      </c>
      <c r="M4" s="3">
        <f t="shared" si="2"/>
        <v>165.01650165016503</v>
      </c>
      <c r="N4" s="3">
        <f t="shared" si="3"/>
        <v>9433.962264150945</v>
      </c>
      <c r="O4" s="3">
        <f t="shared" si="3"/>
        <v>4950.4950495049507</v>
      </c>
      <c r="P4" s="3">
        <f t="shared" si="4"/>
        <v>42.58385744234802</v>
      </c>
      <c r="Q4" s="3">
        <f t="shared" si="4"/>
        <v>22.345984598459847</v>
      </c>
      <c r="R4" s="3">
        <f t="shared" si="5"/>
        <v>9428.9612019182605</v>
      </c>
      <c r="S4" s="3">
        <f t="shared" si="6"/>
        <v>83.699999999999974</v>
      </c>
      <c r="T4" s="3">
        <f t="shared" si="7"/>
        <v>42.561283203103258</v>
      </c>
      <c r="U4" s="3">
        <f t="shared" si="8"/>
        <v>533.91649836277281</v>
      </c>
      <c r="V4" s="3">
        <f t="shared" si="9"/>
        <v>5100.5484588755035</v>
      </c>
      <c r="W4" s="3">
        <f t="shared" si="10"/>
        <v>23.02330901575748</v>
      </c>
      <c r="X4" s="4">
        <f t="shared" si="0"/>
        <v>18.12</v>
      </c>
      <c r="Y4">
        <f t="shared" ref="Y4:Y9" si="14">X4*0.001341022</f>
        <v>2.4299318640000005E-2</v>
      </c>
      <c r="Z4">
        <f t="shared" ref="Z4:Z9" si="15">Y4/N4*5252</f>
        <v>1.3527722278711681E-2</v>
      </c>
      <c r="AA4">
        <f t="shared" ref="AA4:AA9" si="16">-Z4/2/N4</f>
        <v>-7.1696928077171894E-7</v>
      </c>
      <c r="AB4">
        <v>0.18</v>
      </c>
      <c r="AC4">
        <f t="shared" ref="AC4:AC7" si="17">-AB4*AA4</f>
        <v>1.2905447053890941E-7</v>
      </c>
      <c r="AD4">
        <f t="shared" ref="AD4:AD7" si="18">AC4/6.66*2048.5</f>
        <v>3.9694907342185574E-5</v>
      </c>
      <c r="AE4">
        <f t="shared" ref="AE4:AE7" si="19">AD4*144</f>
        <v>5.716066657274723E-3</v>
      </c>
      <c r="AF4" s="97">
        <f t="shared" si="11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3"/>
        <v>36</v>
      </c>
      <c r="K5" s="1">
        <f t="shared" si="12"/>
        <v>102.40000000000002</v>
      </c>
      <c r="L5" s="3">
        <f t="shared" si="2"/>
        <v>408.16326530612247</v>
      </c>
      <c r="M5" s="3">
        <f t="shared" si="2"/>
        <v>260.41666666666669</v>
      </c>
      <c r="N5" s="3">
        <f t="shared" si="3"/>
        <v>12244.897959183674</v>
      </c>
      <c r="O5" s="3">
        <f t="shared" si="3"/>
        <v>7812.5000000000009</v>
      </c>
      <c r="P5" s="3">
        <f t="shared" si="4"/>
        <v>55.272108843537424</v>
      </c>
      <c r="Q5" s="3">
        <f t="shared" si="4"/>
        <v>35.26475694444445</v>
      </c>
      <c r="R5" s="3">
        <f t="shared" si="5"/>
        <v>12463.275113078895</v>
      </c>
      <c r="S5" s="3">
        <f t="shared" si="6"/>
        <v>102.40000000000002</v>
      </c>
      <c r="T5" s="3">
        <f t="shared" si="7"/>
        <v>56.257839052092237</v>
      </c>
      <c r="U5" s="3">
        <f t="shared" si="8"/>
        <v>558.23482705024071</v>
      </c>
      <c r="V5" s="3">
        <f t="shared" si="9"/>
        <v>7804.2947828053293</v>
      </c>
      <c r="W5" s="3">
        <f t="shared" si="10"/>
        <v>35.227719505718504</v>
      </c>
      <c r="X5" s="4">
        <f t="shared" si="0"/>
        <v>36</v>
      </c>
      <c r="Y5">
        <f t="shared" si="14"/>
        <v>4.8276792000000006E-2</v>
      </c>
      <c r="Z5">
        <f t="shared" si="15"/>
        <v>2.070655977936E-2</v>
      </c>
      <c r="AA5">
        <f t="shared" si="16"/>
        <v>-8.4551785765719992E-7</v>
      </c>
      <c r="AB5">
        <v>0.18</v>
      </c>
      <c r="AC5">
        <f t="shared" si="17"/>
        <v>1.5219321437829598E-7</v>
      </c>
      <c r="AD5">
        <f t="shared" si="18"/>
        <v>4.6811981930020919E-5</v>
      </c>
      <c r="AE5">
        <f t="shared" si="19"/>
        <v>6.7409253979230123E-3</v>
      </c>
      <c r="AF5" s="97">
        <f t="shared" si="11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3"/>
        <v>55.199999999999996</v>
      </c>
      <c r="K6" s="1">
        <f t="shared" si="12"/>
        <v>121.10000000000002</v>
      </c>
      <c r="L6" s="3">
        <f t="shared" si="2"/>
        <v>500.00000000000006</v>
      </c>
      <c r="M6" s="3">
        <f t="shared" si="2"/>
        <v>335.57046979865771</v>
      </c>
      <c r="N6" s="3">
        <f t="shared" si="3"/>
        <v>15000.000000000002</v>
      </c>
      <c r="O6" s="3">
        <f t="shared" si="3"/>
        <v>10067.114093959732</v>
      </c>
      <c r="P6" s="3">
        <f t="shared" si="4"/>
        <v>67.708333333333343</v>
      </c>
      <c r="Q6" s="3">
        <f t="shared" si="4"/>
        <v>45.44183445190157</v>
      </c>
      <c r="R6" s="3">
        <f t="shared" si="5"/>
        <v>14853.629786790238</v>
      </c>
      <c r="S6" s="3">
        <f t="shared" si="6"/>
        <v>121.10000000000002</v>
      </c>
      <c r="T6" s="3">
        <f t="shared" si="7"/>
        <v>67.047634454261498</v>
      </c>
      <c r="U6" s="3">
        <f t="shared" si="8"/>
        <v>578.46273469155688</v>
      </c>
      <c r="V6" s="3">
        <f t="shared" si="9"/>
        <v>9885.6944218814369</v>
      </c>
      <c r="W6" s="3">
        <f t="shared" si="10"/>
        <v>44.622926209881491</v>
      </c>
      <c r="X6" s="4">
        <f t="shared" si="0"/>
        <v>55.199999999999996</v>
      </c>
      <c r="Y6">
        <f t="shared" si="14"/>
        <v>7.4024414400000002E-2</v>
      </c>
      <c r="Z6">
        <f t="shared" si="15"/>
        <v>2.5918414961919996E-2</v>
      </c>
      <c r="AA6">
        <f t="shared" si="16"/>
        <v>-8.6394716539733309E-7</v>
      </c>
      <c r="AB6">
        <v>0.14000000000000001</v>
      </c>
      <c r="AC6">
        <f t="shared" si="17"/>
        <v>1.2095260315562663E-7</v>
      </c>
      <c r="AD6">
        <f t="shared" si="18"/>
        <v>3.7202914048693865E-5</v>
      </c>
      <c r="AE6">
        <f t="shared" si="19"/>
        <v>5.3572196230119162E-3</v>
      </c>
      <c r="AF6" s="97">
        <f t="shared" si="11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3"/>
        <v>64.800000000000011</v>
      </c>
      <c r="K7" s="1">
        <f t="shared" si="12"/>
        <v>128.57999999999998</v>
      </c>
      <c r="L7" s="3">
        <f t="shared" si="2"/>
        <v>518.13471502590676</v>
      </c>
      <c r="M7" s="3">
        <f t="shared" si="2"/>
        <v>362.31884057971018</v>
      </c>
      <c r="N7" s="3">
        <f t="shared" si="3"/>
        <v>15544.041450777202</v>
      </c>
      <c r="O7" s="3">
        <f t="shared" si="3"/>
        <v>10869.565217391306</v>
      </c>
      <c r="P7" s="3">
        <f t="shared" si="4"/>
        <v>70.164075993091544</v>
      </c>
      <c r="Q7" s="3">
        <f t="shared" si="4"/>
        <v>49.064009661835762</v>
      </c>
      <c r="R7" s="3">
        <f t="shared" si="5"/>
        <v>15704.393027585378</v>
      </c>
      <c r="S7" s="3">
        <f t="shared" si="6"/>
        <v>128.57999999999998</v>
      </c>
      <c r="T7" s="3">
        <f t="shared" si="7"/>
        <v>70.887885193961779</v>
      </c>
      <c r="U7" s="3">
        <f t="shared" si="8"/>
        <v>585.69073547434391</v>
      </c>
      <c r="V7" s="3">
        <f t="shared" si="9"/>
        <v>10910.72055031222</v>
      </c>
      <c r="W7" s="3">
        <f t="shared" si="10"/>
        <v>49.249780261825997</v>
      </c>
      <c r="X7" s="4">
        <f t="shared" si="0"/>
        <v>64.800000000000011</v>
      </c>
      <c r="Y7">
        <f t="shared" si="14"/>
        <v>8.6898225600000017E-2</v>
      </c>
      <c r="Z7">
        <f t="shared" si="15"/>
        <v>2.9361056601427207E-2</v>
      </c>
      <c r="AA7">
        <f t="shared" si="16"/>
        <v>-9.4444732067924179E-7</v>
      </c>
      <c r="AB7">
        <v>0.12</v>
      </c>
      <c r="AC7">
        <f t="shared" si="17"/>
        <v>1.1333367848150901E-7</v>
      </c>
      <c r="AD7">
        <f t="shared" si="18"/>
        <v>3.4859465520926602E-5</v>
      </c>
      <c r="AE7">
        <f t="shared" si="19"/>
        <v>5.0197630350134305E-3</v>
      </c>
      <c r="AF7" s="97">
        <f t="shared" si="11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3"/>
        <v>104.39999999999999</v>
      </c>
      <c r="K8" s="1">
        <f t="shared" si="12"/>
        <v>153.82499999999999</v>
      </c>
      <c r="L8" s="3">
        <f t="shared" si="2"/>
        <v>621.11801242236027</v>
      </c>
      <c r="M8" s="3">
        <f t="shared" si="2"/>
        <v>458.71559633027528</v>
      </c>
      <c r="N8" s="3">
        <f t="shared" si="3"/>
        <v>18633.540372670806</v>
      </c>
      <c r="O8" s="3">
        <f t="shared" si="3"/>
        <v>13761.467889908257</v>
      </c>
      <c r="P8" s="3">
        <f t="shared" si="4"/>
        <v>84.10973084886129</v>
      </c>
      <c r="Q8" s="3">
        <f t="shared" si="4"/>
        <v>62.117737003058117</v>
      </c>
      <c r="R8" s="3">
        <f t="shared" si="5"/>
        <v>18770.404673520155</v>
      </c>
      <c r="S8" s="3">
        <f t="shared" si="6"/>
        <v>153.82499999999999</v>
      </c>
      <c r="T8" s="3">
        <f t="shared" si="7"/>
        <v>84.727521095750703</v>
      </c>
      <c r="U8" s="3">
        <f t="shared" si="8"/>
        <v>607.30966665297819</v>
      </c>
      <c r="V8" s="3">
        <f t="shared" si="9"/>
        <v>13596.184005950465</v>
      </c>
      <c r="W8" s="3">
        <f t="shared" si="10"/>
        <v>61.371663915748634</v>
      </c>
      <c r="X8" s="4">
        <f t="shared" si="0"/>
        <v>104.39999999999999</v>
      </c>
      <c r="Y8">
        <f t="shared" si="14"/>
        <v>0.14000269679999999</v>
      </c>
      <c r="Z8">
        <f t="shared" si="15"/>
        <v>3.9460786779523201E-2</v>
      </c>
      <c r="AA8">
        <f t="shared" si="16"/>
        <v>-1.0588644452505392E-6</v>
      </c>
      <c r="AF8" s="97">
        <f t="shared" si="11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3"/>
        <v>156</v>
      </c>
      <c r="K9" s="1">
        <f t="shared" si="12"/>
        <v>170.46799999999999</v>
      </c>
      <c r="L9" s="3">
        <f t="shared" si="2"/>
        <v>710.22727272727275</v>
      </c>
      <c r="M9" s="3">
        <f t="shared" si="2"/>
        <v>531.91489361702133</v>
      </c>
      <c r="N9" s="3">
        <f t="shared" si="3"/>
        <v>21306.818181818184</v>
      </c>
      <c r="O9" s="3">
        <f t="shared" si="3"/>
        <v>15957.44680851064</v>
      </c>
      <c r="P9" s="3">
        <f t="shared" si="4"/>
        <v>96.176609848484858</v>
      </c>
      <c r="Q9" s="3">
        <f t="shared" si="4"/>
        <v>72.030141843971634</v>
      </c>
      <c r="R9" s="3">
        <f t="shared" si="5"/>
        <v>21098.594001137539</v>
      </c>
      <c r="S9" s="3">
        <f t="shared" si="6"/>
        <v>170.46799999999999</v>
      </c>
      <c r="T9" s="3">
        <f t="shared" si="7"/>
        <v>95.236709032912501</v>
      </c>
      <c r="U9" s="3">
        <f t="shared" si="8"/>
        <v>619.69894848212812</v>
      </c>
      <c r="V9" s="3">
        <f t="shared" si="9"/>
        <v>16090.182242180526</v>
      </c>
      <c r="W9" s="3">
        <f t="shared" si="10"/>
        <v>72.629294843175998</v>
      </c>
      <c r="X9" s="4">
        <f t="shared" si="0"/>
        <v>156</v>
      </c>
      <c r="Y9">
        <f t="shared" si="14"/>
        <v>0.20919943200000002</v>
      </c>
      <c r="Z9">
        <f t="shared" si="15"/>
        <v>5.1566376898150398E-2</v>
      </c>
      <c r="AA9">
        <f t="shared" si="16"/>
        <v>-1.2100909778765959E-6</v>
      </c>
      <c r="AF9" s="97">
        <f t="shared" si="11"/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20">B32/180*(2.4-0.53)+0.53</f>
        <v>1.4649999999999999</v>
      </c>
      <c r="D32" s="88">
        <f t="shared" ref="D32:D37" si="21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20"/>
        <v>1.568888888888889</v>
      </c>
      <c r="D33" s="88">
        <f t="shared" si="21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20"/>
        <v>1.6727777777777779</v>
      </c>
      <c r="D34" s="88">
        <f t="shared" si="21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20"/>
        <v>1.7143333333333333</v>
      </c>
      <c r="D35" s="88">
        <f t="shared" si="21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20"/>
        <v>1.8545833333333333</v>
      </c>
      <c r="D36" s="88">
        <f t="shared" si="21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20"/>
        <v>1.9470444444444444</v>
      </c>
      <c r="D37" s="88">
        <f t="shared" si="21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>E2*F2</f>
        <v>0</v>
      </c>
      <c r="K2" s="1">
        <f t="shared" ref="K2:K9" si="1">C2</f>
        <v>0</v>
      </c>
      <c r="L2" s="3" t="e">
        <f t="shared" ref="L2:M9" si="2">1/G2/0.000001</f>
        <v>#DIV/0!</v>
      </c>
      <c r="M2" s="3">
        <f t="shared" si="2"/>
        <v>0.01</v>
      </c>
      <c r="N2" s="3" t="e">
        <f t="shared" ref="N2:O9" si="3">L2*60/$AA$13</f>
        <v>#DIV/0!</v>
      </c>
      <c r="O2" s="3">
        <f t="shared" si="3"/>
        <v>0.3</v>
      </c>
      <c r="P2" s="3" t="e">
        <f t="shared" ref="P2:Q9" si="4">N2/$AA$21*100</f>
        <v>#DIV/0!</v>
      </c>
      <c r="Q2" s="3">
        <f t="shared" si="4"/>
        <v>1.3541666666666667E-3</v>
      </c>
      <c r="R2" s="3">
        <f t="shared" ref="R2:R9" si="5">O2*$AD$32+$AD$33</f>
        <v>4180.7362821558954</v>
      </c>
      <c r="S2" s="3">
        <f t="shared" ref="S2:S9" si="6">K2</f>
        <v>0</v>
      </c>
      <c r="T2" s="3">
        <f t="shared" ref="T2:T9" si="7">R2/$AA$21*100</f>
        <v>18.87137905139814</v>
      </c>
      <c r="U2" s="3" t="e">
        <f t="shared" ref="U2:U9" si="8">$AA$35*LN(C2)+$AA$36</f>
        <v>#REF!</v>
      </c>
      <c r="V2" s="3">
        <f t="shared" ref="V2:V9" si="9">D2*D2*$AA$32+D2*$AA$33+$AA$34</f>
        <v>0</v>
      </c>
      <c r="W2" s="3">
        <f t="shared" ref="W2:W9" si="10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11">C3</f>
        <v>29.47000000000002</v>
      </c>
      <c r="L3" s="3">
        <f t="shared" si="2"/>
        <v>262.41235611095965</v>
      </c>
      <c r="M3" s="3">
        <f t="shared" si="2"/>
        <v>116.07661056297157</v>
      </c>
      <c r="N3" s="3">
        <f t="shared" ref="N3" si="12">L3*60/$AA$13</f>
        <v>7872.3706833287897</v>
      </c>
      <c r="O3" s="3">
        <f t="shared" ref="O3" si="13">M3*60/$AA$13</f>
        <v>3482.2983168891469</v>
      </c>
      <c r="P3" s="3">
        <f t="shared" ref="P3" si="14">N3/$AA$21*100</f>
        <v>35.535006556692458</v>
      </c>
      <c r="Q3" s="3">
        <f t="shared" ref="Q3" si="15">O3/$AA$21*100</f>
        <v>15.7187076804024</v>
      </c>
      <c r="R3" s="3">
        <f t="shared" ref="R3" si="16">O3*$AD$32+$AD$33</f>
        <v>7872.3706833287897</v>
      </c>
      <c r="S3" s="3">
        <f t="shared" si="6"/>
        <v>29.47000000000002</v>
      </c>
      <c r="T3" s="3">
        <f t="shared" ref="T3" si="17">R3/$AA$21*100</f>
        <v>35.535006556692458</v>
      </c>
      <c r="U3" s="3" t="e">
        <f t="shared" si="8"/>
        <v>#REF!</v>
      </c>
      <c r="V3" s="3">
        <f t="shared" si="9"/>
        <v>3895.0045670565864</v>
      </c>
      <c r="W3" s="3">
        <f t="shared" si="10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8">E4*F4</f>
        <v>23.065999999999999</v>
      </c>
      <c r="K4" s="1">
        <f t="shared" si="1"/>
        <v>36.950000000000017</v>
      </c>
      <c r="L4" s="3">
        <f t="shared" si="2"/>
        <v>307.90143653592179</v>
      </c>
      <c r="M4" s="3">
        <f t="shared" si="2"/>
        <v>158.98251192368841</v>
      </c>
      <c r="N4" s="3">
        <f t="shared" si="3"/>
        <v>9237.0430960776539</v>
      </c>
      <c r="O4" s="3">
        <f t="shared" si="3"/>
        <v>4769.4753577106521</v>
      </c>
      <c r="P4" s="3">
        <f t="shared" si="4"/>
        <v>41.694986197572746</v>
      </c>
      <c r="Q4" s="3">
        <f t="shared" si="4"/>
        <v>21.528881822999473</v>
      </c>
      <c r="R4" s="3">
        <f t="shared" si="5"/>
        <v>9237.0430960776539</v>
      </c>
      <c r="S4" s="3">
        <f t="shared" si="6"/>
        <v>36.950000000000017</v>
      </c>
      <c r="T4" s="3">
        <f t="shared" si="7"/>
        <v>41.694986197572746</v>
      </c>
      <c r="U4" s="3" t="e">
        <f t="shared" si="8"/>
        <v>#REF!</v>
      </c>
      <c r="V4" s="3">
        <f t="shared" si="9"/>
        <v>4863.4075129077601</v>
      </c>
      <c r="W4" s="3">
        <f t="shared" si="10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8"/>
        <v>44.176200000000001</v>
      </c>
      <c r="K5" s="1">
        <f t="shared" si="1"/>
        <v>59.389999999999986</v>
      </c>
      <c r="L5" s="3">
        <f t="shared" si="2"/>
        <v>431.97925918101981</v>
      </c>
      <c r="M5" s="3">
        <f t="shared" si="2"/>
        <v>276.01435274634281</v>
      </c>
      <c r="N5" s="3">
        <f t="shared" si="3"/>
        <v>12959.377775430594</v>
      </c>
      <c r="O5" s="3">
        <f t="shared" si="3"/>
        <v>8280.4305823902851</v>
      </c>
      <c r="P5" s="3">
        <f t="shared" si="4"/>
        <v>58.497191347429769</v>
      </c>
      <c r="Q5" s="3">
        <f t="shared" si="4"/>
        <v>37.376943601067261</v>
      </c>
      <c r="R5" s="3">
        <f t="shared" si="5"/>
        <v>12959.377775430594</v>
      </c>
      <c r="S5" s="3">
        <f t="shared" si="6"/>
        <v>59.389999999999986</v>
      </c>
      <c r="T5" s="3">
        <f t="shared" si="7"/>
        <v>58.497191347429769</v>
      </c>
      <c r="U5" s="3" t="e">
        <f t="shared" si="8"/>
        <v>#REF!</v>
      </c>
      <c r="V5" s="3">
        <f t="shared" si="9"/>
        <v>8182.7859228288407</v>
      </c>
      <c r="W5" s="3">
        <f t="shared" si="10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8"/>
        <v>77.8596</v>
      </c>
      <c r="K6" s="1">
        <f t="shared" si="1"/>
        <v>79.960000000000008</v>
      </c>
      <c r="L6" s="3">
        <f t="shared" si="2"/>
        <v>528.98552548741941</v>
      </c>
      <c r="M6" s="3">
        <f t="shared" si="2"/>
        <v>367.51194413818456</v>
      </c>
      <c r="N6" s="3">
        <f t="shared" si="3"/>
        <v>15869.565764622583</v>
      </c>
      <c r="O6" s="3">
        <f t="shared" si="3"/>
        <v>11025.358324145536</v>
      </c>
      <c r="P6" s="3">
        <f t="shared" si="4"/>
        <v>71.633456576421381</v>
      </c>
      <c r="Q6" s="3">
        <f t="shared" si="4"/>
        <v>49.76724243537916</v>
      </c>
      <c r="R6" s="3">
        <f t="shared" si="5"/>
        <v>15869.565764622583</v>
      </c>
      <c r="S6" s="3">
        <f t="shared" si="6"/>
        <v>79.960000000000008</v>
      </c>
      <c r="T6" s="3">
        <f t="shared" si="7"/>
        <v>71.633456576421381</v>
      </c>
      <c r="U6" s="3" t="e">
        <f t="shared" si="8"/>
        <v>#REF!</v>
      </c>
      <c r="V6" s="3">
        <f t="shared" si="9"/>
        <v>10620.908743264474</v>
      </c>
      <c r="W6" s="3">
        <f t="shared" si="10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8"/>
        <v>100.6914</v>
      </c>
      <c r="K7" s="1">
        <f t="shared" si="1"/>
        <v>93.05</v>
      </c>
      <c r="L7" s="3">
        <f t="shared" si="2"/>
        <v>576.18521478815251</v>
      </c>
      <c r="M7" s="3">
        <f t="shared" si="2"/>
        <v>412.03131437989288</v>
      </c>
      <c r="N7" s="3">
        <f t="shared" si="3"/>
        <v>17285.556443644575</v>
      </c>
      <c r="O7" s="3">
        <f t="shared" si="3"/>
        <v>12360.939431396786</v>
      </c>
      <c r="P7" s="3">
        <f t="shared" si="4"/>
        <v>78.025081169228997</v>
      </c>
      <c r="Q7" s="3">
        <f t="shared" si="4"/>
        <v>55.795907155610493</v>
      </c>
      <c r="R7" s="3">
        <f t="shared" si="5"/>
        <v>17285.556443644575</v>
      </c>
      <c r="S7" s="3">
        <f t="shared" si="6"/>
        <v>93.05</v>
      </c>
      <c r="T7" s="3">
        <f t="shared" si="7"/>
        <v>78.025081169228997</v>
      </c>
      <c r="U7" s="3" t="e">
        <f t="shared" si="8"/>
        <v>#REF!</v>
      </c>
      <c r="V7" s="3">
        <f t="shared" si="9"/>
        <v>12464.506405406451</v>
      </c>
      <c r="W7" s="3">
        <f t="shared" si="10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8"/>
        <v>155.69400000000002</v>
      </c>
      <c r="K8" s="1">
        <f t="shared" si="1"/>
        <v>111.75</v>
      </c>
      <c r="L8" s="3">
        <f t="shared" si="2"/>
        <v>647.59544384070819</v>
      </c>
      <c r="M8" s="3">
        <f t="shared" si="2"/>
        <v>479.38638542665387</v>
      </c>
      <c r="N8" s="3">
        <f t="shared" si="3"/>
        <v>19427.863315221246</v>
      </c>
      <c r="O8" s="3">
        <f t="shared" si="3"/>
        <v>14381.591562799616</v>
      </c>
      <c r="P8" s="3">
        <f t="shared" si="4"/>
        <v>87.695216353429245</v>
      </c>
      <c r="Q8" s="3">
        <f t="shared" si="4"/>
        <v>64.916906359859382</v>
      </c>
      <c r="R8" s="3">
        <f t="shared" si="5"/>
        <v>19427.863315221246</v>
      </c>
      <c r="S8" s="3">
        <f t="shared" si="6"/>
        <v>111.75</v>
      </c>
      <c r="T8" s="3">
        <f t="shared" si="7"/>
        <v>87.695216353429245</v>
      </c>
      <c r="U8" s="3" t="e">
        <f t="shared" si="8"/>
        <v>#REF!</v>
      </c>
      <c r="V8" s="3">
        <f t="shared" si="9"/>
        <v>14500.533861250387</v>
      </c>
      <c r="W8" s="3">
        <f t="shared" si="10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1"/>
        <v>139.79999999999998</v>
      </c>
      <c r="L9" s="3">
        <f t="shared" si="2"/>
        <v>734.29995766057527</v>
      </c>
      <c r="M9" s="3">
        <f t="shared" si="2"/>
        <v>561.16722783389457</v>
      </c>
      <c r="N9" s="3">
        <f t="shared" si="3"/>
        <v>22028.998729817256</v>
      </c>
      <c r="O9" s="3">
        <f t="shared" si="3"/>
        <v>16835.016835016839</v>
      </c>
      <c r="P9" s="3">
        <f t="shared" si="4"/>
        <v>99.436452599869568</v>
      </c>
      <c r="Q9" s="3">
        <f t="shared" si="4"/>
        <v>75.991395435839905</v>
      </c>
      <c r="R9" s="3">
        <f t="shared" si="5"/>
        <v>22028.99872981726</v>
      </c>
      <c r="S9" s="3">
        <f t="shared" si="6"/>
        <v>139.79999999999998</v>
      </c>
      <c r="T9" s="3">
        <f t="shared" si="7"/>
        <v>99.436452599869583</v>
      </c>
      <c r="U9" s="3" t="e">
        <f t="shared" si="8"/>
        <v>#REF!</v>
      </c>
      <c r="V9" s="3">
        <f t="shared" si="9"/>
        <v>16835.887969335286</v>
      </c>
      <c r="W9" s="3">
        <f t="shared" si="10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9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9"/>
        <v>307.90143653592179</v>
      </c>
      <c r="Q14" s="3">
        <f t="shared" ref="Q14:Q19" si="20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9"/>
        <v>431.97925918101981</v>
      </c>
      <c r="Q15" s="3">
        <f t="shared" si="20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9"/>
        <v>528.98552548741941</v>
      </c>
      <c r="Q16" s="3">
        <f t="shared" si="20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9"/>
        <v>576.18521478815251</v>
      </c>
      <c r="Q17" s="3">
        <f t="shared" si="20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9"/>
        <v>647.59544384070819</v>
      </c>
      <c r="Q18" s="3">
        <f t="shared" si="20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9"/>
        <v>734.29995766057539</v>
      </c>
      <c r="Q19" s="3">
        <f t="shared" si="20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21">B29/180*(2.4-0.53)+0.53</f>
        <v>1.2052777777777779</v>
      </c>
      <c r="D29" s="88">
        <f t="shared" ref="D29:D34" si="22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21"/>
        <v>1.3299444444444444</v>
      </c>
      <c r="D30" s="88">
        <f t="shared" si="22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21"/>
        <v>1.4442222222222223</v>
      </c>
      <c r="D31" s="88">
        <f t="shared" si="22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21"/>
        <v>1.5169444444444444</v>
      </c>
      <c r="D32" s="88">
        <f t="shared" si="22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21"/>
        <v>1.6208333333333333</v>
      </c>
      <c r="D33" s="88">
        <f t="shared" si="22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21"/>
        <v>1.7766666666666666</v>
      </c>
      <c r="D34" s="88">
        <f t="shared" si="22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CalPhotonTurnigy</vt:lpstr>
      <vt:lpstr>CalArduinoTurnigy</vt:lpstr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2016-10-24T23:43:17Z</dcterms:modified>
</cp:coreProperties>
</file>