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5256" yWindow="1476" windowWidth="23040" windowHeight="9972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Z4" i="4" l="1"/>
  <c r="Z3" i="4"/>
  <c r="Y4" i="4"/>
  <c r="Y3" i="4"/>
  <c r="C48" i="4"/>
  <c r="D48" i="4" s="1"/>
  <c r="D47" i="4"/>
  <c r="C47" i="4"/>
  <c r="C46" i="4"/>
  <c r="D46" i="4" s="1"/>
  <c r="C45" i="4"/>
  <c r="D45" i="4" s="1"/>
  <c r="D44" i="4"/>
  <c r="C44" i="4"/>
  <c r="D43" i="4"/>
  <c r="C43" i="4"/>
  <c r="D42" i="4"/>
  <c r="C42" i="4"/>
  <c r="AA40" i="4"/>
  <c r="W40" i="4"/>
  <c r="AD33" i="4"/>
  <c r="W33" i="4"/>
  <c r="AD32" i="4"/>
  <c r="W32" i="4"/>
  <c r="AD31" i="4"/>
  <c r="AD30" i="4"/>
  <c r="AD29" i="4"/>
  <c r="AD28" i="4"/>
  <c r="AD27" i="4"/>
  <c r="V24" i="4"/>
  <c r="W24" i="4" s="1"/>
  <c r="Y24" i="4" s="1"/>
  <c r="Z24" i="4" s="1"/>
  <c r="AA24" i="4" s="1"/>
  <c r="T24" i="4"/>
  <c r="U24" i="4" s="1"/>
  <c r="M24" i="4"/>
  <c r="O24" i="4" s="1"/>
  <c r="Q24" i="4" s="1"/>
  <c r="K24" i="4"/>
  <c r="J24" i="4"/>
  <c r="B24" i="4"/>
  <c r="U23" i="4"/>
  <c r="V23" i="4" s="1"/>
  <c r="W23" i="4" s="1"/>
  <c r="Y23" i="4" s="1"/>
  <c r="Z23" i="4" s="1"/>
  <c r="AA23" i="4" s="1"/>
  <c r="S23" i="4"/>
  <c r="O23" i="4"/>
  <c r="Q23" i="4" s="1"/>
  <c r="M23" i="4"/>
  <c r="L23" i="4"/>
  <c r="K23" i="4"/>
  <c r="J23" i="4"/>
  <c r="T23" i="4" s="1"/>
  <c r="B23" i="4"/>
  <c r="Y22" i="4"/>
  <c r="Z22" i="4" s="1"/>
  <c r="AA22" i="4" s="1"/>
  <c r="T22" i="4"/>
  <c r="U22" i="4" s="1"/>
  <c r="V22" i="4" s="1"/>
  <c r="W22" i="4" s="1"/>
  <c r="M22" i="4"/>
  <c r="O22" i="4" s="1"/>
  <c r="Q22" i="4" s="1"/>
  <c r="K22" i="4"/>
  <c r="S22" i="4" s="1"/>
  <c r="J22" i="4"/>
  <c r="B22" i="4"/>
  <c r="S21" i="4"/>
  <c r="O21" i="4"/>
  <c r="Q21" i="4" s="1"/>
  <c r="M21" i="4"/>
  <c r="L21" i="4"/>
  <c r="K21" i="4"/>
  <c r="J21" i="4"/>
  <c r="T21" i="4" s="1"/>
  <c r="U21" i="4" s="1"/>
  <c r="V21" i="4" s="1"/>
  <c r="W21" i="4" s="1"/>
  <c r="Y21" i="4" s="1"/>
  <c r="Z21" i="4" s="1"/>
  <c r="AA21" i="4" s="1"/>
  <c r="B21" i="4"/>
  <c r="T20" i="4"/>
  <c r="U20" i="4" s="1"/>
  <c r="V20" i="4" s="1"/>
  <c r="W20" i="4" s="1"/>
  <c r="Y20" i="4" s="1"/>
  <c r="Z20" i="4" s="1"/>
  <c r="AA20" i="4" s="1"/>
  <c r="Q20" i="4"/>
  <c r="M20" i="4"/>
  <c r="O20" i="4" s="1"/>
  <c r="K20" i="4"/>
  <c r="J20" i="4"/>
  <c r="B20" i="4"/>
  <c r="S19" i="4"/>
  <c r="O19" i="4"/>
  <c r="Q19" i="4" s="1"/>
  <c r="M19" i="4"/>
  <c r="L19" i="4"/>
  <c r="K19" i="4"/>
  <c r="J19" i="4"/>
  <c r="T19" i="4" s="1"/>
  <c r="U19" i="4" s="1"/>
  <c r="V19" i="4" s="1"/>
  <c r="W19" i="4" s="1"/>
  <c r="Y19" i="4" s="1"/>
  <c r="Z19" i="4" s="1"/>
  <c r="AA19" i="4" s="1"/>
  <c r="B19" i="4"/>
  <c r="T18" i="4"/>
  <c r="U18" i="4" s="1"/>
  <c r="V18" i="4" s="1"/>
  <c r="W18" i="4" s="1"/>
  <c r="Y18" i="4" s="1"/>
  <c r="Z18" i="4" s="1"/>
  <c r="AA18" i="4" s="1"/>
  <c r="M18" i="4"/>
  <c r="O18" i="4" s="1"/>
  <c r="Q18" i="4" s="1"/>
  <c r="K18" i="4"/>
  <c r="S18" i="4" s="1"/>
  <c r="J18" i="4"/>
  <c r="B18" i="4"/>
  <c r="W17" i="4"/>
  <c r="Y17" i="4" s="1"/>
  <c r="Z17" i="4" s="1"/>
  <c r="AA17" i="4" s="1"/>
  <c r="S17" i="4"/>
  <c r="O17" i="4"/>
  <c r="Q17" i="4" s="1"/>
  <c r="M17" i="4"/>
  <c r="L17" i="4"/>
  <c r="K17" i="4"/>
  <c r="J17" i="4"/>
  <c r="T17" i="4" s="1"/>
  <c r="U17" i="4" s="1"/>
  <c r="V17" i="4" s="1"/>
  <c r="B17" i="4"/>
  <c r="T16" i="4"/>
  <c r="U16" i="4" s="1"/>
  <c r="V16" i="4" s="1"/>
  <c r="W16" i="4" s="1"/>
  <c r="Y16" i="4" s="1"/>
  <c r="Z16" i="4" s="1"/>
  <c r="AA16" i="4" s="1"/>
  <c r="Q16" i="4"/>
  <c r="M16" i="4"/>
  <c r="O16" i="4" s="1"/>
  <c r="K16" i="4"/>
  <c r="J16" i="4"/>
  <c r="B16" i="4"/>
  <c r="AV14" i="4"/>
  <c r="AG14" i="4"/>
  <c r="AF14" i="4"/>
  <c r="U14" i="4"/>
  <c r="T14" i="4"/>
  <c r="S14" i="4"/>
  <c r="P14" i="4"/>
  <c r="R14" i="4" s="1"/>
  <c r="K14" i="4"/>
  <c r="L14" i="4" s="1"/>
  <c r="B14" i="4"/>
  <c r="AV13" i="4"/>
  <c r="AF13" i="4"/>
  <c r="AG13" i="4" s="1"/>
  <c r="T13" i="4"/>
  <c r="U13" i="4" s="1"/>
  <c r="V13" i="4" s="1"/>
  <c r="W13" i="4" s="1"/>
  <c r="P13" i="4"/>
  <c r="R13" i="4" s="1"/>
  <c r="N13" i="4"/>
  <c r="M13" i="4"/>
  <c r="O13" i="4" s="1"/>
  <c r="Q13" i="4" s="1"/>
  <c r="L13" i="4"/>
  <c r="K13" i="4"/>
  <c r="S13" i="4" s="1"/>
  <c r="J13" i="4"/>
  <c r="B13" i="4"/>
  <c r="AV12" i="4"/>
  <c r="AF12" i="4"/>
  <c r="AG12" i="4" s="1"/>
  <c r="W12" i="4"/>
  <c r="Y12" i="4" s="1"/>
  <c r="Z12" i="4" s="1"/>
  <c r="AA12" i="4" s="1"/>
  <c r="O12" i="4"/>
  <c r="Q12" i="4" s="1"/>
  <c r="N12" i="4"/>
  <c r="P12" i="4" s="1"/>
  <c r="R12" i="4" s="1"/>
  <c r="M12" i="4"/>
  <c r="K12" i="4"/>
  <c r="L12" i="4" s="1"/>
  <c r="J12" i="4"/>
  <c r="T12" i="4" s="1"/>
  <c r="U12" i="4" s="1"/>
  <c r="V12" i="4" s="1"/>
  <c r="B12" i="4"/>
  <c r="AV11" i="4"/>
  <c r="AG11" i="4"/>
  <c r="AF11" i="4"/>
  <c r="V11" i="4"/>
  <c r="W11" i="4" s="1"/>
  <c r="Y11" i="4" s="1"/>
  <c r="Z11" i="4" s="1"/>
  <c r="AA11" i="4" s="1"/>
  <c r="R11" i="4"/>
  <c r="N11" i="4"/>
  <c r="P11" i="4" s="1"/>
  <c r="M11" i="4"/>
  <c r="O11" i="4" s="1"/>
  <c r="Q11" i="4" s="1"/>
  <c r="L11" i="4"/>
  <c r="K11" i="4"/>
  <c r="S11" i="4" s="1"/>
  <c r="J11" i="4"/>
  <c r="T11" i="4" s="1"/>
  <c r="U11" i="4" s="1"/>
  <c r="B11" i="4"/>
  <c r="AV10" i="4"/>
  <c r="AF10" i="4"/>
  <c r="AG10" i="4" s="1"/>
  <c r="Q10" i="4"/>
  <c r="N10" i="4"/>
  <c r="P10" i="4" s="1"/>
  <c r="R10" i="4" s="1"/>
  <c r="M10" i="4"/>
  <c r="O10" i="4" s="1"/>
  <c r="K10" i="4"/>
  <c r="L10" i="4" s="1"/>
  <c r="J10" i="4"/>
  <c r="T10" i="4" s="1"/>
  <c r="U10" i="4" s="1"/>
  <c r="V10" i="4" s="1"/>
  <c r="W10" i="4" s="1"/>
  <c r="Y10" i="4" s="1"/>
  <c r="Z10" i="4" s="1"/>
  <c r="AA10" i="4" s="1"/>
  <c r="B10" i="4"/>
  <c r="AV9" i="4"/>
  <c r="V9" i="4"/>
  <c r="W9" i="4" s="1"/>
  <c r="Y9" i="4" s="1"/>
  <c r="Z9" i="4" s="1"/>
  <c r="AA9" i="4" s="1"/>
  <c r="R9" i="4"/>
  <c r="O9" i="4"/>
  <c r="Q9" i="4" s="1"/>
  <c r="N9" i="4"/>
  <c r="P9" i="4" s="1"/>
  <c r="M9" i="4"/>
  <c r="L9" i="4"/>
  <c r="K9" i="4"/>
  <c r="S9" i="4" s="1"/>
  <c r="J9" i="4"/>
  <c r="T9" i="4" s="1"/>
  <c r="U9" i="4" s="1"/>
  <c r="B9" i="4"/>
  <c r="AV8" i="4"/>
  <c r="AF8" i="4"/>
  <c r="AG8" i="4" s="1"/>
  <c r="Q8" i="4"/>
  <c r="O8" i="4"/>
  <c r="N8" i="4"/>
  <c r="P8" i="4" s="1"/>
  <c r="R8" i="4" s="1"/>
  <c r="M8" i="4"/>
  <c r="K8" i="4"/>
  <c r="J8" i="4"/>
  <c r="T8" i="4" s="1"/>
  <c r="U8" i="4" s="1"/>
  <c r="V8" i="4" s="1"/>
  <c r="W8" i="4" s="1"/>
  <c r="Y8" i="4" s="1"/>
  <c r="Z8" i="4" s="1"/>
  <c r="AA8" i="4" s="1"/>
  <c r="B8" i="4"/>
  <c r="AV7" i="4"/>
  <c r="AG7" i="4"/>
  <c r="AF7" i="4"/>
  <c r="U7" i="4"/>
  <c r="T7" i="4"/>
  <c r="P7" i="4"/>
  <c r="R7" i="4" s="1"/>
  <c r="N7" i="4"/>
  <c r="M7" i="4"/>
  <c r="O7" i="4" s="1"/>
  <c r="Q7" i="4" s="1"/>
  <c r="L7" i="4"/>
  <c r="K7" i="4"/>
  <c r="S7" i="4" s="1"/>
  <c r="J7" i="4"/>
  <c r="B7" i="4"/>
  <c r="AV6" i="4"/>
  <c r="AF6" i="4"/>
  <c r="AG6" i="4" s="1"/>
  <c r="T6" i="4"/>
  <c r="U6" i="4" s="1"/>
  <c r="V6" i="4" s="1"/>
  <c r="W6" i="4" s="1"/>
  <c r="O6" i="4"/>
  <c r="Q6" i="4" s="1"/>
  <c r="N6" i="4"/>
  <c r="P6" i="4" s="1"/>
  <c r="R6" i="4" s="1"/>
  <c r="M6" i="4"/>
  <c r="L6" i="4"/>
  <c r="K6" i="4"/>
  <c r="S6" i="4" s="1"/>
  <c r="J6" i="4"/>
  <c r="B6" i="4"/>
  <c r="AV5" i="4"/>
  <c r="AG5" i="4"/>
  <c r="AF5" i="4"/>
  <c r="U5" i="4"/>
  <c r="T5" i="4"/>
  <c r="P5" i="4"/>
  <c r="R5" i="4" s="1"/>
  <c r="N5" i="4"/>
  <c r="M5" i="4"/>
  <c r="O5" i="4" s="1"/>
  <c r="Q5" i="4" s="1"/>
  <c r="L5" i="4"/>
  <c r="K5" i="4"/>
  <c r="S5" i="4" s="1"/>
  <c r="J5" i="4"/>
  <c r="B5" i="4"/>
  <c r="AV4" i="4"/>
  <c r="AG4" i="4"/>
  <c r="AF4" i="4"/>
  <c r="N4" i="4"/>
  <c r="P4" i="4" s="1"/>
  <c r="M4" i="4"/>
  <c r="O4" i="4" s="1"/>
  <c r="K4" i="4"/>
  <c r="L4" i="4" s="1"/>
  <c r="J4" i="4"/>
  <c r="T4" i="4" s="1"/>
  <c r="U4" i="4" s="1"/>
  <c r="B4" i="4"/>
  <c r="U3" i="4"/>
  <c r="T3" i="4"/>
  <c r="R3" i="4"/>
  <c r="Q3" i="4"/>
  <c r="AF2" i="4"/>
  <c r="AG2" i="4" s="1"/>
  <c r="U2" i="4"/>
  <c r="T2" i="4"/>
  <c r="R2" i="4"/>
  <c r="Q2" i="4"/>
  <c r="L2" i="4"/>
  <c r="K2" i="4"/>
  <c r="S2" i="4" s="1"/>
  <c r="B2" i="4"/>
  <c r="T1" i="4"/>
  <c r="V7" i="4" l="1"/>
  <c r="W7" i="4" s="1"/>
  <c r="Y7" i="4" s="1"/>
  <c r="Z7" i="4" s="1"/>
  <c r="AA7" i="4" s="1"/>
  <c r="Z61" i="4"/>
  <c r="AD39" i="4" s="1"/>
  <c r="Z59" i="4"/>
  <c r="AF39" i="4" s="1"/>
  <c r="Z54" i="4"/>
  <c r="Z60" i="4"/>
  <c r="AE39" i="4" s="1"/>
  <c r="Z53" i="4"/>
  <c r="AE36" i="4" s="1"/>
  <c r="Q4" i="4"/>
  <c r="Z52" i="4"/>
  <c r="AD37" i="4" s="1"/>
  <c r="W52" i="4"/>
  <c r="AE34" i="4" s="1"/>
  <c r="Z51" i="4"/>
  <c r="AE37" i="4" s="1"/>
  <c r="R4" i="4"/>
  <c r="W53" i="4"/>
  <c r="AD34" i="4" s="1"/>
  <c r="W51" i="4"/>
  <c r="AF34" i="4" s="1"/>
  <c r="V5" i="4"/>
  <c r="W5" i="4" s="1"/>
  <c r="V4" i="4"/>
  <c r="W4" i="4" s="1"/>
  <c r="L8" i="4"/>
  <c r="W54" i="4" s="1"/>
  <c r="AE35" i="4" s="1"/>
  <c r="S8" i="4"/>
  <c r="S4" i="4"/>
  <c r="S20" i="4"/>
  <c r="L20" i="4"/>
  <c r="S24" i="4"/>
  <c r="L24" i="4"/>
  <c r="S12" i="4"/>
  <c r="S16" i="4"/>
  <c r="L16" i="4"/>
  <c r="W55" i="4"/>
  <c r="AD35" i="4" s="1"/>
  <c r="S10" i="4"/>
  <c r="L18" i="4"/>
  <c r="L22" i="4"/>
  <c r="AV5" i="3"/>
  <c r="AV6" i="3"/>
  <c r="AV7" i="3"/>
  <c r="AV8" i="3"/>
  <c r="AV9" i="3"/>
  <c r="AV10" i="3"/>
  <c r="AV11" i="3"/>
  <c r="AV12" i="3"/>
  <c r="AV13" i="3"/>
  <c r="AV14" i="3"/>
  <c r="AV4" i="3"/>
  <c r="W32" i="3"/>
  <c r="W33" i="3" s="1"/>
  <c r="AD36" i="4" l="1"/>
  <c r="Z44" i="4"/>
  <c r="Z46" i="4" s="1"/>
  <c r="Z47" i="4" s="1"/>
  <c r="W61" i="4"/>
  <c r="AD38" i="4" s="1"/>
  <c r="AI13" i="4"/>
  <c r="AI12" i="4"/>
  <c r="AH11" i="4"/>
  <c r="AI14" i="4"/>
  <c r="O14" i="4" s="1"/>
  <c r="Q14" i="4" s="1"/>
  <c r="AH13" i="4"/>
  <c r="AN13" i="4" s="1"/>
  <c r="AO13" i="4" s="1"/>
  <c r="AP13" i="4" s="1"/>
  <c r="AH12" i="4"/>
  <c r="AI9" i="4"/>
  <c r="W57" i="4"/>
  <c r="AH14" i="4"/>
  <c r="AI10" i="4"/>
  <c r="AH9" i="4"/>
  <c r="AI8" i="4"/>
  <c r="AI6" i="4"/>
  <c r="AH2" i="4"/>
  <c r="AH4" i="4"/>
  <c r="AN4" i="4" s="1"/>
  <c r="AO4" i="4" s="1"/>
  <c r="AP4" i="4" s="1"/>
  <c r="AW4" i="4" s="1"/>
  <c r="C3" i="4"/>
  <c r="AI2" i="4"/>
  <c r="AH6" i="4"/>
  <c r="AI5" i="4"/>
  <c r="AH10" i="4"/>
  <c r="AI7" i="4"/>
  <c r="AH5" i="4"/>
  <c r="AI4" i="4"/>
  <c r="AI11" i="4"/>
  <c r="AH8" i="4"/>
  <c r="AH7" i="4"/>
  <c r="W59" i="4"/>
  <c r="AF38" i="4" s="1"/>
  <c r="AN12" i="4"/>
  <c r="AO12" i="4" s="1"/>
  <c r="AP12" i="4" s="1"/>
  <c r="AN7" i="4"/>
  <c r="AO7" i="4" s="1"/>
  <c r="AP7" i="4" s="1"/>
  <c r="AN14" i="4"/>
  <c r="AO14" i="4" s="1"/>
  <c r="AP14" i="4" s="1"/>
  <c r="AW14" i="4" s="1"/>
  <c r="AN9" i="4"/>
  <c r="AO9" i="4" s="1"/>
  <c r="AP9" i="4" s="1"/>
  <c r="AN10" i="4"/>
  <c r="AO10" i="4" s="1"/>
  <c r="AP10" i="4" s="1"/>
  <c r="AN8" i="4"/>
  <c r="AO8" i="4" s="1"/>
  <c r="AP8" i="4" s="1"/>
  <c r="AN6" i="4"/>
  <c r="AO6" i="4" s="1"/>
  <c r="AP6" i="4" s="1"/>
  <c r="AN5" i="4"/>
  <c r="AO5" i="4" s="1"/>
  <c r="AP5" i="4" s="1"/>
  <c r="AW5" i="4" s="1"/>
  <c r="AN2" i="4"/>
  <c r="AN11" i="4"/>
  <c r="AO11" i="4" s="1"/>
  <c r="AP11" i="4" s="1"/>
  <c r="N11" i="3"/>
  <c r="P11" i="3" s="1"/>
  <c r="M11" i="3"/>
  <c r="O11" i="3" s="1"/>
  <c r="K11" i="3"/>
  <c r="L11" i="3" s="1"/>
  <c r="J11" i="3"/>
  <c r="T11" i="3" s="1"/>
  <c r="U11" i="3" s="1"/>
  <c r="B11" i="3"/>
  <c r="AA40" i="3"/>
  <c r="M24" i="3"/>
  <c r="O24" i="3" s="1"/>
  <c r="K24" i="3"/>
  <c r="S24" i="3" s="1"/>
  <c r="J24" i="3"/>
  <c r="T24" i="3" s="1"/>
  <c r="U24" i="3" s="1"/>
  <c r="M23" i="3"/>
  <c r="O23" i="3" s="1"/>
  <c r="K23" i="3"/>
  <c r="L23" i="3" s="1"/>
  <c r="J23" i="3"/>
  <c r="T23" i="3" s="1"/>
  <c r="U23" i="3" s="1"/>
  <c r="M22" i="3"/>
  <c r="O22" i="3" s="1"/>
  <c r="K22" i="3"/>
  <c r="L22" i="3" s="1"/>
  <c r="J22" i="3"/>
  <c r="T22" i="3" s="1"/>
  <c r="U22" i="3" s="1"/>
  <c r="M21" i="3"/>
  <c r="O21" i="3" s="1"/>
  <c r="K21" i="3"/>
  <c r="L21" i="3" s="1"/>
  <c r="J21" i="3"/>
  <c r="T21" i="3" s="1"/>
  <c r="U21" i="3" s="1"/>
  <c r="M20" i="3"/>
  <c r="O20" i="3" s="1"/>
  <c r="K20" i="3"/>
  <c r="S20" i="3" s="1"/>
  <c r="J20" i="3"/>
  <c r="T20" i="3" s="1"/>
  <c r="U20" i="3" s="1"/>
  <c r="M19" i="3"/>
  <c r="O19" i="3" s="1"/>
  <c r="K19" i="3"/>
  <c r="S19" i="3" s="1"/>
  <c r="J19" i="3"/>
  <c r="T19" i="3" s="1"/>
  <c r="U19" i="3" s="1"/>
  <c r="M18" i="3"/>
  <c r="O18" i="3" s="1"/>
  <c r="K18" i="3"/>
  <c r="L18" i="3" s="1"/>
  <c r="J18" i="3"/>
  <c r="T18" i="3" s="1"/>
  <c r="U18" i="3" s="1"/>
  <c r="M17" i="3"/>
  <c r="O17" i="3" s="1"/>
  <c r="K17" i="3"/>
  <c r="L17" i="3" s="1"/>
  <c r="J17" i="3"/>
  <c r="T17" i="3" s="1"/>
  <c r="U17" i="3" s="1"/>
  <c r="M16" i="3"/>
  <c r="O16" i="3" s="1"/>
  <c r="K16" i="3"/>
  <c r="L16" i="3" s="1"/>
  <c r="J16" i="3"/>
  <c r="T16" i="3" s="1"/>
  <c r="U16" i="3" s="1"/>
  <c r="B24" i="3"/>
  <c r="B23" i="3"/>
  <c r="B22" i="3"/>
  <c r="B21" i="3"/>
  <c r="B20" i="3"/>
  <c r="B19" i="3"/>
  <c r="B18" i="3"/>
  <c r="B17" i="3"/>
  <c r="B16" i="3"/>
  <c r="AQ13" i="4" l="1"/>
  <c r="AW13" i="4"/>
  <c r="AQ9" i="4"/>
  <c r="AW9" i="4"/>
  <c r="B3" i="4"/>
  <c r="K3" i="4"/>
  <c r="AF3" i="4"/>
  <c r="AG3" i="4" s="1"/>
  <c r="AQ8" i="4"/>
  <c r="AW8" i="4"/>
  <c r="AQ7" i="4"/>
  <c r="AW7" i="4"/>
  <c r="AQ11" i="4"/>
  <c r="AW11" i="4"/>
  <c r="AW6" i="4"/>
  <c r="AQ6" i="4"/>
  <c r="AQ10" i="4"/>
  <c r="AW10" i="4"/>
  <c r="AQ12" i="4"/>
  <c r="AW12" i="4"/>
  <c r="AJ14" i="4"/>
  <c r="AK14" i="4" s="1"/>
  <c r="AM11" i="4"/>
  <c r="AR11" i="4" s="1"/>
  <c r="AS11" i="4" s="1"/>
  <c r="AT11" i="4" s="1"/>
  <c r="AU11" i="4" s="1"/>
  <c r="AJ9" i="4"/>
  <c r="AK9" i="4" s="1"/>
  <c r="AM13" i="4"/>
  <c r="AR13" i="4" s="1"/>
  <c r="AS13" i="4" s="1"/>
  <c r="AT13" i="4" s="1"/>
  <c r="AU13" i="4" s="1"/>
  <c r="AM12" i="4"/>
  <c r="AR12" i="4" s="1"/>
  <c r="AS12" i="4" s="1"/>
  <c r="AT12" i="4" s="1"/>
  <c r="AU12" i="4" s="1"/>
  <c r="AJ10" i="4"/>
  <c r="AK10" i="4" s="1"/>
  <c r="AJ8" i="4"/>
  <c r="AK8" i="4" s="1"/>
  <c r="AM14" i="4"/>
  <c r="AR14" i="4" s="1"/>
  <c r="AS14" i="4" s="1"/>
  <c r="AT14" i="4" s="1"/>
  <c r="AJ11" i="4"/>
  <c r="AK11" i="4" s="1"/>
  <c r="AM9" i="4"/>
  <c r="AR9" i="4" s="1"/>
  <c r="AS9" i="4" s="1"/>
  <c r="AT9" i="4" s="1"/>
  <c r="AU9" i="4" s="1"/>
  <c r="AJ13" i="4"/>
  <c r="AK13" i="4" s="1"/>
  <c r="AJ5" i="4"/>
  <c r="AK5" i="4" s="1"/>
  <c r="AM2" i="4"/>
  <c r="AR2" i="4" s="1"/>
  <c r="AS2" i="4" s="1"/>
  <c r="AM7" i="4"/>
  <c r="AR7" i="4" s="1"/>
  <c r="AS7" i="4" s="1"/>
  <c r="AT7" i="4" s="1"/>
  <c r="AJ7" i="4"/>
  <c r="AK7" i="4" s="1"/>
  <c r="AM6" i="4"/>
  <c r="AR6" i="4" s="1"/>
  <c r="AS6" i="4" s="1"/>
  <c r="AT6" i="4" s="1"/>
  <c r="AJ4" i="4"/>
  <c r="AK4" i="4" s="1"/>
  <c r="AJ2" i="4"/>
  <c r="AK2" i="4" s="1"/>
  <c r="AJ6" i="4"/>
  <c r="AK6" i="4" s="1"/>
  <c r="AJ12" i="4"/>
  <c r="AK12" i="4" s="1"/>
  <c r="AM10" i="4"/>
  <c r="AR10" i="4" s="1"/>
  <c r="AS10" i="4" s="1"/>
  <c r="AT10" i="4" s="1"/>
  <c r="AU10" i="4" s="1"/>
  <c r="AM8" i="4"/>
  <c r="AR8" i="4" s="1"/>
  <c r="AS8" i="4" s="1"/>
  <c r="AT8" i="4" s="1"/>
  <c r="AU8" i="4" s="1"/>
  <c r="AM5" i="4"/>
  <c r="AR5" i="4" s="1"/>
  <c r="AS5" i="4" s="1"/>
  <c r="AM4" i="4"/>
  <c r="AR4" i="4" s="1"/>
  <c r="AS4" i="4" s="1"/>
  <c r="L24" i="3"/>
  <c r="V11" i="3"/>
  <c r="W11" i="3" s="1"/>
  <c r="Y11" i="3" s="1"/>
  <c r="Z11" i="3" s="1"/>
  <c r="AA11" i="3" s="1"/>
  <c r="V20" i="3"/>
  <c r="W20" i="3" s="1"/>
  <c r="Y20" i="3" s="1"/>
  <c r="Z20" i="3" s="1"/>
  <c r="AA20" i="3" s="1"/>
  <c r="S11" i="3"/>
  <c r="L19" i="3"/>
  <c r="L20" i="3"/>
  <c r="V17" i="3"/>
  <c r="W17" i="3" s="1"/>
  <c r="Y17" i="3" s="1"/>
  <c r="Z17" i="3" s="1"/>
  <c r="AA17" i="3" s="1"/>
  <c r="V24" i="3"/>
  <c r="W24" i="3" s="1"/>
  <c r="Y24" i="3" s="1"/>
  <c r="Z24" i="3" s="1"/>
  <c r="AA24" i="3" s="1"/>
  <c r="V21" i="3"/>
  <c r="W21" i="3" s="1"/>
  <c r="Y21" i="3" s="1"/>
  <c r="Z21" i="3" s="1"/>
  <c r="AA21" i="3" s="1"/>
  <c r="V16" i="3"/>
  <c r="W16" i="3" s="1"/>
  <c r="Y16" i="3" s="1"/>
  <c r="Z16" i="3" s="1"/>
  <c r="AA16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V19" i="3"/>
  <c r="W19" i="3" s="1"/>
  <c r="Y19" i="3" s="1"/>
  <c r="Z19" i="3" s="1"/>
  <c r="AA19" i="3" s="1"/>
  <c r="V23" i="3"/>
  <c r="W23" i="3" s="1"/>
  <c r="Y23" i="3" s="1"/>
  <c r="Z23" i="3" s="1"/>
  <c r="AA23" i="3" s="1"/>
  <c r="S17" i="3"/>
  <c r="S21" i="3"/>
  <c r="S18" i="3"/>
  <c r="S22" i="3"/>
  <c r="S23" i="3"/>
  <c r="S16" i="3"/>
  <c r="N9" i="3"/>
  <c r="P9" i="3" s="1"/>
  <c r="M9" i="3"/>
  <c r="O9" i="3" s="1"/>
  <c r="K9" i="3"/>
  <c r="L9" i="3" s="1"/>
  <c r="J9" i="3"/>
  <c r="T9" i="3" s="1"/>
  <c r="U9" i="3" s="1"/>
  <c r="B9" i="3"/>
  <c r="AI3" i="4" l="1"/>
  <c r="AJ3" i="4" s="1"/>
  <c r="AK3" i="4" s="1"/>
  <c r="AH3" i="4"/>
  <c r="L3" i="4"/>
  <c r="S3" i="4"/>
  <c r="V9" i="3"/>
  <c r="W9" i="3" s="1"/>
  <c r="Y9" i="3" s="1"/>
  <c r="Z9" i="3" s="1"/>
  <c r="AA9" i="3" s="1"/>
  <c r="S9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AP3" i="4" l="1"/>
  <c r="AN3" i="4"/>
  <c r="AM3" i="4"/>
  <c r="AR3" i="4" s="1"/>
  <c r="AS3" i="4" s="1"/>
  <c r="S6" i="3"/>
  <c r="L8" i="3"/>
  <c r="V8" i="3"/>
  <c r="W8" i="3" s="1"/>
  <c r="Y8" i="3" s="1"/>
  <c r="Z8" i="3" s="1"/>
  <c r="AA8" i="3" s="1"/>
  <c r="V6" i="3"/>
  <c r="W6" i="3" s="1"/>
  <c r="P14" i="3" l="1"/>
  <c r="T14" i="3"/>
  <c r="U14" i="3" s="1"/>
  <c r="K2" i="3"/>
  <c r="S2" i="3" s="1"/>
  <c r="B2" i="3"/>
  <c r="T3" i="3"/>
  <c r="U3" i="3" s="1"/>
  <c r="T2" i="3"/>
  <c r="U2" i="3" s="1"/>
  <c r="B14" i="3"/>
  <c r="K14" i="3"/>
  <c r="L14" i="3" s="1"/>
  <c r="J12" i="3"/>
  <c r="T12" i="3" s="1"/>
  <c r="U12" i="3" s="1"/>
  <c r="B5" i="3"/>
  <c r="B7" i="3"/>
  <c r="B10" i="3"/>
  <c r="B12" i="3"/>
  <c r="B13" i="3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D33" i="3"/>
  <c r="AD32" i="3"/>
  <c r="AD30" i="3"/>
  <c r="W40" i="3"/>
  <c r="AD29" i="3"/>
  <c r="AD28" i="3"/>
  <c r="AD27" i="3"/>
  <c r="N13" i="3"/>
  <c r="P13" i="3" s="1"/>
  <c r="M13" i="3"/>
  <c r="O13" i="3" s="1"/>
  <c r="K13" i="3"/>
  <c r="S13" i="3" s="1"/>
  <c r="J13" i="3"/>
  <c r="T13" i="3" s="1"/>
  <c r="U13" i="3" s="1"/>
  <c r="N12" i="3"/>
  <c r="P12" i="3" s="1"/>
  <c r="M12" i="3"/>
  <c r="O12" i="3" s="1"/>
  <c r="K12" i="3"/>
  <c r="S12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Z61" i="3" l="1"/>
  <c r="AD39" i="3" s="1"/>
  <c r="Z59" i="3"/>
  <c r="AF39" i="3" s="1"/>
  <c r="Z60" i="3"/>
  <c r="AE39" i="3" s="1"/>
  <c r="AF5" i="3"/>
  <c r="AG5" i="3" s="1"/>
  <c r="AF11" i="3"/>
  <c r="AG11" i="3" s="1"/>
  <c r="Q11" i="3"/>
  <c r="R11" i="3"/>
  <c r="Q21" i="3"/>
  <c r="Q20" i="3"/>
  <c r="Q24" i="3"/>
  <c r="Q23" i="3"/>
  <c r="Q22" i="3"/>
  <c r="Q16" i="3"/>
  <c r="Q19" i="3"/>
  <c r="Q18" i="3"/>
  <c r="Q17" i="3"/>
  <c r="Q9" i="3"/>
  <c r="R9" i="3"/>
  <c r="Z52" i="3"/>
  <c r="AD37" i="3" s="1"/>
  <c r="W51" i="3"/>
  <c r="Z51" i="3"/>
  <c r="W52" i="3"/>
  <c r="AE34" i="3" s="1"/>
  <c r="W53" i="3"/>
  <c r="AD34" i="3" s="1"/>
  <c r="Z53" i="3"/>
  <c r="AE36" i="3" s="1"/>
  <c r="Z54" i="3"/>
  <c r="V10" i="3"/>
  <c r="W10" i="3" s="1"/>
  <c r="Y10" i="3" s="1"/>
  <c r="Z10" i="3" s="1"/>
  <c r="AA10" i="3" s="1"/>
  <c r="AF14" i="3"/>
  <c r="AG14" i="3" s="1"/>
  <c r="AD31" i="3"/>
  <c r="Q6" i="3"/>
  <c r="R8" i="3"/>
  <c r="Q8" i="3"/>
  <c r="R6" i="3"/>
  <c r="AF10" i="3"/>
  <c r="AG10" i="3" s="1"/>
  <c r="AF8" i="3"/>
  <c r="AG8" i="3" s="1"/>
  <c r="AF6" i="3"/>
  <c r="AG6" i="3" s="1"/>
  <c r="AF7" i="3"/>
  <c r="AG7" i="3" s="1"/>
  <c r="Q10" i="3"/>
  <c r="Q2" i="3"/>
  <c r="R14" i="3"/>
  <c r="AF13" i="3"/>
  <c r="AG13" i="3" s="1"/>
  <c r="R3" i="3"/>
  <c r="AF12" i="3"/>
  <c r="AG12" i="3" s="1"/>
  <c r="Q3" i="3"/>
  <c r="R2" i="3"/>
  <c r="L2" i="3"/>
  <c r="AF4" i="3"/>
  <c r="AG4" i="3" s="1"/>
  <c r="AF2" i="3"/>
  <c r="AG2" i="3" s="1"/>
  <c r="S14" i="3"/>
  <c r="L13" i="3"/>
  <c r="L12" i="3"/>
  <c r="L10" i="3"/>
  <c r="L4" i="3"/>
  <c r="L7" i="3"/>
  <c r="R4" i="3"/>
  <c r="R10" i="3"/>
  <c r="V7" i="3"/>
  <c r="W7" i="3" s="1"/>
  <c r="Y7" i="3" s="1"/>
  <c r="Z7" i="3" s="1"/>
  <c r="V12" i="3"/>
  <c r="W12" i="3" s="1"/>
  <c r="Y12" i="3" s="1"/>
  <c r="Z12" i="3" s="1"/>
  <c r="AA12" i="3" s="1"/>
  <c r="V5" i="3"/>
  <c r="W5" i="3" s="1"/>
  <c r="V13" i="3"/>
  <c r="W13" i="3" s="1"/>
  <c r="V4" i="3"/>
  <c r="W4" i="3" s="1"/>
  <c r="Q5" i="3"/>
  <c r="R7" i="3"/>
  <c r="Q12" i="3"/>
  <c r="Q7" i="3"/>
  <c r="R12" i="3"/>
  <c r="R13" i="3"/>
  <c r="S5" i="3"/>
  <c r="Q4" i="3"/>
  <c r="R5" i="3"/>
  <c r="Q13" i="3"/>
  <c r="B2" i="2"/>
  <c r="M3" i="2"/>
  <c r="O3" i="2" s="1"/>
  <c r="L3" i="2"/>
  <c r="N3" i="2" s="1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55" i="3" l="1"/>
  <c r="W54" i="3"/>
  <c r="AF34" i="3"/>
  <c r="AD36" i="3"/>
  <c r="Z44" i="3"/>
  <c r="Z46" i="3" s="1"/>
  <c r="AE37" i="3"/>
  <c r="AA7" i="3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7" i="3" l="1"/>
  <c r="AD35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H22" i="2" l="1"/>
  <c r="P3" i="2"/>
  <c r="Q3" i="2"/>
  <c r="AE35" i="3"/>
  <c r="AI14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I11" i="3" l="1"/>
  <c r="AH11" i="3"/>
  <c r="AI9" i="3"/>
  <c r="AH9" i="3"/>
  <c r="AH4" i="3"/>
  <c r="AI2" i="3"/>
  <c r="AJ2" i="3" s="1"/>
  <c r="AK2" i="3" s="1"/>
  <c r="AH12" i="3"/>
  <c r="AH8" i="3"/>
  <c r="AH10" i="3"/>
  <c r="AH14" i="3"/>
  <c r="AH7" i="3"/>
  <c r="AH13" i="3"/>
  <c r="AH2" i="3"/>
  <c r="AH6" i="3"/>
  <c r="AH5" i="3"/>
  <c r="AI6" i="3"/>
  <c r="AI8" i="3"/>
  <c r="AI10" i="3"/>
  <c r="AJ10" i="3" s="1"/>
  <c r="AK10" i="3" s="1"/>
  <c r="AI4" i="3"/>
  <c r="AJ4" i="3" s="1"/>
  <c r="AK4" i="3" s="1"/>
  <c r="AI12" i="3"/>
  <c r="AJ12" i="3" s="1"/>
  <c r="AK12" i="3" s="1"/>
  <c r="C3" i="3"/>
  <c r="AF3" i="3" s="1"/>
  <c r="AG3" i="3" s="1"/>
  <c r="AI7" i="3"/>
  <c r="AJ7" i="3" s="1"/>
  <c r="AK7" i="3" s="1"/>
  <c r="AI5" i="3"/>
  <c r="AJ5" i="3" s="1"/>
  <c r="AK5" i="3" s="1"/>
  <c r="AI13" i="3"/>
  <c r="AJ13" i="3" s="1"/>
  <c r="AK13" i="3" s="1"/>
  <c r="AJ14" i="3"/>
  <c r="AK14" i="3" s="1"/>
  <c r="W57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M2" i="3" l="1"/>
  <c r="AR2" i="3" s="1"/>
  <c r="AS2" i="3" s="1"/>
  <c r="AN2" i="3"/>
  <c r="AM12" i="3"/>
  <c r="AR12" i="3" s="1"/>
  <c r="AS12" i="3" s="1"/>
  <c r="AT12" i="3" s="1"/>
  <c r="AN12" i="3"/>
  <c r="AO12" i="3" s="1"/>
  <c r="AM5" i="3"/>
  <c r="AR5" i="3" s="1"/>
  <c r="AS5" i="3" s="1"/>
  <c r="AN5" i="3"/>
  <c r="AO5" i="3" s="1"/>
  <c r="AM13" i="3"/>
  <c r="AR13" i="3" s="1"/>
  <c r="AS13" i="3" s="1"/>
  <c r="AT13" i="3" s="1"/>
  <c r="AN13" i="3"/>
  <c r="AO13" i="3" s="1"/>
  <c r="AM6" i="3"/>
  <c r="AR6" i="3" s="1"/>
  <c r="AS6" i="3" s="1"/>
  <c r="AT6" i="3" s="1"/>
  <c r="AN6" i="3"/>
  <c r="AO6" i="3" s="1"/>
  <c r="AM7" i="3"/>
  <c r="AR7" i="3" s="1"/>
  <c r="AS7" i="3" s="1"/>
  <c r="AT7" i="3" s="1"/>
  <c r="AN7" i="3"/>
  <c r="AO7" i="3" s="1"/>
  <c r="AM14" i="3"/>
  <c r="AR14" i="3" s="1"/>
  <c r="AS14" i="3" s="1"/>
  <c r="AT14" i="3" s="1"/>
  <c r="AN14" i="3"/>
  <c r="AO14" i="3" s="1"/>
  <c r="AM10" i="3"/>
  <c r="AR10" i="3" s="1"/>
  <c r="AS10" i="3" s="1"/>
  <c r="AT10" i="3" s="1"/>
  <c r="AN10" i="3"/>
  <c r="AO10" i="3" s="1"/>
  <c r="AM8" i="3"/>
  <c r="AR8" i="3" s="1"/>
  <c r="AS8" i="3" s="1"/>
  <c r="AT8" i="3" s="1"/>
  <c r="AN8" i="3"/>
  <c r="AO8" i="3" s="1"/>
  <c r="AM4" i="3"/>
  <c r="AR4" i="3" s="1"/>
  <c r="AS4" i="3" s="1"/>
  <c r="AN4" i="3"/>
  <c r="AO4" i="3" s="1"/>
  <c r="AM9" i="3"/>
  <c r="AR9" i="3" s="1"/>
  <c r="AS9" i="3" s="1"/>
  <c r="AT9" i="3" s="1"/>
  <c r="AN9" i="3"/>
  <c r="AO9" i="3" s="1"/>
  <c r="AM11" i="3"/>
  <c r="AR11" i="3" s="1"/>
  <c r="AS11" i="3" s="1"/>
  <c r="AT11" i="3" s="1"/>
  <c r="AN11" i="3"/>
  <c r="AO11" i="3" s="1"/>
  <c r="AJ11" i="3"/>
  <c r="AK11" i="3" s="1"/>
  <c r="AJ9" i="3"/>
  <c r="AK9" i="3" s="1"/>
  <c r="AI3" i="3"/>
  <c r="AJ3" i="3" s="1"/>
  <c r="AK3" i="3" s="1"/>
  <c r="AH3" i="3"/>
  <c r="AJ8" i="3"/>
  <c r="AK8" i="3" s="1"/>
  <c r="AJ6" i="3"/>
  <c r="AK6" i="3" s="1"/>
  <c r="K3" i="3"/>
  <c r="S3" i="3" s="1"/>
  <c r="B3" i="3"/>
  <c r="O14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M3" i="3" l="1"/>
  <c r="AR3" i="3" s="1"/>
  <c r="AS3" i="3" s="1"/>
  <c r="AN3" i="3"/>
  <c r="Q14" i="3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U2" i="1" l="1"/>
  <c r="AF6" i="1"/>
  <c r="AI29" i="1"/>
  <c r="AF2" i="1" s="1"/>
  <c r="AD28" i="2"/>
  <c r="AH27" i="2" s="1"/>
  <c r="AI27" i="2"/>
  <c r="T2" i="2"/>
  <c r="AA35" i="2"/>
  <c r="AA36" i="2"/>
  <c r="AH26" i="2" s="1"/>
  <c r="U5" i="1"/>
  <c r="U7" i="1"/>
  <c r="U3" i="1"/>
  <c r="U6" i="1"/>
  <c r="U8" i="1"/>
  <c r="U9" i="1"/>
  <c r="U4" i="1"/>
  <c r="U3" i="2" l="1"/>
  <c r="AF9" i="1"/>
  <c r="AF4" i="1"/>
  <c r="AF7" i="1"/>
  <c r="AF5" i="1"/>
  <c r="AF3" i="1"/>
  <c r="AF8" i="1"/>
  <c r="AI26" i="2"/>
  <c r="U7" i="2"/>
  <c r="U8" i="2"/>
  <c r="U5" i="2"/>
  <c r="U9" i="2"/>
  <c r="U4" i="2"/>
  <c r="U6" i="2"/>
  <c r="U2" i="2"/>
  <c r="W61" i="3" l="1"/>
  <c r="AD38" i="3" s="1"/>
  <c r="W60" i="3"/>
  <c r="AE38" i="3" s="1"/>
  <c r="W59" i="3"/>
  <c r="AF38" i="3" s="1"/>
  <c r="AP10" i="3" l="1"/>
  <c r="AP8" i="3"/>
  <c r="AP7" i="3"/>
  <c r="AP6" i="3"/>
  <c r="AP3" i="3"/>
  <c r="AP4" i="3"/>
  <c r="AP12" i="3"/>
  <c r="AP5" i="3"/>
  <c r="AP11" i="3"/>
  <c r="AP13" i="3"/>
  <c r="AP9" i="3"/>
  <c r="AU12" i="3" l="1"/>
  <c r="AU10" i="3"/>
  <c r="AP14" i="3"/>
  <c r="AW14" i="3" s="1"/>
  <c r="AU13" i="3"/>
  <c r="AU11" i="3"/>
  <c r="AU8" i="3"/>
  <c r="AU9" i="3"/>
  <c r="AQ8" i="3"/>
  <c r="AW8" i="3"/>
  <c r="AW5" i="3"/>
  <c r="AW10" i="3"/>
  <c r="AQ10" i="3"/>
  <c r="AW9" i="3"/>
  <c r="AQ9" i="3"/>
  <c r="AW13" i="3"/>
  <c r="AQ13" i="3"/>
  <c r="AQ11" i="3"/>
  <c r="AW11" i="3"/>
  <c r="AW12" i="3"/>
  <c r="AQ12" i="3"/>
  <c r="AW4" i="3"/>
  <c r="AQ6" i="3"/>
  <c r="AW6" i="3"/>
  <c r="AQ7" i="3"/>
  <c r="AW7" i="3"/>
  <c r="W60" i="4" l="1"/>
  <c r="AE38" i="4"/>
</calcChain>
</file>

<file path=xl/sharedStrings.xml><?xml version="1.0" encoding="utf-8"?>
<sst xmlns="http://schemas.openxmlformats.org/spreadsheetml/2006/main" count="388" uniqueCount="116">
  <si>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</si>
  <si>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</si>
  <si>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</si>
  <si>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</si>
  <si>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</si>
  <si>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</si>
  <si>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</si>
  <si>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</si>
  <si>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</si>
  <si>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</si>
  <si>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</si>
  <si>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</si>
  <si>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</si>
  <si>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</si>
  <si>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</si>
  <si>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</si>
  <si>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</si>
  <si>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</si>
  <si>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</si>
  <si>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</si>
  <si>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</si>
  <si>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</si>
  <si>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</si>
  <si>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</si>
  <si>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</si>
  <si>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</si>
  <si>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</si>
  <si>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</si>
  <si>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</si>
  <si>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</si>
  <si>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</si>
  <si>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</si>
  <si>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</si>
  <si>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</si>
  <si>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</si>
  <si>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</si>
  <si>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</si>
  <si>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</si>
  <si>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</si>
  <si>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</si>
  <si>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</si>
  <si>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</si>
  <si>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</si>
  <si>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</si>
  <si>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</si>
  <si>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</si>
  <si>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</si>
  <si>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</si>
  <si>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</si>
  <si>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</si>
  <si>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</si>
  <si>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</si>
  <si>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</si>
  <si>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</si>
  <si>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</si>
  <si>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</si>
  <si>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</si>
  <si>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</si>
  <si>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</si>
  <si>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</si>
  <si>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</si>
  <si>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</si>
  <si>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</si>
  <si>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</si>
  <si>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</si>
  <si>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</si>
  <si>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</si>
  <si>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</si>
  <si>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</si>
  <si>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</si>
  <si>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</si>
  <si>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</si>
  <si>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</si>
  <si>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</si>
  <si>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</si>
  <si>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</si>
  <si>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</si>
  <si>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</si>
  <si>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</si>
  <si>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</si>
  <si>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</si>
  <si>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</si>
  <si>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</si>
  <si>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</si>
  <si>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</si>
  <si>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</si>
  <si>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</si>
  <si>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</si>
  <si>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</si>
  <si>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</si>
  <si>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</si>
  <si>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</si>
  <si>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</si>
  <si>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</si>
  <si>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</si>
  <si>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</si>
  <si>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</si>
  <si>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</si>
  <si>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</si>
  <si>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</si>
  <si>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</si>
  <si>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</si>
  <si>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with fan</t>
  </si>
  <si>
    <t>Model TauG</t>
  </si>
  <si>
    <t>Model TauA</t>
  </si>
  <si>
    <t>Model Inner Gain</t>
  </si>
  <si>
    <t>Model dQgdNg, ft-lbf/rpm</t>
  </si>
  <si>
    <t>Model Qg from Model Ng, ft-lbf</t>
  </si>
  <si>
    <t>Model Qf from Model Nf, ft-lbf</t>
  </si>
  <si>
    <t>Model Nf from Model Ng, rpm</t>
  </si>
  <si>
    <t>Model dQfdNf, ft-lbf/rpm</t>
  </si>
  <si>
    <t>Model TauF</t>
  </si>
  <si>
    <t>P_N_SHP</t>
  </si>
  <si>
    <t>P_N_Q</t>
  </si>
  <si>
    <t>Model SHPg from Model Ng, shp</t>
  </si>
  <si>
    <t>Model SHPf from Model Nf, 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</si>
</sst>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CalPhotonTurnigy!$P$5:$P$13</c:f>
              <c:numCache>
                <c:formatCode>0</c:formatCode>
                <c:ptCount val="9"/>
                <c:pt idx="0">
                  <c:v>0.6</c:v>
                </c:pt>
                <c:pt idx="1">
                  <c:v>8902.077151335312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20905.923344947736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29432"/>
        <c:axId val="499029824"/>
      </c:scatterChart>
      <c:valAx>
        <c:axId val="4990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9824"/>
        <c:crosses val="autoZero"/>
        <c:crossBetween val="midCat"/>
      </c:valAx>
      <c:valAx>
        <c:axId val="4990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6952"/>
        <c:axId val="15761773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8520"/>
        <c:axId val="157618128"/>
      </c:scatterChart>
      <c:valAx>
        <c:axId val="1576169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736"/>
        <c:crossesAt val="-40"/>
        <c:crossBetween val="midCat"/>
        <c:majorUnit val="20"/>
      </c:valAx>
      <c:valAx>
        <c:axId val="157617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6952"/>
        <c:crosses val="autoZero"/>
        <c:crossBetween val="midCat"/>
      </c:valAx>
      <c:valAx>
        <c:axId val="1576181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8520"/>
        <c:crosses val="max"/>
        <c:crossBetween val="midCat"/>
        <c:majorUnit val="40"/>
      </c:valAx>
      <c:valAx>
        <c:axId val="157618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61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9304"/>
        <c:axId val="156967264"/>
      </c:scatterChart>
      <c:valAx>
        <c:axId val="1576193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6967264"/>
        <c:crosses val="autoZero"/>
        <c:crossBetween val="midCat"/>
      </c:valAx>
      <c:valAx>
        <c:axId val="15696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19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29016"/>
        <c:axId val="489327840"/>
      </c:scatterChart>
      <c:valAx>
        <c:axId val="48932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7840"/>
        <c:crosses val="autoZero"/>
        <c:crossBetween val="midCat"/>
      </c:valAx>
      <c:valAx>
        <c:axId val="48932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22352"/>
        <c:axId val="489324312"/>
      </c:scatterChart>
      <c:valAx>
        <c:axId val="4893223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89324312"/>
        <c:crosses val="autoZero"/>
        <c:crossBetween val="midCat"/>
      </c:valAx>
      <c:valAx>
        <c:axId val="48932431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8932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21960"/>
        <c:axId val="489324704"/>
      </c:scatterChart>
      <c:valAx>
        <c:axId val="489321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89324704"/>
        <c:crosses val="autoZero"/>
        <c:crossBetween val="midCat"/>
        <c:dispUnits>
          <c:builtInUnit val="thousands"/>
          <c:dispUnitsLbl/>
        </c:dispUnits>
      </c:valAx>
      <c:valAx>
        <c:axId val="4893247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89321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27448"/>
        <c:axId val="489327056"/>
      </c:scatterChart>
      <c:valAx>
        <c:axId val="48932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327056"/>
        <c:crosses val="autoZero"/>
        <c:crossBetween val="midCat"/>
      </c:valAx>
      <c:valAx>
        <c:axId val="48932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327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22744"/>
        <c:axId val="489323136"/>
      </c:scatterChart>
      <c:valAx>
        <c:axId val="489322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89323136"/>
        <c:crosses val="autoZero"/>
        <c:crossBetween val="midCat"/>
      </c:valAx>
      <c:valAx>
        <c:axId val="4893231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89322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25096"/>
        <c:axId val="489325488"/>
      </c:scatterChart>
      <c:valAx>
        <c:axId val="48932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5488"/>
        <c:crosses val="autoZero"/>
        <c:crossBetween val="midCat"/>
      </c:valAx>
      <c:valAx>
        <c:axId val="4893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25880"/>
        <c:axId val="157616560"/>
      </c:scatterChart>
      <c:valAx>
        <c:axId val="4893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6560"/>
        <c:crosses val="autoZero"/>
        <c:crossBetween val="midCat"/>
      </c:valAx>
      <c:valAx>
        <c:axId val="1576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1656"/>
        <c:axId val="15762126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89704"/>
        <c:axId val="157622440"/>
      </c:scatterChart>
      <c:valAx>
        <c:axId val="1576216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1264"/>
        <c:crosses val="autoZero"/>
        <c:crossBetween val="midCat"/>
      </c:valAx>
      <c:valAx>
        <c:axId val="157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1656"/>
        <c:crosses val="autoZero"/>
        <c:crossBetween val="midCat"/>
      </c:valAx>
      <c:valAx>
        <c:axId val="157622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9704"/>
        <c:crosses val="max"/>
        <c:crossBetween val="midCat"/>
      </c:valAx>
      <c:valAx>
        <c:axId val="48958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62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1000"/>
        <c:axId val="49902512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1392"/>
        <c:axId val="499030608"/>
      </c:scatterChart>
      <c:valAx>
        <c:axId val="4990310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5120"/>
        <c:crossesAt val="-40"/>
        <c:crossBetween val="midCat"/>
        <c:majorUnit val="20"/>
      </c:valAx>
      <c:valAx>
        <c:axId val="4990251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31000"/>
        <c:crosses val="autoZero"/>
        <c:crossBetween val="midCat"/>
      </c:valAx>
      <c:valAx>
        <c:axId val="4990306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31392"/>
        <c:crosses val="max"/>
        <c:crossBetween val="midCat"/>
        <c:majorUnit val="40"/>
      </c:valAx>
      <c:valAx>
        <c:axId val="4990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03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90096"/>
        <c:axId val="489591272"/>
      </c:scatterChart>
      <c:valAx>
        <c:axId val="4895900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89591272"/>
        <c:crosses val="autoZero"/>
        <c:crossBetween val="midCat"/>
      </c:valAx>
      <c:valAx>
        <c:axId val="489591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59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90880"/>
        <c:axId val="489584608"/>
      </c:scatterChart>
      <c:valAx>
        <c:axId val="4895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89584608"/>
        <c:crosses val="autoZero"/>
        <c:crossBetween val="midCat"/>
      </c:valAx>
      <c:valAx>
        <c:axId val="4895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59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83824"/>
        <c:axId val="489586176"/>
      </c:scatterChart>
      <c:valAx>
        <c:axId val="48958382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6176"/>
        <c:crosses val="autoZero"/>
        <c:crossBetween val="midCat"/>
      </c:valAx>
      <c:valAx>
        <c:axId val="4895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382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85000"/>
        <c:axId val="489589312"/>
      </c:scatterChart>
      <c:valAx>
        <c:axId val="48958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9312"/>
        <c:crosses val="autoZero"/>
        <c:crossBetween val="midCat"/>
      </c:valAx>
      <c:valAx>
        <c:axId val="4895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85392"/>
        <c:axId val="489585784"/>
      </c:scatterChart>
      <c:valAx>
        <c:axId val="4895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5784"/>
        <c:crosses val="autoZero"/>
        <c:crossBetween val="midCat"/>
      </c:valAx>
      <c:valAx>
        <c:axId val="4895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87744"/>
        <c:axId val="489588136"/>
      </c:scatterChart>
      <c:valAx>
        <c:axId val="4895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8136"/>
        <c:crosses val="autoZero"/>
        <c:crossBetween val="midCat"/>
      </c:valAx>
      <c:valAx>
        <c:axId val="489588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25512"/>
        <c:axId val="499024728"/>
      </c:scatterChart>
      <c:valAx>
        <c:axId val="4990255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99024728"/>
        <c:crosses val="autoZero"/>
        <c:crossBetween val="midCat"/>
      </c:valAx>
      <c:valAx>
        <c:axId val="499024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025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9800"/>
        <c:axId val="492327840"/>
      </c:scatterChart>
      <c:valAx>
        <c:axId val="49232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27840"/>
        <c:crosses val="autoZero"/>
        <c:crossBetween val="midCat"/>
      </c:valAx>
      <c:valAx>
        <c:axId val="49232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2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7056"/>
        <c:axId val="492329408"/>
      </c:scatterChart>
      <c:valAx>
        <c:axId val="492327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92329408"/>
        <c:crosses val="autoZero"/>
        <c:crossBetween val="midCat"/>
      </c:valAx>
      <c:valAx>
        <c:axId val="49232940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9232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CalPhotonTurnigy!$AH$4:$AH$14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CalPhotonTurnigy!$AQ$4:$AQ$14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8624"/>
        <c:axId val="492329016"/>
      </c:scatterChart>
      <c:valAx>
        <c:axId val="492328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92329016"/>
        <c:crosses val="autoZero"/>
        <c:crossBetween val="midCat"/>
        <c:dispUnits>
          <c:builtInUnit val="thousands"/>
          <c:dispUnitsLbl/>
        </c:dispUnits>
      </c:valAx>
      <c:valAx>
        <c:axId val="4923290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9232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CalPhotonTurnigy!$AM$2:$AM$14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7436.6059220942916</c:v>
                </c:pt>
                <c:pt idx="5">
                  <c:v>12338.893226620741</c:v>
                </c:pt>
                <c:pt idx="6">
                  <c:v>18656.823662026796</c:v>
                </c:pt>
                <c:pt idx="7">
                  <c:v>22479.714809147346</c:v>
                </c:pt>
                <c:pt idx="8">
                  <c:v>25936.589936771332</c:v>
                </c:pt>
                <c:pt idx="9">
                  <c:v>30885.574921077128</c:v>
                </c:pt>
                <c:pt idx="10">
                  <c:v>34019.675362601745</c:v>
                </c:pt>
                <c:pt idx="11">
                  <c:v>34930.575933126645</c:v>
                </c:pt>
                <c:pt idx="12">
                  <c:v>36198.302426845723</c:v>
                </c:pt>
              </c:numCache>
            </c:numRef>
          </c:xVal>
          <c:yVal>
            <c:numRef>
              <c:f>CalPhotonTurnigy!$AU$2:$AU$14</c:f>
              <c:numCache>
                <c:formatCode>General</c:formatCode>
                <c:ptCount val="13"/>
                <c:pt idx="6" formatCode="0.000">
                  <c:v>7.316426693911926E-2</c:v>
                </c:pt>
                <c:pt idx="7" formatCode="0.000">
                  <c:v>5.3960761109431862E-2</c:v>
                </c:pt>
                <c:pt idx="8" formatCode="0.000">
                  <c:v>4.6091732575128885E-2</c:v>
                </c:pt>
                <c:pt idx="9" formatCode="0.000">
                  <c:v>4.0011800836253233E-2</c:v>
                </c:pt>
                <c:pt idx="10" formatCode="0.000">
                  <c:v>3.7616118995942104E-2</c:v>
                </c:pt>
                <c:pt idx="11" formatCode="0.000">
                  <c:v>3.7046097136226967E-2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0784"/>
        <c:axId val="492323528"/>
      </c:scatterChart>
      <c:valAx>
        <c:axId val="49232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323528"/>
        <c:crosses val="autoZero"/>
        <c:crossBetween val="midCat"/>
      </c:valAx>
      <c:valAx>
        <c:axId val="49232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320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15688"/>
        <c:axId val="492314120"/>
      </c:scatterChart>
      <c:valAx>
        <c:axId val="492315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92314120"/>
        <c:crosses val="autoZero"/>
        <c:crossBetween val="midCat"/>
      </c:valAx>
      <c:valAx>
        <c:axId val="4923141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92315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9696"/>
        <c:axId val="157616168"/>
      </c:scatterChart>
      <c:valAx>
        <c:axId val="1576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6168"/>
        <c:crosses val="autoZero"/>
        <c:crossBetween val="midCat"/>
      </c:valAx>
      <c:valAx>
        <c:axId val="1576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abSelected="1" workbookViewId="0">
      <pane ySplit="1" topLeftCell="A2" activePane="bottomLeft" state="frozen"/>
      <selection pane="bottomLeft" activeCell="Z5" sqref="Z5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R14" si="4">O2/$W$40*100</f>
        <v>0</v>
      </c>
      <c r="R2" s="3">
        <f t="shared" si="4"/>
        <v>0</v>
      </c>
      <c r="S2" s="3">
        <f t="shared" ref="S2:S14" si="5">K2</f>
        <v>1E-3</v>
      </c>
      <c r="T2" s="4">
        <f t="shared" si="0"/>
        <v>0</v>
      </c>
      <c r="U2">
        <f t="shared" ref="U2:U3" si="6">T2*0.001341022</f>
        <v>0</v>
      </c>
      <c r="X2" s="4"/>
      <c r="Y2" s="4"/>
      <c r="Z2" s="4"/>
      <c r="AA2" s="4"/>
      <c r="AB2" s="97"/>
      <c r="AF2" s="95">
        <f t="shared" ref="AF2:AF8" si="7">C2/$AD$32*$AD$27</f>
        <v>2.7777777777777779E-5</v>
      </c>
      <c r="AG2" s="95">
        <f t="shared" ref="AG2:AG14" si="8">AF2/$AD$27*$AD$32</f>
        <v>1E-3</v>
      </c>
      <c r="AH2" s="96">
        <f t="shared" ref="AH2:AH14" si="9">MAX(($AD$35+$AE$35*LN($AG2)),0)</f>
        <v>0</v>
      </c>
      <c r="AI2" s="96">
        <f>MAX(($AD$35+$AE$35*LN($AG2))/$AD$31,0)</f>
        <v>0</v>
      </c>
      <c r="AJ2" s="96">
        <f t="shared" ref="AJ2:AJ14" si="10">($AD$36+$AE$36*AI2*$AD$31)/$AD$31</f>
        <v>-22.518313374985873</v>
      </c>
      <c r="AK2" s="96">
        <f t="shared" ref="AK2:AK14" si="11">($AD$37+$AE$37*AJ2*$AD$31)/$AD$31</f>
        <v>0.50486728578350204</v>
      </c>
      <c r="AM2">
        <f t="shared" ref="AM2:AM5" si="12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4"/>
        <v>0</v>
      </c>
      <c r="S3" s="3">
        <f t="shared" si="5"/>
        <v>7.361501228839896</v>
      </c>
      <c r="T3" s="4">
        <f t="shared" si="0"/>
        <v>0</v>
      </c>
      <c r="U3">
        <f t="shared" si="6"/>
        <v>0</v>
      </c>
      <c r="X3" s="4"/>
      <c r="Y3" s="4">
        <f>64/45</f>
        <v>1.4222222222222223</v>
      </c>
      <c r="Z3" s="4">
        <f>28/19</f>
        <v>1.4736842105263157</v>
      </c>
      <c r="AA3" s="4"/>
      <c r="AB3" s="97"/>
      <c r="AF3" s="95">
        <f t="shared" si="7"/>
        <v>0.20448614524555267</v>
      </c>
      <c r="AG3" s="95">
        <f t="shared" si="8"/>
        <v>7.361501228839896</v>
      </c>
      <c r="AH3" s="96">
        <f t="shared" si="9"/>
        <v>0</v>
      </c>
      <c r="AI3" s="96">
        <f t="shared" ref="AI3:AI14" si="13">MAX(($AD$35+$AE$35*LN(AG3))/$AD$31,0)</f>
        <v>0</v>
      </c>
      <c r="AJ3" s="96">
        <f t="shared" si="10"/>
        <v>-22.518313374985873</v>
      </c>
      <c r="AK3" s="96">
        <f t="shared" si="11"/>
        <v>0.50486728578350204</v>
      </c>
      <c r="AM3">
        <f t="shared" si="12"/>
        <v>0</v>
      </c>
      <c r="AN3" s="127">
        <f t="shared" ref="AN3:AN14" si="14">MAX($AD$39+$AH3*($AE$39+$AH3*$AF$39), 0)</f>
        <v>0</v>
      </c>
      <c r="AO3" s="127"/>
      <c r="AP3" t="e">
        <f>AO3/AH3*2</f>
        <v>#DIV/0!</v>
      </c>
      <c r="AR3" s="127">
        <f t="shared" ref="AR3:AR14" si="15">MAX($AD$39+$AM3*($AE$39+$AM3*$AF$39), 0)</f>
        <v>0</v>
      </c>
      <c r="AS3" s="127">
        <f t="shared" ref="AS3:AS14" si="16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7">1/G4/0.000001</f>
        <v>149.25373134328359</v>
      </c>
      <c r="N4" s="3">
        <f t="shared" si="17"/>
        <v>0.01</v>
      </c>
      <c r="O4" s="3">
        <f t="shared" ref="O4:P13" si="18">M4*60/$W$27</f>
        <v>8955.2238805970155</v>
      </c>
      <c r="P4" s="3">
        <f t="shared" si="18"/>
        <v>0.6</v>
      </c>
      <c r="Q4" s="3">
        <f t="shared" si="4"/>
        <v>19.434079601990049</v>
      </c>
      <c r="R4" s="3">
        <f t="shared" si="4"/>
        <v>1.3020833333333333E-3</v>
      </c>
      <c r="S4" s="3">
        <f t="shared" si="5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9">U4/O4*5252</f>
        <v>4.6669345940807206E-3</v>
      </c>
      <c r="W4">
        <f t="shared" ref="W4:W13" si="20">-V4/2/O4</f>
        <v>-2.6057051483617353E-7</v>
      </c>
      <c r="X4" s="4"/>
      <c r="Y4" s="4">
        <f>5/Y3</f>
        <v>3.515625</v>
      </c>
      <c r="Z4" s="4">
        <f>5/Z3</f>
        <v>3.3928571428571432</v>
      </c>
      <c r="AA4" s="4"/>
      <c r="AB4" s="97"/>
      <c r="AF4" s="95">
        <f t="shared" si="7"/>
        <v>0.22222222222222224</v>
      </c>
      <c r="AG4" s="95">
        <f t="shared" si="8"/>
        <v>8</v>
      </c>
      <c r="AH4" s="96">
        <f t="shared" si="9"/>
        <v>1180.2918436956534</v>
      </c>
      <c r="AI4" s="96">
        <f t="shared" si="13"/>
        <v>2.5613972302423034</v>
      </c>
      <c r="AJ4" s="96">
        <f t="shared" si="10"/>
        <v>-19.888386066225014</v>
      </c>
      <c r="AK4" s="96">
        <f t="shared" si="11"/>
        <v>3.0452304636888843</v>
      </c>
      <c r="AM4">
        <f t="shared" si="12"/>
        <v>0</v>
      </c>
      <c r="AN4" s="127">
        <f t="shared" si="14"/>
        <v>0</v>
      </c>
      <c r="AO4" s="127">
        <f t="shared" ref="AO4:AO7" si="21">AN4/AH4*5252</f>
        <v>0</v>
      </c>
      <c r="AP4">
        <f>AO4/AH4*2</f>
        <v>0</v>
      </c>
      <c r="AQ4" s="95"/>
      <c r="AR4" s="127">
        <f t="shared" si="15"/>
        <v>0</v>
      </c>
      <c r="AS4" s="127">
        <f t="shared" si="16"/>
        <v>0</v>
      </c>
      <c r="AU4" s="95"/>
      <c r="AV4" s="128">
        <f>$W$31/$W$30</f>
        <v>1.0526315789473683E-4</v>
      </c>
      <c r="AW4" t="e">
        <f t="shared" ref="AW4:AW14" si="22">$W$33/$W$30/$W$28/AP4</f>
        <v>#DIV/0!</v>
      </c>
    </row>
    <row r="5" spans="1:49" ht="15" customHeight="1" x14ac:dyDescent="0.3">
      <c r="B5" s="113">
        <f t="shared" ref="B5:B24" si="23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4">LN(K5)</f>
        <v>2.5649493574615367</v>
      </c>
      <c r="M5" s="3">
        <f t="shared" si="17"/>
        <v>216.45021645021646</v>
      </c>
      <c r="N5" s="3">
        <f t="shared" si="17"/>
        <v>0.01</v>
      </c>
      <c r="O5" s="3">
        <f t="shared" si="18"/>
        <v>12987.012987012988</v>
      </c>
      <c r="P5" s="3">
        <f t="shared" si="18"/>
        <v>0.6</v>
      </c>
      <c r="Q5" s="3">
        <f t="shared" si="4"/>
        <v>28.183621933621932</v>
      </c>
      <c r="R5" s="3">
        <f t="shared" si="4"/>
        <v>1.3020833333333333E-3</v>
      </c>
      <c r="S5" s="3">
        <f t="shared" si="5"/>
        <v>13</v>
      </c>
      <c r="T5" s="4">
        <f t="shared" si="0"/>
        <v>7.3968000000000007</v>
      </c>
      <c r="U5">
        <f>T5*0.001341022</f>
        <v>9.9192715296000013E-3</v>
      </c>
      <c r="V5" s="127">
        <f t="shared" si="19"/>
        <v>4.011393083656359E-3</v>
      </c>
      <c r="W5">
        <f t="shared" si="20"/>
        <v>-1.5443863372076981E-7</v>
      </c>
      <c r="AB5" s="97"/>
      <c r="AF5" s="95">
        <f t="shared" si="7"/>
        <v>0.36111111111111105</v>
      </c>
      <c r="AG5" s="95">
        <f t="shared" si="8"/>
        <v>12.999999999999998</v>
      </c>
      <c r="AH5" s="96">
        <f t="shared" si="9"/>
        <v>8069.6528312921109</v>
      </c>
      <c r="AI5" s="96">
        <f t="shared" si="13"/>
        <v>17.512267429019339</v>
      </c>
      <c r="AJ5" s="96">
        <f t="shared" si="10"/>
        <v>-4.5375059445255612</v>
      </c>
      <c r="AK5" s="96">
        <f t="shared" si="11"/>
        <v>17.873324943600256</v>
      </c>
      <c r="AM5">
        <f t="shared" si="12"/>
        <v>0</v>
      </c>
      <c r="AN5" s="127">
        <f t="shared" si="14"/>
        <v>0</v>
      </c>
      <c r="AO5" s="127">
        <f t="shared" si="21"/>
        <v>0</v>
      </c>
      <c r="AP5">
        <f t="shared" ref="AP5:AP14" si="25">AO5/AH5*2</f>
        <v>0</v>
      </c>
      <c r="AQ5" s="95"/>
      <c r="AR5" s="127">
        <f t="shared" si="15"/>
        <v>0</v>
      </c>
      <c r="AS5" s="127">
        <f t="shared" si="16"/>
        <v>0</v>
      </c>
      <c r="AU5" s="95"/>
      <c r="AV5" s="128">
        <f t="shared" ref="AV5:AV14" si="26">$W$31/$W$30</f>
        <v>1.0526315789473683E-4</v>
      </c>
      <c r="AW5" t="e">
        <f t="shared" si="22"/>
        <v>#DIV/0!</v>
      </c>
    </row>
    <row r="6" spans="1:49" ht="15" customHeight="1" x14ac:dyDescent="0.3">
      <c r="A6">
        <v>28</v>
      </c>
      <c r="B6" s="113">
        <f t="shared" si="23"/>
        <v>1.1388888888888888</v>
      </c>
      <c r="C6" s="140">
        <v>25</v>
      </c>
      <c r="D6" s="141">
        <v>0.61099999999999999</v>
      </c>
      <c r="E6" s="73">
        <v>13.77</v>
      </c>
      <c r="F6" s="106">
        <v>1.48</v>
      </c>
      <c r="G6" s="73">
        <v>3260</v>
      </c>
      <c r="H6" s="140">
        <v>6740</v>
      </c>
      <c r="I6" s="78">
        <v>4.08</v>
      </c>
      <c r="J6" s="2">
        <f>E6*F6</f>
        <v>20.3796</v>
      </c>
      <c r="K6" s="1">
        <f t="shared" si="2"/>
        <v>25</v>
      </c>
      <c r="L6" s="1">
        <f t="shared" si="24"/>
        <v>3.2188758248682006</v>
      </c>
      <c r="M6" s="3">
        <f t="shared" si="17"/>
        <v>306.74846625766872</v>
      </c>
      <c r="N6" s="3">
        <f t="shared" si="17"/>
        <v>148.36795252225519</v>
      </c>
      <c r="O6" s="3">
        <f t="shared" si="18"/>
        <v>18404.907975460123</v>
      </c>
      <c r="P6" s="3">
        <f t="shared" si="18"/>
        <v>8902.077151335312</v>
      </c>
      <c r="Q6" s="3">
        <f t="shared" si="4"/>
        <v>39.941206543967276</v>
      </c>
      <c r="R6" s="3">
        <f t="shared" si="4"/>
        <v>19.31874381800198</v>
      </c>
      <c r="S6" s="3">
        <f t="shared" si="5"/>
        <v>25</v>
      </c>
      <c r="T6" s="4">
        <f t="shared" si="0"/>
        <v>20.3796</v>
      </c>
      <c r="U6">
        <f>T6*0.001341022</f>
        <v>2.7329491951200002E-2</v>
      </c>
      <c r="V6" s="127">
        <f t="shared" si="19"/>
        <v>7.7987073838718312E-3</v>
      </c>
      <c r="W6">
        <f t="shared" si="20"/>
        <v>-2.118648839285181E-7</v>
      </c>
      <c r="AB6" s="97"/>
      <c r="AF6" s="95">
        <f t="shared" si="7"/>
        <v>0.69444444444444442</v>
      </c>
      <c r="AG6" s="95">
        <f t="shared" si="8"/>
        <v>25</v>
      </c>
      <c r="AH6" s="96">
        <f t="shared" si="9"/>
        <v>17348.876248230645</v>
      </c>
      <c r="AI6" s="96">
        <f t="shared" si="13"/>
        <v>37.649471024806083</v>
      </c>
      <c r="AJ6" s="96">
        <f t="shared" si="10"/>
        <v>16.138467712878235</v>
      </c>
      <c r="AK6" s="96">
        <f t="shared" si="11"/>
        <v>37.845162937616266</v>
      </c>
      <c r="AM6">
        <f>MAX($AD$36+$AE$36*AH6, 0)</f>
        <v>7436.6059220942916</v>
      </c>
      <c r="AN6" s="127">
        <f t="shared" si="14"/>
        <v>1.4843385324309564E-2</v>
      </c>
      <c r="AO6" s="127">
        <f t="shared" si="21"/>
        <v>4.4935163873351426E-3</v>
      </c>
      <c r="AP6">
        <f t="shared" si="25"/>
        <v>5.1801814976845215E-7</v>
      </c>
      <c r="AQ6" s="95">
        <f t="shared" ref="AQ6:AQ13" si="27">$W$34/AP6</f>
        <v>8.6869543123372139E-2</v>
      </c>
      <c r="AR6" s="127">
        <f t="shared" si="15"/>
        <v>0</v>
      </c>
      <c r="AS6" s="127">
        <f t="shared" si="16"/>
        <v>0</v>
      </c>
      <c r="AT6">
        <f t="shared" ref="AT6:AT8" si="28">AS6/AM6*2</f>
        <v>0</v>
      </c>
      <c r="AU6" s="95"/>
      <c r="AV6" s="128">
        <f t="shared" si="26"/>
        <v>1.0526315789473683E-4</v>
      </c>
      <c r="AW6">
        <f t="shared" si="22"/>
        <v>140.36831132451306</v>
      </c>
    </row>
    <row r="7" spans="1:49" ht="13.95" customHeight="1" x14ac:dyDescent="0.3">
      <c r="B7" s="113">
        <f t="shared" si="23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9">E7*F7</f>
        <v>29.981099999999998</v>
      </c>
      <c r="K7" s="1">
        <f t="shared" si="2"/>
        <v>35</v>
      </c>
      <c r="L7" s="1">
        <f t="shared" si="24"/>
        <v>3.5553480614894135</v>
      </c>
      <c r="M7" s="3">
        <f t="shared" si="17"/>
        <v>373.13432835820896</v>
      </c>
      <c r="N7" s="3">
        <f t="shared" si="17"/>
        <v>220.65313327449252</v>
      </c>
      <c r="O7" s="3">
        <f t="shared" si="18"/>
        <v>22388.059701492537</v>
      </c>
      <c r="P7" s="3">
        <f t="shared" si="18"/>
        <v>13239.187996469551</v>
      </c>
      <c r="Q7" s="3">
        <f t="shared" si="4"/>
        <v>48.585199004975124</v>
      </c>
      <c r="R7" s="3">
        <f t="shared" si="4"/>
        <v>28.730876728449545</v>
      </c>
      <c r="S7" s="3">
        <f t="shared" si="5"/>
        <v>35</v>
      </c>
      <c r="T7" s="4">
        <f t="shared" si="0"/>
        <v>29.981099999999998</v>
      </c>
      <c r="U7">
        <f t="shared" ref="U7:U14" si="30">T7*0.001341022</f>
        <v>4.0205314684200001E-2</v>
      </c>
      <c r="V7" s="127">
        <f t="shared" si="19"/>
        <v>9.4317379682233565E-3</v>
      </c>
      <c r="W7">
        <f t="shared" si="20"/>
        <v>-2.106421479569883E-7</v>
      </c>
      <c r="X7">
        <v>0.18</v>
      </c>
      <c r="Y7">
        <f t="shared" ref="Y7:Y12" si="31">-X7*W7</f>
        <v>3.7915586632257891E-8</v>
      </c>
      <c r="Z7">
        <f t="shared" ref="Z7:Z12" si="32">Y7/6.66*2048.5</f>
        <v>1.1662174056483527E-5</v>
      </c>
      <c r="AA7">
        <f t="shared" ref="AA7:AA12" si="33">Z7*144</f>
        <v>1.6793530641336278E-3</v>
      </c>
      <c r="AB7" s="97"/>
      <c r="AF7" s="95">
        <f t="shared" si="7"/>
        <v>0.97222222222222221</v>
      </c>
      <c r="AG7" s="95">
        <f t="shared" si="8"/>
        <v>35</v>
      </c>
      <c r="AH7" s="96">
        <f t="shared" si="9"/>
        <v>22123.420807632323</v>
      </c>
      <c r="AI7" s="96">
        <f t="shared" si="13"/>
        <v>48.010895849896535</v>
      </c>
      <c r="AJ7" s="96">
        <f t="shared" si="10"/>
        <v>26.777112036937371</v>
      </c>
      <c r="AK7" s="96">
        <f t="shared" si="11"/>
        <v>48.121500315323402</v>
      </c>
      <c r="AM7">
        <f t="shared" ref="AM7:AM14" si="34">MAX($AD$36+$AE$36*AH7, 0)</f>
        <v>12338.893226620741</v>
      </c>
      <c r="AN7" s="127">
        <f t="shared" si="14"/>
        <v>3.8056725878256127E-2</v>
      </c>
      <c r="AO7" s="127">
        <f t="shared" si="21"/>
        <v>9.0344945318604156E-3</v>
      </c>
      <c r="AP7">
        <f t="shared" si="25"/>
        <v>8.1673576707844562E-7</v>
      </c>
      <c r="AQ7" s="95">
        <f t="shared" si="27"/>
        <v>5.5097378875630716E-2</v>
      </c>
      <c r="AR7" s="127">
        <f t="shared" si="15"/>
        <v>0</v>
      </c>
      <c r="AS7" s="127">
        <f t="shared" si="16"/>
        <v>0</v>
      </c>
      <c r="AT7">
        <f t="shared" si="28"/>
        <v>0</v>
      </c>
      <c r="AU7" s="95"/>
      <c r="AV7" s="128">
        <f t="shared" si="26"/>
        <v>1.0526315789473683E-4</v>
      </c>
      <c r="AW7">
        <f t="shared" si="22"/>
        <v>89.02920118038908</v>
      </c>
    </row>
    <row r="8" spans="1:49" ht="13.95" customHeight="1" x14ac:dyDescent="0.3">
      <c r="B8" s="113">
        <f t="shared" si="23"/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si="29"/>
        <v>53.526600000000002</v>
      </c>
      <c r="K8" s="1">
        <f t="shared" si="2"/>
        <v>54</v>
      </c>
      <c r="L8" s="1">
        <f t="shared" si="24"/>
        <v>3.9889840465642745</v>
      </c>
      <c r="M8" s="3">
        <f t="shared" si="17"/>
        <v>465.11627906976747</v>
      </c>
      <c r="N8" s="3">
        <f t="shared" si="17"/>
        <v>314.46540880503147</v>
      </c>
      <c r="O8" s="3">
        <f t="shared" si="18"/>
        <v>27906.976744186049</v>
      </c>
      <c r="P8" s="3">
        <f t="shared" si="18"/>
        <v>18867.92452830189</v>
      </c>
      <c r="Q8" s="3">
        <f t="shared" si="4"/>
        <v>60.562015503875976</v>
      </c>
      <c r="R8" s="3">
        <f t="shared" si="4"/>
        <v>40.946016771488473</v>
      </c>
      <c r="S8" s="3">
        <f t="shared" si="5"/>
        <v>54</v>
      </c>
      <c r="T8" s="4">
        <f t="shared" si="0"/>
        <v>53.526600000000002</v>
      </c>
      <c r="U8">
        <f t="shared" si="30"/>
        <v>7.1780348185200002E-2</v>
      </c>
      <c r="V8" s="127">
        <f t="shared" si="19"/>
        <v>1.3508822260627353E-2</v>
      </c>
      <c r="W8">
        <f t="shared" si="20"/>
        <v>-2.4203306550290671E-7</v>
      </c>
      <c r="X8">
        <v>0.18</v>
      </c>
      <c r="Y8">
        <f t="shared" si="31"/>
        <v>4.3565951790523206E-8</v>
      </c>
      <c r="Z8">
        <f t="shared" si="32"/>
        <v>1.3400127964397415E-5</v>
      </c>
      <c r="AA8">
        <f t="shared" si="33"/>
        <v>1.9296184268732279E-3</v>
      </c>
      <c r="AB8" s="97"/>
      <c r="AF8" s="95">
        <f t="shared" si="7"/>
        <v>1.5</v>
      </c>
      <c r="AG8" s="95">
        <f t="shared" si="8"/>
        <v>54</v>
      </c>
      <c r="AH8" s="96">
        <f t="shared" si="9"/>
        <v>28276.719974572956</v>
      </c>
      <c r="AI8" s="96">
        <f t="shared" si="13"/>
        <v>61.364409667042004</v>
      </c>
      <c r="AJ8" s="96">
        <f t="shared" si="10"/>
        <v>40.487898572106751</v>
      </c>
      <c r="AK8" s="96">
        <f t="shared" si="11"/>
        <v>61.365355815830107</v>
      </c>
      <c r="AM8">
        <f t="shared" si="34"/>
        <v>18656.823662026796</v>
      </c>
      <c r="AN8" s="127">
        <f t="shared" si="14"/>
        <v>8.0150286593492603E-2</v>
      </c>
      <c r="AO8" s="127">
        <f>AN8/AH8*5252</f>
        <v>1.488677985167834E-2</v>
      </c>
      <c r="AP8">
        <f t="shared" si="25"/>
        <v>1.0529354087082843E-6</v>
      </c>
      <c r="AQ8" s="95">
        <f t="shared" si="27"/>
        <v>4.2737664274397333E-2</v>
      </c>
      <c r="AR8" s="127">
        <f t="shared" si="15"/>
        <v>2.0381408268167943E-2</v>
      </c>
      <c r="AS8" s="127">
        <f t="shared" si="16"/>
        <v>5.7374801929595621E-3</v>
      </c>
      <c r="AT8">
        <f t="shared" si="28"/>
        <v>6.1505434117784517E-7</v>
      </c>
      <c r="AU8" s="95">
        <f t="shared" ref="AU8:AU13" si="35">$W$34/AT8</f>
        <v>7.316426693911926E-2</v>
      </c>
      <c r="AV8" s="128">
        <f t="shared" si="26"/>
        <v>1.0526315789473683E-4</v>
      </c>
      <c r="AW8">
        <f t="shared" si="22"/>
        <v>69.057733567578751</v>
      </c>
    </row>
    <row r="9" spans="1:49" ht="13.95" customHeight="1" x14ac:dyDescent="0.3">
      <c r="A9">
        <v>64</v>
      </c>
      <c r="B9" s="113">
        <f t="shared" si="23"/>
        <v>1.3555555555555556</v>
      </c>
      <c r="C9" s="140">
        <v>64</v>
      </c>
      <c r="D9" s="140">
        <v>1.41</v>
      </c>
      <c r="E9" s="73">
        <v>13.54</v>
      </c>
      <c r="F9" s="140">
        <v>4.6100000000000003</v>
      </c>
      <c r="G9" s="73">
        <v>2020</v>
      </c>
      <c r="H9" s="140">
        <v>2870</v>
      </c>
      <c r="I9" s="78">
        <v>9</v>
      </c>
      <c r="J9" s="2">
        <f t="shared" si="29"/>
        <v>62.419400000000003</v>
      </c>
      <c r="K9" s="1">
        <f t="shared" si="2"/>
        <v>64</v>
      </c>
      <c r="L9" s="1">
        <f t="shared" si="24"/>
        <v>4.1588830833596715</v>
      </c>
      <c r="M9" s="3">
        <f t="shared" si="17"/>
        <v>495.04950495049508</v>
      </c>
      <c r="N9" s="3">
        <f t="shared" si="17"/>
        <v>348.43205574912895</v>
      </c>
      <c r="O9" s="3">
        <f t="shared" si="18"/>
        <v>29702.970297029704</v>
      </c>
      <c r="P9" s="3">
        <f t="shared" si="18"/>
        <v>20905.923344947736</v>
      </c>
      <c r="Q9" s="3">
        <f t="shared" si="4"/>
        <v>64.459570957095707</v>
      </c>
      <c r="R9" s="3">
        <f t="shared" si="4"/>
        <v>45.368757259001164</v>
      </c>
      <c r="S9" s="3">
        <f t="shared" si="5"/>
        <v>64</v>
      </c>
      <c r="T9" s="4">
        <f t="shared" si="0"/>
        <v>62.419400000000003</v>
      </c>
      <c r="U9">
        <f t="shared" si="30"/>
        <v>8.3705788626800004E-2</v>
      </c>
      <c r="V9" s="127">
        <f t="shared" si="19"/>
        <v>1.4800634329554439E-2</v>
      </c>
      <c r="W9">
        <f t="shared" si="20"/>
        <v>-2.4914401121416636E-7</v>
      </c>
      <c r="X9">
        <v>0.18</v>
      </c>
      <c r="Y9">
        <f t="shared" si="31"/>
        <v>4.484592201854994E-8</v>
      </c>
      <c r="Z9">
        <f t="shared" si="32"/>
        <v>1.3793824512762695E-5</v>
      </c>
      <c r="AA9">
        <f t="shared" si="33"/>
        <v>1.986310729837828E-3</v>
      </c>
      <c r="AB9" s="97"/>
      <c r="AF9" s="95"/>
      <c r="AG9" s="134">
        <v>70.201599999999999</v>
      </c>
      <c r="AH9" s="135">
        <f t="shared" si="9"/>
        <v>31999.995048805355</v>
      </c>
      <c r="AI9" s="135">
        <f t="shared" si="13"/>
        <v>69.444433699664401</v>
      </c>
      <c r="AJ9" s="135">
        <f t="shared" si="10"/>
        <v>48.784103318462122</v>
      </c>
      <c r="AK9" s="135">
        <f t="shared" si="11"/>
        <v>69.37902713815086</v>
      </c>
      <c r="AL9" s="136"/>
      <c r="AM9" s="136">
        <f t="shared" si="34"/>
        <v>22479.714809147346</v>
      </c>
      <c r="AN9" s="137">
        <f t="shared" si="14"/>
        <v>0.11227974297099894</v>
      </c>
      <c r="AO9" s="137">
        <f t="shared" ref="AO9:AO14" si="36">AN9/AH9*5252</f>
        <v>1.8427915666371371E-2</v>
      </c>
      <c r="AP9" s="136">
        <f t="shared" si="25"/>
        <v>1.1517449073517487E-6</v>
      </c>
      <c r="AQ9" s="134">
        <f t="shared" si="27"/>
        <v>3.9071151704477884E-2</v>
      </c>
      <c r="AR9" s="137">
        <f t="shared" si="15"/>
        <v>4.0120037327949339E-2</v>
      </c>
      <c r="AS9" s="137">
        <f t="shared" si="16"/>
        <v>9.373358952073918E-3</v>
      </c>
      <c r="AT9" s="136">
        <f>AS9/AM9*2</f>
        <v>8.3393931210014752E-7</v>
      </c>
      <c r="AU9" s="134">
        <f t="shared" si="35"/>
        <v>5.3960761109431862E-2</v>
      </c>
      <c r="AV9" s="138">
        <f t="shared" si="26"/>
        <v>1.0526315789473683E-4</v>
      </c>
      <c r="AW9" s="136">
        <f t="shared" si="22"/>
        <v>63.133192475440495</v>
      </c>
    </row>
    <row r="10" spans="1:49" ht="13.95" customHeight="1" x14ac:dyDescent="0.3">
      <c r="B10" s="113">
        <f t="shared" si="23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9"/>
        <v>88.904499999999999</v>
      </c>
      <c r="K10" s="1">
        <f t="shared" si="2"/>
        <v>89</v>
      </c>
      <c r="L10" s="1">
        <f t="shared" si="24"/>
        <v>4.4886363697321396</v>
      </c>
      <c r="M10" s="3">
        <f t="shared" si="17"/>
        <v>564.9717514124294</v>
      </c>
      <c r="N10" s="3">
        <f t="shared" si="17"/>
        <v>416.66666666666669</v>
      </c>
      <c r="O10" s="3">
        <f t="shared" si="18"/>
        <v>33898.305084745763</v>
      </c>
      <c r="P10" s="3">
        <f t="shared" si="18"/>
        <v>25000</v>
      </c>
      <c r="Q10" s="3">
        <f t="shared" si="4"/>
        <v>73.56403013182674</v>
      </c>
      <c r="R10" s="3">
        <f t="shared" si="4"/>
        <v>54.253472222222221</v>
      </c>
      <c r="S10" s="3">
        <f t="shared" si="5"/>
        <v>89</v>
      </c>
      <c r="T10" s="4">
        <f t="shared" si="0"/>
        <v>88.904499999999999</v>
      </c>
      <c r="U10">
        <f t="shared" si="30"/>
        <v>0.11922289039900001</v>
      </c>
      <c r="V10" s="127">
        <f t="shared" si="19"/>
        <v>1.8471679301078667E-2</v>
      </c>
      <c r="W10">
        <f t="shared" si="20"/>
        <v>-2.7245726969091031E-7</v>
      </c>
      <c r="X10">
        <v>0.18</v>
      </c>
      <c r="Y10">
        <f t="shared" si="31"/>
        <v>4.9042308544363851E-8</v>
      </c>
      <c r="Z10">
        <f t="shared" si="32"/>
        <v>1.508455991788729E-5</v>
      </c>
      <c r="AA10">
        <f t="shared" si="33"/>
        <v>2.1721766281757697E-3</v>
      </c>
      <c r="AB10" s="97"/>
      <c r="AF10" s="95">
        <f>C10/$AD$32*$AD$27</f>
        <v>2.4722222222222223</v>
      </c>
      <c r="AG10" s="95">
        <f t="shared" si="8"/>
        <v>89</v>
      </c>
      <c r="AH10" s="96">
        <f t="shared" si="9"/>
        <v>35366.791670025093</v>
      </c>
      <c r="AI10" s="96">
        <f t="shared" si="13"/>
        <v>76.75084997835306</v>
      </c>
      <c r="AJ10" s="96">
        <f t="shared" si="10"/>
        <v>56.286002466951658</v>
      </c>
      <c r="AK10" s="96">
        <f t="shared" si="11"/>
        <v>76.625443530610752</v>
      </c>
      <c r="AM10">
        <f t="shared" si="34"/>
        <v>25936.589936771332</v>
      </c>
      <c r="AN10" s="127">
        <f t="shared" si="14"/>
        <v>0.14565577213038161</v>
      </c>
      <c r="AO10" s="127">
        <f t="shared" si="36"/>
        <v>2.1630011632554215E-2</v>
      </c>
      <c r="AP10">
        <f t="shared" si="25"/>
        <v>1.2231820083859401E-6</v>
      </c>
      <c r="AQ10" s="95">
        <f t="shared" si="27"/>
        <v>3.6789291938147554E-2</v>
      </c>
      <c r="AR10" s="127">
        <f t="shared" si="15"/>
        <v>6.252598165345484E-2</v>
      </c>
      <c r="AS10" s="127">
        <f t="shared" si="16"/>
        <v>1.2661126865347027E-2</v>
      </c>
      <c r="AT10">
        <f t="shared" ref="AT10:AT14" si="37">AS10/AM10*2</f>
        <v>9.7631391761311258E-7</v>
      </c>
      <c r="AU10" s="95">
        <f t="shared" si="35"/>
        <v>4.6091732575128885E-2</v>
      </c>
      <c r="AV10" s="128">
        <f t="shared" si="26"/>
        <v>1.0526315789473683E-4</v>
      </c>
      <c r="AW10">
        <f t="shared" si="22"/>
        <v>59.446045167387481</v>
      </c>
    </row>
    <row r="11" spans="1:49" ht="13.95" customHeight="1" x14ac:dyDescent="0.3">
      <c r="B11" s="113">
        <f t="shared" si="23"/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si="29"/>
        <v>135.96</v>
      </c>
      <c r="K11" s="1">
        <f t="shared" si="2"/>
        <v>125</v>
      </c>
      <c r="L11" s="1">
        <f t="shared" si="24"/>
        <v>4.8283137373023015</v>
      </c>
      <c r="M11" s="3">
        <f t="shared" si="17"/>
        <v>657.89473684210532</v>
      </c>
      <c r="N11" s="3">
        <f t="shared" si="17"/>
        <v>500.00000000000006</v>
      </c>
      <c r="O11" s="3">
        <f t="shared" si="18"/>
        <v>39473.68421052632</v>
      </c>
      <c r="P11" s="3">
        <f t="shared" si="18"/>
        <v>30000.000000000004</v>
      </c>
      <c r="Q11" s="3">
        <f t="shared" si="4"/>
        <v>85.663377192982466</v>
      </c>
      <c r="R11" s="3">
        <f t="shared" si="4"/>
        <v>65.104166666666671</v>
      </c>
      <c r="S11" s="3">
        <f t="shared" si="5"/>
        <v>125</v>
      </c>
      <c r="T11" s="4">
        <f t="shared" si="0"/>
        <v>135.96</v>
      </c>
      <c r="U11">
        <f t="shared" si="30"/>
        <v>0.18232535112000003</v>
      </c>
      <c r="V11" s="127">
        <f t="shared" si="19"/>
        <v>2.4258509516750081E-2</v>
      </c>
      <c r="W11">
        <f t="shared" si="20"/>
        <v>-3.072744538788343E-7</v>
      </c>
      <c r="X11">
        <v>0.14000000000000001</v>
      </c>
      <c r="Y11">
        <f t="shared" si="31"/>
        <v>4.3018423543036807E-8</v>
      </c>
      <c r="Z11">
        <f t="shared" si="32"/>
        <v>1.3231717811998633E-5</v>
      </c>
      <c r="AA11">
        <f t="shared" si="33"/>
        <v>1.9053673649278033E-3</v>
      </c>
      <c r="AB11" s="97"/>
      <c r="AF11" s="95">
        <f>C11/$AD$32*$AD$27</f>
        <v>3.4722222222222223</v>
      </c>
      <c r="AG11" s="95">
        <f t="shared" si="8"/>
        <v>125</v>
      </c>
      <c r="AH11" s="96">
        <f t="shared" si="9"/>
        <v>40186.817071139434</v>
      </c>
      <c r="AI11" s="96">
        <f t="shared" si="13"/>
        <v>87.210974546743557</v>
      </c>
      <c r="AJ11" s="96">
        <f t="shared" si="10"/>
        <v>67.025987241920831</v>
      </c>
      <c r="AK11" s="96">
        <f t="shared" si="11"/>
        <v>86.999670134786854</v>
      </c>
      <c r="AM11">
        <f t="shared" si="34"/>
        <v>30885.574921077128</v>
      </c>
      <c r="AN11" s="127">
        <f t="shared" si="14"/>
        <v>0.20058398668919561</v>
      </c>
      <c r="AO11" s="127">
        <f t="shared" si="36"/>
        <v>2.621424573702338E-2</v>
      </c>
      <c r="AP11">
        <f t="shared" si="25"/>
        <v>1.3046191585971313E-6</v>
      </c>
      <c r="AQ11" s="95">
        <f t="shared" si="27"/>
        <v>3.4492824747713272E-2</v>
      </c>
      <c r="AR11" s="127">
        <f t="shared" si="15"/>
        <v>0.10213652605116302</v>
      </c>
      <c r="AS11" s="127">
        <f t="shared" si="16"/>
        <v>1.7368011966474368E-2</v>
      </c>
      <c r="AT11">
        <f t="shared" si="37"/>
        <v>1.1246681993685008E-6</v>
      </c>
      <c r="AU11" s="95">
        <f t="shared" si="35"/>
        <v>4.0011800836253233E-2</v>
      </c>
      <c r="AV11" s="128">
        <f t="shared" si="26"/>
        <v>1.0526315789473683E-4</v>
      </c>
      <c r="AW11">
        <f t="shared" si="22"/>
        <v>55.735294426179998</v>
      </c>
    </row>
    <row r="12" spans="1:49" ht="13.95" customHeight="1" x14ac:dyDescent="0.3">
      <c r="B12" s="113">
        <f t="shared" si="23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9"/>
        <v>192.75</v>
      </c>
      <c r="K12" s="1">
        <f t="shared" si="2"/>
        <v>155</v>
      </c>
      <c r="L12" s="1">
        <f t="shared" si="24"/>
        <v>5.0434251169192468</v>
      </c>
      <c r="M12" s="3">
        <f t="shared" si="17"/>
        <v>733.13782991202345</v>
      </c>
      <c r="N12" s="3">
        <f t="shared" si="17"/>
        <v>574.71264367816093</v>
      </c>
      <c r="O12" s="3">
        <f t="shared" si="18"/>
        <v>43988.269794721404</v>
      </c>
      <c r="P12" s="3">
        <f t="shared" si="18"/>
        <v>34482.758620689652</v>
      </c>
      <c r="Q12" s="3">
        <f t="shared" si="4"/>
        <v>95.460654936461381</v>
      </c>
      <c r="R12" s="3">
        <f t="shared" si="4"/>
        <v>74.83237547892719</v>
      </c>
      <c r="S12" s="3">
        <f t="shared" si="5"/>
        <v>155</v>
      </c>
      <c r="T12" s="4">
        <f t="shared" si="0"/>
        <v>192.75</v>
      </c>
      <c r="U12">
        <f t="shared" si="30"/>
        <v>0.25848199050000004</v>
      </c>
      <c r="V12" s="127">
        <f t="shared" si="19"/>
        <v>3.0861577880676404E-2</v>
      </c>
      <c r="W12">
        <f t="shared" si="20"/>
        <v>-3.5079326857702185E-7</v>
      </c>
      <c r="X12">
        <v>0.14000000000000001</v>
      </c>
      <c r="Y12">
        <f t="shared" si="31"/>
        <v>4.9111057600783063E-8</v>
      </c>
      <c r="Z12">
        <f t="shared" si="32"/>
        <v>1.5105705930210826E-5</v>
      </c>
      <c r="AA12">
        <f t="shared" si="33"/>
        <v>2.1752216539503589E-3</v>
      </c>
      <c r="AB12" s="97"/>
      <c r="AF12" s="95">
        <f>C12/$AD$32*$AD$27</f>
        <v>4.3055555555555554</v>
      </c>
      <c r="AG12" s="95">
        <f t="shared" si="8"/>
        <v>155</v>
      </c>
      <c r="AH12" s="96">
        <f t="shared" si="9"/>
        <v>43239.249799405501</v>
      </c>
      <c r="AI12" s="96">
        <f t="shared" si="13"/>
        <v>93.835177516070971</v>
      </c>
      <c r="AJ12" s="96">
        <f t="shared" si="10"/>
        <v>73.827420491757252</v>
      </c>
      <c r="AK12" s="96">
        <f t="shared" si="11"/>
        <v>93.569475515836231</v>
      </c>
      <c r="AM12">
        <f t="shared" si="34"/>
        <v>34019.675362601745</v>
      </c>
      <c r="AN12" s="127">
        <f t="shared" si="14"/>
        <v>0.23972060902426137</v>
      </c>
      <c r="AO12" s="127">
        <f t="shared" si="36"/>
        <v>2.911735620844955E-2</v>
      </c>
      <c r="AP12">
        <f t="shared" si="25"/>
        <v>1.3468020996446561E-6</v>
      </c>
      <c r="AQ12" s="95">
        <f t="shared" si="27"/>
        <v>3.3412481322885462E-2</v>
      </c>
      <c r="AR12" s="127">
        <f t="shared" si="15"/>
        <v>0.13180872073302369</v>
      </c>
      <c r="AS12" s="127">
        <f t="shared" si="16"/>
        <v>2.0348795040262196E-2</v>
      </c>
      <c r="AT12">
        <f t="shared" si="37"/>
        <v>1.1962956626347987E-6</v>
      </c>
      <c r="AU12" s="95">
        <f t="shared" si="35"/>
        <v>3.7616118995942104E-2</v>
      </c>
      <c r="AV12" s="128">
        <f t="shared" si="26"/>
        <v>1.0526315789473683E-4</v>
      </c>
      <c r="AW12">
        <f t="shared" si="22"/>
        <v>53.989619512496461</v>
      </c>
    </row>
    <row r="13" spans="1:49" ht="13.95" customHeight="1" x14ac:dyDescent="0.3">
      <c r="B13" s="113">
        <f t="shared" si="23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9"/>
        <v>209.1</v>
      </c>
      <c r="K13" s="1">
        <f t="shared" si="2"/>
        <v>165</v>
      </c>
      <c r="L13" s="1">
        <f t="shared" si="24"/>
        <v>5.1059454739005803</v>
      </c>
      <c r="M13" s="3">
        <f t="shared" si="17"/>
        <v>759.87841945288756</v>
      </c>
      <c r="N13" s="3">
        <f t="shared" si="17"/>
        <v>595.2380952380953</v>
      </c>
      <c r="O13" s="3">
        <f t="shared" si="18"/>
        <v>45592.705167173255</v>
      </c>
      <c r="P13" s="3">
        <f t="shared" si="18"/>
        <v>35714.285714285717</v>
      </c>
      <c r="Q13" s="3">
        <f t="shared" si="4"/>
        <v>98.942502532928074</v>
      </c>
      <c r="R13" s="3">
        <f t="shared" si="4"/>
        <v>77.504960317460331</v>
      </c>
      <c r="S13" s="3">
        <f t="shared" si="5"/>
        <v>165</v>
      </c>
      <c r="T13" s="4">
        <f t="shared" si="0"/>
        <v>209.1</v>
      </c>
      <c r="U13">
        <f t="shared" si="30"/>
        <v>0.2804077002</v>
      </c>
      <c r="V13" s="127">
        <f t="shared" si="19"/>
        <v>3.2301247229145437E-2</v>
      </c>
      <c r="W13">
        <f t="shared" si="20"/>
        <v>-3.5423701127962827E-7</v>
      </c>
      <c r="AB13" s="97"/>
      <c r="AF13" s="95">
        <f>C13/$AD$32*$AD$27</f>
        <v>4.583333333333333</v>
      </c>
      <c r="AG13" s="95">
        <f t="shared" si="8"/>
        <v>165</v>
      </c>
      <c r="AH13" s="96">
        <f t="shared" si="9"/>
        <v>44126.414319351083</v>
      </c>
      <c r="AI13" s="96">
        <f t="shared" si="13"/>
        <v>95.760447741647312</v>
      </c>
      <c r="AJ13" s="96">
        <f t="shared" si="10"/>
        <v>75.804201243764382</v>
      </c>
      <c r="AK13" s="96">
        <f t="shared" si="11"/>
        <v>95.478935528842101</v>
      </c>
      <c r="AM13">
        <f t="shared" si="34"/>
        <v>34930.575933126645</v>
      </c>
      <c r="AN13" s="127">
        <f t="shared" si="14"/>
        <v>0.2517282669713366</v>
      </c>
      <c r="AO13" s="127">
        <f t="shared" si="36"/>
        <v>2.996112143999155E-2</v>
      </c>
      <c r="AP13">
        <f t="shared" si="25"/>
        <v>1.3579676437408819E-6</v>
      </c>
      <c r="AQ13" s="95">
        <f t="shared" si="27"/>
        <v>3.3137755680272003E-2</v>
      </c>
      <c r="AR13" s="127">
        <f t="shared" si="15"/>
        <v>0.14109994101360976</v>
      </c>
      <c r="AS13" s="127">
        <f t="shared" si="16"/>
        <v>2.1215135176190787E-2</v>
      </c>
      <c r="AT13">
        <f t="shared" si="37"/>
        <v>1.2147028561342026E-6</v>
      </c>
      <c r="AU13" s="95">
        <f t="shared" si="35"/>
        <v>3.7046097136226967E-2</v>
      </c>
      <c r="AV13" s="128">
        <f t="shared" si="26"/>
        <v>1.0526315789473683E-4</v>
      </c>
      <c r="AW13">
        <f t="shared" si="22"/>
        <v>53.545703576661204</v>
      </c>
    </row>
    <row r="14" spans="1:49" ht="13.95" customHeight="1" thickBot="1" x14ac:dyDescent="0.35">
      <c r="B14" s="116">
        <f t="shared" si="23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4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4"/>
        <v>0</v>
      </c>
      <c r="S14" s="1">
        <f t="shared" si="5"/>
        <v>180</v>
      </c>
      <c r="T14" s="4">
        <f t="shared" si="0"/>
        <v>0</v>
      </c>
      <c r="U14">
        <f t="shared" si="30"/>
        <v>0</v>
      </c>
      <c r="AB14" s="97"/>
      <c r="AF14" s="95">
        <f>C14/$AD$32*$AD$27</f>
        <v>5</v>
      </c>
      <c r="AG14" s="95">
        <f t="shared" si="8"/>
        <v>180</v>
      </c>
      <c r="AH14" s="96">
        <f t="shared" si="9"/>
        <v>45361.106669554021</v>
      </c>
      <c r="AI14" s="96">
        <f t="shared" si="13"/>
        <v>98.439901626636328</v>
      </c>
      <c r="AJ14" s="96">
        <f t="shared" si="10"/>
        <v>78.555343808258939</v>
      </c>
      <c r="AK14" s="96">
        <f t="shared" si="11"/>
        <v>98.136385886777347</v>
      </c>
      <c r="AM14">
        <f t="shared" si="34"/>
        <v>36198.302426845723</v>
      </c>
      <c r="AN14" s="127">
        <f t="shared" si="14"/>
        <v>0.26891409453189768</v>
      </c>
      <c r="AO14" s="127">
        <f t="shared" si="36"/>
        <v>3.1135413753683283E-2</v>
      </c>
      <c r="AP14">
        <f t="shared" si="25"/>
        <v>1.3727801651973849E-6</v>
      </c>
      <c r="AR14" s="127">
        <f t="shared" si="15"/>
        <v>0.15453095028269717</v>
      </c>
      <c r="AS14" s="127">
        <f t="shared" si="16"/>
        <v>2.2420845632883098E-2</v>
      </c>
      <c r="AT14">
        <f t="shared" si="37"/>
        <v>1.2387788448474391E-6</v>
      </c>
      <c r="AV14" s="128">
        <f t="shared" si="26"/>
        <v>1.0526315789473683E-4</v>
      </c>
      <c r="AW14">
        <f t="shared" si="22"/>
        <v>52.967936718397489</v>
      </c>
    </row>
    <row r="15" spans="1:49" ht="13.95" customHeight="1" x14ac:dyDescent="0.3"/>
    <row r="16" spans="1:49" ht="13.95" customHeight="1" x14ac:dyDescent="0.3">
      <c r="B16" s="120">
        <f t="shared" si="23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:J24" si="38">E16*F16</f>
        <v>5.8512000000000004</v>
      </c>
      <c r="K16" s="1">
        <f t="shared" ref="K16:K24" si="39">C16</f>
        <v>9</v>
      </c>
      <c r="L16" s="1">
        <f t="shared" ref="L16:L24" si="40">LN(K16)</f>
        <v>2.1972245773362196</v>
      </c>
      <c r="M16" s="3">
        <f t="shared" ref="M16:M24" si="41">1/G16/0.000001</f>
        <v>162.33766233766235</v>
      </c>
      <c r="N16" s="3"/>
      <c r="O16" s="3">
        <f t="shared" ref="O16:O24" si="42">M16*60/$W$27</f>
        <v>9740.2597402597403</v>
      </c>
      <c r="P16" s="3"/>
      <c r="Q16" s="3">
        <f t="shared" ref="Q16:Q24" si="43">O16/$W$40*100</f>
        <v>21.137716450216452</v>
      </c>
      <c r="R16" s="3"/>
      <c r="S16" s="3">
        <f t="shared" ref="S16:S24" si="44">K16</f>
        <v>9</v>
      </c>
      <c r="T16" s="4">
        <f t="shared" ref="T16:T24" si="45">J16</f>
        <v>5.8512000000000004</v>
      </c>
      <c r="U16">
        <f t="shared" ref="U16:U24" si="46">T16*0.001341022</f>
        <v>7.8465879264000005E-3</v>
      </c>
      <c r="V16">
        <f t="shared" ref="V16:V24" si="47">U16/O16*5252</f>
        <v>4.230922058383821E-3</v>
      </c>
      <c r="W16">
        <f t="shared" ref="W16:W24" si="48">-V16/2/O16</f>
        <v>-2.1718733233036949E-7</v>
      </c>
      <c r="X16">
        <v>0.18</v>
      </c>
      <c r="Y16">
        <f t="shared" ref="Y16:Y24" si="49">-X16*W16</f>
        <v>3.9093719819466504E-8</v>
      </c>
      <c r="Z16">
        <f t="shared" ref="Z16:Z24" si="50">Y16/6.66*2048.5</f>
        <v>1.2024547304831401E-5</v>
      </c>
      <c r="AA16">
        <f t="shared" ref="AA16:AA24" si="51">Z16*144</f>
        <v>1.7315348118957217E-3</v>
      </c>
    </row>
    <row r="17" spans="1:32" ht="13.95" customHeight="1" x14ac:dyDescent="0.3">
      <c r="B17" s="120">
        <f t="shared" si="23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si="38"/>
        <v>7.7969999999999997</v>
      </c>
      <c r="K17" s="1">
        <f t="shared" si="39"/>
        <v>13</v>
      </c>
      <c r="L17" s="1">
        <f t="shared" si="40"/>
        <v>2.5649493574615367</v>
      </c>
      <c r="M17" s="3">
        <f t="shared" si="41"/>
        <v>196.85039370078741</v>
      </c>
      <c r="N17" s="3"/>
      <c r="O17" s="3">
        <f t="shared" si="42"/>
        <v>11811.023622047245</v>
      </c>
      <c r="P17" s="3"/>
      <c r="Q17" s="3">
        <f t="shared" si="43"/>
        <v>25.631561679790028</v>
      </c>
      <c r="R17" s="3"/>
      <c r="S17" s="3">
        <f t="shared" si="44"/>
        <v>13</v>
      </c>
      <c r="T17" s="4">
        <f t="shared" si="45"/>
        <v>7.7969999999999997</v>
      </c>
      <c r="U17">
        <f t="shared" si="46"/>
        <v>1.0455948534E-2</v>
      </c>
      <c r="V17">
        <f t="shared" si="47"/>
        <v>4.6494396639814237E-3</v>
      </c>
      <c r="W17">
        <f t="shared" si="48"/>
        <v>-1.9682627910854693E-7</v>
      </c>
      <c r="X17">
        <v>0.18</v>
      </c>
      <c r="Y17">
        <f t="shared" si="49"/>
        <v>3.5428730239538448E-8</v>
      </c>
      <c r="Z17">
        <f t="shared" si="50"/>
        <v>1.0897260344698876E-5</v>
      </c>
      <c r="AA17">
        <f t="shared" si="51"/>
        <v>1.569205489636638E-3</v>
      </c>
    </row>
    <row r="18" spans="1:32" ht="13.95" customHeight="1" x14ac:dyDescent="0.3">
      <c r="B18" s="120">
        <f t="shared" si="23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8"/>
        <v>18.150000000000002</v>
      </c>
      <c r="K18" s="1">
        <f t="shared" si="39"/>
        <v>26</v>
      </c>
      <c r="L18" s="1">
        <f t="shared" si="40"/>
        <v>3.2580965380214821</v>
      </c>
      <c r="M18" s="3">
        <f t="shared" si="41"/>
        <v>314.46540880503147</v>
      </c>
      <c r="N18" s="3"/>
      <c r="O18" s="3">
        <f t="shared" si="42"/>
        <v>18867.92452830189</v>
      </c>
      <c r="P18" s="3"/>
      <c r="Q18" s="3">
        <f t="shared" si="43"/>
        <v>40.946016771488473</v>
      </c>
      <c r="R18" s="3"/>
      <c r="S18" s="3">
        <f t="shared" si="44"/>
        <v>26</v>
      </c>
      <c r="T18" s="4">
        <f t="shared" si="45"/>
        <v>18.150000000000002</v>
      </c>
      <c r="U18">
        <f t="shared" si="46"/>
        <v>2.4339549300000006E-2</v>
      </c>
      <c r="V18">
        <f t="shared" si="47"/>
        <v>6.7750595849508004E-3</v>
      </c>
      <c r="W18">
        <f t="shared" si="48"/>
        <v>-1.7953907900119617E-7</v>
      </c>
      <c r="X18">
        <v>0.18</v>
      </c>
      <c r="Y18">
        <f t="shared" si="49"/>
        <v>3.2317034220215307E-8</v>
      </c>
      <c r="Z18">
        <f t="shared" si="50"/>
        <v>9.9401568468635218E-6</v>
      </c>
      <c r="AA18">
        <f t="shared" si="51"/>
        <v>1.4313825859483471E-3</v>
      </c>
    </row>
    <row r="19" spans="1:32" ht="13.95" customHeight="1" x14ac:dyDescent="0.3">
      <c r="B19" s="120">
        <f t="shared" si="23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8"/>
        <v>28.516800000000003</v>
      </c>
      <c r="K19" s="1">
        <f t="shared" si="39"/>
        <v>36</v>
      </c>
      <c r="L19" s="1">
        <f t="shared" si="40"/>
        <v>3.5835189384561099</v>
      </c>
      <c r="M19" s="3">
        <f t="shared" si="41"/>
        <v>377.35849056603774</v>
      </c>
      <c r="N19" s="3"/>
      <c r="O19" s="3">
        <f t="shared" si="42"/>
        <v>22641.509433962266</v>
      </c>
      <c r="P19" s="3"/>
      <c r="Q19" s="3">
        <f t="shared" si="43"/>
        <v>49.135220125786169</v>
      </c>
      <c r="R19" s="3"/>
      <c r="S19" s="3">
        <f t="shared" si="44"/>
        <v>36</v>
      </c>
      <c r="T19" s="4">
        <f t="shared" si="45"/>
        <v>28.516800000000003</v>
      </c>
      <c r="U19">
        <f t="shared" si="46"/>
        <v>3.8241656169600007E-2</v>
      </c>
      <c r="V19">
        <f t="shared" si="47"/>
        <v>8.8706620372876483E-3</v>
      </c>
      <c r="W19">
        <f t="shared" si="48"/>
        <v>-1.9589378665676887E-7</v>
      </c>
      <c r="X19">
        <v>0.18</v>
      </c>
      <c r="Y19">
        <f t="shared" si="49"/>
        <v>3.5260881598218394E-8</v>
      </c>
      <c r="Z19">
        <f t="shared" si="50"/>
        <v>1.0845633026118675E-5</v>
      </c>
      <c r="AA19">
        <f t="shared" si="51"/>
        <v>1.5617711557610891E-3</v>
      </c>
    </row>
    <row r="20" spans="1:32" ht="13.95" customHeight="1" x14ac:dyDescent="0.3">
      <c r="B20" s="120">
        <f t="shared" si="23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8"/>
        <v>51.68</v>
      </c>
      <c r="K20" s="1">
        <f t="shared" si="39"/>
        <v>56</v>
      </c>
      <c r="L20" s="1">
        <f t="shared" si="40"/>
        <v>4.0253516907351496</v>
      </c>
      <c r="M20" s="3">
        <f t="shared" si="41"/>
        <v>483.09178743961354</v>
      </c>
      <c r="N20" s="3"/>
      <c r="O20" s="3">
        <f t="shared" si="42"/>
        <v>28985.507246376812</v>
      </c>
      <c r="P20" s="3"/>
      <c r="Q20" s="3">
        <f t="shared" si="43"/>
        <v>62.902576489533011</v>
      </c>
      <c r="R20" s="3"/>
      <c r="S20" s="3">
        <f t="shared" si="44"/>
        <v>56</v>
      </c>
      <c r="T20" s="4">
        <f t="shared" si="45"/>
        <v>51.68</v>
      </c>
      <c r="U20">
        <f t="shared" si="46"/>
        <v>6.9304016960000006E-2</v>
      </c>
      <c r="V20">
        <f t="shared" si="47"/>
        <v>1.255747204905024E-2</v>
      </c>
      <c r="W20">
        <f t="shared" si="48"/>
        <v>-2.1661639284611662E-7</v>
      </c>
      <c r="X20">
        <v>0.18</v>
      </c>
      <c r="Y20">
        <f t="shared" si="49"/>
        <v>3.8990950712300994E-8</v>
      </c>
      <c r="Z20">
        <f t="shared" si="50"/>
        <v>1.1992937317439727E-5</v>
      </c>
      <c r="AA20">
        <f t="shared" si="51"/>
        <v>1.7269829737113207E-3</v>
      </c>
    </row>
    <row r="21" spans="1:32" ht="13.95" customHeight="1" x14ac:dyDescent="0.3">
      <c r="B21" s="120">
        <f t="shared" si="23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8"/>
        <v>59.349000000000004</v>
      </c>
      <c r="K21" s="1">
        <f t="shared" si="39"/>
        <v>64</v>
      </c>
      <c r="L21" s="1">
        <f t="shared" si="40"/>
        <v>4.1588830833596715</v>
      </c>
      <c r="M21" s="3">
        <f t="shared" si="41"/>
        <v>500.00000000000006</v>
      </c>
      <c r="N21" s="3"/>
      <c r="O21" s="3">
        <f t="shared" si="42"/>
        <v>30000.000000000004</v>
      </c>
      <c r="P21" s="3"/>
      <c r="Q21" s="3">
        <f t="shared" si="43"/>
        <v>65.104166666666671</v>
      </c>
      <c r="R21" s="3"/>
      <c r="S21" s="3">
        <f t="shared" si="44"/>
        <v>64</v>
      </c>
      <c r="T21" s="4">
        <f t="shared" si="45"/>
        <v>59.349000000000004</v>
      </c>
      <c r="U21">
        <f t="shared" si="46"/>
        <v>7.9588314678000011E-2</v>
      </c>
      <c r="V21">
        <f t="shared" si="47"/>
        <v>1.39332609562952E-2</v>
      </c>
      <c r="W21">
        <f t="shared" si="48"/>
        <v>-2.3222101593825331E-7</v>
      </c>
      <c r="X21">
        <v>0.18</v>
      </c>
      <c r="Y21">
        <f t="shared" si="49"/>
        <v>4.1799782868885597E-8</v>
      </c>
      <c r="Z21">
        <f t="shared" si="50"/>
        <v>1.2856885166203024E-5</v>
      </c>
      <c r="AA21">
        <f t="shared" si="51"/>
        <v>1.8513914639332356E-3</v>
      </c>
    </row>
    <row r="22" spans="1:32" ht="13.95" customHeight="1" x14ac:dyDescent="0.3">
      <c r="B22" s="120">
        <f t="shared" si="23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8"/>
        <v>84.545999999999992</v>
      </c>
      <c r="K22" s="1">
        <f t="shared" si="39"/>
        <v>89</v>
      </c>
      <c r="L22" s="1">
        <f t="shared" si="40"/>
        <v>4.4886363697321396</v>
      </c>
      <c r="M22" s="3">
        <f t="shared" si="41"/>
        <v>568.18181818181813</v>
      </c>
      <c r="N22" s="3"/>
      <c r="O22" s="3">
        <f t="shared" si="42"/>
        <v>34090.909090909088</v>
      </c>
      <c r="P22" s="3"/>
      <c r="Q22" s="3">
        <f t="shared" si="43"/>
        <v>73.982007575757564</v>
      </c>
      <c r="R22" s="3"/>
      <c r="S22" s="3">
        <f t="shared" si="44"/>
        <v>89</v>
      </c>
      <c r="T22" s="4">
        <f t="shared" si="45"/>
        <v>84.545999999999992</v>
      </c>
      <c r="U22">
        <f t="shared" si="46"/>
        <v>0.11337804601199999</v>
      </c>
      <c r="V22">
        <f t="shared" si="47"/>
        <v>1.7466870597880702E-2</v>
      </c>
      <c r="W22">
        <f t="shared" si="48"/>
        <v>-2.5618076876891696E-7</v>
      </c>
      <c r="X22">
        <v>0.18</v>
      </c>
      <c r="Y22">
        <f t="shared" si="49"/>
        <v>4.611253837840505E-8</v>
      </c>
      <c r="Z22">
        <f t="shared" si="50"/>
        <v>1.4183413643868279E-5</v>
      </c>
      <c r="AA22">
        <f t="shared" si="51"/>
        <v>2.0424115647170323E-3</v>
      </c>
    </row>
    <row r="23" spans="1:32" ht="13.95" customHeight="1" x14ac:dyDescent="0.3">
      <c r="B23" s="120">
        <f t="shared" si="23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8"/>
        <v>153.26999999999998</v>
      </c>
      <c r="K23" s="1">
        <f t="shared" si="39"/>
        <v>143</v>
      </c>
      <c r="L23" s="1">
        <f t="shared" si="40"/>
        <v>4.962844630259907</v>
      </c>
      <c r="M23" s="3">
        <f t="shared" si="41"/>
        <v>699.30069930069931</v>
      </c>
      <c r="N23" s="3"/>
      <c r="O23" s="3">
        <f t="shared" si="42"/>
        <v>41958.041958041955</v>
      </c>
      <c r="P23" s="3"/>
      <c r="Q23" s="3">
        <f t="shared" si="43"/>
        <v>91.054778554778551</v>
      </c>
      <c r="R23" s="3"/>
      <c r="S23" s="3">
        <f t="shared" si="44"/>
        <v>143</v>
      </c>
      <c r="T23" s="4">
        <f t="shared" si="45"/>
        <v>153.26999999999998</v>
      </c>
      <c r="U23">
        <f t="shared" si="46"/>
        <v>0.20553844193999998</v>
      </c>
      <c r="V23">
        <f t="shared" si="47"/>
        <v>2.5727794880141638E-2</v>
      </c>
      <c r="W23">
        <f t="shared" si="48"/>
        <v>-3.0658955565502124E-7</v>
      </c>
      <c r="X23">
        <v>0.18</v>
      </c>
      <c r="Y23">
        <f t="shared" si="49"/>
        <v>5.5186120017903822E-8</v>
      </c>
      <c r="Z23">
        <f t="shared" si="50"/>
        <v>1.6974289317819214E-5</v>
      </c>
      <c r="AA23">
        <f t="shared" si="51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3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8"/>
        <v>214.45920000000001</v>
      </c>
      <c r="K24" s="1">
        <f t="shared" si="39"/>
        <v>165</v>
      </c>
      <c r="L24" s="1">
        <f t="shared" si="40"/>
        <v>5.1059454739005803</v>
      </c>
      <c r="M24" s="3">
        <f t="shared" si="41"/>
        <v>781.25000000000011</v>
      </c>
      <c r="N24" s="3"/>
      <c r="O24" s="3">
        <f t="shared" si="42"/>
        <v>46875.000000000007</v>
      </c>
      <c r="P24" s="3"/>
      <c r="Q24" s="3">
        <f t="shared" si="43"/>
        <v>101.72526041666667</v>
      </c>
      <c r="R24" s="3"/>
      <c r="S24" s="3">
        <f t="shared" si="44"/>
        <v>165</v>
      </c>
      <c r="T24" s="4">
        <f t="shared" si="45"/>
        <v>214.45920000000001</v>
      </c>
      <c r="U24">
        <f t="shared" si="46"/>
        <v>0.28759450530240005</v>
      </c>
      <c r="V24">
        <f t="shared" si="47"/>
        <v>3.2222855292761705E-2</v>
      </c>
      <c r="W24">
        <f t="shared" si="48"/>
        <v>-3.4371045645612482E-7</v>
      </c>
      <c r="X24">
        <v>0.18</v>
      </c>
      <c r="Y24">
        <f t="shared" si="49"/>
        <v>6.1867882162102469E-8</v>
      </c>
      <c r="Z24">
        <f t="shared" si="50"/>
        <v>1.9029482974334368E-5</v>
      </c>
      <c r="AA24">
        <f t="shared" si="51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14542.70476789044</v>
      </c>
      <c r="AF34" s="68">
        <f>W51</f>
        <v>-351.19080582654192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-10376.43880319349</v>
      </c>
      <c r="AE36" s="69">
        <f>Z53</f>
        <v>1.0267549592501404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10255.704306193587</v>
      </c>
      <c r="AE37" s="69">
        <f>Z51</f>
        <v>0.96594425611798695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52">B43/180*(2.4-0.53)+0.53</f>
        <v>1.4649999999999999</v>
      </c>
      <c r="D43" s="88">
        <f t="shared" ref="D43:D48" si="53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52"/>
        <v>1.568888888888889</v>
      </c>
      <c r="D44" s="88">
        <f t="shared" si="53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-22.518313374985873</v>
      </c>
      <c r="AA44" t="s">
        <v>70</v>
      </c>
    </row>
    <row r="45" spans="2:48" x14ac:dyDescent="0.3">
      <c r="B45" s="73">
        <v>110</v>
      </c>
      <c r="C45" s="6">
        <f t="shared" si="52"/>
        <v>1.6727777777777779</v>
      </c>
      <c r="D45" s="88">
        <f t="shared" si="53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52"/>
        <v>1.7143333333333333</v>
      </c>
      <c r="D46" s="88">
        <f t="shared" si="53"/>
        <v>128.57999999999998</v>
      </c>
      <c r="V46" s="19"/>
      <c r="W46" s="30" t="s">
        <v>53</v>
      </c>
      <c r="X46" s="30"/>
      <c r="Y46" s="61"/>
      <c r="Z46" s="89">
        <f>(Z45-Z44)/(W45-W44)</f>
        <v>19.903662674997172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52"/>
        <v>1.8545833333333333</v>
      </c>
      <c r="D47" s="88">
        <f t="shared" si="53"/>
        <v>153.82499999999999</v>
      </c>
      <c r="V47" s="19"/>
      <c r="W47" s="30"/>
      <c r="X47" s="30"/>
      <c r="Y47" s="61"/>
      <c r="Z47" s="89">
        <f>Z45-Z46*(W45-W44)</f>
        <v>-22.518313374985865</v>
      </c>
    </row>
    <row r="48" spans="2:48" ht="15" thickBot="1" x14ac:dyDescent="0.35">
      <c r="B48" s="80">
        <v>136.4</v>
      </c>
      <c r="C48" s="6">
        <f t="shared" si="52"/>
        <v>1.9470444444444444</v>
      </c>
      <c r="D48" s="88">
        <f t="shared" si="53"/>
        <v>170.46799999999999</v>
      </c>
      <c r="V48" s="21"/>
      <c r="W48" s="32"/>
      <c r="X48" s="32"/>
      <c r="Y48" s="47"/>
      <c r="Z48" s="48" t="s">
        <v>19</v>
      </c>
    </row>
    <row r="50" spans="22:27" ht="15" thickBot="1" x14ac:dyDescent="0.35">
      <c r="V50" t="s">
        <v>51</v>
      </c>
    </row>
    <row r="51" spans="22:27" x14ac:dyDescent="0.3">
      <c r="V51" s="49" t="s">
        <v>18</v>
      </c>
      <c r="W51" s="50">
        <f>INDEX(LINEST($P$4:$P$13,$D$4:$D$13^{1,2},FALSE,FALSE),1)</f>
        <v>-351.19080582654192</v>
      </c>
      <c r="X51" s="28"/>
      <c r="Y51" s="51" t="s">
        <v>21</v>
      </c>
      <c r="Z51" s="52">
        <f>INDEX(LINEST($O$4:$O$13,$P$4:$P$13),1)</f>
        <v>0.96594425611798695</v>
      </c>
    </row>
    <row r="52" spans="22:27" x14ac:dyDescent="0.3">
      <c r="V52" s="43"/>
      <c r="W52" s="54">
        <f>INDEX(LINEST($P$4:$P$13,$D$4:$D$13^{1,2},FALSE,FALSE),2)</f>
        <v>14542.70476789044</v>
      </c>
      <c r="X52" s="30"/>
      <c r="Y52" s="44"/>
      <c r="Z52" s="46">
        <f>INDEX(LINEST($O$4:$O$13,$P$4:$P$13),2)</f>
        <v>10255.704306193587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1.0267549592501404</v>
      </c>
    </row>
    <row r="54" spans="22:27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-10376.43880319349</v>
      </c>
      <c r="AA54" t="s">
        <v>78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" thickBot="1" x14ac:dyDescent="0.35"/>
    <row r="59" spans="22:27" x14ac:dyDescent="0.3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X1" workbookViewId="0">
      <pane ySplit="1" topLeftCell="A2" activePane="bottomLeft" state="frozen"/>
      <selection pane="bottomLeft" activeCell="AP9" sqref="AP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4" si="4">O2/$W$40*100</f>
        <v>0</v>
      </c>
      <c r="R2" s="3">
        <f t="shared" ref="R2:R14" si="5">P2/$W$40*100</f>
        <v>0</v>
      </c>
      <c r="S2" s="3">
        <f t="shared" ref="S2:S14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B2" s="97"/>
      <c r="AF2" s="95">
        <f t="shared" ref="AF2:AF8" si="8">C2/$AD$32*$AD$27</f>
        <v>2.7777777777777779E-5</v>
      </c>
      <c r="AG2" s="95">
        <f t="shared" ref="AG2:AG14" si="9">AF2/$AD$27*$AD$32</f>
        <v>1E-3</v>
      </c>
      <c r="AH2" s="96">
        <f t="shared" ref="AH2:AH14" si="10">MAX(($AD$35+$AE$35*LN($AG2)),0)</f>
        <v>0</v>
      </c>
      <c r="AI2" s="96">
        <f>MAX(($AD$35+$AE$35*LN($AG2))/$AD$31,0)</f>
        <v>0</v>
      </c>
      <c r="AJ2" s="96">
        <f t="shared" ref="AJ2:AJ14" si="11">($AD$36+$AE$36*AI2*$AD$31)/$AD$31</f>
        <v>-22.202069774198112</v>
      </c>
      <c r="AK2" s="96">
        <f t="shared" ref="AK2:AK14" si="12">($AD$37+$AE$37*AJ2*$AD$31)/$AD$31</f>
        <v>0.53820371820708912</v>
      </c>
      <c r="AM2">
        <f t="shared" ref="AM2:AM5" si="13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7.361501228839896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B3" s="97"/>
      <c r="AF3" s="95">
        <f t="shared" si="8"/>
        <v>0.20448614524555267</v>
      </c>
      <c r="AG3" s="95">
        <f t="shared" si="9"/>
        <v>7.361501228839896</v>
      </c>
      <c r="AH3" s="96">
        <f t="shared" si="10"/>
        <v>0</v>
      </c>
      <c r="AI3" s="96">
        <f t="shared" ref="AI3:AI14" si="14">MAX(($AD$35+$AE$35*LN(AG3))/$AD$31,0)</f>
        <v>0</v>
      </c>
      <c r="AJ3" s="96">
        <f t="shared" si="11"/>
        <v>-22.202069774198112</v>
      </c>
      <c r="AK3" s="96">
        <f t="shared" si="12"/>
        <v>0.53820371820708912</v>
      </c>
      <c r="AM3">
        <f t="shared" si="13"/>
        <v>0</v>
      </c>
      <c r="AN3" s="127">
        <f t="shared" ref="AN3:AN14" si="15">MAX($AD$39+$AH3*($AE$39+$AH3*$AF$39), 0)</f>
        <v>0</v>
      </c>
      <c r="AO3" s="127"/>
      <c r="AP3" t="e">
        <f>AO3/AH3*2</f>
        <v>#DIV/0!</v>
      </c>
      <c r="AR3" s="127">
        <f t="shared" ref="AR3:AR14" si="16">MAX($AD$39+$AM3*($AE$39+$AM3*$AF$39), 0)</f>
        <v>0</v>
      </c>
      <c r="AS3" s="127">
        <f t="shared" ref="AS3:AS14" si="17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8">1/G4/0.000001</f>
        <v>149.25373134328359</v>
      </c>
      <c r="N4" s="3">
        <f t="shared" si="18"/>
        <v>0.01</v>
      </c>
      <c r="O4" s="3">
        <f t="shared" ref="O4:O13" si="19">M4*60/$W$27</f>
        <v>8955.2238805970155</v>
      </c>
      <c r="P4" s="3">
        <f t="shared" ref="P4:P13" si="20">N4*60/$W$27</f>
        <v>0.6</v>
      </c>
      <c r="Q4" s="3">
        <f t="shared" si="4"/>
        <v>19.434079601990049</v>
      </c>
      <c r="R4" s="3">
        <f t="shared" si="5"/>
        <v>1.3020833333333333E-3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21">U4/O4*5252</f>
        <v>4.6669345940807206E-3</v>
      </c>
      <c r="W4">
        <f t="shared" ref="W4:W13" si="22">-V4/2/O4</f>
        <v>-2.6057051483617353E-7</v>
      </c>
      <c r="X4" s="4"/>
      <c r="Y4" s="4"/>
      <c r="Z4" s="4"/>
      <c r="AA4" s="4"/>
      <c r="AB4" s="97"/>
      <c r="AF4" s="95">
        <f t="shared" si="8"/>
        <v>0.22222222222222224</v>
      </c>
      <c r="AG4" s="95">
        <f t="shared" si="9"/>
        <v>8</v>
      </c>
      <c r="AH4" s="96">
        <f t="shared" si="10"/>
        <v>1180.2918436956534</v>
      </c>
      <c r="AI4" s="96">
        <f t="shared" si="14"/>
        <v>2.5613972302423034</v>
      </c>
      <c r="AJ4" s="96">
        <f t="shared" si="11"/>
        <v>-19.579847910331843</v>
      </c>
      <c r="AK4" s="96">
        <f t="shared" si="12"/>
        <v>3.0771780157392215</v>
      </c>
      <c r="AM4">
        <f t="shared" si="13"/>
        <v>0</v>
      </c>
      <c r="AN4" s="127">
        <f t="shared" si="15"/>
        <v>0</v>
      </c>
      <c r="AO4" s="127">
        <f t="shared" ref="AO4:AO7" si="23">AN4/AH4*5252</f>
        <v>0</v>
      </c>
      <c r="AP4">
        <f>AO4/AH4*2</f>
        <v>0</v>
      </c>
      <c r="AQ4" s="95"/>
      <c r="AR4" s="127">
        <f t="shared" si="16"/>
        <v>0</v>
      </c>
      <c r="AS4" s="127">
        <f t="shared" si="17"/>
        <v>0</v>
      </c>
      <c r="AU4" s="95"/>
      <c r="AV4" s="128">
        <f>$W$31/$W$30</f>
        <v>1.0526315789473683E-4</v>
      </c>
      <c r="AW4" t="e">
        <f t="shared" ref="AW4:AW14" si="24">$W$33/$W$30/$W$28/AP4</f>
        <v>#DIV/0!</v>
      </c>
    </row>
    <row r="5" spans="1:49" ht="15" customHeight="1" x14ac:dyDescent="0.3">
      <c r="B5" s="113">
        <f t="shared" ref="B5:B24" si="25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6">LN(K5)</f>
        <v>2.5649493574615367</v>
      </c>
      <c r="M5" s="3">
        <f t="shared" si="18"/>
        <v>216.45021645021646</v>
      </c>
      <c r="N5" s="3">
        <f t="shared" si="18"/>
        <v>0.01</v>
      </c>
      <c r="O5" s="3">
        <f t="shared" si="19"/>
        <v>12987.012987012988</v>
      </c>
      <c r="P5" s="3">
        <f t="shared" si="20"/>
        <v>0.6</v>
      </c>
      <c r="Q5" s="3">
        <f t="shared" si="4"/>
        <v>28.183621933621932</v>
      </c>
      <c r="R5" s="3">
        <f t="shared" si="5"/>
        <v>1.3020833333333333E-3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 s="127">
        <f t="shared" si="21"/>
        <v>4.011393083656359E-3</v>
      </c>
      <c r="W5">
        <f t="shared" si="22"/>
        <v>-1.5443863372076981E-7</v>
      </c>
      <c r="AB5" s="97"/>
      <c r="AF5" s="95">
        <f t="shared" si="8"/>
        <v>0.36111111111111105</v>
      </c>
      <c r="AG5" s="95">
        <f t="shared" si="9"/>
        <v>12.999999999999998</v>
      </c>
      <c r="AH5" s="96">
        <f t="shared" si="10"/>
        <v>8069.6528312921109</v>
      </c>
      <c r="AI5" s="96">
        <f t="shared" si="14"/>
        <v>17.512267429019339</v>
      </c>
      <c r="AJ5" s="96">
        <f t="shared" si="11"/>
        <v>-4.2739444541345701</v>
      </c>
      <c r="AK5" s="96">
        <f t="shared" si="12"/>
        <v>17.897165603858483</v>
      </c>
      <c r="AM5">
        <f t="shared" si="13"/>
        <v>0</v>
      </c>
      <c r="AN5" s="127">
        <f t="shared" si="15"/>
        <v>0</v>
      </c>
      <c r="AO5" s="127">
        <f t="shared" si="23"/>
        <v>0</v>
      </c>
      <c r="AP5">
        <f t="shared" ref="AP5:AP14" si="27">AO5/AH5*2</f>
        <v>0</v>
      </c>
      <c r="AQ5" s="95"/>
      <c r="AR5" s="127">
        <f t="shared" si="16"/>
        <v>0</v>
      </c>
      <c r="AS5" s="127">
        <f t="shared" si="17"/>
        <v>0</v>
      </c>
      <c r="AU5" s="95"/>
      <c r="AV5" s="128">
        <f t="shared" ref="AV5:AV14" si="28">$W$31/$W$30</f>
        <v>1.0526315789473683E-4</v>
      </c>
      <c r="AW5" t="e">
        <f t="shared" si="24"/>
        <v>#DIV/0!</v>
      </c>
    </row>
    <row r="6" spans="1:49" ht="15" customHeight="1" x14ac:dyDescent="0.3">
      <c r="B6" s="113">
        <f t="shared" si="25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9">C6</f>
        <v>25</v>
      </c>
      <c r="L6" s="1">
        <f t="shared" ref="L6" si="30">LN(K6)</f>
        <v>3.2188758248682006</v>
      </c>
      <c r="M6" s="3">
        <f t="shared" ref="M6" si="31">1/G6/0.000001</f>
        <v>306.74846625766872</v>
      </c>
      <c r="N6" s="3">
        <f t="shared" ref="N6" si="32">1/H6/0.000001</f>
        <v>156.00624024960999</v>
      </c>
      <c r="O6" s="3">
        <f t="shared" si="19"/>
        <v>18404.907975460123</v>
      </c>
      <c r="P6" s="3">
        <f t="shared" si="20"/>
        <v>9360.3744149765989</v>
      </c>
      <c r="Q6" s="3">
        <f t="shared" si="4"/>
        <v>39.941206543967276</v>
      </c>
      <c r="R6" s="3">
        <f t="shared" si="5"/>
        <v>20.3133125325013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 s="127">
        <f t="shared" si="21"/>
        <v>7.7987073838718312E-3</v>
      </c>
      <c r="W6">
        <f t="shared" si="22"/>
        <v>-2.118648839285181E-7</v>
      </c>
      <c r="AB6" s="97"/>
      <c r="AF6" s="95">
        <f t="shared" si="8"/>
        <v>0.69444444444444442</v>
      </c>
      <c r="AG6" s="95">
        <f t="shared" si="9"/>
        <v>25</v>
      </c>
      <c r="AH6" s="96">
        <f t="shared" si="10"/>
        <v>17348.876248230645</v>
      </c>
      <c r="AI6" s="96">
        <f t="shared" si="14"/>
        <v>37.649471024806083</v>
      </c>
      <c r="AJ6" s="96">
        <f t="shared" si="11"/>
        <v>16.341450503953713</v>
      </c>
      <c r="AK6" s="96">
        <f t="shared" si="12"/>
        <v>37.858084492272184</v>
      </c>
      <c r="AM6">
        <f>MAX($AD$36+$AE$36*AH6, 0)</f>
        <v>7530.1403922218742</v>
      </c>
      <c r="AN6" s="127">
        <f t="shared" si="15"/>
        <v>1.4843385324309564E-2</v>
      </c>
      <c r="AO6" s="127">
        <f t="shared" si="23"/>
        <v>4.4935163873351426E-3</v>
      </c>
      <c r="AP6">
        <f t="shared" si="27"/>
        <v>5.1801814976845215E-7</v>
      </c>
      <c r="AQ6" s="95">
        <f t="shared" ref="AQ6:AQ13" si="33">$W$34/AP6</f>
        <v>8.6869543123372139E-2</v>
      </c>
      <c r="AR6" s="127">
        <f t="shared" si="16"/>
        <v>0</v>
      </c>
      <c r="AS6" s="127">
        <f t="shared" si="17"/>
        <v>0</v>
      </c>
      <c r="AT6">
        <f t="shared" ref="AT6:AT8" si="34">AS6/AM6*2</f>
        <v>0</v>
      </c>
      <c r="AU6" s="95"/>
      <c r="AV6" s="128">
        <f t="shared" si="28"/>
        <v>1.0526315789473683E-4</v>
      </c>
      <c r="AW6">
        <f t="shared" si="24"/>
        <v>140.36831132451306</v>
      </c>
    </row>
    <row r="7" spans="1:49" ht="13.95" customHeight="1" x14ac:dyDescent="0.3">
      <c r="B7" s="113">
        <f t="shared" si="25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5">E7*F7</f>
        <v>29.981099999999998</v>
      </c>
      <c r="K7" s="1">
        <f t="shared" si="2"/>
        <v>35</v>
      </c>
      <c r="L7" s="1">
        <f t="shared" si="26"/>
        <v>3.5553480614894135</v>
      </c>
      <c r="M7" s="3">
        <f t="shared" si="18"/>
        <v>373.13432835820896</v>
      </c>
      <c r="N7" s="3">
        <f t="shared" si="18"/>
        <v>220.65313327449252</v>
      </c>
      <c r="O7" s="3">
        <f t="shared" si="19"/>
        <v>22388.059701492537</v>
      </c>
      <c r="P7" s="3">
        <f t="shared" si="20"/>
        <v>13239.187996469551</v>
      </c>
      <c r="Q7" s="3">
        <f t="shared" si="4"/>
        <v>48.585199004975124</v>
      </c>
      <c r="R7" s="3">
        <f t="shared" si="5"/>
        <v>28.730876728449545</v>
      </c>
      <c r="S7" s="3">
        <f t="shared" si="6"/>
        <v>35</v>
      </c>
      <c r="T7" s="4">
        <f t="shared" si="0"/>
        <v>29.981099999999998</v>
      </c>
      <c r="U7">
        <f t="shared" ref="U7:U13" si="36">T7*0.001341022</f>
        <v>4.0205314684200001E-2</v>
      </c>
      <c r="V7" s="127">
        <f t="shared" si="21"/>
        <v>9.4317379682233565E-3</v>
      </c>
      <c r="W7">
        <f t="shared" si="22"/>
        <v>-2.106421479569883E-7</v>
      </c>
      <c r="X7">
        <v>0.18</v>
      </c>
      <c r="Y7">
        <f t="shared" ref="Y7:Y12" si="37">-X7*W7</f>
        <v>3.7915586632257891E-8</v>
      </c>
      <c r="Z7">
        <f t="shared" ref="Z7:Z12" si="38">Y7/6.66*2048.5</f>
        <v>1.1662174056483527E-5</v>
      </c>
      <c r="AA7">
        <f t="shared" ref="AA7:AA12" si="39">Z7*144</f>
        <v>1.6793530641336278E-3</v>
      </c>
      <c r="AB7" s="97"/>
      <c r="AF7" s="95">
        <f t="shared" si="8"/>
        <v>0.97222222222222221</v>
      </c>
      <c r="AG7" s="95">
        <f t="shared" si="9"/>
        <v>35</v>
      </c>
      <c r="AH7" s="96">
        <f t="shared" si="10"/>
        <v>22123.420807632323</v>
      </c>
      <c r="AI7" s="96">
        <f t="shared" si="14"/>
        <v>48.010895849896535</v>
      </c>
      <c r="AJ7" s="96">
        <f t="shared" si="11"/>
        <v>26.948924579573251</v>
      </c>
      <c r="AK7" s="96">
        <f t="shared" si="12"/>
        <v>48.128803538153008</v>
      </c>
      <c r="AM7">
        <f t="shared" ref="AM7:AM14" si="40">MAX($AD$36+$AE$36*AH7, 0)</f>
        <v>12418.064446267355</v>
      </c>
      <c r="AN7" s="127">
        <f t="shared" si="15"/>
        <v>3.8056725878256127E-2</v>
      </c>
      <c r="AO7" s="127">
        <f t="shared" si="23"/>
        <v>9.0344945318604156E-3</v>
      </c>
      <c r="AP7">
        <f t="shared" si="27"/>
        <v>8.1673576707844562E-7</v>
      </c>
      <c r="AQ7" s="95">
        <f t="shared" si="33"/>
        <v>5.5097378875630716E-2</v>
      </c>
      <c r="AR7" s="127">
        <f t="shared" si="16"/>
        <v>0</v>
      </c>
      <c r="AS7" s="127">
        <f t="shared" si="17"/>
        <v>0</v>
      </c>
      <c r="AT7">
        <f t="shared" si="34"/>
        <v>0</v>
      </c>
      <c r="AU7" s="95"/>
      <c r="AV7" s="128">
        <f t="shared" si="28"/>
        <v>1.0526315789473683E-4</v>
      </c>
      <c r="AW7">
        <f t="shared" si="24"/>
        <v>89.02920118038908</v>
      </c>
    </row>
    <row r="8" spans="1:49" ht="13.95" customHeight="1" x14ac:dyDescent="0.3">
      <c r="B8" s="113">
        <f t="shared" ref="B8:B9" si="41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42">E8*F8</f>
        <v>53.526600000000002</v>
      </c>
      <c r="K8" s="1">
        <f t="shared" ref="K8:K9" si="43">C8</f>
        <v>54</v>
      </c>
      <c r="L8" s="1">
        <f t="shared" ref="L8:L9" si="44">LN(K8)</f>
        <v>3.9889840465642745</v>
      </c>
      <c r="M8" s="3">
        <f t="shared" ref="M8:M9" si="45">1/G8/0.000001</f>
        <v>465.11627906976747</v>
      </c>
      <c r="N8" s="3">
        <f t="shared" ref="N8:N9" si="46">1/H8/0.000001</f>
        <v>314.46540880503147</v>
      </c>
      <c r="O8" s="3">
        <f t="shared" si="19"/>
        <v>27906.976744186049</v>
      </c>
      <c r="P8" s="3">
        <f t="shared" si="20"/>
        <v>18867.92452830189</v>
      </c>
      <c r="Q8" s="3">
        <f t="shared" si="4"/>
        <v>60.562015503875976</v>
      </c>
      <c r="R8" s="3">
        <f t="shared" si="5"/>
        <v>40.946016771488473</v>
      </c>
      <c r="S8" s="3">
        <f t="shared" si="6"/>
        <v>54</v>
      </c>
      <c r="T8" s="4">
        <f t="shared" si="0"/>
        <v>53.526600000000002</v>
      </c>
      <c r="U8">
        <f t="shared" ref="U8:U9" si="47">T8*0.001341022</f>
        <v>7.1780348185200002E-2</v>
      </c>
      <c r="V8" s="127">
        <f t="shared" si="21"/>
        <v>1.3508822260627353E-2</v>
      </c>
      <c r="W8">
        <f t="shared" si="22"/>
        <v>-2.4203306550290671E-7</v>
      </c>
      <c r="X8">
        <v>0.18</v>
      </c>
      <c r="Y8">
        <f t="shared" ref="Y8:Y9" si="48">-X8*W8</f>
        <v>4.3565951790523206E-8</v>
      </c>
      <c r="Z8">
        <f t="shared" ref="Z8:Z9" si="49">Y8/6.66*2048.5</f>
        <v>1.3400127964397415E-5</v>
      </c>
      <c r="AA8">
        <f t="shared" ref="AA8:AA9" si="50">Z8*144</f>
        <v>1.9296184268732279E-3</v>
      </c>
      <c r="AB8" s="97"/>
      <c r="AF8" s="95">
        <f t="shared" si="8"/>
        <v>1.5</v>
      </c>
      <c r="AG8" s="95">
        <f t="shared" si="9"/>
        <v>54</v>
      </c>
      <c r="AH8" s="96">
        <f t="shared" si="10"/>
        <v>28276.719974572956</v>
      </c>
      <c r="AI8" s="96">
        <f t="shared" si="14"/>
        <v>61.364409667042004</v>
      </c>
      <c r="AJ8" s="96">
        <f t="shared" si="11"/>
        <v>40.619539772456378</v>
      </c>
      <c r="AK8" s="96">
        <f t="shared" si="12"/>
        <v>61.365418290119948</v>
      </c>
      <c r="AM8">
        <f t="shared" si="40"/>
        <v>18717.4839271479</v>
      </c>
      <c r="AN8" s="127">
        <f t="shared" si="15"/>
        <v>8.0150286593492603E-2</v>
      </c>
      <c r="AO8" s="127">
        <f>AN8/AH8*5252</f>
        <v>1.488677985167834E-2</v>
      </c>
      <c r="AP8">
        <f t="shared" si="27"/>
        <v>1.0529354087082843E-6</v>
      </c>
      <c r="AQ8" s="95">
        <f t="shared" si="33"/>
        <v>4.2737664274397333E-2</v>
      </c>
      <c r="AR8" s="127">
        <f t="shared" si="16"/>
        <v>2.0653285932688642E-2</v>
      </c>
      <c r="AS8" s="127">
        <f t="shared" si="17"/>
        <v>5.7951730126052873E-3</v>
      </c>
      <c r="AT8">
        <f t="shared" si="34"/>
        <v>6.1922564327141741E-7</v>
      </c>
      <c r="AU8" s="95">
        <f t="shared" ref="AU8:AU13" si="51">$W$34/AT8</f>
        <v>7.2671409023472425E-2</v>
      </c>
      <c r="AV8" s="128">
        <f t="shared" si="28"/>
        <v>1.0526315789473683E-4</v>
      </c>
      <c r="AW8">
        <f t="shared" si="24"/>
        <v>69.057733567578751</v>
      </c>
    </row>
    <row r="9" spans="1:49" ht="13.95" customHeight="1" x14ac:dyDescent="0.3">
      <c r="B9" s="113">
        <f t="shared" si="41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42"/>
        <v>62.419400000000003</v>
      </c>
      <c r="K9" s="1">
        <f t="shared" si="43"/>
        <v>64</v>
      </c>
      <c r="L9" s="1">
        <f t="shared" si="44"/>
        <v>4.1588830833596715</v>
      </c>
      <c r="M9" s="3">
        <f t="shared" si="45"/>
        <v>495.04950495049508</v>
      </c>
      <c r="N9" s="3">
        <f t="shared" si="46"/>
        <v>350.87719298245611</v>
      </c>
      <c r="O9" s="3">
        <f t="shared" si="19"/>
        <v>29702.970297029704</v>
      </c>
      <c r="P9" s="3">
        <f t="shared" si="20"/>
        <v>21052.631578947367</v>
      </c>
      <c r="Q9" s="3">
        <f t="shared" si="4"/>
        <v>64.459570957095707</v>
      </c>
      <c r="R9" s="3">
        <f t="shared" si="5"/>
        <v>45.687134502923968</v>
      </c>
      <c r="S9" s="3">
        <f t="shared" si="6"/>
        <v>64</v>
      </c>
      <c r="T9" s="4">
        <f t="shared" si="0"/>
        <v>62.419400000000003</v>
      </c>
      <c r="U9">
        <f t="shared" si="47"/>
        <v>8.3705788626800004E-2</v>
      </c>
      <c r="V9" s="127">
        <f t="shared" si="21"/>
        <v>1.4800634329554439E-2</v>
      </c>
      <c r="W9">
        <f t="shared" si="22"/>
        <v>-2.4914401121416636E-7</v>
      </c>
      <c r="X9">
        <v>0.18</v>
      </c>
      <c r="Y9">
        <f t="shared" si="48"/>
        <v>4.484592201854994E-8</v>
      </c>
      <c r="Z9">
        <f t="shared" si="49"/>
        <v>1.3793824512762695E-5</v>
      </c>
      <c r="AA9">
        <f t="shared" si="50"/>
        <v>1.986310729837828E-3</v>
      </c>
      <c r="AB9" s="97"/>
      <c r="AF9" s="95"/>
      <c r="AG9" s="134">
        <v>70.201599999999999</v>
      </c>
      <c r="AH9" s="135">
        <f t="shared" si="10"/>
        <v>31999.995048805355</v>
      </c>
      <c r="AI9" s="135">
        <f t="shared" si="14"/>
        <v>69.444433699664401</v>
      </c>
      <c r="AJ9" s="135">
        <f t="shared" si="11"/>
        <v>48.891437402681838</v>
      </c>
      <c r="AK9" s="135">
        <f t="shared" si="12"/>
        <v>69.374708336993905</v>
      </c>
      <c r="AL9" s="136"/>
      <c r="AM9" s="136">
        <f t="shared" si="40"/>
        <v>22529.174355155788</v>
      </c>
      <c r="AN9" s="137">
        <f t="shared" si="15"/>
        <v>0.11227974297099894</v>
      </c>
      <c r="AO9" s="137">
        <f t="shared" ref="AO9:AO14" si="52">AN9/AH9*5252</f>
        <v>1.8427915666371371E-2</v>
      </c>
      <c r="AP9" s="136">
        <f t="shared" si="27"/>
        <v>1.1517449073517487E-6</v>
      </c>
      <c r="AQ9" s="134">
        <f t="shared" si="33"/>
        <v>3.9071151704477884E-2</v>
      </c>
      <c r="AR9" s="137">
        <f t="shared" si="16"/>
        <v>4.0410093517432376E-2</v>
      </c>
      <c r="AS9" s="137">
        <f t="shared" si="17"/>
        <v>9.4203989816868394E-3</v>
      </c>
      <c r="AT9" s="136">
        <f>AS9/AM9*2</f>
        <v>8.3628444018242383E-7</v>
      </c>
      <c r="AU9" s="134">
        <f t="shared" si="51"/>
        <v>5.3809443100703722E-2</v>
      </c>
      <c r="AV9" s="138">
        <f t="shared" si="28"/>
        <v>1.0526315789473683E-4</v>
      </c>
      <c r="AW9" s="136">
        <f t="shared" si="24"/>
        <v>63.133192475440495</v>
      </c>
    </row>
    <row r="10" spans="1:49" ht="13.95" customHeight="1" x14ac:dyDescent="0.3">
      <c r="B10" s="113">
        <f t="shared" si="25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5"/>
        <v>88.904499999999999</v>
      </c>
      <c r="K10" s="1">
        <f t="shared" si="2"/>
        <v>89</v>
      </c>
      <c r="L10" s="1">
        <f t="shared" si="26"/>
        <v>4.4886363697321396</v>
      </c>
      <c r="M10" s="3">
        <f t="shared" si="18"/>
        <v>564.9717514124294</v>
      </c>
      <c r="N10" s="3">
        <f t="shared" si="18"/>
        <v>416.66666666666669</v>
      </c>
      <c r="O10" s="3">
        <f t="shared" si="19"/>
        <v>33898.305084745763</v>
      </c>
      <c r="P10" s="3">
        <f t="shared" si="20"/>
        <v>25000</v>
      </c>
      <c r="Q10" s="3">
        <f t="shared" si="4"/>
        <v>73.56403013182674</v>
      </c>
      <c r="R10" s="3">
        <f t="shared" si="5"/>
        <v>54.253472222222221</v>
      </c>
      <c r="S10" s="3">
        <f t="shared" si="6"/>
        <v>89</v>
      </c>
      <c r="T10" s="4">
        <f t="shared" si="0"/>
        <v>88.904499999999999</v>
      </c>
      <c r="U10">
        <f t="shared" si="36"/>
        <v>0.11922289039900001</v>
      </c>
      <c r="V10" s="127">
        <f t="shared" si="21"/>
        <v>1.8471679301078667E-2</v>
      </c>
      <c r="W10">
        <f t="shared" si="22"/>
        <v>-2.7245726969091031E-7</v>
      </c>
      <c r="X10">
        <v>0.18</v>
      </c>
      <c r="Y10">
        <f t="shared" si="37"/>
        <v>4.9042308544363851E-8</v>
      </c>
      <c r="Z10">
        <f t="shared" si="38"/>
        <v>1.508455991788729E-5</v>
      </c>
      <c r="AA10">
        <f t="shared" si="39"/>
        <v>2.1721766281757697E-3</v>
      </c>
      <c r="AB10" s="97"/>
      <c r="AF10" s="95">
        <f>C10/$AD$32*$AD$27</f>
        <v>2.4722222222222223</v>
      </c>
      <c r="AG10" s="95">
        <f t="shared" si="9"/>
        <v>89</v>
      </c>
      <c r="AH10" s="96">
        <f t="shared" si="10"/>
        <v>35366.791670025093</v>
      </c>
      <c r="AI10" s="96">
        <f t="shared" si="14"/>
        <v>76.75084997835306</v>
      </c>
      <c r="AJ10" s="96">
        <f t="shared" si="11"/>
        <v>56.37135667731674</v>
      </c>
      <c r="AK10" s="96">
        <f t="shared" si="12"/>
        <v>76.617162931553622</v>
      </c>
      <c r="AM10">
        <f t="shared" si="40"/>
        <v>25975.921156907556</v>
      </c>
      <c r="AN10" s="127">
        <f t="shared" si="15"/>
        <v>0.14565577213038161</v>
      </c>
      <c r="AO10" s="127">
        <f t="shared" si="52"/>
        <v>2.1630011632554215E-2</v>
      </c>
      <c r="AP10">
        <f t="shared" si="27"/>
        <v>1.2231820083859401E-6</v>
      </c>
      <c r="AQ10" s="95">
        <f t="shared" si="33"/>
        <v>3.6789291938147554E-2</v>
      </c>
      <c r="AR10" s="127">
        <f t="shared" si="16"/>
        <v>6.2805810923551059E-2</v>
      </c>
      <c r="AS10" s="127">
        <f t="shared" si="17"/>
        <v>1.2698534037657191E-2</v>
      </c>
      <c r="AT10">
        <f t="shared" ref="AT10:AT14" si="53">AS10/AM10*2</f>
        <v>9.7771578231637638E-7</v>
      </c>
      <c r="AU10" s="95">
        <f t="shared" si="51"/>
        <v>4.6025645503427672E-2</v>
      </c>
      <c r="AV10" s="128">
        <f t="shared" si="28"/>
        <v>1.0526315789473683E-4</v>
      </c>
      <c r="AW10">
        <f t="shared" si="24"/>
        <v>59.446045167387481</v>
      </c>
    </row>
    <row r="11" spans="1:49" ht="13.95" customHeight="1" x14ac:dyDescent="0.3">
      <c r="B11" s="113">
        <f t="shared" ref="B11" si="54"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ref="J11" si="55">E11*F11</f>
        <v>135.96</v>
      </c>
      <c r="K11" s="1">
        <f t="shared" ref="K11" si="56">C11</f>
        <v>125</v>
      </c>
      <c r="L11" s="1">
        <f t="shared" ref="L11" si="57">LN(K11)</f>
        <v>4.8283137373023015</v>
      </c>
      <c r="M11" s="3">
        <f t="shared" ref="M11" si="58">1/G11/0.000001</f>
        <v>657.89473684210532</v>
      </c>
      <c r="N11" s="3">
        <f t="shared" ref="N11" si="59">1/H11/0.000001</f>
        <v>500.00000000000006</v>
      </c>
      <c r="O11" s="3">
        <f t="shared" ref="O11" si="60">M11*60/$W$27</f>
        <v>39473.68421052632</v>
      </c>
      <c r="P11" s="3">
        <f t="shared" ref="P11" si="61">N11*60/$W$27</f>
        <v>30000.000000000004</v>
      </c>
      <c r="Q11" s="3">
        <f t="shared" si="4"/>
        <v>85.663377192982466</v>
      </c>
      <c r="R11" s="3">
        <f t="shared" si="5"/>
        <v>65.104166666666671</v>
      </c>
      <c r="S11" s="3">
        <f t="shared" ref="S11" si="62">K11</f>
        <v>125</v>
      </c>
      <c r="T11" s="4">
        <f t="shared" ref="T11" si="63">J11</f>
        <v>135.96</v>
      </c>
      <c r="U11">
        <f t="shared" ref="U11" si="64">T11*0.001341022</f>
        <v>0.18232535112000003</v>
      </c>
      <c r="V11" s="127">
        <f t="shared" ref="V11" si="65">U11/O11*5252</f>
        <v>2.4258509516750081E-2</v>
      </c>
      <c r="W11">
        <f t="shared" ref="W11" si="66">-V11/2/O11</f>
        <v>-3.072744538788343E-7</v>
      </c>
      <c r="X11">
        <v>0.14000000000000001</v>
      </c>
      <c r="Y11">
        <f t="shared" ref="Y11" si="67">-X11*W11</f>
        <v>4.3018423543036807E-8</v>
      </c>
      <c r="Z11">
        <f t="shared" ref="Z11" si="68">Y11/6.66*2048.5</f>
        <v>1.3231717811998633E-5</v>
      </c>
      <c r="AA11">
        <f t="shared" ref="AA11" si="69">Z11*144</f>
        <v>1.9053673649278033E-3</v>
      </c>
      <c r="AB11" s="97"/>
      <c r="AF11" s="95">
        <f>C11/$AD$32*$AD$27</f>
        <v>3.4722222222222223</v>
      </c>
      <c r="AG11" s="95">
        <f t="shared" si="9"/>
        <v>125</v>
      </c>
      <c r="AH11" s="96">
        <f t="shared" si="10"/>
        <v>40186.817071139434</v>
      </c>
      <c r="AI11" s="96">
        <f t="shared" ref="AI11" si="70">MAX(($AD$35+$AE$35*LN(AG11))/$AD$31,0)</f>
        <v>87.210974546743557</v>
      </c>
      <c r="AJ11" s="96">
        <f t="shared" si="11"/>
        <v>67.079874285654896</v>
      </c>
      <c r="AK11" s="96">
        <f t="shared" si="12"/>
        <v>86.985717685403912</v>
      </c>
      <c r="AM11">
        <f t="shared" si="40"/>
        <v>30910.406070829777</v>
      </c>
      <c r="AN11" s="127">
        <f t="shared" si="15"/>
        <v>0.20058398668919561</v>
      </c>
      <c r="AO11" s="127">
        <f t="shared" si="52"/>
        <v>2.621424573702338E-2</v>
      </c>
      <c r="AP11">
        <f t="shared" si="27"/>
        <v>1.3046191585971313E-6</v>
      </c>
      <c r="AQ11" s="95">
        <f t="shared" si="33"/>
        <v>3.4492824747713272E-2</v>
      </c>
      <c r="AR11" s="127">
        <f t="shared" si="16"/>
        <v>0.10235763443239904</v>
      </c>
      <c r="AS11" s="127">
        <f t="shared" si="17"/>
        <v>1.7391628398770127E-2</v>
      </c>
      <c r="AT11">
        <f t="shared" si="53"/>
        <v>1.1252927806200935E-6</v>
      </c>
      <c r="AU11" s="95">
        <f t="shared" si="51"/>
        <v>3.9989592730882637E-2</v>
      </c>
      <c r="AV11" s="128">
        <f t="shared" si="28"/>
        <v>1.0526315789473683E-4</v>
      </c>
      <c r="AW11">
        <f t="shared" si="24"/>
        <v>55.735294426179998</v>
      </c>
    </row>
    <row r="12" spans="1:49" ht="13.95" customHeight="1" x14ac:dyDescent="0.3">
      <c r="B12" s="113">
        <f t="shared" si="25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5"/>
        <v>192.75</v>
      </c>
      <c r="K12" s="1">
        <f t="shared" si="2"/>
        <v>155</v>
      </c>
      <c r="L12" s="1">
        <f t="shared" si="26"/>
        <v>5.0434251169192468</v>
      </c>
      <c r="M12" s="3">
        <f t="shared" si="18"/>
        <v>733.13782991202345</v>
      </c>
      <c r="N12" s="3">
        <f t="shared" si="18"/>
        <v>574.71264367816093</v>
      </c>
      <c r="O12" s="3">
        <f t="shared" si="19"/>
        <v>43988.269794721404</v>
      </c>
      <c r="P12" s="3">
        <f t="shared" si="20"/>
        <v>34482.758620689652</v>
      </c>
      <c r="Q12" s="3">
        <f t="shared" si="4"/>
        <v>95.460654936461381</v>
      </c>
      <c r="R12" s="3">
        <f t="shared" si="5"/>
        <v>74.83237547892719</v>
      </c>
      <c r="S12" s="3">
        <f t="shared" si="6"/>
        <v>155</v>
      </c>
      <c r="T12" s="4">
        <f t="shared" si="0"/>
        <v>192.75</v>
      </c>
      <c r="U12">
        <f t="shared" si="36"/>
        <v>0.25848199050000004</v>
      </c>
      <c r="V12" s="127">
        <f t="shared" si="21"/>
        <v>3.0861577880676404E-2</v>
      </c>
      <c r="W12">
        <f t="shared" si="22"/>
        <v>-3.5079326857702185E-7</v>
      </c>
      <c r="X12">
        <v>0.14000000000000001</v>
      </c>
      <c r="Y12">
        <f t="shared" si="37"/>
        <v>4.9111057600783063E-8</v>
      </c>
      <c r="Z12">
        <f t="shared" si="38"/>
        <v>1.5105705930210826E-5</v>
      </c>
      <c r="AA12">
        <f t="shared" si="39"/>
        <v>2.1752216539503589E-3</v>
      </c>
      <c r="AB12" s="97"/>
      <c r="AF12" s="95">
        <f>C12/$AD$32*$AD$27</f>
        <v>4.3055555555555554</v>
      </c>
      <c r="AG12" s="95">
        <f t="shared" si="9"/>
        <v>155</v>
      </c>
      <c r="AH12" s="96">
        <f t="shared" si="10"/>
        <v>43239.249799405501</v>
      </c>
      <c r="AI12" s="96">
        <f t="shared" si="14"/>
        <v>93.835177516070971</v>
      </c>
      <c r="AJ12" s="96">
        <f t="shared" si="11"/>
        <v>73.861379962232448</v>
      </c>
      <c r="AK12" s="96">
        <f t="shared" si="12"/>
        <v>93.551931188792182</v>
      </c>
      <c r="AM12">
        <f t="shared" si="40"/>
        <v>34035.323886596707</v>
      </c>
      <c r="AN12" s="127">
        <f t="shared" si="15"/>
        <v>0.23972060902426137</v>
      </c>
      <c r="AO12" s="127">
        <f t="shared" si="52"/>
        <v>2.911735620844955E-2</v>
      </c>
      <c r="AP12">
        <f t="shared" si="27"/>
        <v>1.3468020996446561E-6</v>
      </c>
      <c r="AQ12" s="95">
        <f t="shared" si="33"/>
        <v>3.3412481322885462E-2</v>
      </c>
      <c r="AR12" s="127">
        <f t="shared" si="16"/>
        <v>0.13196579932248606</v>
      </c>
      <c r="AS12" s="127">
        <f t="shared" si="17"/>
        <v>2.0363678052572821E-2</v>
      </c>
      <c r="AT12">
        <f t="shared" si="53"/>
        <v>1.1966202008491623E-6</v>
      </c>
      <c r="AU12" s="95">
        <f t="shared" si="51"/>
        <v>3.7605917038728308E-2</v>
      </c>
      <c r="AV12" s="128">
        <f t="shared" si="28"/>
        <v>1.0526315789473683E-4</v>
      </c>
      <c r="AW12">
        <f t="shared" si="24"/>
        <v>53.989619512496461</v>
      </c>
    </row>
    <row r="13" spans="1:49" ht="13.95" customHeight="1" x14ac:dyDescent="0.3">
      <c r="B13" s="113">
        <f t="shared" si="25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5"/>
        <v>209.1</v>
      </c>
      <c r="K13" s="1">
        <f t="shared" si="2"/>
        <v>165</v>
      </c>
      <c r="L13" s="1">
        <f t="shared" si="26"/>
        <v>5.1059454739005803</v>
      </c>
      <c r="M13" s="3">
        <f t="shared" si="18"/>
        <v>759.87841945288756</v>
      </c>
      <c r="N13" s="3">
        <f t="shared" si="18"/>
        <v>595.2380952380953</v>
      </c>
      <c r="O13" s="3">
        <f t="shared" si="19"/>
        <v>45592.705167173255</v>
      </c>
      <c r="P13" s="3">
        <f t="shared" si="20"/>
        <v>35714.285714285717</v>
      </c>
      <c r="Q13" s="3">
        <f t="shared" si="4"/>
        <v>98.942502532928074</v>
      </c>
      <c r="R13" s="3">
        <f t="shared" si="5"/>
        <v>77.504960317460331</v>
      </c>
      <c r="S13" s="3">
        <f t="shared" si="6"/>
        <v>165</v>
      </c>
      <c r="T13" s="4">
        <f t="shared" si="0"/>
        <v>209.1</v>
      </c>
      <c r="U13">
        <f t="shared" si="36"/>
        <v>0.2804077002</v>
      </c>
      <c r="V13" s="127">
        <f t="shared" si="21"/>
        <v>3.2301247229145437E-2</v>
      </c>
      <c r="W13">
        <f t="shared" si="22"/>
        <v>-3.5423701127962827E-7</v>
      </c>
      <c r="AB13" s="97"/>
      <c r="AF13" s="95">
        <f>C13/$AD$32*$AD$27</f>
        <v>4.583333333333333</v>
      </c>
      <c r="AG13" s="95">
        <f t="shared" si="9"/>
        <v>165</v>
      </c>
      <c r="AH13" s="96">
        <f t="shared" si="10"/>
        <v>44126.414319351083</v>
      </c>
      <c r="AI13" s="96">
        <f t="shared" si="14"/>
        <v>95.760447741647312</v>
      </c>
      <c r="AJ13" s="96">
        <f t="shared" si="11"/>
        <v>75.832368928625399</v>
      </c>
      <c r="AK13" s="96">
        <f t="shared" si="12"/>
        <v>95.460347252035845</v>
      </c>
      <c r="AM13">
        <f t="shared" si="40"/>
        <v>34943.555602310582</v>
      </c>
      <c r="AN13" s="127">
        <f t="shared" si="15"/>
        <v>0.2517282669713366</v>
      </c>
      <c r="AO13" s="127">
        <f t="shared" si="52"/>
        <v>2.996112143999155E-2</v>
      </c>
      <c r="AP13">
        <f t="shared" si="27"/>
        <v>1.3579676437408819E-6</v>
      </c>
      <c r="AQ13" s="95">
        <f t="shared" si="33"/>
        <v>3.3137755680272003E-2</v>
      </c>
      <c r="AR13" s="127">
        <f t="shared" si="16"/>
        <v>0.14123450569139354</v>
      </c>
      <c r="AS13" s="127">
        <f t="shared" si="17"/>
        <v>2.1227479891661367E-2</v>
      </c>
      <c r="AT13">
        <f t="shared" si="53"/>
        <v>1.2149582105066456E-6</v>
      </c>
      <c r="AU13" s="95">
        <f t="shared" si="51"/>
        <v>3.7038310956584011E-2</v>
      </c>
      <c r="AV13" s="128">
        <f t="shared" si="28"/>
        <v>1.0526315789473683E-4</v>
      </c>
      <c r="AW13">
        <f t="shared" si="24"/>
        <v>53.545703576661204</v>
      </c>
    </row>
    <row r="14" spans="1:49" ht="13.95" customHeight="1" thickBot="1" x14ac:dyDescent="0.35">
      <c r="B14" s="116">
        <f t="shared" si="25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6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5"/>
        <v>0</v>
      </c>
      <c r="S14" s="1">
        <f t="shared" si="6"/>
        <v>180</v>
      </c>
      <c r="T14" s="4">
        <f t="shared" si="0"/>
        <v>0</v>
      </c>
      <c r="U14">
        <f t="shared" ref="U14" si="71">T14*0.001341022</f>
        <v>0</v>
      </c>
      <c r="AB14" s="97"/>
      <c r="AF14" s="95">
        <f>C14/$AD$32*$AD$27</f>
        <v>5</v>
      </c>
      <c r="AG14" s="95">
        <f t="shared" si="9"/>
        <v>180</v>
      </c>
      <c r="AH14" s="96">
        <f t="shared" si="10"/>
        <v>45361.106669554021</v>
      </c>
      <c r="AI14" s="96">
        <f t="shared" si="14"/>
        <v>98.439901626636328</v>
      </c>
      <c r="AJ14" s="96">
        <f t="shared" si="11"/>
        <v>78.575450898685531</v>
      </c>
      <c r="AK14" s="96">
        <f t="shared" si="12"/>
        <v>98.116344715094769</v>
      </c>
      <c r="AM14">
        <f t="shared" si="40"/>
        <v>36207.567774114286</v>
      </c>
      <c r="AN14" s="127">
        <f t="shared" si="15"/>
        <v>0.26891409453189768</v>
      </c>
      <c r="AO14" s="127">
        <f t="shared" si="52"/>
        <v>3.1135413753683283E-2</v>
      </c>
      <c r="AP14">
        <f t="shared" si="27"/>
        <v>1.3727801651973849E-6</v>
      </c>
      <c r="AR14" s="127">
        <f t="shared" si="16"/>
        <v>0.15463125520306809</v>
      </c>
      <c r="AS14" s="127">
        <f t="shared" si="17"/>
        <v>2.2429657727717388E-2</v>
      </c>
      <c r="AT14">
        <f t="shared" si="53"/>
        <v>1.2389486014441944E-6</v>
      </c>
      <c r="AV14" s="128">
        <f t="shared" si="28"/>
        <v>1.0526315789473683E-4</v>
      </c>
      <c r="AW14">
        <f t="shared" si="24"/>
        <v>52.967936718397489</v>
      </c>
    </row>
    <row r="15" spans="1:49" ht="13.95" customHeight="1" x14ac:dyDescent="0.3"/>
    <row r="16" spans="1:49" ht="13.95" customHeight="1" x14ac:dyDescent="0.3">
      <c r="B16" s="120">
        <f t="shared" si="25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" si="72">E16*F16</f>
        <v>5.8512000000000004</v>
      </c>
      <c r="K16" s="1">
        <f t="shared" ref="K16" si="73">C16</f>
        <v>9</v>
      </c>
      <c r="L16" s="1">
        <f t="shared" ref="L16" si="74">LN(K16)</f>
        <v>2.1972245773362196</v>
      </c>
      <c r="M16" s="3">
        <f t="shared" ref="M16" si="75">1/G16/0.000001</f>
        <v>162.33766233766235</v>
      </c>
      <c r="N16" s="3"/>
      <c r="O16" s="3">
        <f t="shared" ref="O16" si="76">M16*60/$W$27</f>
        <v>9740.2597402597403</v>
      </c>
      <c r="P16" s="3"/>
      <c r="Q16" s="3">
        <f t="shared" ref="Q16:Q24" si="77">O16/$W$40*100</f>
        <v>21.137716450216452</v>
      </c>
      <c r="R16" s="3"/>
      <c r="S16" s="3">
        <f t="shared" ref="S16" si="78">K16</f>
        <v>9</v>
      </c>
      <c r="T16" s="4">
        <f t="shared" ref="T16" si="79">J16</f>
        <v>5.8512000000000004</v>
      </c>
      <c r="U16">
        <f t="shared" ref="U16" si="80">T16*0.001341022</f>
        <v>7.8465879264000005E-3</v>
      </c>
      <c r="V16">
        <f t="shared" ref="V16" si="81">U16/O16*5252</f>
        <v>4.230922058383821E-3</v>
      </c>
      <c r="W16">
        <f t="shared" ref="W16" si="82">-V16/2/O16</f>
        <v>-2.1718733233036949E-7</v>
      </c>
      <c r="X16">
        <v>0.18</v>
      </c>
      <c r="Y16">
        <f t="shared" ref="Y16" si="83">-X16*W16</f>
        <v>3.9093719819466504E-8</v>
      </c>
      <c r="Z16">
        <f t="shared" ref="Z16" si="84">Y16/6.66*2048.5</f>
        <v>1.2024547304831401E-5</v>
      </c>
      <c r="AA16">
        <f t="shared" ref="AA16" si="85">Z16*144</f>
        <v>1.7315348118957217E-3</v>
      </c>
    </row>
    <row r="17" spans="1:32" ht="13.95" customHeight="1" x14ac:dyDescent="0.3">
      <c r="B17" s="120">
        <f t="shared" si="25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86">E17*F17</f>
        <v>7.7969999999999997</v>
      </c>
      <c r="K17" s="1">
        <f t="shared" ref="K17:K24" si="87">C17</f>
        <v>13</v>
      </c>
      <c r="L17" s="1">
        <f t="shared" ref="L17:L24" si="88">LN(K17)</f>
        <v>2.5649493574615367</v>
      </c>
      <c r="M17" s="3">
        <f t="shared" ref="M17:M24" si="89">1/G17/0.000001</f>
        <v>196.85039370078741</v>
      </c>
      <c r="N17" s="3"/>
      <c r="O17" s="3">
        <f t="shared" ref="O17:O24" si="90">M17*60/$W$27</f>
        <v>11811.023622047245</v>
      </c>
      <c r="P17" s="3"/>
      <c r="Q17" s="3">
        <f t="shared" si="77"/>
        <v>25.631561679790028</v>
      </c>
      <c r="R17" s="3"/>
      <c r="S17" s="3">
        <f t="shared" ref="S17:S24" si="91">K17</f>
        <v>13</v>
      </c>
      <c r="T17" s="4">
        <f t="shared" ref="T17:T24" si="92">J17</f>
        <v>7.7969999999999997</v>
      </c>
      <c r="U17">
        <f t="shared" ref="U17:U24" si="93">T17*0.001341022</f>
        <v>1.0455948534E-2</v>
      </c>
      <c r="V17">
        <f t="shared" ref="V17:V24" si="94">U17/O17*5252</f>
        <v>4.6494396639814237E-3</v>
      </c>
      <c r="W17">
        <f t="shared" ref="W17:W24" si="95">-V17/2/O17</f>
        <v>-1.9682627910854693E-7</v>
      </c>
      <c r="X17">
        <v>0.18</v>
      </c>
      <c r="Y17">
        <f t="shared" ref="Y17:Y24" si="96">-X17*W17</f>
        <v>3.5428730239538448E-8</v>
      </c>
      <c r="Z17">
        <f t="shared" ref="Z17:Z24" si="97">Y17/6.66*2048.5</f>
        <v>1.0897260344698876E-5</v>
      </c>
      <c r="AA17">
        <f t="shared" ref="AA17:AA24" si="98">Z17*144</f>
        <v>1.569205489636638E-3</v>
      </c>
    </row>
    <row r="18" spans="1:32" ht="13.95" customHeight="1" x14ac:dyDescent="0.3">
      <c r="B18" s="120">
        <f t="shared" si="25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86"/>
        <v>18.150000000000002</v>
      </c>
      <c r="K18" s="1">
        <f t="shared" si="87"/>
        <v>26</v>
      </c>
      <c r="L18" s="1">
        <f t="shared" si="88"/>
        <v>3.2580965380214821</v>
      </c>
      <c r="M18" s="3">
        <f t="shared" si="89"/>
        <v>314.46540880503147</v>
      </c>
      <c r="N18" s="3"/>
      <c r="O18" s="3">
        <f t="shared" si="90"/>
        <v>18867.92452830189</v>
      </c>
      <c r="P18" s="3"/>
      <c r="Q18" s="3">
        <f t="shared" si="77"/>
        <v>40.946016771488473</v>
      </c>
      <c r="R18" s="3"/>
      <c r="S18" s="3">
        <f t="shared" si="91"/>
        <v>26</v>
      </c>
      <c r="T18" s="4">
        <f t="shared" si="92"/>
        <v>18.150000000000002</v>
      </c>
      <c r="U18">
        <f t="shared" si="93"/>
        <v>2.4339549300000006E-2</v>
      </c>
      <c r="V18">
        <f t="shared" si="94"/>
        <v>6.7750595849508004E-3</v>
      </c>
      <c r="W18">
        <f t="shared" si="95"/>
        <v>-1.7953907900119617E-7</v>
      </c>
      <c r="X18">
        <v>0.18</v>
      </c>
      <c r="Y18">
        <f t="shared" si="96"/>
        <v>3.2317034220215307E-8</v>
      </c>
      <c r="Z18">
        <f t="shared" si="97"/>
        <v>9.9401568468635218E-6</v>
      </c>
      <c r="AA18">
        <f t="shared" si="98"/>
        <v>1.4313825859483471E-3</v>
      </c>
    </row>
    <row r="19" spans="1:32" ht="13.95" customHeight="1" x14ac:dyDescent="0.3">
      <c r="B19" s="120">
        <f t="shared" si="25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86"/>
        <v>28.516800000000003</v>
      </c>
      <c r="K19" s="1">
        <f t="shared" si="87"/>
        <v>36</v>
      </c>
      <c r="L19" s="1">
        <f t="shared" si="88"/>
        <v>3.5835189384561099</v>
      </c>
      <c r="M19" s="3">
        <f t="shared" si="89"/>
        <v>377.35849056603774</v>
      </c>
      <c r="N19" s="3"/>
      <c r="O19" s="3">
        <f t="shared" si="90"/>
        <v>22641.509433962266</v>
      </c>
      <c r="P19" s="3"/>
      <c r="Q19" s="3">
        <f t="shared" si="77"/>
        <v>49.135220125786169</v>
      </c>
      <c r="R19" s="3"/>
      <c r="S19" s="3">
        <f t="shared" si="91"/>
        <v>36</v>
      </c>
      <c r="T19" s="4">
        <f t="shared" si="92"/>
        <v>28.516800000000003</v>
      </c>
      <c r="U19">
        <f t="shared" si="93"/>
        <v>3.8241656169600007E-2</v>
      </c>
      <c r="V19">
        <f t="shared" si="94"/>
        <v>8.8706620372876483E-3</v>
      </c>
      <c r="W19">
        <f t="shared" si="95"/>
        <v>-1.9589378665676887E-7</v>
      </c>
      <c r="X19">
        <v>0.18</v>
      </c>
      <c r="Y19">
        <f t="shared" si="96"/>
        <v>3.5260881598218394E-8</v>
      </c>
      <c r="Z19">
        <f t="shared" si="97"/>
        <v>1.0845633026118675E-5</v>
      </c>
      <c r="AA19">
        <f t="shared" si="98"/>
        <v>1.5617711557610891E-3</v>
      </c>
    </row>
    <row r="20" spans="1:32" ht="13.95" customHeight="1" x14ac:dyDescent="0.3">
      <c r="B20" s="120">
        <f t="shared" si="25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86"/>
        <v>51.68</v>
      </c>
      <c r="K20" s="1">
        <f t="shared" si="87"/>
        <v>56</v>
      </c>
      <c r="L20" s="1">
        <f t="shared" si="88"/>
        <v>4.0253516907351496</v>
      </c>
      <c r="M20" s="3">
        <f t="shared" si="89"/>
        <v>483.09178743961354</v>
      </c>
      <c r="N20" s="3"/>
      <c r="O20" s="3">
        <f t="shared" si="90"/>
        <v>28985.507246376812</v>
      </c>
      <c r="P20" s="3"/>
      <c r="Q20" s="3">
        <f t="shared" si="77"/>
        <v>62.902576489533011</v>
      </c>
      <c r="R20" s="3"/>
      <c r="S20" s="3">
        <f t="shared" si="91"/>
        <v>56</v>
      </c>
      <c r="T20" s="4">
        <f t="shared" si="92"/>
        <v>51.68</v>
      </c>
      <c r="U20">
        <f t="shared" si="93"/>
        <v>6.9304016960000006E-2</v>
      </c>
      <c r="V20">
        <f t="shared" si="94"/>
        <v>1.255747204905024E-2</v>
      </c>
      <c r="W20">
        <f t="shared" si="95"/>
        <v>-2.1661639284611662E-7</v>
      </c>
      <c r="X20">
        <v>0.18</v>
      </c>
      <c r="Y20">
        <f t="shared" si="96"/>
        <v>3.8990950712300994E-8</v>
      </c>
      <c r="Z20">
        <f t="shared" si="97"/>
        <v>1.1992937317439727E-5</v>
      </c>
      <c r="AA20">
        <f t="shared" si="98"/>
        <v>1.7269829737113207E-3</v>
      </c>
    </row>
    <row r="21" spans="1:32" ht="13.95" customHeight="1" x14ac:dyDescent="0.3">
      <c r="B21" s="120">
        <f t="shared" si="25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86"/>
        <v>59.349000000000004</v>
      </c>
      <c r="K21" s="1">
        <f t="shared" si="87"/>
        <v>64</v>
      </c>
      <c r="L21" s="1">
        <f t="shared" si="88"/>
        <v>4.1588830833596715</v>
      </c>
      <c r="M21" s="3">
        <f t="shared" si="89"/>
        <v>500.00000000000006</v>
      </c>
      <c r="N21" s="3"/>
      <c r="O21" s="3">
        <f t="shared" si="90"/>
        <v>30000.000000000004</v>
      </c>
      <c r="P21" s="3"/>
      <c r="Q21" s="3">
        <f t="shared" si="77"/>
        <v>65.104166666666671</v>
      </c>
      <c r="R21" s="3"/>
      <c r="S21" s="3">
        <f t="shared" si="91"/>
        <v>64</v>
      </c>
      <c r="T21" s="4">
        <f t="shared" si="92"/>
        <v>59.349000000000004</v>
      </c>
      <c r="U21">
        <f t="shared" si="93"/>
        <v>7.9588314678000011E-2</v>
      </c>
      <c r="V21">
        <f t="shared" si="94"/>
        <v>1.39332609562952E-2</v>
      </c>
      <c r="W21">
        <f t="shared" si="95"/>
        <v>-2.3222101593825331E-7</v>
      </c>
      <c r="X21">
        <v>0.18</v>
      </c>
      <c r="Y21">
        <f t="shared" si="96"/>
        <v>4.1799782868885597E-8</v>
      </c>
      <c r="Z21">
        <f t="shared" si="97"/>
        <v>1.2856885166203024E-5</v>
      </c>
      <c r="AA21">
        <f t="shared" si="98"/>
        <v>1.8513914639332356E-3</v>
      </c>
    </row>
    <row r="22" spans="1:32" ht="13.95" customHeight="1" x14ac:dyDescent="0.3">
      <c r="B22" s="120">
        <f t="shared" si="25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86"/>
        <v>84.545999999999992</v>
      </c>
      <c r="K22" s="1">
        <f t="shared" si="87"/>
        <v>89</v>
      </c>
      <c r="L22" s="1">
        <f t="shared" si="88"/>
        <v>4.4886363697321396</v>
      </c>
      <c r="M22" s="3">
        <f t="shared" si="89"/>
        <v>568.18181818181813</v>
      </c>
      <c r="N22" s="3"/>
      <c r="O22" s="3">
        <f t="shared" si="90"/>
        <v>34090.909090909088</v>
      </c>
      <c r="P22" s="3"/>
      <c r="Q22" s="3">
        <f t="shared" si="77"/>
        <v>73.982007575757564</v>
      </c>
      <c r="R22" s="3"/>
      <c r="S22" s="3">
        <f t="shared" si="91"/>
        <v>89</v>
      </c>
      <c r="T22" s="4">
        <f t="shared" si="92"/>
        <v>84.545999999999992</v>
      </c>
      <c r="U22">
        <f t="shared" si="93"/>
        <v>0.11337804601199999</v>
      </c>
      <c r="V22">
        <f t="shared" si="94"/>
        <v>1.7466870597880702E-2</v>
      </c>
      <c r="W22">
        <f t="shared" si="95"/>
        <v>-2.5618076876891696E-7</v>
      </c>
      <c r="X22">
        <v>0.18</v>
      </c>
      <c r="Y22">
        <f t="shared" si="96"/>
        <v>4.611253837840505E-8</v>
      </c>
      <c r="Z22">
        <f t="shared" si="97"/>
        <v>1.4183413643868279E-5</v>
      </c>
      <c r="AA22">
        <f t="shared" si="98"/>
        <v>2.0424115647170323E-3</v>
      </c>
    </row>
    <row r="23" spans="1:32" ht="13.95" customHeight="1" x14ac:dyDescent="0.3">
      <c r="B23" s="120">
        <f t="shared" si="25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86"/>
        <v>153.26999999999998</v>
      </c>
      <c r="K23" s="1">
        <f t="shared" si="87"/>
        <v>143</v>
      </c>
      <c r="L23" s="1">
        <f t="shared" si="88"/>
        <v>4.962844630259907</v>
      </c>
      <c r="M23" s="3">
        <f t="shared" si="89"/>
        <v>699.30069930069931</v>
      </c>
      <c r="N23" s="3"/>
      <c r="O23" s="3">
        <f t="shared" si="90"/>
        <v>41958.041958041955</v>
      </c>
      <c r="P23" s="3"/>
      <c r="Q23" s="3">
        <f t="shared" si="77"/>
        <v>91.054778554778551</v>
      </c>
      <c r="R23" s="3"/>
      <c r="S23" s="3">
        <f t="shared" si="91"/>
        <v>143</v>
      </c>
      <c r="T23" s="4">
        <f t="shared" si="92"/>
        <v>153.26999999999998</v>
      </c>
      <c r="U23">
        <f t="shared" si="93"/>
        <v>0.20553844193999998</v>
      </c>
      <c r="V23">
        <f t="shared" si="94"/>
        <v>2.5727794880141638E-2</v>
      </c>
      <c r="W23">
        <f t="shared" si="95"/>
        <v>-3.0658955565502124E-7</v>
      </c>
      <c r="X23">
        <v>0.18</v>
      </c>
      <c r="Y23">
        <f t="shared" si="96"/>
        <v>5.5186120017903822E-8</v>
      </c>
      <c r="Z23">
        <f t="shared" si="97"/>
        <v>1.6974289317819214E-5</v>
      </c>
      <c r="AA23">
        <f t="shared" si="98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5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86"/>
        <v>214.45920000000001</v>
      </c>
      <c r="K24" s="1">
        <f t="shared" si="87"/>
        <v>165</v>
      </c>
      <c r="L24" s="1">
        <f t="shared" si="88"/>
        <v>5.1059454739005803</v>
      </c>
      <c r="M24" s="3">
        <f t="shared" si="89"/>
        <v>781.25000000000011</v>
      </c>
      <c r="N24" s="3"/>
      <c r="O24" s="3">
        <f t="shared" si="90"/>
        <v>46875.000000000007</v>
      </c>
      <c r="P24" s="3"/>
      <c r="Q24" s="3">
        <f t="shared" si="77"/>
        <v>101.72526041666667</v>
      </c>
      <c r="R24" s="3"/>
      <c r="S24" s="3">
        <f t="shared" si="91"/>
        <v>165</v>
      </c>
      <c r="T24" s="4">
        <f t="shared" si="92"/>
        <v>214.45920000000001</v>
      </c>
      <c r="U24">
        <f t="shared" si="93"/>
        <v>0.28759450530240005</v>
      </c>
      <c r="V24">
        <f t="shared" si="94"/>
        <v>3.2222855292761705E-2</v>
      </c>
      <c r="W24">
        <f t="shared" si="95"/>
        <v>-3.4371045645612482E-7</v>
      </c>
      <c r="X24">
        <v>0.18</v>
      </c>
      <c r="Y24">
        <f t="shared" si="96"/>
        <v>6.1867882162102469E-8</v>
      </c>
      <c r="Z24">
        <f t="shared" si="97"/>
        <v>1.9029482974334368E-5</v>
      </c>
      <c r="AA24">
        <f t="shared" si="98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99">B43/180*(2.4-0.53)+0.53</f>
        <v>1.4649999999999999</v>
      </c>
      <c r="D43" s="88">
        <f t="shared" ref="D43:D48" si="100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99"/>
        <v>1.568888888888889</v>
      </c>
      <c r="D44" s="88">
        <f t="shared" si="100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-22.202069774198112</v>
      </c>
      <c r="AA44" t="s">
        <v>70</v>
      </c>
    </row>
    <row r="45" spans="2:48" x14ac:dyDescent="0.3">
      <c r="B45" s="73">
        <v>110</v>
      </c>
      <c r="C45" s="6">
        <f t="shared" si="99"/>
        <v>1.6727777777777779</v>
      </c>
      <c r="D45" s="88">
        <f t="shared" si="100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99"/>
        <v>1.7143333333333333</v>
      </c>
      <c r="D46" s="88">
        <f t="shared" si="100"/>
        <v>128.57999999999998</v>
      </c>
      <c r="V46" s="19"/>
      <c r="W46" s="30" t="s">
        <v>53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99"/>
        <v>1.8545833333333333</v>
      </c>
      <c r="D47" s="88">
        <f t="shared" si="100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99"/>
        <v>1.9470444444444444</v>
      </c>
      <c r="D48" s="88">
        <f t="shared" si="100"/>
        <v>170.46799999999999</v>
      </c>
      <c r="V48" s="21"/>
      <c r="W48" s="32"/>
      <c r="X48" s="32"/>
      <c r="Y48" s="47"/>
      <c r="Z48" s="48" t="s">
        <v>19</v>
      </c>
    </row>
    <row r="50" spans="22:27" ht="15" thickBot="1" x14ac:dyDescent="0.35">
      <c r="V50" t="s">
        <v>51</v>
      </c>
    </row>
    <row r="51" spans="22:27" x14ac:dyDescent="0.3">
      <c r="V51" s="49" t="s">
        <v>18</v>
      </c>
      <c r="W51" s="50">
        <f>INDEX(LINEST($P$4:$P$13,$D$4:$D$13^{1,2},FALSE,FALSE),1)</f>
        <v>-170.6101401015417</v>
      </c>
      <c r="X51" s="28"/>
      <c r="Y51" s="51" t="s">
        <v>21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1.0237466617461022</v>
      </c>
    </row>
    <row r="54" spans="22:27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78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" thickBot="1" x14ac:dyDescent="0.35"/>
    <row r="59" spans="22:27" x14ac:dyDescent="0.3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2016-10-21T20:59:46Z</dcterms:modified>
</cp:coreProperties>
</file>