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5250" yWindow="1470" windowWidth="23040" windowHeight="9975"/>
  </bookViews>
  <sheets>
    <sheet name="CalArduinoTurnigy" sheetId="3" r:id="rId1"/>
    <sheet name="CalArduinoHiTec" sheetId="1" r:id="rId2"/>
    <sheet name="CalPhotonHiTec" sheetId="2" r:id="rId3"/>
  </sheets>
  <calcPr calcId="145621"/>
</workbook>
</file>

<file path=xl/calcChain.xml><?xml version="1.0" encoding="utf-8"?>
<calcChain xmlns="http://schemas.openxmlformats.org/spreadsheetml/2006/main">
  <c r="AS3" i="3" l="1"/>
  <c r="AS4" i="3"/>
  <c r="AS5" i="3"/>
  <c r="AS6" i="3"/>
  <c r="AT6" i="3" s="1"/>
  <c r="AS7" i="3"/>
  <c r="AT7" i="3" s="1"/>
  <c r="AS8" i="3"/>
  <c r="AS9" i="3"/>
  <c r="AT9" i="3" s="1"/>
  <c r="AS10" i="3"/>
  <c r="AS11" i="3"/>
  <c r="AS12" i="3"/>
  <c r="AT12" i="3" s="1"/>
  <c r="AS13" i="3"/>
  <c r="AT13" i="3" s="1"/>
  <c r="AS14" i="3"/>
  <c r="AT14" i="3" s="1"/>
  <c r="AS2" i="3"/>
  <c r="AT11" i="3"/>
  <c r="AT10" i="3"/>
  <c r="AT8" i="3"/>
  <c r="AR3" i="3"/>
  <c r="AR4" i="3"/>
  <c r="AR5" i="3"/>
  <c r="AR6" i="3"/>
  <c r="AR7" i="3"/>
  <c r="AR8" i="3"/>
  <c r="AR9" i="3"/>
  <c r="AR10" i="3"/>
  <c r="AR11" i="3"/>
  <c r="AR12" i="3"/>
  <c r="AR13" i="3"/>
  <c r="AR14" i="3"/>
  <c r="AR2" i="3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N11" i="3" l="1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L24" i="3" l="1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V9" i="3" l="1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S6" i="3" l="1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Q3" i="2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E35" i="3" l="1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N2" i="3"/>
  <c r="AM12" i="3"/>
  <c r="AN12" i="3"/>
  <c r="AO12" i="3" s="1"/>
  <c r="AM5" i="3"/>
  <c r="AN5" i="3"/>
  <c r="AO5" i="3" s="1"/>
  <c r="AM13" i="3"/>
  <c r="AN13" i="3"/>
  <c r="AO13" i="3" s="1"/>
  <c r="AM6" i="3"/>
  <c r="AN6" i="3"/>
  <c r="AO6" i="3" s="1"/>
  <c r="AM7" i="3"/>
  <c r="AN7" i="3"/>
  <c r="AO7" i="3" s="1"/>
  <c r="AM14" i="3"/>
  <c r="AN14" i="3"/>
  <c r="AO14" i="3" s="1"/>
  <c r="AM10" i="3"/>
  <c r="AN10" i="3"/>
  <c r="AO10" i="3" s="1"/>
  <c r="AM8" i="3"/>
  <c r="AN8" i="3"/>
  <c r="AO8" i="3" s="1"/>
  <c r="AM4" i="3"/>
  <c r="AN4" i="3"/>
  <c r="AO4" i="3" s="1"/>
  <c r="AM9" i="3"/>
  <c r="AN9" i="3"/>
  <c r="AO9" i="3" s="1"/>
  <c r="AM11" i="3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</calcChain>
</file>

<file path=xl/sharedStrings.xml><?xml version="1.0" encoding="utf-8"?>
<sst xmlns="http://schemas.openxmlformats.org/spreadsheetml/2006/main" count="275" uniqueCount="116">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</sst>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71" formatCode="0.000E+00"/>
    <numFmt numFmtId="174" formatCode="0.00000"/>
    <numFmt numFmtId="176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71" fontId="0" fillId="2" borderId="2" xfId="0" applyNumberFormat="1" applyFill="1" applyBorder="1"/>
    <xf numFmtId="171" fontId="0" fillId="2" borderId="4" xfId="0" applyNumberFormat="1" applyFill="1" applyBorder="1"/>
    <xf numFmtId="171" fontId="0" fillId="2" borderId="6" xfId="0" applyNumberFormat="1" applyFill="1" applyBorder="1"/>
    <xf numFmtId="171" fontId="0" fillId="5" borderId="0" xfId="0" applyNumberFormat="1" applyFill="1" applyBorder="1"/>
    <xf numFmtId="171" fontId="0" fillId="5" borderId="8" xfId="0" applyNumberFormat="1" applyFill="1" applyBorder="1"/>
    <xf numFmtId="171" fontId="0" fillId="5" borderId="6" xfId="0" applyNumberFormat="1" applyFill="1" applyBorder="1"/>
    <xf numFmtId="174" fontId="0" fillId="0" borderId="0" xfId="0" applyNumberFormat="1"/>
    <xf numFmtId="176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74" fontId="0" fillId="7" borderId="0" xfId="0" applyNumberFormat="1" applyFill="1"/>
    <xf numFmtId="176" fontId="0" fillId="7" borderId="0" xfId="0" applyNumberFormat="1" applyFill="1"/>
    <xf numFmtId="171" fontId="0" fillId="5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48288"/>
        <c:axId val="295950208"/>
      </c:scatterChart>
      <c:valAx>
        <c:axId val="2959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50208"/>
        <c:crosses val="autoZero"/>
        <c:crossBetween val="midCat"/>
      </c:valAx>
      <c:valAx>
        <c:axId val="2959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54368"/>
        <c:axId val="295355904"/>
      </c:scatterChart>
      <c:valAx>
        <c:axId val="2953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55904"/>
        <c:crosses val="autoZero"/>
        <c:crossBetween val="midCat"/>
      </c:valAx>
      <c:valAx>
        <c:axId val="295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99904"/>
        <c:axId val="2959018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1920"/>
        <c:axId val="295920384"/>
      </c:scatterChart>
      <c:valAx>
        <c:axId val="2958999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1824"/>
        <c:crosses val="autoZero"/>
        <c:crossBetween val="midCat"/>
      </c:valAx>
      <c:valAx>
        <c:axId val="2959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9904"/>
        <c:crosses val="autoZero"/>
        <c:crossBetween val="midCat"/>
      </c:valAx>
      <c:valAx>
        <c:axId val="29592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1920"/>
        <c:crosses val="max"/>
        <c:crossBetween val="midCat"/>
      </c:valAx>
      <c:valAx>
        <c:axId val="2959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30880"/>
        <c:axId val="296092800"/>
      </c:scatterChart>
      <c:valAx>
        <c:axId val="2959308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6092800"/>
        <c:crosses val="autoZero"/>
        <c:crossBetween val="midCat"/>
      </c:valAx>
      <c:valAx>
        <c:axId val="29609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93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05856"/>
        <c:axId val="296116224"/>
      </c:scatterChart>
      <c:valAx>
        <c:axId val="2961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6116224"/>
        <c:crosses val="autoZero"/>
        <c:crossBetween val="midCat"/>
      </c:valAx>
      <c:valAx>
        <c:axId val="2961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0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46048"/>
        <c:axId val="296147584"/>
      </c:scatterChart>
      <c:valAx>
        <c:axId val="29614604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47584"/>
        <c:crosses val="autoZero"/>
        <c:crossBetween val="midCat"/>
      </c:valAx>
      <c:valAx>
        <c:axId val="296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4604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4352"/>
        <c:axId val="296182528"/>
      </c:scatterChart>
      <c:valAx>
        <c:axId val="2961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2528"/>
        <c:crosses val="autoZero"/>
        <c:crossBetween val="midCat"/>
      </c:valAx>
      <c:valAx>
        <c:axId val="296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1584"/>
        <c:axId val="296213120"/>
      </c:scatterChart>
      <c:valAx>
        <c:axId val="2962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13120"/>
        <c:crosses val="autoZero"/>
        <c:crossBetween val="midCat"/>
      </c:valAx>
      <c:valAx>
        <c:axId val="296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21728"/>
        <c:axId val="296523648"/>
      </c:scatterChart>
      <c:valAx>
        <c:axId val="2965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648"/>
        <c:crosses val="autoZero"/>
        <c:crossBetween val="midCat"/>
      </c:valAx>
      <c:valAx>
        <c:axId val="29652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50272"/>
        <c:axId val="30140044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02880"/>
        <c:axId val="301402752"/>
      </c:scatterChart>
      <c:valAx>
        <c:axId val="2993502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0448"/>
        <c:crossesAt val="-40"/>
        <c:crossBetween val="midCat"/>
        <c:majorUnit val="20"/>
      </c:valAx>
      <c:valAx>
        <c:axId val="3014004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0272"/>
        <c:crosses val="autoZero"/>
        <c:crossBetween val="midCat"/>
      </c:valAx>
      <c:valAx>
        <c:axId val="3014027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02880"/>
        <c:crosses val="max"/>
        <c:crossBetween val="midCat"/>
        <c:majorUnit val="40"/>
      </c:valAx>
      <c:valAx>
        <c:axId val="3078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0720"/>
        <c:axId val="217457408"/>
      </c:scatterChart>
      <c:valAx>
        <c:axId val="2013907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457408"/>
        <c:crosses val="autoZero"/>
        <c:crossBetween val="midCat"/>
      </c:valAx>
      <c:valAx>
        <c:axId val="21745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9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29408"/>
        <c:axId val="229731328"/>
      </c:scatterChart>
      <c:valAx>
        <c:axId val="2297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31328"/>
        <c:crosses val="autoZero"/>
        <c:crossBetween val="midCat"/>
      </c:valAx>
      <c:valAx>
        <c:axId val="22973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2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96768"/>
        <c:axId val="298894848"/>
      </c:scatterChart>
      <c:valAx>
        <c:axId val="298896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98894848"/>
        <c:crosses val="autoZero"/>
        <c:crossBetween val="midCat"/>
      </c:valAx>
      <c:valAx>
        <c:axId val="2988948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988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11712"/>
        <c:axId val="291809920"/>
      </c:scatterChart>
      <c:valAx>
        <c:axId val="291811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9180992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291809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18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46496"/>
        <c:axId val="299544576"/>
      </c:scatterChart>
      <c:valAx>
        <c:axId val="2995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544576"/>
        <c:crosses val="autoZero"/>
        <c:crossBetween val="midCat"/>
      </c:valAx>
      <c:valAx>
        <c:axId val="299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54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09024"/>
        <c:axId val="301807488"/>
      </c:scatterChart>
      <c:valAx>
        <c:axId val="301809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01807488"/>
        <c:crosses val="autoZero"/>
        <c:crossBetween val="midCat"/>
      </c:valAx>
      <c:valAx>
        <c:axId val="3018074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0180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26848"/>
        <c:axId val="295328768"/>
      </c:scatterChart>
      <c:valAx>
        <c:axId val="2953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8768"/>
        <c:crosses val="autoZero"/>
        <c:crossBetween val="midCat"/>
      </c:valAx>
      <c:valAx>
        <c:axId val="2953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abSelected="1" topLeftCell="AG1" workbookViewId="0">
      <pane ySplit="1" topLeftCell="A2" activePane="bottomLeft" state="frozen"/>
      <selection pane="bottomLeft" activeCell="AT9" sqref="AT9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5" x14ac:dyDescent="0.25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25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>O2/$W$40*100</f>
        <v>0</v>
      </c>
      <c r="R2" s="3">
        <f>P2/$W$40*100</f>
        <v>0</v>
      </c>
      <c r="S2" s="3">
        <f t="shared" ref="S2:S14" si="4">K2</f>
        <v>1E-3</v>
      </c>
      <c r="T2" s="4">
        <f t="shared" si="0"/>
        <v>0</v>
      </c>
      <c r="U2">
        <f t="shared" ref="U2:U3" si="5">T2*0.001341022</f>
        <v>0</v>
      </c>
      <c r="X2" s="4"/>
      <c r="Y2" s="4"/>
      <c r="Z2" s="4"/>
      <c r="AA2" s="4"/>
      <c r="AB2" s="97"/>
      <c r="AF2" s="95">
        <f>C2/$AD$32*$AD$27</f>
        <v>2.7777777777777779E-5</v>
      </c>
      <c r="AG2" s="95">
        <f t="shared" ref="AG2:AG14" si="6">AF2/$AD$27*$AD$32</f>
        <v>1E-3</v>
      </c>
      <c r="AH2" s="96">
        <f>MAX(($AD$35+$AE$35*LN($AG2)),0)</f>
        <v>0</v>
      </c>
      <c r="AI2" s="96">
        <f>MAX(($AD$35+$AE$35*LN($AG2))/$AD$31,0)</f>
        <v>0</v>
      </c>
      <c r="AJ2" s="96">
        <f t="shared" ref="AJ2:AJ14" si="7">($AD$36+$AE$36*AI2*$AD$31)/$AD$31</f>
        <v>-22.202069774198112</v>
      </c>
      <c r="AK2" s="96">
        <f t="shared" ref="AK2:AK14" si="8">($AD$37+$AE$37*AJ2*$AD$31)/$AD$31</f>
        <v>0.53820371820708912</v>
      </c>
      <c r="AM2">
        <f t="shared" ref="AM2:AM5" si="9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25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>O3/$W$40*100</f>
        <v>0</v>
      </c>
      <c r="R3" s="3">
        <f>P3/$W$40*100</f>
        <v>0</v>
      </c>
      <c r="S3" s="3">
        <f t="shared" si="4"/>
        <v>7.361501228839896</v>
      </c>
      <c r="T3" s="4">
        <f t="shared" si="0"/>
        <v>0</v>
      </c>
      <c r="U3">
        <f t="shared" si="5"/>
        <v>0</v>
      </c>
      <c r="X3" s="4"/>
      <c r="Y3" s="4"/>
      <c r="Z3" s="4"/>
      <c r="AA3" s="4"/>
      <c r="AB3" s="97"/>
      <c r="AF3" s="95">
        <f>C3/$AD$32*$AD$27</f>
        <v>0.20448614524555267</v>
      </c>
      <c r="AG3" s="95">
        <f t="shared" si="6"/>
        <v>7.361501228839896</v>
      </c>
      <c r="AH3" s="96">
        <f>MAX(($AD$35+$AE$35*LN($AG3)),0)</f>
        <v>0</v>
      </c>
      <c r="AI3" s="96">
        <f t="shared" ref="AI3:AI14" si="10">MAX(($AD$35+$AE$35*LN(AG3))/$AD$31,0)</f>
        <v>0</v>
      </c>
      <c r="AJ3" s="96">
        <f t="shared" si="7"/>
        <v>-22.202069774198112</v>
      </c>
      <c r="AK3" s="96">
        <f t="shared" si="8"/>
        <v>0.53820371820708912</v>
      </c>
      <c r="AM3">
        <f t="shared" si="9"/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25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>O4/$W$40*100</f>
        <v>19.434079601990049</v>
      </c>
      <c r="R4" s="3">
        <f>P4/$W$40*100</f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>C4/$AD$32*$AD$27</f>
        <v>0.22222222222222224</v>
      </c>
      <c r="AG4" s="95">
        <f t="shared" si="6"/>
        <v>8</v>
      </c>
      <c r="AH4" s="96">
        <f>MAX(($AD$35+$AE$35*LN($AG4)),0)</f>
        <v>1180.2918436956534</v>
      </c>
      <c r="AI4" s="96">
        <f t="shared" si="10"/>
        <v>2.5613972302423034</v>
      </c>
      <c r="AJ4" s="96">
        <f t="shared" si="7"/>
        <v>-19.579847910331843</v>
      </c>
      <c r="AK4" s="96">
        <f t="shared" si="8"/>
        <v>3.0771780157392215</v>
      </c>
      <c r="AM4">
        <f t="shared" si="9"/>
        <v>0</v>
      </c>
      <c r="AN4" s="127">
        <f t="shared" si="11"/>
        <v>0</v>
      </c>
      <c r="AO4" s="127">
        <f t="shared" ref="AO2:AO7" si="19"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>$W$33/$W$30/$W$28/AP4</f>
        <v>#DIV/0!</v>
      </c>
    </row>
    <row r="5" spans="1:49" ht="15" customHeight="1" x14ac:dyDescent="0.25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>O5/$W$40*100</f>
        <v>28.183621933621932</v>
      </c>
      <c r="R5" s="3">
        <f>P5/$W$40*100</f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>C5/$AD$32*$AD$27</f>
        <v>0.36111111111111105</v>
      </c>
      <c r="AG5" s="95">
        <f t="shared" si="6"/>
        <v>12.999999999999998</v>
      </c>
      <c r="AH5" s="96">
        <f>MAX(($AD$35+$AE$35*LN($AG5)),0)</f>
        <v>8069.6528312921109</v>
      </c>
      <c r="AI5" s="96">
        <f t="shared" si="10"/>
        <v>17.512267429019339</v>
      </c>
      <c r="AJ5" s="96">
        <f t="shared" si="7"/>
        <v>-4.2739444541345701</v>
      </c>
      <c r="AK5" s="96">
        <f t="shared" si="8"/>
        <v>17.897165603858483</v>
      </c>
      <c r="AM5">
        <f t="shared" si="9"/>
        <v>0</v>
      </c>
      <c r="AN5" s="127">
        <f t="shared" si="11"/>
        <v>0</v>
      </c>
      <c r="AO5" s="127">
        <f t="shared" si="19"/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>$W$33/$W$30/$W$28/AP5</f>
        <v>#DIV/0!</v>
      </c>
    </row>
    <row r="6" spans="1:49" ht="15" customHeight="1" x14ac:dyDescent="0.25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4">C6</f>
        <v>25</v>
      </c>
      <c r="L6" s="1">
        <f t="shared" ref="L6" si="25">LN(K6)</f>
        <v>3.2188758248682006</v>
      </c>
      <c r="M6" s="3">
        <f t="shared" ref="M6" si="26">1/G6/0.000001</f>
        <v>306.74846625766872</v>
      </c>
      <c r="N6" s="3">
        <f t="shared" ref="N6" si="27"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>O6/$W$40*100</f>
        <v>39.941206543967276</v>
      </c>
      <c r="R6" s="3">
        <f>P6/$W$40*100</f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>C6/$AD$32*$AD$27</f>
        <v>0.69444444444444442</v>
      </c>
      <c r="AG6" s="95">
        <f t="shared" si="6"/>
        <v>25</v>
      </c>
      <c r="AH6" s="96">
        <f>MAX(($AD$35+$AE$35*LN($AG6)),0)</f>
        <v>17348.876248230645</v>
      </c>
      <c r="AI6" s="96">
        <f t="shared" si="10"/>
        <v>37.649471024806083</v>
      </c>
      <c r="AJ6" s="96">
        <f t="shared" si="7"/>
        <v>16.341450503953713</v>
      </c>
      <c r="AK6" s="96">
        <f t="shared" si="8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 t="shared" si="19"/>
        <v>4.4935163873351426E-3</v>
      </c>
      <c r="AP6">
        <f t="shared" si="22"/>
        <v>5.1801814976845215E-7</v>
      </c>
      <c r="AQ6" s="95">
        <f t="shared" ref="AQ5:AQ13" si="28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8" si="29">AS6/AM6*2</f>
        <v>0</v>
      </c>
      <c r="AU6" s="95"/>
      <c r="AV6" s="128">
        <f t="shared" si="23"/>
        <v>1.0526315789473683E-4</v>
      </c>
      <c r="AW6">
        <f>$W$33/$W$30/$W$28/AP6</f>
        <v>140.36831132451306</v>
      </c>
    </row>
    <row r="7" spans="1:49" ht="13.9" customHeight="1" x14ac:dyDescent="0.25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0">E7*F7</f>
        <v>29.981099999999998</v>
      </c>
      <c r="K7" s="1">
        <f t="shared" si="2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>O7/$W$40*100</f>
        <v>48.585199004975124</v>
      </c>
      <c r="R7" s="3">
        <f>P7/$W$40*100</f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31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32">-X7*W7</f>
        <v>3.7915586632257891E-8</v>
      </c>
      <c r="Z7">
        <f t="shared" ref="Z7:Z12" si="33">Y7/6.66*2048.5</f>
        <v>1.1662174056483527E-5</v>
      </c>
      <c r="AA7">
        <f t="shared" ref="AA7:AA12" si="34">Z7*144</f>
        <v>1.6793530641336278E-3</v>
      </c>
      <c r="AB7" s="97"/>
      <c r="AF7" s="95">
        <f>C7/$AD$32*$AD$27</f>
        <v>0.97222222222222221</v>
      </c>
      <c r="AG7" s="95">
        <f t="shared" si="6"/>
        <v>35</v>
      </c>
      <c r="AH7" s="96">
        <f>MAX(($AD$35+$AE$35*LN($AG7)),0)</f>
        <v>22123.420807632323</v>
      </c>
      <c r="AI7" s="96">
        <f t="shared" si="10"/>
        <v>48.010895849896535</v>
      </c>
      <c r="AJ7" s="96">
        <f t="shared" si="7"/>
        <v>26.948924579573251</v>
      </c>
      <c r="AK7" s="96">
        <f t="shared" si="8"/>
        <v>48.128803538153008</v>
      </c>
      <c r="AM7">
        <f t="shared" ref="AM7:AM14" si="35">MAX($AD$36+$AE$36*AH7, 0)</f>
        <v>12418.064446267355</v>
      </c>
      <c r="AN7" s="127">
        <f t="shared" si="11"/>
        <v>3.8056725878256127E-2</v>
      </c>
      <c r="AO7" s="127">
        <f t="shared" si="19"/>
        <v>9.0344945318604156E-3</v>
      </c>
      <c r="AP7">
        <f t="shared" si="22"/>
        <v>8.1673576707844562E-7</v>
      </c>
      <c r="AQ7" s="95">
        <f t="shared" si="28"/>
        <v>5.5097378875630716E-2</v>
      </c>
      <c r="AR7" s="127">
        <f t="shared" si="12"/>
        <v>0</v>
      </c>
      <c r="AS7" s="127">
        <f t="shared" si="13"/>
        <v>0</v>
      </c>
      <c r="AT7">
        <f t="shared" si="29"/>
        <v>0</v>
      </c>
      <c r="AU7" s="95"/>
      <c r="AV7" s="128">
        <f t="shared" si="23"/>
        <v>1.0526315789473683E-4</v>
      </c>
      <c r="AW7">
        <f>$W$33/$W$30/$W$28/AP7</f>
        <v>89.02920118038908</v>
      </c>
    </row>
    <row r="8" spans="1:49" ht="13.9" customHeight="1" x14ac:dyDescent="0.25">
      <c r="B8" s="113">
        <f t="shared" ref="B8:B9" si="36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37">E8*F8</f>
        <v>53.526600000000002</v>
      </c>
      <c r="K8" s="1">
        <f t="shared" ref="K8:K9" si="38">C8</f>
        <v>54</v>
      </c>
      <c r="L8" s="1">
        <f t="shared" ref="L8:L9" si="39">LN(K8)</f>
        <v>3.9889840465642745</v>
      </c>
      <c r="M8" s="3">
        <f t="shared" ref="M8:M9" si="40">1/G8/0.000001</f>
        <v>465.11627906976747</v>
      </c>
      <c r="N8" s="3">
        <f t="shared" ref="N8:N9" si="41"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>O8/$W$40*100</f>
        <v>60.562015503875976</v>
      </c>
      <c r="R8" s="3">
        <f>P8/$W$40*100</f>
        <v>40.946016771488473</v>
      </c>
      <c r="S8" s="3">
        <f t="shared" si="4"/>
        <v>54</v>
      </c>
      <c r="T8" s="4">
        <f t="shared" si="0"/>
        <v>53.526600000000002</v>
      </c>
      <c r="U8">
        <f t="shared" ref="U8:U9" si="42"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 t="shared" ref="Y8:Y9" si="43">-X8*W8</f>
        <v>4.3565951790523206E-8</v>
      </c>
      <c r="Z8">
        <f t="shared" ref="Z8:Z9" si="44">Y8/6.66*2048.5</f>
        <v>1.3400127964397415E-5</v>
      </c>
      <c r="AA8">
        <f t="shared" ref="AA8:AA9" si="45">Z8*144</f>
        <v>1.9296184268732279E-3</v>
      </c>
      <c r="AB8" s="97"/>
      <c r="AF8" s="95">
        <f>C8/$AD$32*$AD$27</f>
        <v>1.5</v>
      </c>
      <c r="AG8" s="95">
        <f t="shared" si="6"/>
        <v>54</v>
      </c>
      <c r="AH8" s="96">
        <f>MAX(($AD$35+$AE$35*LN($AG8)),0)</f>
        <v>28276.719974572956</v>
      </c>
      <c r="AI8" s="96">
        <f t="shared" si="10"/>
        <v>61.364409667042004</v>
      </c>
      <c r="AJ8" s="96">
        <f t="shared" si="7"/>
        <v>40.619539772456378</v>
      </c>
      <c r="AK8" s="96">
        <f t="shared" si="8"/>
        <v>61.365418290119948</v>
      </c>
      <c r="AM8">
        <f t="shared" si="35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8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9"/>
        <v>6.1922564327141741E-7</v>
      </c>
      <c r="AU8" s="95">
        <f t="shared" ref="AU6:AU13" si="46">$W$34/AT8</f>
        <v>7.2671409023472425E-2</v>
      </c>
      <c r="AV8" s="128">
        <f t="shared" si="23"/>
        <v>1.0526315789473683E-4</v>
      </c>
      <c r="AW8">
        <f>$W$33/$W$30/$W$28/AP8</f>
        <v>69.057733567578751</v>
      </c>
    </row>
    <row r="9" spans="1:49" ht="13.9" customHeight="1" x14ac:dyDescent="0.25">
      <c r="B9" s="113">
        <f t="shared" si="36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37"/>
        <v>62.419400000000003</v>
      </c>
      <c r="K9" s="1">
        <f t="shared" si="38"/>
        <v>64</v>
      </c>
      <c r="L9" s="1">
        <f t="shared" si="39"/>
        <v>4.1588830833596715</v>
      </c>
      <c r="M9" s="3">
        <f t="shared" si="40"/>
        <v>495.04950495049508</v>
      </c>
      <c r="N9" s="3">
        <f t="shared" si="41"/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>O9/$W$40*100</f>
        <v>64.459570957095707</v>
      </c>
      <c r="R9" s="3">
        <f>P9/$W$40*100</f>
        <v>45.687134502923968</v>
      </c>
      <c r="S9" s="3">
        <f t="shared" si="4"/>
        <v>64</v>
      </c>
      <c r="T9" s="4">
        <f t="shared" si="0"/>
        <v>62.419400000000003</v>
      </c>
      <c r="U9">
        <f t="shared" si="42"/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 t="shared" si="43"/>
        <v>4.484592201854994E-8</v>
      </c>
      <c r="Z9">
        <f t="shared" si="44"/>
        <v>1.3793824512762695E-5</v>
      </c>
      <c r="AA9">
        <f t="shared" si="45"/>
        <v>1.986310729837828E-3</v>
      </c>
      <c r="AB9" s="97"/>
      <c r="AF9" s="95"/>
      <c r="AG9" s="134">
        <v>70.201599999999999</v>
      </c>
      <c r="AH9" s="135">
        <f>MAX(($AD$35+$AE$35*LN($AG9)),0)</f>
        <v>31999.995048805355</v>
      </c>
      <c r="AI9" s="135">
        <f t="shared" si="10"/>
        <v>69.444433699664401</v>
      </c>
      <c r="AJ9" s="135">
        <f t="shared" si="7"/>
        <v>48.891437402681838</v>
      </c>
      <c r="AK9" s="135">
        <f t="shared" si="8"/>
        <v>69.374708336993905</v>
      </c>
      <c r="AL9" s="136"/>
      <c r="AM9" s="136">
        <f t="shared" si="35"/>
        <v>22529.174355155788</v>
      </c>
      <c r="AN9" s="137">
        <f t="shared" si="11"/>
        <v>0.11227974297099894</v>
      </c>
      <c r="AO9" s="137">
        <f t="shared" ref="AO9:AO14" si="47">AN9/AH9*5252</f>
        <v>1.8427915666371371E-2</v>
      </c>
      <c r="AP9" s="136">
        <f t="shared" si="22"/>
        <v>1.1517449073517487E-6</v>
      </c>
      <c r="AQ9" s="134">
        <f t="shared" si="28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>AS9/AM9*2</f>
        <v>8.3628444018242383E-7</v>
      </c>
      <c r="AU9" s="134">
        <f t="shared" si="46"/>
        <v>5.3809443100703722E-2</v>
      </c>
      <c r="AV9" s="138">
        <f t="shared" si="23"/>
        <v>1.0526315789473683E-4</v>
      </c>
      <c r="AW9" s="136">
        <f>$W$33/$W$30/$W$28/AP9</f>
        <v>63.133192475440495</v>
      </c>
    </row>
    <row r="10" spans="1:49" ht="13.9" customHeight="1" x14ac:dyDescent="0.25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0"/>
        <v>88.904499999999999</v>
      </c>
      <c r="K10" s="1">
        <f t="shared" si="2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>O10/$W$40*100</f>
        <v>73.56403013182674</v>
      </c>
      <c r="R10" s="3">
        <f>P10/$W$40*100</f>
        <v>54.253472222222221</v>
      </c>
      <c r="S10" s="3">
        <f t="shared" si="4"/>
        <v>89</v>
      </c>
      <c r="T10" s="4">
        <f t="shared" si="0"/>
        <v>88.904499999999999</v>
      </c>
      <c r="U10">
        <f t="shared" si="31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32"/>
        <v>4.9042308544363851E-8</v>
      </c>
      <c r="Z10">
        <f t="shared" si="33"/>
        <v>1.508455991788729E-5</v>
      </c>
      <c r="AA10">
        <f t="shared" si="34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>MAX(($AD$35+$AE$35*LN($AG10)),0)</f>
        <v>35366.791670025093</v>
      </c>
      <c r="AI10" s="96">
        <f t="shared" si="10"/>
        <v>76.75084997835306</v>
      </c>
      <c r="AJ10" s="96">
        <f t="shared" si="7"/>
        <v>56.37135667731674</v>
      </c>
      <c r="AK10" s="96">
        <f t="shared" si="8"/>
        <v>76.617162931553622</v>
      </c>
      <c r="AM10">
        <f t="shared" si="35"/>
        <v>25975.921156907556</v>
      </c>
      <c r="AN10" s="127">
        <f t="shared" si="11"/>
        <v>0.14565577213038161</v>
      </c>
      <c r="AO10" s="127">
        <f t="shared" si="47"/>
        <v>2.1630011632554215E-2</v>
      </c>
      <c r="AP10">
        <f t="shared" si="22"/>
        <v>1.2231820083859401E-6</v>
      </c>
      <c r="AQ10" s="95">
        <f t="shared" si="28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ref="AT10:AT14" si="48">AS10/AM10*2</f>
        <v>9.7771578231637638E-7</v>
      </c>
      <c r="AU10" s="95">
        <f t="shared" si="46"/>
        <v>4.6025645503427672E-2</v>
      </c>
      <c r="AV10" s="128">
        <f t="shared" si="23"/>
        <v>1.0526315789473683E-4</v>
      </c>
      <c r="AW10">
        <f>$W$33/$W$30/$W$28/AP10</f>
        <v>59.446045167387481</v>
      </c>
    </row>
    <row r="11" spans="1:49" ht="13.9" customHeight="1" x14ac:dyDescent="0.25">
      <c r="B11" s="113">
        <f t="shared" ref="B11" si="49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0">E11*F11</f>
        <v>135.96</v>
      </c>
      <c r="K11" s="1">
        <f t="shared" ref="K11" si="51">C11</f>
        <v>125</v>
      </c>
      <c r="L11" s="1">
        <f t="shared" ref="L11" si="52">LN(K11)</f>
        <v>4.8283137373023015</v>
      </c>
      <c r="M11" s="3">
        <f t="shared" ref="M11" si="53">1/G11/0.000001</f>
        <v>657.89473684210532</v>
      </c>
      <c r="N11" s="3">
        <f t="shared" ref="N11" si="54">1/H11/0.000001</f>
        <v>500.00000000000006</v>
      </c>
      <c r="O11" s="3">
        <f t="shared" ref="O11" si="55">M11*60/$W$27</f>
        <v>39473.68421052632</v>
      </c>
      <c r="P11" s="3">
        <f t="shared" ref="P11" si="56">N11*60/$W$27</f>
        <v>30000.000000000004</v>
      </c>
      <c r="Q11" s="3">
        <f>O11/$W$40*100</f>
        <v>85.663377192982466</v>
      </c>
      <c r="R11" s="3">
        <f>P11/$W$40*100</f>
        <v>65.104166666666671</v>
      </c>
      <c r="S11" s="3">
        <f t="shared" ref="S11" si="57">K11</f>
        <v>125</v>
      </c>
      <c r="T11" s="4">
        <f t="shared" ref="T11" si="58">J11</f>
        <v>135.96</v>
      </c>
      <c r="U11">
        <f t="shared" ref="U11" si="59">T11*0.001341022</f>
        <v>0.18232535112000003</v>
      </c>
      <c r="V11" s="127">
        <f t="shared" ref="V11" si="60">U11/O11*5252</f>
        <v>2.4258509516750081E-2</v>
      </c>
      <c r="W11">
        <f t="shared" ref="W11" si="61">-V11/2/O11</f>
        <v>-3.072744538788343E-7</v>
      </c>
      <c r="X11">
        <v>0.14000000000000001</v>
      </c>
      <c r="Y11">
        <f t="shared" ref="Y11" si="62">-X11*W11</f>
        <v>4.3018423543036807E-8</v>
      </c>
      <c r="Z11">
        <f t="shared" ref="Z11" si="63">Y11/6.66*2048.5</f>
        <v>1.3231717811998633E-5</v>
      </c>
      <c r="AA11">
        <f t="shared" ref="AA11" si="64"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>MAX(($AD$35+$AE$35*LN($AG11)),0)</f>
        <v>40186.817071139434</v>
      </c>
      <c r="AI11" s="96">
        <f t="shared" ref="AI11" si="65">MAX(($AD$35+$AE$35*LN(AG11))/$AD$31,0)</f>
        <v>87.210974546743557</v>
      </c>
      <c r="AJ11" s="96">
        <f t="shared" si="7"/>
        <v>67.079874285654896</v>
      </c>
      <c r="AK11" s="96">
        <f t="shared" si="8"/>
        <v>86.985717685403912</v>
      </c>
      <c r="AM11">
        <f t="shared" si="35"/>
        <v>30910.406070829777</v>
      </c>
      <c r="AN11" s="127">
        <f t="shared" si="11"/>
        <v>0.20058398668919561</v>
      </c>
      <c r="AO11" s="127">
        <f t="shared" si="47"/>
        <v>2.621424573702338E-2</v>
      </c>
      <c r="AP11">
        <f t="shared" si="22"/>
        <v>1.3046191585971313E-6</v>
      </c>
      <c r="AQ11" s="95">
        <f t="shared" si="28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48"/>
        <v>1.1252927806200935E-6</v>
      </c>
      <c r="AU11" s="95">
        <f t="shared" si="46"/>
        <v>3.9989592730882637E-2</v>
      </c>
      <c r="AV11" s="128">
        <f t="shared" si="23"/>
        <v>1.0526315789473683E-4</v>
      </c>
      <c r="AW11">
        <f>$W$33/$W$30/$W$28/AP11</f>
        <v>55.735294426179998</v>
      </c>
    </row>
    <row r="12" spans="1:49" ht="13.9" customHeight="1" x14ac:dyDescent="0.25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0"/>
        <v>192.75</v>
      </c>
      <c r="K12" s="1">
        <f t="shared" si="2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>O12/$W$40*100</f>
        <v>95.460654936461381</v>
      </c>
      <c r="R12" s="3">
        <f>P12/$W$40*100</f>
        <v>74.83237547892719</v>
      </c>
      <c r="S12" s="3">
        <f t="shared" si="4"/>
        <v>155</v>
      </c>
      <c r="T12" s="4">
        <f t="shared" si="0"/>
        <v>192.75</v>
      </c>
      <c r="U12">
        <f t="shared" si="31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32"/>
        <v>4.9111057600783063E-8</v>
      </c>
      <c r="Z12">
        <f t="shared" si="33"/>
        <v>1.5105705930210826E-5</v>
      </c>
      <c r="AA12">
        <f t="shared" si="34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>MAX(($AD$35+$AE$35*LN($AG12)),0)</f>
        <v>43239.249799405501</v>
      </c>
      <c r="AI12" s="96">
        <f t="shared" si="10"/>
        <v>93.835177516070971</v>
      </c>
      <c r="AJ12" s="96">
        <f t="shared" si="7"/>
        <v>73.861379962232448</v>
      </c>
      <c r="AK12" s="96">
        <f t="shared" si="8"/>
        <v>93.551931188792182</v>
      </c>
      <c r="AM12">
        <f t="shared" si="35"/>
        <v>34035.323886596707</v>
      </c>
      <c r="AN12" s="127">
        <f t="shared" si="11"/>
        <v>0.23972060902426137</v>
      </c>
      <c r="AO12" s="127">
        <f t="shared" si="47"/>
        <v>2.911735620844955E-2</v>
      </c>
      <c r="AP12">
        <f t="shared" si="22"/>
        <v>1.3468020996446561E-6</v>
      </c>
      <c r="AQ12" s="95">
        <f t="shared" si="28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48"/>
        <v>1.1966202008491623E-6</v>
      </c>
      <c r="AU12" s="95">
        <f t="shared" si="46"/>
        <v>3.7605917038728308E-2</v>
      </c>
      <c r="AV12" s="128">
        <f t="shared" si="23"/>
        <v>1.0526315789473683E-4</v>
      </c>
      <c r="AW12">
        <f>$W$33/$W$30/$W$28/AP12</f>
        <v>53.989619512496461</v>
      </c>
    </row>
    <row r="13" spans="1:49" ht="13.9" customHeight="1" x14ac:dyDescent="0.25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0"/>
        <v>209.1</v>
      </c>
      <c r="K13" s="1">
        <f t="shared" si="2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>O13/$W$40*100</f>
        <v>98.942502532928074</v>
      </c>
      <c r="R13" s="3">
        <f>P13/$W$40*100</f>
        <v>77.504960317460331</v>
      </c>
      <c r="S13" s="3">
        <f t="shared" si="4"/>
        <v>165</v>
      </c>
      <c r="T13" s="4">
        <f t="shared" si="0"/>
        <v>209.1</v>
      </c>
      <c r="U13">
        <f t="shared" si="31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>MAX(($AD$35+$AE$35*LN($AG13)),0)</f>
        <v>44126.414319351083</v>
      </c>
      <c r="AI13" s="96">
        <f t="shared" si="10"/>
        <v>95.760447741647312</v>
      </c>
      <c r="AJ13" s="96">
        <f t="shared" si="7"/>
        <v>75.832368928625399</v>
      </c>
      <c r="AK13" s="96">
        <f t="shared" si="8"/>
        <v>95.460347252035845</v>
      </c>
      <c r="AM13">
        <f t="shared" si="35"/>
        <v>34943.555602310582</v>
      </c>
      <c r="AN13" s="127">
        <f t="shared" si="11"/>
        <v>0.2517282669713366</v>
      </c>
      <c r="AO13" s="127">
        <f t="shared" si="47"/>
        <v>2.996112143999155E-2</v>
      </c>
      <c r="AP13">
        <f t="shared" si="22"/>
        <v>1.3579676437408819E-6</v>
      </c>
      <c r="AQ13" s="95">
        <f t="shared" si="28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48"/>
        <v>1.2149582105066456E-6</v>
      </c>
      <c r="AU13" s="95">
        <f t="shared" si="46"/>
        <v>3.7038310956584011E-2</v>
      </c>
      <c r="AV13" s="128">
        <f t="shared" si="23"/>
        <v>1.0526315789473683E-4</v>
      </c>
      <c r="AW13">
        <f>$W$33/$W$30/$W$28/AP13</f>
        <v>53.545703576661204</v>
      </c>
    </row>
    <row r="14" spans="1:49" ht="13.9" customHeight="1" thickBot="1" x14ac:dyDescent="0.3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>O14/$W$40*100</f>
        <v>98.439901626636328</v>
      </c>
      <c r="R14" s="3">
        <f>P14/$W$40*100</f>
        <v>0</v>
      </c>
      <c r="S14" s="1">
        <f t="shared" si="4"/>
        <v>180</v>
      </c>
      <c r="T14" s="4">
        <f t="shared" si="0"/>
        <v>0</v>
      </c>
      <c r="U14">
        <f t="shared" ref="U14" si="66"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>MAX(($AD$35+$AE$35*LN($AG14)),0)</f>
        <v>45361.106669554021</v>
      </c>
      <c r="AI14" s="96">
        <f t="shared" si="10"/>
        <v>98.439901626636328</v>
      </c>
      <c r="AJ14" s="96">
        <f t="shared" si="7"/>
        <v>78.575450898685531</v>
      </c>
      <c r="AK14" s="96">
        <f t="shared" si="8"/>
        <v>98.116344715094769</v>
      </c>
      <c r="AM14">
        <f t="shared" si="35"/>
        <v>36207.567774114286</v>
      </c>
      <c r="AN14" s="127">
        <f t="shared" si="11"/>
        <v>0.26891409453189768</v>
      </c>
      <c r="AO14" s="127">
        <f t="shared" si="47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48"/>
        <v>1.2389486014441944E-6</v>
      </c>
      <c r="AV14" s="128">
        <f t="shared" si="23"/>
        <v>1.0526315789473683E-4</v>
      </c>
      <c r="AW14">
        <f>$W$33/$W$30/$W$28/AP14</f>
        <v>52.967936718397489</v>
      </c>
    </row>
    <row r="15" spans="1:49" ht="13.9" customHeight="1" x14ac:dyDescent="0.25"/>
    <row r="16" spans="1:49" ht="13.9" customHeight="1" x14ac:dyDescent="0.25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67">E16*F16</f>
        <v>5.8512000000000004</v>
      </c>
      <c r="K16" s="1">
        <f t="shared" ref="K16" si="68">C16</f>
        <v>9</v>
      </c>
      <c r="L16" s="1">
        <f t="shared" ref="L16" si="69">LN(K16)</f>
        <v>2.1972245773362196</v>
      </c>
      <c r="M16" s="3">
        <f t="shared" ref="M16" si="70">1/G16/0.000001</f>
        <v>162.33766233766235</v>
      </c>
      <c r="N16" s="3"/>
      <c r="O16" s="3">
        <f t="shared" ref="O16" si="71">M16*60/$W$27</f>
        <v>9740.2597402597403</v>
      </c>
      <c r="P16" s="3"/>
      <c r="Q16" s="3">
        <f>O16/$W$40*100</f>
        <v>21.137716450216452</v>
      </c>
      <c r="R16" s="3"/>
      <c r="S16" s="3">
        <f t="shared" ref="S16" si="72">K16</f>
        <v>9</v>
      </c>
      <c r="T16" s="4">
        <f t="shared" ref="T16" si="73">J16</f>
        <v>5.8512000000000004</v>
      </c>
      <c r="U16">
        <f t="shared" ref="U16" si="74">T16*0.001341022</f>
        <v>7.8465879264000005E-3</v>
      </c>
      <c r="V16">
        <f t="shared" ref="V16" si="75">U16/O16*5252</f>
        <v>4.230922058383821E-3</v>
      </c>
      <c r="W16">
        <f t="shared" ref="W16" si="76">-V16/2/O16</f>
        <v>-2.1718733233036949E-7</v>
      </c>
      <c r="X16">
        <v>0.18</v>
      </c>
      <c r="Y16">
        <f t="shared" ref="Y16" si="77">-X16*W16</f>
        <v>3.9093719819466504E-8</v>
      </c>
      <c r="Z16">
        <f t="shared" ref="Z16" si="78">Y16/6.66*2048.5</f>
        <v>1.2024547304831401E-5</v>
      </c>
      <c r="AA16">
        <f t="shared" ref="AA16" si="79">Z16*144</f>
        <v>1.7315348118957217E-3</v>
      </c>
    </row>
    <row r="17" spans="1:32" ht="13.9" customHeight="1" x14ac:dyDescent="0.25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0">E17*F17</f>
        <v>7.7969999999999997</v>
      </c>
      <c r="K17" s="1">
        <f t="shared" ref="K17:K24" si="81">C17</f>
        <v>13</v>
      </c>
      <c r="L17" s="1">
        <f t="shared" ref="L17:L24" si="82">LN(K17)</f>
        <v>2.5649493574615367</v>
      </c>
      <c r="M17" s="3">
        <f t="shared" ref="M17:M24" si="83">1/G17/0.000001</f>
        <v>196.85039370078741</v>
      </c>
      <c r="N17" s="3"/>
      <c r="O17" s="3">
        <f t="shared" ref="O17:O24" si="84">M17*60/$W$27</f>
        <v>11811.023622047245</v>
      </c>
      <c r="P17" s="3"/>
      <c r="Q17" s="3">
        <f>O17/$W$40*100</f>
        <v>25.631561679790028</v>
      </c>
      <c r="R17" s="3"/>
      <c r="S17" s="3">
        <f t="shared" ref="S17:S24" si="85">K17</f>
        <v>13</v>
      </c>
      <c r="T17" s="4">
        <f t="shared" ref="T17:T24" si="86">J17</f>
        <v>7.7969999999999997</v>
      </c>
      <c r="U17">
        <f t="shared" ref="U17:U24" si="87">T17*0.001341022</f>
        <v>1.0455948534E-2</v>
      </c>
      <c r="V17">
        <f t="shared" ref="V17:V24" si="88">U17/O17*5252</f>
        <v>4.6494396639814237E-3</v>
      </c>
      <c r="W17">
        <f t="shared" ref="W17:W24" si="89">-V17/2/O17</f>
        <v>-1.9682627910854693E-7</v>
      </c>
      <c r="X17">
        <v>0.18</v>
      </c>
      <c r="Y17">
        <f t="shared" ref="Y17:Y24" si="90">-X17*W17</f>
        <v>3.5428730239538448E-8</v>
      </c>
      <c r="Z17">
        <f t="shared" ref="Z17:Z24" si="91">Y17/6.66*2048.5</f>
        <v>1.0897260344698876E-5</v>
      </c>
      <c r="AA17">
        <f t="shared" ref="AA17:AA24" si="92">Z17*144</f>
        <v>1.569205489636638E-3</v>
      </c>
    </row>
    <row r="18" spans="1:32" ht="13.9" customHeight="1" x14ac:dyDescent="0.25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0"/>
        <v>18.150000000000002</v>
      </c>
      <c r="K18" s="1">
        <f t="shared" si="81"/>
        <v>26</v>
      </c>
      <c r="L18" s="1">
        <f t="shared" si="82"/>
        <v>3.2580965380214821</v>
      </c>
      <c r="M18" s="3">
        <f t="shared" si="83"/>
        <v>314.46540880503147</v>
      </c>
      <c r="N18" s="3"/>
      <c r="O18" s="3">
        <f t="shared" si="84"/>
        <v>18867.92452830189</v>
      </c>
      <c r="P18" s="3"/>
      <c r="Q18" s="3">
        <f>O18/$W$40*100</f>
        <v>40.946016771488473</v>
      </c>
      <c r="R18" s="3"/>
      <c r="S18" s="3">
        <f t="shared" si="85"/>
        <v>26</v>
      </c>
      <c r="T18" s="4">
        <f t="shared" si="86"/>
        <v>18.150000000000002</v>
      </c>
      <c r="U18">
        <f t="shared" si="87"/>
        <v>2.4339549300000006E-2</v>
      </c>
      <c r="V18">
        <f t="shared" si="88"/>
        <v>6.7750595849508004E-3</v>
      </c>
      <c r="W18">
        <f t="shared" si="89"/>
        <v>-1.7953907900119617E-7</v>
      </c>
      <c r="X18">
        <v>0.18</v>
      </c>
      <c r="Y18">
        <f t="shared" si="90"/>
        <v>3.2317034220215307E-8</v>
      </c>
      <c r="Z18">
        <f t="shared" si="91"/>
        <v>9.9401568468635218E-6</v>
      </c>
      <c r="AA18">
        <f t="shared" si="92"/>
        <v>1.4313825859483471E-3</v>
      </c>
    </row>
    <row r="19" spans="1:32" ht="13.9" customHeight="1" x14ac:dyDescent="0.25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0"/>
        <v>28.516800000000003</v>
      </c>
      <c r="K19" s="1">
        <f t="shared" si="81"/>
        <v>36</v>
      </c>
      <c r="L19" s="1">
        <f t="shared" si="82"/>
        <v>3.5835189384561099</v>
      </c>
      <c r="M19" s="3">
        <f t="shared" si="83"/>
        <v>377.35849056603774</v>
      </c>
      <c r="N19" s="3"/>
      <c r="O19" s="3">
        <f t="shared" si="84"/>
        <v>22641.509433962266</v>
      </c>
      <c r="P19" s="3"/>
      <c r="Q19" s="3">
        <f>O19/$W$40*100</f>
        <v>49.135220125786169</v>
      </c>
      <c r="R19" s="3"/>
      <c r="S19" s="3">
        <f t="shared" si="85"/>
        <v>36</v>
      </c>
      <c r="T19" s="4">
        <f t="shared" si="86"/>
        <v>28.516800000000003</v>
      </c>
      <c r="U19">
        <f t="shared" si="87"/>
        <v>3.8241656169600007E-2</v>
      </c>
      <c r="V19">
        <f t="shared" si="88"/>
        <v>8.8706620372876483E-3</v>
      </c>
      <c r="W19">
        <f t="shared" si="89"/>
        <v>-1.9589378665676887E-7</v>
      </c>
      <c r="X19">
        <v>0.18</v>
      </c>
      <c r="Y19">
        <f t="shared" si="90"/>
        <v>3.5260881598218394E-8</v>
      </c>
      <c r="Z19">
        <f t="shared" si="91"/>
        <v>1.0845633026118675E-5</v>
      </c>
      <c r="AA19">
        <f t="shared" si="92"/>
        <v>1.5617711557610891E-3</v>
      </c>
    </row>
    <row r="20" spans="1:32" ht="13.9" customHeight="1" x14ac:dyDescent="0.25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0"/>
        <v>51.68</v>
      </c>
      <c r="K20" s="1">
        <f t="shared" si="81"/>
        <v>56</v>
      </c>
      <c r="L20" s="1">
        <f t="shared" si="82"/>
        <v>4.0253516907351496</v>
      </c>
      <c r="M20" s="3">
        <f t="shared" si="83"/>
        <v>483.09178743961354</v>
      </c>
      <c r="N20" s="3"/>
      <c r="O20" s="3">
        <f t="shared" si="84"/>
        <v>28985.507246376812</v>
      </c>
      <c r="P20" s="3"/>
      <c r="Q20" s="3">
        <f>O20/$W$40*100</f>
        <v>62.902576489533011</v>
      </c>
      <c r="R20" s="3"/>
      <c r="S20" s="3">
        <f t="shared" si="85"/>
        <v>56</v>
      </c>
      <c r="T20" s="4">
        <f t="shared" si="86"/>
        <v>51.68</v>
      </c>
      <c r="U20">
        <f t="shared" si="87"/>
        <v>6.9304016960000006E-2</v>
      </c>
      <c r="V20">
        <f t="shared" si="88"/>
        <v>1.255747204905024E-2</v>
      </c>
      <c r="W20">
        <f t="shared" si="89"/>
        <v>-2.1661639284611662E-7</v>
      </c>
      <c r="X20">
        <v>0.18</v>
      </c>
      <c r="Y20">
        <f t="shared" si="90"/>
        <v>3.8990950712300994E-8</v>
      </c>
      <c r="Z20">
        <f t="shared" si="91"/>
        <v>1.1992937317439727E-5</v>
      </c>
      <c r="AA20">
        <f t="shared" si="92"/>
        <v>1.7269829737113207E-3</v>
      </c>
    </row>
    <row r="21" spans="1:32" ht="13.9" customHeight="1" x14ac:dyDescent="0.25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0"/>
        <v>59.349000000000004</v>
      </c>
      <c r="K21" s="1">
        <f t="shared" si="81"/>
        <v>64</v>
      </c>
      <c r="L21" s="1">
        <f t="shared" si="82"/>
        <v>4.1588830833596715</v>
      </c>
      <c r="M21" s="3">
        <f t="shared" si="83"/>
        <v>500.00000000000006</v>
      </c>
      <c r="N21" s="3"/>
      <c r="O21" s="3">
        <f t="shared" si="84"/>
        <v>30000.000000000004</v>
      </c>
      <c r="P21" s="3"/>
      <c r="Q21" s="3">
        <f>O21/$W$40*100</f>
        <v>65.104166666666671</v>
      </c>
      <c r="R21" s="3"/>
      <c r="S21" s="3">
        <f t="shared" si="85"/>
        <v>64</v>
      </c>
      <c r="T21" s="4">
        <f t="shared" si="86"/>
        <v>59.349000000000004</v>
      </c>
      <c r="U21">
        <f t="shared" si="87"/>
        <v>7.9588314678000011E-2</v>
      </c>
      <c r="V21">
        <f t="shared" si="88"/>
        <v>1.39332609562952E-2</v>
      </c>
      <c r="W21">
        <f t="shared" si="89"/>
        <v>-2.3222101593825331E-7</v>
      </c>
      <c r="X21">
        <v>0.18</v>
      </c>
      <c r="Y21">
        <f t="shared" si="90"/>
        <v>4.1799782868885597E-8</v>
      </c>
      <c r="Z21">
        <f t="shared" si="91"/>
        <v>1.2856885166203024E-5</v>
      </c>
      <c r="AA21">
        <f t="shared" si="92"/>
        <v>1.8513914639332356E-3</v>
      </c>
    </row>
    <row r="22" spans="1:32" ht="13.9" customHeight="1" x14ac:dyDescent="0.25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0"/>
        <v>84.545999999999992</v>
      </c>
      <c r="K22" s="1">
        <f t="shared" si="81"/>
        <v>89</v>
      </c>
      <c r="L22" s="1">
        <f t="shared" si="82"/>
        <v>4.4886363697321396</v>
      </c>
      <c r="M22" s="3">
        <f t="shared" si="83"/>
        <v>568.18181818181813</v>
      </c>
      <c r="N22" s="3"/>
      <c r="O22" s="3">
        <f t="shared" si="84"/>
        <v>34090.909090909088</v>
      </c>
      <c r="P22" s="3"/>
      <c r="Q22" s="3">
        <f>O22/$W$40*100</f>
        <v>73.982007575757564</v>
      </c>
      <c r="R22" s="3"/>
      <c r="S22" s="3">
        <f t="shared" si="85"/>
        <v>89</v>
      </c>
      <c r="T22" s="4">
        <f t="shared" si="86"/>
        <v>84.545999999999992</v>
      </c>
      <c r="U22">
        <f t="shared" si="87"/>
        <v>0.11337804601199999</v>
      </c>
      <c r="V22">
        <f t="shared" si="88"/>
        <v>1.7466870597880702E-2</v>
      </c>
      <c r="W22">
        <f t="shared" si="89"/>
        <v>-2.5618076876891696E-7</v>
      </c>
      <c r="X22">
        <v>0.18</v>
      </c>
      <c r="Y22">
        <f t="shared" si="90"/>
        <v>4.611253837840505E-8</v>
      </c>
      <c r="Z22">
        <f t="shared" si="91"/>
        <v>1.4183413643868279E-5</v>
      </c>
      <c r="AA22">
        <f t="shared" si="92"/>
        <v>2.0424115647170323E-3</v>
      </c>
    </row>
    <row r="23" spans="1:32" ht="13.9" customHeight="1" x14ac:dyDescent="0.25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0"/>
        <v>153.26999999999998</v>
      </c>
      <c r="K23" s="1">
        <f t="shared" si="81"/>
        <v>143</v>
      </c>
      <c r="L23" s="1">
        <f t="shared" si="82"/>
        <v>4.962844630259907</v>
      </c>
      <c r="M23" s="3">
        <f t="shared" si="83"/>
        <v>699.30069930069931</v>
      </c>
      <c r="N23" s="3"/>
      <c r="O23" s="3">
        <f t="shared" si="84"/>
        <v>41958.041958041955</v>
      </c>
      <c r="P23" s="3"/>
      <c r="Q23" s="3">
        <f>O23/$W$40*100</f>
        <v>91.054778554778551</v>
      </c>
      <c r="R23" s="3"/>
      <c r="S23" s="3">
        <f t="shared" si="85"/>
        <v>143</v>
      </c>
      <c r="T23" s="4">
        <f t="shared" si="86"/>
        <v>153.26999999999998</v>
      </c>
      <c r="U23">
        <f t="shared" si="87"/>
        <v>0.20553844193999998</v>
      </c>
      <c r="V23">
        <f t="shared" si="88"/>
        <v>2.5727794880141638E-2</v>
      </c>
      <c r="W23">
        <f t="shared" si="89"/>
        <v>-3.0658955565502124E-7</v>
      </c>
      <c r="X23">
        <v>0.18</v>
      </c>
      <c r="Y23">
        <f t="shared" si="90"/>
        <v>5.5186120017903822E-8</v>
      </c>
      <c r="Z23">
        <f t="shared" si="91"/>
        <v>1.6974289317819214E-5</v>
      </c>
      <c r="AA23">
        <f t="shared" si="92"/>
        <v>2.4442976617659669E-3</v>
      </c>
      <c r="AB23" s="97"/>
      <c r="AC23" s="97"/>
      <c r="AD23" s="97"/>
      <c r="AE23" s="97"/>
      <c r="AF23" s="97"/>
    </row>
    <row r="24" spans="1:32" ht="13.9" customHeight="1" x14ac:dyDescent="0.25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0"/>
        <v>214.45920000000001</v>
      </c>
      <c r="K24" s="1">
        <f t="shared" si="81"/>
        <v>165</v>
      </c>
      <c r="L24" s="1">
        <f t="shared" si="82"/>
        <v>5.1059454739005803</v>
      </c>
      <c r="M24" s="3">
        <f t="shared" si="83"/>
        <v>781.25000000000011</v>
      </c>
      <c r="N24" s="3"/>
      <c r="O24" s="3">
        <f t="shared" si="84"/>
        <v>46875.000000000007</v>
      </c>
      <c r="P24" s="3"/>
      <c r="Q24" s="3">
        <f>O24/$W$40*100</f>
        <v>101.72526041666667</v>
      </c>
      <c r="R24" s="3"/>
      <c r="S24" s="3">
        <f t="shared" si="85"/>
        <v>165</v>
      </c>
      <c r="T24" s="4">
        <f t="shared" si="86"/>
        <v>214.45920000000001</v>
      </c>
      <c r="U24">
        <f t="shared" si="87"/>
        <v>0.28759450530240005</v>
      </c>
      <c r="V24">
        <f t="shared" si="88"/>
        <v>3.2222855292761705E-2</v>
      </c>
      <c r="W24">
        <f t="shared" si="89"/>
        <v>-3.4371045645612482E-7</v>
      </c>
      <c r="X24">
        <v>0.18</v>
      </c>
      <c r="Y24">
        <f t="shared" si="90"/>
        <v>6.1867882162102469E-8</v>
      </c>
      <c r="Z24">
        <f t="shared" si="91"/>
        <v>1.9029482974334368E-5</v>
      </c>
      <c r="AA24">
        <f t="shared" si="92"/>
        <v>2.7402455483041491E-3</v>
      </c>
    </row>
    <row r="25" spans="1:32" ht="13.9" customHeight="1" x14ac:dyDescent="0.25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" customHeight="1" x14ac:dyDescent="0.25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25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" customHeight="1" thickBot="1" x14ac:dyDescent="0.3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" customHeight="1" x14ac:dyDescent="0.2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25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2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2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.75" thickBot="1" x14ac:dyDescent="0.3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25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.75" thickBot="1" x14ac:dyDescent="0.3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25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30" x14ac:dyDescent="0.25">
      <c r="B43" s="73">
        <v>90</v>
      </c>
      <c r="C43" s="6">
        <f t="shared" ref="C43:C48" si="93">B43/180*(2.4-0.53)+0.53</f>
        <v>1.4649999999999999</v>
      </c>
      <c r="D43" s="88">
        <f t="shared" ref="D43:D48" si="94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25">
      <c r="B44" s="73">
        <v>100</v>
      </c>
      <c r="C44" s="6">
        <f t="shared" si="93"/>
        <v>1.568888888888889</v>
      </c>
      <c r="D44" s="88">
        <f t="shared" si="94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25">
      <c r="B45" s="73">
        <v>110</v>
      </c>
      <c r="C45" s="6">
        <f t="shared" si="93"/>
        <v>1.6727777777777779</v>
      </c>
      <c r="D45" s="88">
        <f t="shared" si="94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93"/>
        <v>1.7143333333333333</v>
      </c>
      <c r="D46" s="88">
        <f t="shared" si="94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93"/>
        <v>1.8545833333333333</v>
      </c>
      <c r="D47" s="88">
        <f t="shared" si="94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93"/>
        <v>1.9470444444444444</v>
      </c>
      <c r="D48" s="88">
        <f t="shared" si="94"/>
        <v>170.46799999999999</v>
      </c>
      <c r="V48" s="21"/>
      <c r="W48" s="32"/>
      <c r="X48" s="32"/>
      <c r="Y48" s="47"/>
      <c r="Z48" s="48" t="s">
        <v>19</v>
      </c>
    </row>
    <row r="50" spans="22:27" ht="15.75" thickBot="1" x14ac:dyDescent="0.3">
      <c r="V50" t="s">
        <v>51</v>
      </c>
    </row>
    <row r="51" spans="22:27" x14ac:dyDescent="0.25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25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.75" thickBot="1" x14ac:dyDescent="0.3"/>
    <row r="59" spans="22:27" x14ac:dyDescent="0.25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ht="14.45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ht="14.45" x14ac:dyDescent="0.3">
      <c r="AG25" s="65" t="s">
        <v>39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ht="14.45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ht="14.45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ht="14.45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ht="14.45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25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25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ht="14.45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ht="14.45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ht="14.45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ht="14.45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25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210023782</cp:lastModifiedBy>
  <dcterms:created xsi:type="dcterms:W3CDTF">2016-09-13T12:10:02Z</dcterms:created>
  <dcterms:modified xsi:type="dcterms:W3CDTF">2016-10-20T17:46:21Z</dcterms:modified>
</cp:coreProperties>
</file>