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58.xml" ContentType="application/vnd.openxmlformats-officedocument.drawingml.chart+xml"/>
  <Override PartName="/xl/drawings/drawing10.xml" ContentType="application/vnd.openxmlformats-officedocument.drawing+xml"/>
  <Override PartName="/xl/charts/chart5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11.xml" ContentType="application/vnd.openxmlformats-officedocument.drawing+xml"/>
  <Override PartName="/xl/charts/chart6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7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3" activeTab="4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CalPhotonTurnigy" sheetId="4" r:id="rId8"/>
    <sheet name="TauPhotonTurnigy" sheetId="5" r:id="rId9"/>
    <sheet name="CalArduinoTurnigy" sheetId="3" r:id="rId10"/>
    <sheet name="CalArduinoHiTec" sheetId="1" r:id="rId11"/>
    <sheet name="CalPhotonHiTec" sheetId="2" r:id="rId12"/>
  </sheets>
  <definedNames>
    <definedName name="Meas_TauT__s" localSheetId="2">Ard0_Turn0_ESC0_G0b_T0a!$K$38:$K$43</definedName>
    <definedName name="Meas_TauT__s" localSheetId="3">Ard1_Turn1x_ESC1_G1b_T1a!$K$38:$K$43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Ard4_Turn4_ESC4_G4b_T4a!$K$37:$K$42</definedName>
    <definedName name="Meas_TauT__s">#REF!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>#REF!</definedName>
    <definedName name="MeasTauT" localSheetId="2">Ard0_Turn0_ESC0_G0b_T0a!$K$38:$K$43</definedName>
    <definedName name="MeasTauT" localSheetId="3">Ard1_Turn1x_ESC1_G1b_T1a!$K$38:$K$43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Ard4_Turn4_ESC4_G4b_T4a!$K$37:$K$42</definedName>
    <definedName name="MeasTauT">#REF!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>#REF!</definedName>
  </definedNames>
  <calcPr calcId="152511"/>
</workbook>
</file>

<file path=xl/calcChain.xml><?xml version="1.0" encoding="utf-8"?>
<calcChain xmlns="http://schemas.openxmlformats.org/spreadsheetml/2006/main">
  <c r="H4" i="8" l="1"/>
  <c r="H3" i="8"/>
  <c r="K10" i="15"/>
  <c r="L10" i="15"/>
  <c r="M10" i="15" s="1"/>
  <c r="N10" i="15"/>
  <c r="O10" i="15" s="1"/>
  <c r="K11" i="15"/>
  <c r="N11" i="15" s="1"/>
  <c r="O11" i="15" s="1"/>
  <c r="L11" i="15"/>
  <c r="M11" i="15"/>
  <c r="K12" i="15"/>
  <c r="L12" i="15"/>
  <c r="M13" i="15" s="1"/>
  <c r="N12" i="15"/>
  <c r="K13" i="15"/>
  <c r="N13" i="15" s="1"/>
  <c r="O13" i="15" s="1"/>
  <c r="L13" i="15"/>
  <c r="Z6" i="15"/>
  <c r="AA6" i="15"/>
  <c r="AB6" i="15" s="1"/>
  <c r="AC6" i="15"/>
  <c r="AD6" i="15" s="1"/>
  <c r="Z7" i="15"/>
  <c r="AC7" i="15" s="1"/>
  <c r="AA7" i="15"/>
  <c r="AB8" i="15" s="1"/>
  <c r="AB7" i="15"/>
  <c r="Z8" i="15"/>
  <c r="AA8" i="15"/>
  <c r="AC8" i="15"/>
  <c r="Z9" i="15"/>
  <c r="AB10" i="15" s="1"/>
  <c r="AA9" i="15"/>
  <c r="AB9" i="15" s="1"/>
  <c r="Z10" i="15"/>
  <c r="AA10" i="15"/>
  <c r="AB11" i="15" s="1"/>
  <c r="AC10" i="15"/>
  <c r="Z11" i="15"/>
  <c r="AA11" i="15"/>
  <c r="AC11" i="15"/>
  <c r="AD11" i="15" s="1"/>
  <c r="Z12" i="15"/>
  <c r="AC12" i="15" s="1"/>
  <c r="AD12" i="15" s="1"/>
  <c r="AA12" i="15"/>
  <c r="AB12" i="15" s="1"/>
  <c r="H11" i="8"/>
  <c r="O12" i="15" l="1"/>
  <c r="M12" i="15"/>
  <c r="AD10" i="15"/>
  <c r="AD7" i="15"/>
  <c r="AD8" i="15"/>
  <c r="AC9" i="15"/>
  <c r="AD9" i="15" s="1"/>
  <c r="S40" i="8"/>
  <c r="R40" i="8"/>
  <c r="R43" i="14"/>
  <c r="Q43" i="14"/>
  <c r="R42" i="14"/>
  <c r="Q42" i="14"/>
  <c r="Q40" i="14" l="1"/>
  <c r="AV12" i="14"/>
  <c r="AH12" i="14"/>
  <c r="AI12" i="14" s="1"/>
  <c r="O12" i="14"/>
  <c r="Q12" i="14" s="1"/>
  <c r="AE12" i="14" s="1"/>
  <c r="N12" i="14"/>
  <c r="P12" i="14" s="1"/>
  <c r="L12" i="14"/>
  <c r="T12" i="14" s="1"/>
  <c r="K12" i="14"/>
  <c r="U12" i="14" s="1"/>
  <c r="W12" i="14" s="1"/>
  <c r="C12" i="14"/>
  <c r="X12" i="14" l="1"/>
  <c r="Y12" i="14" s="1"/>
  <c r="M12" i="14"/>
  <c r="Z12" i="14"/>
  <c r="R12" i="14"/>
  <c r="V12" i="14"/>
  <c r="S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A12" i="14" l="1"/>
  <c r="AB12" i="14" s="1"/>
  <c r="AC12" i="14"/>
  <c r="AC5" i="15"/>
  <c r="AC3" i="15"/>
  <c r="X8" i="15"/>
  <c r="X10" i="15"/>
  <c r="AC4" i="15"/>
  <c r="X4" i="15"/>
  <c r="X12" i="15"/>
  <c r="X6" i="15"/>
  <c r="X14" i="15"/>
  <c r="X3" i="15"/>
  <c r="X5" i="15"/>
  <c r="Y5" i="15" s="1"/>
  <c r="X7" i="15"/>
  <c r="X9" i="15"/>
  <c r="Y9" i="15" s="1"/>
  <c r="X11" i="15"/>
  <c r="Y11" i="15" s="1"/>
  <c r="X13" i="15"/>
  <c r="S5" i="15"/>
  <c r="S9" i="15"/>
  <c r="S3" i="15"/>
  <c r="S7" i="15"/>
  <c r="S11" i="15"/>
  <c r="S13" i="15"/>
  <c r="S4" i="15"/>
  <c r="S6" i="15"/>
  <c r="T6" i="15" s="1"/>
  <c r="S8" i="15"/>
  <c r="S10" i="15"/>
  <c r="S12" i="15"/>
  <c r="I9" i="15"/>
  <c r="N5" i="15"/>
  <c r="N7" i="15"/>
  <c r="N9" i="15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AD4" i="15" l="1"/>
  <c r="AD12" i="14"/>
  <c r="AF12" i="14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5" i="14"/>
  <c r="R50" i="14" s="1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H11" i="14" s="1"/>
  <c r="AI11" i="14" s="1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S5" i="14"/>
  <c r="O5" i="14"/>
  <c r="Q5" i="14" s="1"/>
  <c r="AE5" i="14" s="1"/>
  <c r="N5" i="14"/>
  <c r="P5" i="14" s="1"/>
  <c r="G5" i="15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U3" i="14"/>
  <c r="O3" i="14"/>
  <c r="Q3" i="14" s="1"/>
  <c r="N3" i="14"/>
  <c r="P3" i="14" s="1"/>
  <c r="G3" i="15" s="1"/>
  <c r="L3" i="14"/>
  <c r="T3" i="14" s="1"/>
  <c r="K3" i="14"/>
  <c r="C3" i="14"/>
  <c r="AV2" i="14"/>
  <c r="AE2" i="14"/>
  <c r="O2" i="14"/>
  <c r="N2" i="14"/>
  <c r="P2" i="14" s="1"/>
  <c r="K2" i="14"/>
  <c r="U2" i="14" s="1"/>
  <c r="W2" i="14" s="1"/>
  <c r="AV1" i="14"/>
  <c r="U1" i="14"/>
  <c r="R11" i="14" l="1"/>
  <c r="R6" i="14"/>
  <c r="G6" i="15"/>
  <c r="M3" i="14"/>
  <c r="AF22" i="15"/>
  <c r="H5" i="15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X3" i="14"/>
  <c r="Y3" i="14" s="1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Y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Y10" i="14" l="1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G12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AF41" i="15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3"/>
  <c r="M13" i="13" s="1"/>
  <c r="K13" i="13"/>
  <c r="U13" i="13" s="1"/>
  <c r="C13" i="13"/>
  <c r="O11" i="13"/>
  <c r="Q11" i="13" s="1"/>
  <c r="N11" i="13"/>
  <c r="P11" i="13" s="1"/>
  <c r="L11" i="13"/>
  <c r="T11" i="13" s="1"/>
  <c r="K11" i="13"/>
  <c r="U11" i="13" s="1"/>
  <c r="C11" i="13"/>
  <c r="O10" i="13"/>
  <c r="Q10" i="13" s="1"/>
  <c r="AE10" i="13" s="1"/>
  <c r="N10" i="13"/>
  <c r="P10" i="13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AH9" i="13" l="1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F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5" i="15" l="1"/>
  <c r="R41" i="13"/>
  <c r="Q41" i="13"/>
  <c r="AF31" i="15"/>
  <c r="AF38" i="15"/>
  <c r="Q35" i="13"/>
  <c r="L41" i="13" s="1"/>
  <c r="M41" i="13" s="1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AJ9" i="13" l="1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T11" i="10" s="1"/>
  <c r="K11" i="10"/>
  <c r="U11" i="10" s="1"/>
  <c r="C11" i="10"/>
  <c r="O10" i="10"/>
  <c r="Q10" i="10" s="1"/>
  <c r="N10" i="10"/>
  <c r="P10" i="10" s="1"/>
  <c r="L10" i="10"/>
  <c r="M10" i="10" s="1"/>
  <c r="K10" i="10"/>
  <c r="U10" i="10" s="1"/>
  <c r="C10" i="10"/>
  <c r="O9" i="10"/>
  <c r="Q9" i="10" s="1"/>
  <c r="N9" i="10"/>
  <c r="P9" i="10" s="1"/>
  <c r="L9" i="10"/>
  <c r="T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AE7" i="10" s="1"/>
  <c r="N7" i="10"/>
  <c r="P7" i="10" s="1"/>
  <c r="L7" i="10"/>
  <c r="M7" i="10" s="1"/>
  <c r="K7" i="10"/>
  <c r="U7" i="10" s="1"/>
  <c r="C7" i="10"/>
  <c r="O6" i="10"/>
  <c r="Q6" i="10" s="1"/>
  <c r="N6" i="10"/>
  <c r="P6" i="10" s="1"/>
  <c r="L6" i="10"/>
  <c r="K6" i="10"/>
  <c r="U6" i="10" s="1"/>
  <c r="C6" i="10"/>
  <c r="O5" i="10"/>
  <c r="Q5" i="10" s="1"/>
  <c r="N5" i="10"/>
  <c r="P5" i="10" s="1"/>
  <c r="AA5" i="15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F71" i="15" l="1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R42" i="10"/>
  <c r="Q42" i="10"/>
  <c r="R39" i="10"/>
  <c r="AE4" i="10"/>
  <c r="S4" i="10"/>
  <c r="S39" i="10"/>
  <c r="Q39" i="10"/>
  <c r="W4" i="10"/>
  <c r="X4" i="10" s="1"/>
  <c r="V4" i="10"/>
  <c r="V5" i="10"/>
  <c r="T6" i="10"/>
  <c r="M6" i="10"/>
  <c r="V7" i="10"/>
  <c r="W7" i="10"/>
  <c r="X7" i="10" s="1"/>
  <c r="R3" i="10"/>
  <c r="Q41" i="10"/>
  <c r="R4" i="10"/>
  <c r="R41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AH6" i="9"/>
  <c r="AI6" i="9" s="1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V4" i="15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AF57" i="15" l="1"/>
  <c r="W4" i="15"/>
  <c r="AH4" i="9"/>
  <c r="AI4" i="9" s="1"/>
  <c r="R5" i="9"/>
  <c r="V5" i="15"/>
  <c r="AF61" i="15"/>
  <c r="AH10" i="9"/>
  <c r="AI10" i="9" s="1"/>
  <c r="R11" i="9"/>
  <c r="V11" i="15"/>
  <c r="AH13" i="9"/>
  <c r="AI13" i="9" s="1"/>
  <c r="W14" i="15"/>
  <c r="AF67" i="15"/>
  <c r="R7" i="9"/>
  <c r="V7" i="15"/>
  <c r="AF56" i="15"/>
  <c r="W6" i="15"/>
  <c r="AF59" i="15"/>
  <c r="AF62" i="15"/>
  <c r="W9" i="15"/>
  <c r="AF65" i="15"/>
  <c r="W12" i="15"/>
  <c r="Q40" i="10"/>
  <c r="W10" i="15"/>
  <c r="AF63" i="15"/>
  <c r="AF66" i="15"/>
  <c r="W13" i="15"/>
  <c r="Z9" i="9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D2" i="10" l="1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D2" i="9" l="1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M2" i="10" l="1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AG9" i="9"/>
  <c r="Q45" i="9" s="1"/>
  <c r="AT13" i="9" s="1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0" i="10" l="1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R7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Q4" i="15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11" i="15" l="1"/>
  <c r="AF52" i="15" s="1"/>
  <c r="Q42" i="8"/>
  <c r="R5" i="8"/>
  <c r="Q5" i="15"/>
  <c r="AF45" i="15"/>
  <c r="R4" i="15"/>
  <c r="AF48" i="15"/>
  <c r="R7" i="15"/>
  <c r="AF51" i="15"/>
  <c r="R10" i="15"/>
  <c r="AF49" i="15"/>
  <c r="R8" i="15"/>
  <c r="R12" i="8"/>
  <c r="Q12" i="15"/>
  <c r="AF44" i="15"/>
  <c r="AF47" i="15"/>
  <c r="R6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11" i="15" l="1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E43" i="15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R3" i="15" l="1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G6" i="4" l="1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AF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s="1"/>
  <c r="Z8" i="14" l="1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AA4" i="14"/>
  <c r="AB4" i="14" s="1"/>
  <c r="Z10" i="14"/>
  <c r="AA5" i="14"/>
  <c r="AB5" i="14" s="1"/>
  <c r="Z3" i="14"/>
  <c r="AA8" i="14"/>
  <c r="AB8" i="14" s="1"/>
  <c r="Z2" i="14"/>
  <c r="AC11" i="14" l="1"/>
  <c r="AD11" i="14" s="1"/>
  <c r="AC9" i="14"/>
  <c r="AF8" i="14"/>
  <c r="AC7" i="14"/>
  <c r="AF7" i="14" s="1"/>
  <c r="AC6" i="14"/>
  <c r="AD6" i="14" s="1"/>
  <c r="AD5" i="14"/>
  <c r="AC3" i="14"/>
  <c r="AA3" i="14"/>
  <c r="AB3" i="14" s="1"/>
  <c r="AD9" i="14"/>
  <c r="AF9" i="14"/>
  <c r="AD4" i="14"/>
  <c r="AF4" i="14"/>
  <c r="AA2" i="14"/>
  <c r="AC2" i="14"/>
  <c r="AC10" i="14"/>
  <c r="AA10" i="14"/>
  <c r="AB10" i="14" s="1"/>
  <c r="AF11" i="14" l="1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<sst xmlns="http://schemas.openxmlformats.org/spreadsheetml/2006/main" count="1602" uniqueCount="341">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</sst>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7.7741158395129268</c:v>
                </c:pt>
                <c:pt idx="42" formatCode="0.00">
                  <c:v>13</c:v>
                </c:pt>
                <c:pt idx="43" formatCode="0.00">
                  <c:v>17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175</c:v>
                </c:pt>
                <c:pt idx="53" formatCode="0.00">
                  <c:v>8.7271708346327035</c:v>
                </c:pt>
                <c:pt idx="54" formatCode="0.00">
                  <c:v>14</c:v>
                </c:pt>
                <c:pt idx="55" formatCode="0.00">
                  <c:v>18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175</c:v>
                </c:pt>
                <c:pt idx="66" formatCode="0.00">
                  <c:v>9.1059042173196207</c:v>
                </c:pt>
                <c:pt idx="67" formatCode="0.00">
                  <c:v>11</c:v>
                </c:pt>
                <c:pt idx="68" formatCode="0.00">
                  <c:v>15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178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10452.961672473868</c:v>
                </c:pt>
                <c:pt idx="43">
                  <c:v>11778.563015312133</c:v>
                </c:pt>
                <c:pt idx="44">
                  <c:v>14218.009478672986</c:v>
                </c:pt>
                <c:pt idx="45">
                  <c:v>16000.000000000002</c:v>
                </c:pt>
                <c:pt idx="46">
                  <c:v>17804.154302670624</c:v>
                </c:pt>
                <c:pt idx="47">
                  <c:v>23904.382470119523</c:v>
                </c:pt>
                <c:pt idx="48">
                  <c:v>28301.886792452831</c:v>
                </c:pt>
                <c:pt idx="49">
                  <c:v>34090.909090909088</c:v>
                </c:pt>
                <c:pt idx="50">
                  <c:v>36090.225563909771</c:v>
                </c:pt>
                <c:pt idx="51">
                  <c:v>37037.037037037036</c:v>
                </c:pt>
                <c:pt idx="52">
                  <c:v>44117.647058823532</c:v>
                </c:pt>
                <c:pt idx="53">
                  <c:v>5.9999999999999995E-25</c:v>
                </c:pt>
                <c:pt idx="54">
                  <c:v>9316.7701863354032</c:v>
                </c:pt>
                <c:pt idx="55">
                  <c:v>12000.000000000002</c:v>
                </c:pt>
                <c:pt idx="56">
                  <c:v>14851.485148514852</c:v>
                </c:pt>
                <c:pt idx="57">
                  <c:v>16574.585635359115</c:v>
                </c:pt>
                <c:pt idx="58">
                  <c:v>20134.228187919463</c:v>
                </c:pt>
                <c:pt idx="59">
                  <c:v>24193.548387096776</c:v>
                </c:pt>
                <c:pt idx="60">
                  <c:v>28571.428571428572</c:v>
                </c:pt>
                <c:pt idx="61">
                  <c:v>33333.333333333336</c:v>
                </c:pt>
                <c:pt idx="62">
                  <c:v>34090.909090909088</c:v>
                </c:pt>
                <c:pt idx="63">
                  <c:v>36585.365853658535</c:v>
                </c:pt>
                <c:pt idx="64">
                  <c:v>41095.890410958906</c:v>
                </c:pt>
                <c:pt idx="65">
                  <c:v>44117.647058823532</c:v>
                </c:pt>
                <c:pt idx="66">
                  <c:v>5.9999999999999995E-25</c:v>
                </c:pt>
                <c:pt idx="67">
                  <c:v>7936.5079365079364</c:v>
                </c:pt>
                <c:pt idx="68">
                  <c:v>9933.7748344370866</c:v>
                </c:pt>
                <c:pt idx="69">
                  <c:v>14150.943396226416</c:v>
                </c:pt>
                <c:pt idx="70">
                  <c:v>17910.447761194031</c:v>
                </c:pt>
                <c:pt idx="71">
                  <c:v>22900.763358778626</c:v>
                </c:pt>
                <c:pt idx="72">
                  <c:v>28571.428571428572</c:v>
                </c:pt>
                <c:pt idx="73">
                  <c:v>32085.561497326202</c:v>
                </c:pt>
                <c:pt idx="74">
                  <c:v>35087.719298245618</c:v>
                </c:pt>
                <c:pt idx="75">
                  <c:v>40000</c:v>
                </c:pt>
                <c:pt idx="76">
                  <c:v>44117.647058823532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4848"/>
        <c:axId val="121782104"/>
      </c:scatterChart>
      <c:valAx>
        <c:axId val="12178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82104"/>
        <c:crosses val="autoZero"/>
        <c:crossBetween val="midCat"/>
      </c:valAx>
      <c:valAx>
        <c:axId val="12178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178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7632"/>
        <c:axId val="193300768"/>
      </c:scatterChart>
      <c:valAx>
        <c:axId val="19329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00768"/>
        <c:crosses val="autoZero"/>
        <c:crossBetween val="midCat"/>
      </c:valAx>
      <c:valAx>
        <c:axId val="1933007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2976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2728"/>
        <c:axId val="193301944"/>
      </c:scatterChart>
      <c:valAx>
        <c:axId val="19330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01944"/>
        <c:crosses val="autoZero"/>
        <c:crossBetween val="midCat"/>
      </c:valAx>
      <c:valAx>
        <c:axId val="1933019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30272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3120"/>
        <c:axId val="193303512"/>
      </c:scatterChart>
      <c:valAx>
        <c:axId val="1933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3512"/>
        <c:crosses val="autoZero"/>
        <c:crossBetween val="midCat"/>
      </c:valAx>
      <c:valAx>
        <c:axId val="19330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3904"/>
        <c:axId val="193296848"/>
      </c:scatterChart>
      <c:valAx>
        <c:axId val="19330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3296848"/>
        <c:crosses val="autoZero"/>
        <c:crossBetween val="midCat"/>
      </c:valAx>
      <c:valAx>
        <c:axId val="1932968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3039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8024"/>
        <c:axId val="193082464"/>
      </c:scatterChart>
      <c:valAx>
        <c:axId val="1932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82464"/>
        <c:crosses val="autoZero"/>
        <c:crossBetween val="midCat"/>
      </c:valAx>
      <c:valAx>
        <c:axId val="1930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2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7368"/>
        <c:axId val="193081288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57200"/>
        <c:axId val="540856024"/>
      </c:scatterChart>
      <c:valAx>
        <c:axId val="1930773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81288"/>
        <c:crossesAt val="-40"/>
        <c:crossBetween val="midCat"/>
        <c:majorUnit val="20"/>
      </c:valAx>
      <c:valAx>
        <c:axId val="193081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77368"/>
        <c:crosses val="autoZero"/>
        <c:crossBetween val="midCat"/>
      </c:valAx>
      <c:valAx>
        <c:axId val="5408560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0857200"/>
        <c:crosses val="max"/>
        <c:crossBetween val="midCat"/>
        <c:majorUnit val="40"/>
      </c:valAx>
      <c:valAx>
        <c:axId val="54085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85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58376"/>
        <c:axId val="540860336"/>
      </c:scatterChart>
      <c:valAx>
        <c:axId val="5408583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0860336"/>
        <c:crosses val="autoZero"/>
        <c:crossBetween val="midCat"/>
      </c:valAx>
      <c:valAx>
        <c:axId val="540860336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85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60728"/>
        <c:axId val="540858768"/>
      </c:scatterChart>
      <c:valAx>
        <c:axId val="5408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0858768"/>
        <c:crosses val="autoZero"/>
        <c:crossBetween val="midCat"/>
      </c:valAx>
      <c:valAx>
        <c:axId val="540858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086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62296"/>
        <c:axId val="540859160"/>
      </c:scatterChart>
      <c:valAx>
        <c:axId val="54086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0859160"/>
        <c:crosses val="autoZero"/>
        <c:crossBetween val="midCat"/>
      </c:valAx>
      <c:valAx>
        <c:axId val="54085916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0862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61120"/>
        <c:axId val="540856416"/>
      </c:scatterChart>
      <c:valAx>
        <c:axId val="54086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856416"/>
        <c:crosses val="autoZero"/>
        <c:crossBetween val="midCat"/>
      </c:valAx>
      <c:valAx>
        <c:axId val="5408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86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7.7741158395129268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175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2000.2283539900759</c:v>
                </c:pt>
                <c:pt idx="1">
                  <c:v>2000.2283539900759</c:v>
                </c:pt>
                <c:pt idx="2">
                  <c:v>331.40033570956621</c:v>
                </c:pt>
                <c:pt idx="3">
                  <c:v>348.49235190869331</c:v>
                </c:pt>
                <c:pt idx="4">
                  <c:v>445.49763033175395</c:v>
                </c:pt>
                <c:pt idx="5">
                  <c:v>451.03857566765555</c:v>
                </c:pt>
                <c:pt idx="6">
                  <c:v>338.90156485827214</c:v>
                </c:pt>
                <c:pt idx="7">
                  <c:v>157.05372579761817</c:v>
                </c:pt>
                <c:pt idx="8">
                  <c:v>156.46006212043937</c:v>
                </c:pt>
                <c:pt idx="9">
                  <c:v>79.972658920027314</c:v>
                </c:pt>
                <c:pt idx="10">
                  <c:v>63.120764875151025</c:v>
                </c:pt>
                <c:pt idx="11">
                  <c:v>354.03050108932473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8.7271708346327035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175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1766.9395108662529</c:v>
                </c:pt>
                <c:pt idx="1">
                  <c:v>1766.9395108662529</c:v>
                </c:pt>
                <c:pt idx="2">
                  <c:v>670.80745341614966</c:v>
                </c:pt>
                <c:pt idx="3">
                  <c:v>475.24752475247504</c:v>
                </c:pt>
                <c:pt idx="4">
                  <c:v>430.77512171106582</c:v>
                </c:pt>
                <c:pt idx="5">
                  <c:v>444.95531907004352</c:v>
                </c:pt>
                <c:pt idx="6">
                  <c:v>253.70751244858207</c:v>
                </c:pt>
                <c:pt idx="7">
                  <c:v>208.47048496818076</c:v>
                </c:pt>
                <c:pt idx="8">
                  <c:v>226.75736961451253</c:v>
                </c:pt>
                <c:pt idx="9">
                  <c:v>151.51515151515051</c:v>
                </c:pt>
                <c:pt idx="10">
                  <c:v>226.76879661358609</c:v>
                </c:pt>
                <c:pt idx="11">
                  <c:v>205.02384351365319</c:v>
                </c:pt>
                <c:pt idx="12">
                  <c:v>70.273410415456411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9.1059042173196207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4190.1301977858784</c:v>
                </c:pt>
                <c:pt idx="1">
                  <c:v>4190.1301977858784</c:v>
                </c:pt>
                <c:pt idx="2">
                  <c:v>499.31672448228755</c:v>
                </c:pt>
                <c:pt idx="3">
                  <c:v>383.37896016266626</c:v>
                </c:pt>
                <c:pt idx="4">
                  <c:v>469.93804562095193</c:v>
                </c:pt>
                <c:pt idx="5">
                  <c:v>293.54797632850557</c:v>
                </c:pt>
                <c:pt idx="6">
                  <c:v>226.82660850599785</c:v>
                </c:pt>
                <c:pt idx="7">
                  <c:v>234.27552839317528</c:v>
                </c:pt>
                <c:pt idx="8">
                  <c:v>200.14385339462777</c:v>
                </c:pt>
                <c:pt idx="9">
                  <c:v>188.93387314439931</c:v>
                </c:pt>
                <c:pt idx="10">
                  <c:v>89.514066496163736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2496"/>
        <c:axId val="121783672"/>
      </c:scatterChart>
      <c:valAx>
        <c:axId val="1217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83672"/>
        <c:crosses val="autoZero"/>
        <c:crossBetween val="midCat"/>
      </c:valAx>
      <c:valAx>
        <c:axId val="12178367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178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61904"/>
        <c:axId val="540863472"/>
      </c:scatterChart>
      <c:valAx>
        <c:axId val="5408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863472"/>
        <c:crosses val="autoZero"/>
        <c:crossBetween val="midCat"/>
      </c:valAx>
      <c:valAx>
        <c:axId val="5408634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08619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57984"/>
        <c:axId val="540857592"/>
      </c:scatterChart>
      <c:valAx>
        <c:axId val="5408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857592"/>
        <c:crosses val="autoZero"/>
        <c:crossBetween val="midCat"/>
      </c:valAx>
      <c:valAx>
        <c:axId val="5408575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08579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6024"/>
        <c:axId val="193522496"/>
      </c:scatterChart>
      <c:valAx>
        <c:axId val="19352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2496"/>
        <c:crosses val="autoZero"/>
        <c:crossBetween val="midCat"/>
      </c:valAx>
      <c:valAx>
        <c:axId val="193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11778.563015312133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36090.225563909771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5240"/>
        <c:axId val="193524848"/>
      </c:scatterChart>
      <c:valAx>
        <c:axId val="19352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524848"/>
        <c:crosses val="autoZero"/>
        <c:crossBetween val="midCat"/>
      </c:valAx>
      <c:valAx>
        <c:axId val="1935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52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25.561117654757233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78.320802005012524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3280"/>
        <c:axId val="193522888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5632"/>
        <c:axId val="193520144"/>
      </c:scatterChart>
      <c:valAx>
        <c:axId val="1935232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522888"/>
        <c:crossesAt val="-40"/>
        <c:crossBetween val="midCat"/>
        <c:majorUnit val="20"/>
      </c:valAx>
      <c:valAx>
        <c:axId val="1935228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523280"/>
        <c:crosses val="autoZero"/>
        <c:crossBetween val="midCat"/>
      </c:valAx>
      <c:valAx>
        <c:axId val="1935201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525632"/>
        <c:crosses val="max"/>
        <c:crossBetween val="midCat"/>
        <c:majorUnit val="40"/>
      </c:valAx>
      <c:valAx>
        <c:axId val="1935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2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25.561117654757233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78.320802005012524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4456"/>
        <c:axId val="193521320"/>
      </c:scatterChart>
      <c:valAx>
        <c:axId val="1935244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3521320"/>
        <c:crosses val="autoZero"/>
        <c:crossBetween val="midCat"/>
      </c:valAx>
      <c:valAx>
        <c:axId val="193521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9352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11778.563015312133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36090.225563909771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6616.14515842931</c:v>
                </c:pt>
                <c:pt idx="1">
                  <c:v>10068.201510054641</c:v>
                </c:pt>
                <c:pt idx="2">
                  <c:v>14505.654356826519</c:v>
                </c:pt>
                <c:pt idx="3">
                  <c:v>16489.285630483304</c:v>
                </c:pt>
                <c:pt idx="4">
                  <c:v>18207.58519764556</c:v>
                </c:pt>
                <c:pt idx="5">
                  <c:v>23950.466479748509</c:v>
                </c:pt>
                <c:pt idx="6">
                  <c:v>29672.742262083237</c:v>
                </c:pt>
                <c:pt idx="7">
                  <c:v>34668.45089745953</c:v>
                </c:pt>
                <c:pt idx="8">
                  <c:v>37199.744901183418</c:v>
                </c:pt>
                <c:pt idx="9">
                  <c:v>38509.498032188094</c:v>
                </c:pt>
                <c:pt idx="10">
                  <c:v>40071.185542234896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1712"/>
        <c:axId val="193524064"/>
      </c:scatterChart>
      <c:valAx>
        <c:axId val="1935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524064"/>
        <c:crosses val="autoZero"/>
        <c:crossBetween val="midCat"/>
      </c:valAx>
      <c:valAx>
        <c:axId val="193524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52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11778.563015312133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36090.225563909771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-3.1047630311354258E-4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1.3386124014661127E-2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2104"/>
        <c:axId val="193526416"/>
      </c:scatterChart>
      <c:valAx>
        <c:axId val="19352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3526416"/>
        <c:crosses val="autoZero"/>
        <c:crossBetween val="midCat"/>
      </c:valAx>
      <c:valAx>
        <c:axId val="1935264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3522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0.28499999999999998</c:v>
                </c:pt>
                <c:pt idx="1">
                  <c:v>0.44900000000000001</c:v>
                </c:pt>
                <c:pt idx="2">
                  <c:v>0.57599999999999996</c:v>
                </c:pt>
                <c:pt idx="3">
                  <c:v>1.323</c:v>
                </c:pt>
                <c:pt idx="4">
                  <c:v>1.6850000000000001</c:v>
                </c:pt>
                <c:pt idx="5">
                  <c:v>1.8919999999999999</c:v>
                </c:pt>
                <c:pt idx="6">
                  <c:v>2.02</c:v>
                </c:pt>
                <c:pt idx="7">
                  <c:v>2.14</c:v>
                </c:pt>
                <c:pt idx="8">
                  <c:v>2.67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7334.9633251833729</c:v>
                </c:pt>
                <c:pt idx="1">
                  <c:v>9202.4539877300613</c:v>
                </c:pt>
                <c:pt idx="2">
                  <c:v>10948.905109489051</c:v>
                </c:pt>
                <c:pt idx="3">
                  <c:v>16574.585635359115</c:v>
                </c:pt>
                <c:pt idx="4">
                  <c:v>21428.571428571431</c:v>
                </c:pt>
                <c:pt idx="5">
                  <c:v>25210.08403361345</c:v>
                </c:pt>
                <c:pt idx="6">
                  <c:v>27149.321266968327</c:v>
                </c:pt>
                <c:pt idx="7">
                  <c:v>28985.507246376812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09680"/>
        <c:axId val="541611248"/>
      </c:scatterChart>
      <c:valAx>
        <c:axId val="54160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611248"/>
        <c:crosses val="autoZero"/>
        <c:crossBetween val="midCat"/>
      </c:valAx>
      <c:valAx>
        <c:axId val="541611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160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20.131694041374747</c:v>
                </c:pt>
                <c:pt idx="1">
                  <c:v>23.671746696862254</c:v>
                </c:pt>
                <c:pt idx="2">
                  <c:v>35.503270443581727</c:v>
                </c:pt>
                <c:pt idx="3">
                  <c:v>47.29234259712959</c:v>
                </c:pt>
                <c:pt idx="4">
                  <c:v>57.584536088112245</c:v>
                </c:pt>
                <c:pt idx="5">
                  <c:v>62.799525506110612</c:v>
                </c:pt>
                <c:pt idx="6">
                  <c:v>65.497887967496453</c:v>
                </c:pt>
                <c:pt idx="7">
                  <c:v>68.715287379470368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5.6044685898818114E-2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12032"/>
        <c:axId val="541609288"/>
      </c:scatterChart>
      <c:valAx>
        <c:axId val="5416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609288"/>
        <c:crosses val="autoZero"/>
        <c:crossBetween val="midCat"/>
      </c:valAx>
      <c:valAx>
        <c:axId val="54160928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16120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91.795515843886037</c:v>
                </c:pt>
                <c:pt idx="1">
                  <c:v>79.801881522735954</c:v>
                </c:pt>
                <c:pt idx="2">
                  <c:v>65.109679479327085</c:v>
                </c:pt>
                <c:pt idx="3">
                  <c:v>40.972490408012526</c:v>
                </c:pt>
                <c:pt idx="4">
                  <c:v>35.725275392509367</c:v>
                </c:pt>
                <c:pt idx="5">
                  <c:v>30.028299089963074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88.314953905624549</c:v>
                </c:pt>
                <c:pt idx="1">
                  <c:v>77.520773378818305</c:v>
                </c:pt>
                <c:pt idx="2">
                  <c:v>63.714263402670746</c:v>
                </c:pt>
                <c:pt idx="3">
                  <c:v>41.032139870428352</c:v>
                </c:pt>
                <c:pt idx="4">
                  <c:v>32.156526314333505</c:v>
                </c:pt>
                <c:pt idx="5">
                  <c:v>28.292313609639148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4456"/>
        <c:axId val="122038336"/>
      </c:scatterChart>
      <c:valAx>
        <c:axId val="12178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8336"/>
        <c:crosses val="autoZero"/>
        <c:crossBetween val="midCat"/>
      </c:valAx>
      <c:valAx>
        <c:axId val="122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20.131694041374747</c:v>
                </c:pt>
                <c:pt idx="1">
                  <c:v>23.671746696862254</c:v>
                </c:pt>
                <c:pt idx="2">
                  <c:v>35.503270443581727</c:v>
                </c:pt>
                <c:pt idx="3">
                  <c:v>47.29234259712959</c:v>
                </c:pt>
                <c:pt idx="4">
                  <c:v>57.584536088112245</c:v>
                </c:pt>
                <c:pt idx="5">
                  <c:v>62.799525506110612</c:v>
                </c:pt>
                <c:pt idx="6">
                  <c:v>65.497887967496453</c:v>
                </c:pt>
                <c:pt idx="7">
                  <c:v>68.715287379470368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5.6044685898818114E-2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6.9029321153201586</c:v>
                </c:pt>
                <c:pt idx="1">
                  <c:v>16.04500316859885</c:v>
                </c:pt>
                <c:pt idx="2">
                  <c:v>20.131694041374747</c:v>
                </c:pt>
                <c:pt idx="3">
                  <c:v>23.671746696862254</c:v>
                </c:pt>
                <c:pt idx="4">
                  <c:v>35.503270443581727</c:v>
                </c:pt>
                <c:pt idx="5">
                  <c:v>47.29234259712959</c:v>
                </c:pt>
                <c:pt idx="6">
                  <c:v>57.584536088112245</c:v>
                </c:pt>
                <c:pt idx="7">
                  <c:v>62.799525506110612</c:v>
                </c:pt>
                <c:pt idx="8">
                  <c:v>65.497887967496453</c:v>
                </c:pt>
                <c:pt idx="9">
                  <c:v>68.715287379470368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0.13213741080016764</c:v>
                </c:pt>
                <c:pt idx="1">
                  <c:v>9.8854751195137494E-2</c:v>
                </c:pt>
                <c:pt idx="2">
                  <c:v>8.8850609433653679E-2</c:v>
                </c:pt>
                <c:pt idx="3">
                  <c:v>8.1689406747607177E-2</c:v>
                </c:pt>
                <c:pt idx="4">
                  <c:v>6.4354062174899987E-2</c:v>
                </c:pt>
                <c:pt idx="5">
                  <c:v>5.3121560184031913E-2</c:v>
                </c:pt>
                <c:pt idx="6">
                  <c:v>4.609724731246391E-2</c:v>
                </c:pt>
                <c:pt idx="7">
                  <c:v>4.3202645333862533E-2</c:v>
                </c:pt>
                <c:pt idx="8">
                  <c:v>4.1843127663600217E-2</c:v>
                </c:pt>
                <c:pt idx="9">
                  <c:v>4.0329893009598591E-2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10072"/>
        <c:axId val="541611640"/>
      </c:scatterChart>
      <c:valAx>
        <c:axId val="54161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611640"/>
        <c:crosses val="autoZero"/>
        <c:crossBetween val="midCat"/>
      </c:valAx>
      <c:valAx>
        <c:axId val="54161164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16100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12816"/>
        <c:axId val="541613208"/>
      </c:scatterChart>
      <c:valAx>
        <c:axId val="5416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613208"/>
        <c:crosses val="autoZero"/>
        <c:crossBetween val="midCat"/>
      </c:valAx>
      <c:valAx>
        <c:axId val="5416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6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13992"/>
        <c:axId val="541608112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14384"/>
        <c:axId val="541615168"/>
      </c:scatterChart>
      <c:valAx>
        <c:axId val="5416139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608112"/>
        <c:crossesAt val="-40"/>
        <c:crossBetween val="midCat"/>
        <c:majorUnit val="20"/>
      </c:valAx>
      <c:valAx>
        <c:axId val="541608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613992"/>
        <c:crosses val="autoZero"/>
        <c:crossBetween val="midCat"/>
      </c:valAx>
      <c:valAx>
        <c:axId val="5416151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614384"/>
        <c:crosses val="max"/>
        <c:crossBetween val="midCat"/>
        <c:majorUnit val="40"/>
      </c:valAx>
      <c:valAx>
        <c:axId val="54161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61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15560"/>
        <c:axId val="541608504"/>
      </c:scatterChart>
      <c:valAx>
        <c:axId val="5416155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1608504"/>
        <c:crosses val="autoZero"/>
        <c:crossBetween val="midCat"/>
      </c:valAx>
      <c:valAx>
        <c:axId val="541608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541615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69792"/>
        <c:axId val="541974104"/>
      </c:scatterChart>
      <c:valAx>
        <c:axId val="5419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974104"/>
        <c:crosses val="autoZero"/>
        <c:crossBetween val="midCat"/>
      </c:valAx>
      <c:valAx>
        <c:axId val="541974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9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68616"/>
        <c:axId val="541973320"/>
      </c:scatterChart>
      <c:valAx>
        <c:axId val="54196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1973320"/>
        <c:crosses val="autoZero"/>
        <c:crossBetween val="midCat"/>
      </c:valAx>
      <c:valAx>
        <c:axId val="5419733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1968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144"/>
        <c:axId val="541970184"/>
      </c:scatterChart>
      <c:valAx>
        <c:axId val="54197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970184"/>
        <c:crosses val="autoZero"/>
        <c:crossBetween val="midCat"/>
      </c:valAx>
      <c:valAx>
        <c:axId val="54197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97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3712"/>
        <c:axId val="541970576"/>
      </c:scatterChart>
      <c:valAx>
        <c:axId val="54197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970576"/>
        <c:crosses val="autoZero"/>
        <c:crossBetween val="midCat"/>
      </c:valAx>
      <c:valAx>
        <c:axId val="5419705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19737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4496"/>
        <c:axId val="541972536"/>
      </c:scatterChart>
      <c:valAx>
        <c:axId val="5419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972536"/>
        <c:crosses val="autoZero"/>
        <c:crossBetween val="midCat"/>
      </c:valAx>
      <c:valAx>
        <c:axId val="5419725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1974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Ard4_Turn4_ESC4_G4b_T4a!$P$4:$P$12</c:f>
              <c:numCache>
                <c:formatCode>0</c:formatCode>
                <c:ptCount val="9"/>
                <c:pt idx="0">
                  <c:v>9933.7748344370866</c:v>
                </c:pt>
                <c:pt idx="1">
                  <c:v>14150.943396226416</c:v>
                </c:pt>
                <c:pt idx="2">
                  <c:v>17910.447761194031</c:v>
                </c:pt>
                <c:pt idx="3">
                  <c:v>22900.763358778626</c:v>
                </c:pt>
                <c:pt idx="4">
                  <c:v>28571.428571428572</c:v>
                </c:pt>
                <c:pt idx="5">
                  <c:v>32085.561497326202</c:v>
                </c:pt>
                <c:pt idx="6">
                  <c:v>35087.719298245618</c:v>
                </c:pt>
                <c:pt idx="7">
                  <c:v>40000</c:v>
                </c:pt>
                <c:pt idx="8">
                  <c:v>44117.647058823532</c:v>
                </c:pt>
              </c:numCache>
            </c:numRef>
          </c:xVal>
          <c:yVal>
            <c:numRef>
              <c:f>Ard4_Turn4_ESC4_G4b_T4a!$Q$4:$Q$12</c:f>
              <c:numCache>
                <c:formatCode>0</c:formatCode>
                <c:ptCount val="9"/>
                <c:pt idx="0">
                  <c:v>750.00000000000011</c:v>
                </c:pt>
                <c:pt idx="1">
                  <c:v>7317.0731707317073</c:v>
                </c:pt>
                <c:pt idx="2">
                  <c:v>11194.029850746268</c:v>
                </c:pt>
                <c:pt idx="3">
                  <c:v>16483.516483516483</c:v>
                </c:pt>
                <c:pt idx="4">
                  <c:v>21897.810218978102</c:v>
                </c:pt>
                <c:pt idx="5">
                  <c:v>24793.388429752067</c:v>
                </c:pt>
                <c:pt idx="6">
                  <c:v>27906.976744186049</c:v>
                </c:pt>
                <c:pt idx="7">
                  <c:v>32608.695652173916</c:v>
                </c:pt>
                <c:pt idx="8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928"/>
        <c:axId val="541975672"/>
      </c:scatterChart>
      <c:valAx>
        <c:axId val="5419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975672"/>
        <c:crosses val="autoZero"/>
        <c:crossBetween val="midCat"/>
      </c:valAx>
      <c:valAx>
        <c:axId val="5419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9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0112"/>
        <c:axId val="193077760"/>
      </c:scatterChart>
      <c:valAx>
        <c:axId val="1930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77760"/>
        <c:crosses val="autoZero"/>
        <c:crossBetween val="midCat"/>
      </c:valAx>
      <c:valAx>
        <c:axId val="193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15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178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21.557671081677704</c:v>
                </c:pt>
                <c:pt idx="1">
                  <c:v>30.709512578616351</c:v>
                </c:pt>
                <c:pt idx="2">
                  <c:v>38.868159203980099</c:v>
                </c:pt>
                <c:pt idx="3">
                  <c:v>49.697837150127228</c:v>
                </c:pt>
                <c:pt idx="4">
                  <c:v>62.003968253968253</c:v>
                </c:pt>
                <c:pt idx="5">
                  <c:v>69.630124777183596</c:v>
                </c:pt>
                <c:pt idx="6">
                  <c:v>76.145224171539965</c:v>
                </c:pt>
                <c:pt idx="7">
                  <c:v>86.805555555555557</c:v>
                </c:pt>
                <c:pt idx="8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1360"/>
        <c:axId val="543130376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16.175039999999999</c:v>
                </c:pt>
                <c:pt idx="4">
                  <c:v>30.835600000000003</c:v>
                </c:pt>
                <c:pt idx="5">
                  <c:v>53.8322</c:v>
                </c:pt>
                <c:pt idx="6">
                  <c:v>69.72</c:v>
                </c:pt>
                <c:pt idx="7">
                  <c:v>90.417600000000007</c:v>
                </c:pt>
                <c:pt idx="8">
                  <c:v>124.68819999999999</c:v>
                </c:pt>
                <c:pt idx="9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4688"/>
        <c:axId val="543133904"/>
      </c:scatterChart>
      <c:valAx>
        <c:axId val="5419713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130376"/>
        <c:crossesAt val="-40"/>
        <c:crossBetween val="midCat"/>
        <c:majorUnit val="20"/>
      </c:valAx>
      <c:valAx>
        <c:axId val="543130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1971360"/>
        <c:crosses val="autoZero"/>
        <c:crossBetween val="midCat"/>
      </c:valAx>
      <c:valAx>
        <c:axId val="5431339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134688"/>
        <c:crosses val="max"/>
        <c:crossBetween val="midCat"/>
        <c:majorUnit val="40"/>
      </c:valAx>
      <c:valAx>
        <c:axId val="54313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13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76.145224171539965</c:v>
                </c:pt>
                <c:pt idx="8">
                  <c:v>86.805555555555557</c:v>
                </c:pt>
                <c:pt idx="9">
                  <c:v>95.741421568627459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2.0444631362320002E-2</c:v>
                </c:pt>
                <c:pt idx="4">
                  <c:v>4.0104764854640006E-2</c:v>
                </c:pt>
                <c:pt idx="5">
                  <c:v>7.0943711379840013E-2</c:v>
                </c:pt>
                <c:pt idx="6">
                  <c:v>9.2249600711440005E-2</c:v>
                </c:pt>
                <c:pt idx="7">
                  <c:v>0.12000553765864003</c:v>
                </c:pt>
                <c:pt idx="8">
                  <c:v>0.16596316621184001</c:v>
                </c:pt>
                <c:pt idx="9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6456"/>
        <c:axId val="543135080"/>
      </c:scatterChart>
      <c:valAx>
        <c:axId val="5431264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3135080"/>
        <c:crosses val="autoZero"/>
        <c:crossBetween val="midCat"/>
      </c:valAx>
      <c:valAx>
        <c:axId val="543135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54312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2702.6697175951012</c:v>
                </c:pt>
                <c:pt idx="1">
                  <c:v>7138.4866811744396</c:v>
                </c:pt>
                <c:pt idx="2">
                  <c:v>15005.216013525915</c:v>
                </c:pt>
                <c:pt idx="3">
                  <c:v>18841.911270834102</c:v>
                </c:pt>
                <c:pt idx="4">
                  <c:v>24640.848642300854</c:v>
                </c:pt>
                <c:pt idx="5">
                  <c:v>30346.002469076866</c:v>
                </c:pt>
                <c:pt idx="6">
                  <c:v>32922.1559679731</c:v>
                </c:pt>
                <c:pt idx="7">
                  <c:v>35104.339970826579</c:v>
                </c:pt>
                <c:pt idx="8">
                  <c:v>38241.653832148877</c:v>
                </c:pt>
                <c:pt idx="9">
                  <c:v>42517.670928599298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9200"/>
        <c:axId val="543129984"/>
      </c:scatterChart>
      <c:valAx>
        <c:axId val="5431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129984"/>
        <c:crosses val="autoZero"/>
        <c:crossBetween val="midCat"/>
      </c:valAx>
      <c:valAx>
        <c:axId val="543129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1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3.273865381871955E-3</c:v>
                </c:pt>
                <c:pt idx="4">
                  <c:v>6.4762696556799728E-3</c:v>
                </c:pt>
                <c:pt idx="5">
                  <c:v>1.0319622855798637E-2</c:v>
                </c:pt>
                <c:pt idx="6">
                  <c:v>1.2378840971476832E-2</c:v>
                </c:pt>
                <c:pt idx="7">
                  <c:v>1.5241418717777001E-2</c:v>
                </c:pt>
                <c:pt idx="8">
                  <c:v>1.9069713553571042E-2</c:v>
                </c:pt>
                <c:pt idx="9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0768"/>
        <c:axId val="543137040"/>
      </c:scatterChart>
      <c:valAx>
        <c:axId val="54313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3137040"/>
        <c:crosses val="autoZero"/>
        <c:crossBetween val="midCat"/>
      </c:valAx>
      <c:valAx>
        <c:axId val="54313704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3130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Ard4_Turn4_ESC4_G4b_T4a!$E$2:$E$12</c:f>
              <c:numCache>
                <c:formatCode>General</c:formatCode>
                <c:ptCount val="11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0.88100000000000001</c:v>
                </c:pt>
                <c:pt idx="5">
                  <c:v>1.2849999999999999</c:v>
                </c:pt>
                <c:pt idx="6">
                  <c:v>1.702</c:v>
                </c:pt>
                <c:pt idx="7">
                  <c:v>1.9330000000000001</c:v>
                </c:pt>
                <c:pt idx="8">
                  <c:v>2.1789999999999998</c:v>
                </c:pt>
                <c:pt idx="9">
                  <c:v>2.5299999999999998</c:v>
                </c:pt>
                <c:pt idx="10">
                  <c:v>2.82</c:v>
                </c:pt>
              </c:numCache>
            </c:numRef>
          </c:xVal>
          <c:yVal>
            <c:numRef>
              <c:f>Ard4_Turn4_ESC4_G4b_T4a!$Q$2:$Q$12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11194.029850746268</c:v>
                </c:pt>
                <c:pt idx="5">
                  <c:v>16483.516483516483</c:v>
                </c:pt>
                <c:pt idx="6">
                  <c:v>21897.810218978102</c:v>
                </c:pt>
                <c:pt idx="7">
                  <c:v>24793.388429752067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5672"/>
        <c:axId val="543136648"/>
      </c:scatterChart>
      <c:valAx>
        <c:axId val="54312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136648"/>
        <c:crosses val="autoZero"/>
        <c:crossBetween val="midCat"/>
      </c:valAx>
      <c:valAx>
        <c:axId val="54313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125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1160"/>
        <c:axId val="543135864"/>
      </c:scatterChart>
      <c:valAx>
        <c:axId val="54313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135864"/>
        <c:crosses val="autoZero"/>
        <c:crossBetween val="midCat"/>
      </c:valAx>
      <c:valAx>
        <c:axId val="5431358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31311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0</c:v>
                </c:pt>
                <c:pt idx="1">
                  <c:v>16.540096866619763</c:v>
                </c:pt>
                <c:pt idx="2">
                  <c:v>24.942809896736904</c:v>
                </c:pt>
                <c:pt idx="3">
                  <c:v>37.643012374179307</c:v>
                </c:pt>
                <c:pt idx="4">
                  <c:v>50.137820323223224</c:v>
                </c:pt>
                <c:pt idx="5">
                  <c:v>55.779831773448365</c:v>
                </c:pt>
                <c:pt idx="6">
                  <c:v>60.559014044952193</c:v>
                </c:pt>
                <c:pt idx="7">
                  <c:v>67.430017941309458</c:v>
                </c:pt>
                <c:pt idx="8">
                  <c:v>76.794885923698061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0.125818603177664</c:v>
                </c:pt>
                <c:pt idx="1">
                  <c:v>8.4651014853752968E-2</c:v>
                </c:pt>
                <c:pt idx="2">
                  <c:v>7.3001555323770131E-2</c:v>
                </c:pt>
                <c:pt idx="3">
                  <c:v>6.0431717885961765E-2</c:v>
                </c:pt>
                <c:pt idx="4">
                  <c:v>5.167748909954361E-2</c:v>
                </c:pt>
                <c:pt idx="5">
                  <c:v>4.8504700353765438E-2</c:v>
                </c:pt>
                <c:pt idx="6">
                  <c:v>4.6106835515446754E-2</c:v>
                </c:pt>
                <c:pt idx="7">
                  <c:v>4.3047313865158747E-2</c:v>
                </c:pt>
                <c:pt idx="8">
                  <c:v>3.9476944024845896E-2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8024"/>
        <c:axId val="543134296"/>
      </c:scatterChart>
      <c:valAx>
        <c:axId val="54312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134296"/>
        <c:crosses val="autoZero"/>
        <c:crossBetween val="midCat"/>
      </c:valAx>
      <c:valAx>
        <c:axId val="5431342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3128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6848"/>
        <c:axId val="543136256"/>
      </c:scatterChart>
      <c:valAx>
        <c:axId val="5431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36256"/>
        <c:crosses val="autoZero"/>
        <c:crossBetween val="midCat"/>
      </c:valAx>
      <c:valAx>
        <c:axId val="5431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1552"/>
        <c:axId val="54312724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8416"/>
        <c:axId val="543127632"/>
      </c:scatterChart>
      <c:valAx>
        <c:axId val="5431315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7240"/>
        <c:crossesAt val="-40"/>
        <c:crossBetween val="midCat"/>
        <c:majorUnit val="20"/>
      </c:valAx>
      <c:valAx>
        <c:axId val="543127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31552"/>
        <c:crosses val="autoZero"/>
        <c:crossBetween val="midCat"/>
      </c:valAx>
      <c:valAx>
        <c:axId val="5431276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8416"/>
        <c:crosses val="max"/>
        <c:crossBetween val="midCat"/>
        <c:majorUnit val="40"/>
      </c:valAx>
      <c:valAx>
        <c:axId val="54312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1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2336"/>
        <c:axId val="543132728"/>
      </c:scatterChart>
      <c:valAx>
        <c:axId val="5431323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3132728"/>
        <c:crosses val="autoZero"/>
        <c:crossBetween val="midCat"/>
      </c:valAx>
      <c:valAx>
        <c:axId val="543132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13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8544"/>
        <c:axId val="193078936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0896"/>
        <c:axId val="193079720"/>
      </c:scatterChart>
      <c:valAx>
        <c:axId val="1930785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78936"/>
        <c:crossesAt val="-40"/>
        <c:crossBetween val="midCat"/>
        <c:majorUnit val="20"/>
      </c:valAx>
      <c:valAx>
        <c:axId val="1930789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78544"/>
        <c:crosses val="autoZero"/>
        <c:crossBetween val="midCat"/>
      </c:valAx>
      <c:valAx>
        <c:axId val="19307972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80896"/>
        <c:crosses val="max"/>
        <c:crossBetween val="midCat"/>
        <c:majorUnit val="40"/>
      </c:valAx>
      <c:valAx>
        <c:axId val="19308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7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9392"/>
        <c:axId val="543138216"/>
      </c:scatterChart>
      <c:valAx>
        <c:axId val="5431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38216"/>
        <c:crosses val="autoZero"/>
        <c:crossBetween val="midCat"/>
      </c:valAx>
      <c:valAx>
        <c:axId val="543138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3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9000"/>
        <c:axId val="543139784"/>
      </c:scatterChart>
      <c:valAx>
        <c:axId val="543139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3139784"/>
        <c:crosses val="autoZero"/>
        <c:crossBetween val="midCat"/>
      </c:valAx>
      <c:valAx>
        <c:axId val="54313978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3139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0176"/>
        <c:axId val="543140568"/>
      </c:scatterChart>
      <c:valAx>
        <c:axId val="543140176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3140568"/>
        <c:crosses val="autoZero"/>
        <c:crossBetween val="midCat"/>
      </c:valAx>
      <c:valAx>
        <c:axId val="54314056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314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5968"/>
        <c:axId val="541004400"/>
      </c:scatterChart>
      <c:valAx>
        <c:axId val="5410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4400"/>
        <c:crosses val="autoZero"/>
        <c:crossBetween val="midCat"/>
      </c:valAx>
      <c:valAx>
        <c:axId val="5410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7928"/>
        <c:axId val="541006360"/>
      </c:scatterChart>
      <c:valAx>
        <c:axId val="54100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6360"/>
        <c:crosses val="autoZero"/>
        <c:crossBetween val="midCat"/>
      </c:valAx>
      <c:valAx>
        <c:axId val="5410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0480"/>
        <c:axId val="540996952"/>
      </c:scatterChart>
      <c:valAx>
        <c:axId val="5410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6952"/>
        <c:crosses val="autoZero"/>
        <c:crossBetween val="midCat"/>
      </c:valAx>
      <c:valAx>
        <c:axId val="540996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5184"/>
        <c:axId val="541002832"/>
      </c:scatterChart>
      <c:valAx>
        <c:axId val="541005184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41002832"/>
        <c:crosses val="autoZero"/>
        <c:crossBetween val="midCat"/>
        <c:minorUnit val="2"/>
      </c:valAx>
      <c:valAx>
        <c:axId val="54100283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541005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4792"/>
        <c:axId val="540998520"/>
      </c:scatterChart>
      <c:valAx>
        <c:axId val="54100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8520"/>
        <c:crosses val="autoZero"/>
        <c:crossBetween val="midCat"/>
      </c:valAx>
      <c:valAx>
        <c:axId val="5409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98912"/>
        <c:axId val="540999304"/>
      </c:scatterChart>
      <c:valAx>
        <c:axId val="5409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9304"/>
        <c:crosses val="autoZero"/>
        <c:crossBetween val="midCat"/>
      </c:valAx>
      <c:valAx>
        <c:axId val="540999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99696"/>
        <c:axId val="540997736"/>
      </c:scatterChart>
      <c:valAx>
        <c:axId val="5409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7736"/>
        <c:crosses val="autoZero"/>
        <c:crossBetween val="midCat"/>
      </c:valAx>
      <c:valAx>
        <c:axId val="5409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92"/>
        <c:axId val="193081680"/>
      </c:scatterChart>
      <c:valAx>
        <c:axId val="1930761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081680"/>
        <c:crosses val="autoZero"/>
        <c:crossBetween val="midCat"/>
      </c:valAx>
      <c:valAx>
        <c:axId val="193081680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07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4008"/>
        <c:axId val="54100753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8320"/>
        <c:axId val="541005576"/>
      </c:scatterChart>
      <c:valAx>
        <c:axId val="54100400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7536"/>
        <c:crossesAt val="-40"/>
        <c:crossBetween val="midCat"/>
        <c:majorUnit val="20"/>
      </c:valAx>
      <c:valAx>
        <c:axId val="541007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4008"/>
        <c:crosses val="autoZero"/>
        <c:crossBetween val="midCat"/>
      </c:valAx>
      <c:valAx>
        <c:axId val="5410055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8320"/>
        <c:crosses val="max"/>
        <c:crossBetween val="midCat"/>
        <c:majorUnit val="40"/>
      </c:valAx>
      <c:valAx>
        <c:axId val="54100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0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0088"/>
        <c:axId val="541000872"/>
      </c:scatterChart>
      <c:valAx>
        <c:axId val="541000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1000872"/>
        <c:crosses val="autoZero"/>
        <c:crossBetween val="midCat"/>
      </c:valAx>
      <c:valAx>
        <c:axId val="541000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0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2048"/>
        <c:axId val="541003616"/>
      </c:scatterChart>
      <c:valAx>
        <c:axId val="5410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3616"/>
        <c:crosses val="autoZero"/>
        <c:crossBetween val="midCat"/>
      </c:valAx>
      <c:valAx>
        <c:axId val="541003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12240"/>
        <c:axId val="541011456"/>
      </c:scatterChart>
      <c:valAx>
        <c:axId val="5410122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1011456"/>
        <c:crosses val="autoZero"/>
        <c:crossBetween val="midCat"/>
      </c:valAx>
      <c:valAx>
        <c:axId val="5410114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101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10672"/>
        <c:axId val="541011848"/>
      </c:scatterChart>
      <c:valAx>
        <c:axId val="541010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1011848"/>
        <c:crosses val="autoZero"/>
        <c:crossBetween val="midCat"/>
        <c:dispUnits>
          <c:builtInUnit val="thousands"/>
          <c:dispUnitsLbl/>
        </c:dispUnits>
      </c:valAx>
      <c:valAx>
        <c:axId val="5410118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101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11064"/>
        <c:axId val="541009496"/>
      </c:scatterChart>
      <c:valAx>
        <c:axId val="54101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09496"/>
        <c:crosses val="autoZero"/>
        <c:crossBetween val="midCat"/>
      </c:valAx>
      <c:valAx>
        <c:axId val="54100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011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59200"/>
        <c:axId val="545259592"/>
      </c:scatterChart>
      <c:valAx>
        <c:axId val="54525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5259592"/>
        <c:crosses val="autoZero"/>
        <c:crossBetween val="midCat"/>
      </c:valAx>
      <c:valAx>
        <c:axId val="5452595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525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7824"/>
        <c:axId val="545263120"/>
      </c:scatterChart>
      <c:valAx>
        <c:axId val="5452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3120"/>
        <c:crosses val="autoZero"/>
        <c:crossBetween val="midCat"/>
      </c:valAx>
      <c:valAx>
        <c:axId val="5452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58024"/>
        <c:axId val="545265472"/>
      </c:scatterChart>
      <c:valAx>
        <c:axId val="54525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5472"/>
        <c:crosses val="autoZero"/>
        <c:crossBetween val="midCat"/>
      </c:valAx>
      <c:valAx>
        <c:axId val="5452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4296"/>
        <c:axId val="54526508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0376"/>
        <c:axId val="545256848"/>
      </c:scatterChart>
      <c:valAx>
        <c:axId val="5452642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5080"/>
        <c:crosses val="autoZero"/>
        <c:crossBetween val="midCat"/>
      </c:valAx>
      <c:valAx>
        <c:axId val="5452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4296"/>
        <c:crosses val="autoZero"/>
        <c:crossBetween val="midCat"/>
      </c:valAx>
      <c:valAx>
        <c:axId val="54525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0376"/>
        <c:crosses val="max"/>
        <c:crossBetween val="midCat"/>
      </c:valAx>
      <c:valAx>
        <c:axId val="54526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25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408"/>
        <c:axId val="193076584"/>
      </c:scatterChart>
      <c:valAx>
        <c:axId val="1930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76584"/>
        <c:crosses val="autoZero"/>
        <c:crossBetween val="midCat"/>
      </c:valAx>
      <c:valAx>
        <c:axId val="193076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0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3512"/>
        <c:axId val="545259984"/>
      </c:scatterChart>
      <c:valAx>
        <c:axId val="5452635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5259984"/>
        <c:crosses val="autoZero"/>
        <c:crossBetween val="midCat"/>
      </c:valAx>
      <c:valAx>
        <c:axId val="54525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263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6256"/>
        <c:axId val="545262728"/>
      </c:scatterChart>
      <c:valAx>
        <c:axId val="54526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5262728"/>
        <c:crosses val="autoZero"/>
        <c:crossBetween val="midCat"/>
      </c:valAx>
      <c:valAx>
        <c:axId val="54526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26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57240"/>
        <c:axId val="545263904"/>
      </c:scatterChart>
      <c:valAx>
        <c:axId val="54525724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3904"/>
        <c:crosses val="autoZero"/>
        <c:crossBetween val="midCat"/>
      </c:valAx>
      <c:valAx>
        <c:axId val="5452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72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57632"/>
        <c:axId val="545262336"/>
      </c:scatterChart>
      <c:valAx>
        <c:axId val="5452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2336"/>
        <c:crosses val="autoZero"/>
        <c:crossBetween val="midCat"/>
      </c:valAx>
      <c:valAx>
        <c:axId val="5452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5864"/>
        <c:axId val="545266648"/>
      </c:scatterChart>
      <c:valAx>
        <c:axId val="54526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6648"/>
        <c:crosses val="autoZero"/>
        <c:crossBetween val="midCat"/>
      </c:valAx>
      <c:valAx>
        <c:axId val="5452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7432"/>
        <c:axId val="545256064"/>
      </c:scatterChart>
      <c:valAx>
        <c:axId val="54526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6064"/>
        <c:crosses val="autoZero"/>
        <c:crossBetween val="midCat"/>
      </c:valAx>
      <c:valAx>
        <c:axId val="545256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200"/>
        <c:axId val="193298416"/>
      </c:scatterChart>
      <c:valAx>
        <c:axId val="1932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3298416"/>
        <c:crosses val="autoZero"/>
        <c:crossBetween val="midCat"/>
      </c:valAx>
      <c:valAx>
        <c:axId val="1932984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329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8808"/>
        <c:axId val="193301552"/>
      </c:scatterChart>
      <c:valAx>
        <c:axId val="19329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01552"/>
        <c:crosses val="autoZero"/>
        <c:crossBetween val="midCat"/>
      </c:valAx>
      <c:valAx>
        <c:axId val="19330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98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4.4" x14ac:dyDescent="0.3"/>
  <sheetData>
    <row r="1" spans="1:32" x14ac:dyDescent="0.3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x14ac:dyDescent="0.3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14" si="2">LN(K2)*$C$21+$B$21</f>
        <v>-3475.6059285425108</v>
      </c>
      <c r="O2" s="174">
        <f>O3</f>
        <v>1977.8033061988792</v>
      </c>
      <c r="P2" s="96">
        <f>Ard2_Turn2_ESC2_G2b_T2a!D2</f>
        <v>7.7741158395129268</v>
      </c>
      <c r="Q2" s="174">
        <f>Ard2_Turn2_ESC2_G2b_T2a!P2</f>
        <v>5.9999999999999995E-25</v>
      </c>
      <c r="R2" s="174">
        <f>R3</f>
        <v>2000.2283539900759</v>
      </c>
      <c r="S2" s="174">
        <f t="shared" ref="S2:S13" si="3">LN(P2)*$C$21+$B$21</f>
        <v>1331.4953154329669</v>
      </c>
      <c r="T2" s="174">
        <f>T3</f>
        <v>1285.0090120915108</v>
      </c>
      <c r="U2" s="96">
        <f>Ard3_Turn3_ESC3_G3b_T3a!D2</f>
        <v>8.7271708346327035</v>
      </c>
      <c r="V2" s="174">
        <f>Ard3_Turn3_ESC3_G3b_T3a!P2</f>
        <v>5.9999999999999995E-25</v>
      </c>
      <c r="W2" s="174">
        <f>W3</f>
        <v>1766.9395108662529</v>
      </c>
      <c r="X2" s="174">
        <f t="shared" ref="X2:X14" si="4">LN(U2)*$C$21+$B$21</f>
        <v>2841.8890800862428</v>
      </c>
      <c r="Y2" s="174">
        <f>Y3</f>
        <v>1170.6881653899857</v>
      </c>
      <c r="Z2" s="96">
        <f>Ard4_Turn4_ESC4_G4b_T4a!D2</f>
        <v>9.1059042173196207</v>
      </c>
      <c r="AA2" s="174">
        <f>Ard4_Turn4_ESC4_G4b_T4a!P2</f>
        <v>5.9999999999999995E-25</v>
      </c>
      <c r="AB2" s="174">
        <f>AB3</f>
        <v>4190.1301977858784</v>
      </c>
      <c r="AC2" s="174">
        <f t="shared" ref="AC2:AC14" si="5">LN(Z2)*$C$21+$B$21</f>
        <v>3396.7435410153012</v>
      </c>
      <c r="AD2" s="174">
        <f>AD3</f>
        <v>1303.0843738596254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3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13</v>
      </c>
      <c r="Q3" s="174">
        <f>Ard2_Turn2_ESC2_G2b_T2a!P3</f>
        <v>10452.961672473868</v>
      </c>
      <c r="R3" s="174">
        <f>(Q3-Q2)/(P3-P2)</f>
        <v>2000.2283539900759</v>
      </c>
      <c r="S3" s="174">
        <f t="shared" si="3"/>
        <v>8046.8035578051349</v>
      </c>
      <c r="T3" s="174">
        <f>(S3-S2)/(P3-P2)</f>
        <v>1285.0090120915108</v>
      </c>
      <c r="U3" s="96">
        <f>Ard3_Turn3_ESC3_G3b_T3a!D3</f>
        <v>14</v>
      </c>
      <c r="V3" s="174">
        <f>Ard3_Turn3_ESC3_G3b_T3a!P3</f>
        <v>9316.7701863354032</v>
      </c>
      <c r="W3" s="174">
        <f>(V3-V2)/(U3-U2)</f>
        <v>1766.9395108662529</v>
      </c>
      <c r="X3" s="174">
        <f t="shared" si="4"/>
        <v>9014.727782104892</v>
      </c>
      <c r="Y3" s="174">
        <f>(X3-X2)/(U3-U2)</f>
        <v>1170.6881653899857</v>
      </c>
      <c r="Z3" s="96">
        <f>Ard4_Turn4_ESC4_G4b_T4a!D3</f>
        <v>11</v>
      </c>
      <c r="AA3" s="174">
        <f>Ard4_Turn4_ESC4_G4b_T4a!P3</f>
        <v>7936.5079365079364</v>
      </c>
      <c r="AB3" s="174">
        <f>(AA3-AA2)/(Z3-Z2)</f>
        <v>4190.1301977858784</v>
      </c>
      <c r="AC3" s="174">
        <f t="shared" si="5"/>
        <v>5864.9101580195202</v>
      </c>
      <c r="AD3" s="174">
        <f>(AC3-AC2)/(Z3-Z2)</f>
        <v>1303.0843738596254</v>
      </c>
      <c r="AE3">
        <f t="shared" si="6"/>
        <v>15</v>
      </c>
      <c r="AF3" s="174">
        <f t="shared" si="7"/>
        <v>8287.2928176795576</v>
      </c>
    </row>
    <row r="4" spans="1:32" x14ac:dyDescent="0.3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12" si="12">(L4-L3)/(K4-K3)</f>
        <v>832.58122743682293</v>
      </c>
      <c r="N4" s="174">
        <f t="shared" si="2"/>
        <v>7001.3657528810727</v>
      </c>
      <c r="O4" s="174">
        <f t="shared" ref="O4:O14" si="13">(N4-N3)/(K4-K3)</f>
        <v>1323.9449442501846</v>
      </c>
      <c r="P4" s="96">
        <f>Ard2_Turn2_ESC2_G2b_T2a!D4</f>
        <v>17</v>
      </c>
      <c r="Q4" s="174">
        <f>Ard2_Turn2_ESC2_G2b_T2a!P4</f>
        <v>11778.563015312133</v>
      </c>
      <c r="R4" s="174">
        <f t="shared" ref="R4:R13" si="14">(Q4-Q3)/(P4-P3)</f>
        <v>331.40033570956621</v>
      </c>
      <c r="S4" s="174">
        <f t="shared" si="3"/>
        <v>11550.599486718238</v>
      </c>
      <c r="T4" s="174">
        <f t="shared" ref="T4:T13" si="15">(S4-S3)/(P4-P3)</f>
        <v>875.94898222827578</v>
      </c>
      <c r="U4" s="96">
        <f>Ard3_Turn3_ESC3_G3b_T3a!D4</f>
        <v>18</v>
      </c>
      <c r="V4" s="174">
        <f>Ard3_Turn3_ESC3_G3b_T3a!P4</f>
        <v>12000.000000000002</v>
      </c>
      <c r="W4" s="174">
        <f t="shared" ref="W4:W14" si="16">(V4-V3)/(U4-U3)</f>
        <v>670.80745341614966</v>
      </c>
      <c r="X4" s="174">
        <f t="shared" si="4"/>
        <v>12297.145529881804</v>
      </c>
      <c r="Y4" s="174">
        <f t="shared" ref="Y4:Y14" si="17">(X4-X3)/(U4-U3)</f>
        <v>820.60443694422793</v>
      </c>
      <c r="Z4" s="96">
        <f>Ard4_Turn4_ESC4_G4b_T4a!D4</f>
        <v>15</v>
      </c>
      <c r="AA4" s="174">
        <f>Ard4_Turn4_ESC4_G4b_T4a!P4</f>
        <v>9933.7748344370866</v>
      </c>
      <c r="AB4" s="174">
        <f t="shared" ref="AB4:AB14" si="18">(AA4-AA3)/(Z4-Z3)</f>
        <v>499.31672448228755</v>
      </c>
      <c r="AC4" s="174">
        <f t="shared" si="5"/>
        <v>9915.8436765959632</v>
      </c>
      <c r="AD4" s="174">
        <f t="shared" ref="AD4:AD14" si="19">(AC4-AC3)/(Z4-Z3)</f>
        <v>1012.7333796441108</v>
      </c>
      <c r="AE4">
        <f t="shared" si="6"/>
        <v>17</v>
      </c>
      <c r="AF4" s="174">
        <f t="shared" si="7"/>
        <v>9375</v>
      </c>
    </row>
    <row r="5" spans="1:32" x14ac:dyDescent="0.3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14218.009478672986</v>
      </c>
      <c r="R5" s="174">
        <f t="shared" si="14"/>
        <v>348.49235190869331</v>
      </c>
      <c r="S5" s="174">
        <f t="shared" si="3"/>
        <v>16054.56107817452</v>
      </c>
      <c r="T5" s="174">
        <f t="shared" si="15"/>
        <v>643.42308449375457</v>
      </c>
      <c r="U5" s="96">
        <f>Ard3_Turn3_ESC3_G3b_T3a!D5</f>
        <v>24</v>
      </c>
      <c r="V5" s="174">
        <f>Ard3_Turn3_ESC3_G3b_T3a!P5</f>
        <v>14851.485148514852</v>
      </c>
      <c r="W5" s="174">
        <f t="shared" si="16"/>
        <v>475.24752475247504</v>
      </c>
      <c r="X5" s="174">
        <f t="shared" si="4"/>
        <v>16054.56107817452</v>
      </c>
      <c r="Y5" s="174">
        <f t="shared" si="17"/>
        <v>626.23592471545271</v>
      </c>
      <c r="Z5" s="96">
        <f>Ard4_Turn4_ESC4_G4b_T4a!D5</f>
        <v>26</v>
      </c>
      <c r="AA5" s="174">
        <f>Ard4_Turn4_ESC4_G4b_T4a!P5</f>
        <v>14150.943396226416</v>
      </c>
      <c r="AB5" s="174">
        <f t="shared" si="18"/>
        <v>383.37896016266626</v>
      </c>
      <c r="AC5" s="174">
        <f t="shared" si="5"/>
        <v>17099.998883098575</v>
      </c>
      <c r="AD5" s="174">
        <f t="shared" si="19"/>
        <v>653.10501877296474</v>
      </c>
      <c r="AE5">
        <f t="shared" si="6"/>
        <v>20</v>
      </c>
      <c r="AF5" s="174">
        <f t="shared" si="7"/>
        <v>11811.023622047245</v>
      </c>
    </row>
    <row r="6" spans="1:32" x14ac:dyDescent="0.3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16000.000000000002</v>
      </c>
      <c r="R6" s="174">
        <f t="shared" si="14"/>
        <v>445.49763033175395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16574.585635359115</v>
      </c>
      <c r="W6" s="174">
        <f t="shared" si="16"/>
        <v>430.77512171106582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17910.447761194031</v>
      </c>
      <c r="AB6" s="174">
        <f t="shared" ref="AB6:AB13" si="20">(AA6-AA5)/(Z6-Z5)</f>
        <v>469.93804562095193</v>
      </c>
      <c r="AC6" s="174">
        <f t="shared" ref="AC6:AC13" si="21">LN(Z6)*$C$21+$B$21</f>
        <v>20603.794812011685</v>
      </c>
      <c r="AD6" s="174">
        <f t="shared" ref="AD6:AD13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x14ac:dyDescent="0.3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17804.154302670624</v>
      </c>
      <c r="R7" s="174">
        <f t="shared" si="14"/>
        <v>451.03857566765555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444.95531907004352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22900.763358778626</v>
      </c>
      <c r="AB7" s="174">
        <f t="shared" si="20"/>
        <v>293.54797632850557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x14ac:dyDescent="0.3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23904.382470119523</v>
      </c>
      <c r="R8" s="174">
        <f t="shared" si="14"/>
        <v>338.90156485827214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24193.548387096776</v>
      </c>
      <c r="W8" s="174">
        <f t="shared" si="16"/>
        <v>253.70751244858207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28571.428571428572</v>
      </c>
      <c r="AB8" s="174">
        <f t="shared" si="20"/>
        <v>226.82660850599785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x14ac:dyDescent="0.3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28301.886792452831</v>
      </c>
      <c r="R9" s="174">
        <f t="shared" si="14"/>
        <v>157.05372579761817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28571.428571428572</v>
      </c>
      <c r="W9" s="174">
        <f t="shared" si="16"/>
        <v>208.47048496818076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32085.561497326202</v>
      </c>
      <c r="AB9" s="174">
        <f t="shared" si="20"/>
        <v>234.27552839317528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x14ac:dyDescent="0.3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34090.909090909088</v>
      </c>
      <c r="R10" s="174">
        <f t="shared" si="14"/>
        <v>156.46006212043937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33333.333333333336</v>
      </c>
      <c r="W10" s="174">
        <f t="shared" si="16"/>
        <v>226.75736961451253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35087.719298245618</v>
      </c>
      <c r="AB10" s="174">
        <f t="shared" si="20"/>
        <v>200.14385339462777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x14ac:dyDescent="0.3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36090.225563909771</v>
      </c>
      <c r="R11" s="174">
        <f t="shared" si="14"/>
        <v>79.972658920027314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34090.909090909088</v>
      </c>
      <c r="W11" s="174">
        <f t="shared" si="16"/>
        <v>151.51515151515051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40000</v>
      </c>
      <c r="AB11" s="174">
        <f t="shared" si="20"/>
        <v>188.93387314439931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x14ac:dyDescent="0.3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37037.037037037036</v>
      </c>
      <c r="R12" s="174">
        <f t="shared" si="14"/>
        <v>63.120764875151025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36585.365853658535</v>
      </c>
      <c r="W12" s="174">
        <f t="shared" si="16"/>
        <v>226.76879661358609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178</v>
      </c>
      <c r="AA12" s="174">
        <f>Ard4_Turn4_ESC4_G4b_T4a!P12</f>
        <v>44117.647058823532</v>
      </c>
      <c r="AB12" s="174">
        <f t="shared" si="20"/>
        <v>89.514066496163736</v>
      </c>
      <c r="AC12" s="174">
        <f t="shared" si="21"/>
        <v>42225.274950364925</v>
      </c>
      <c r="AD12" s="174">
        <f t="shared" si="22"/>
        <v>84.891283466616073</v>
      </c>
      <c r="AE12">
        <f t="shared" si="6"/>
        <v>125</v>
      </c>
      <c r="AF12" s="174">
        <f t="shared" si="7"/>
        <v>37500</v>
      </c>
    </row>
    <row r="13" spans="1:32" x14ac:dyDescent="0.3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175</v>
      </c>
      <c r="Q13" s="174">
        <f>Ard2_Turn2_ESC2_G2b_T2a!P13</f>
        <v>44117.647058823532</v>
      </c>
      <c r="R13" s="174">
        <f t="shared" si="14"/>
        <v>354.03050108932473</v>
      </c>
      <c r="S13" s="174">
        <f t="shared" si="3"/>
        <v>42003.269605415029</v>
      </c>
      <c r="T13" s="174">
        <f t="shared" si="15"/>
        <v>79.254707666637117</v>
      </c>
      <c r="U13" s="96">
        <f>Ard3_Turn3_ESC3_G3b_T3a!D13</f>
        <v>132</v>
      </c>
      <c r="V13" s="174">
        <f>Ard3_Turn3_ESC3_G3b_T3a!P13</f>
        <v>41095.890410958906</v>
      </c>
      <c r="W13" s="174">
        <f t="shared" si="16"/>
        <v>205.02384351365319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x14ac:dyDescent="0.3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175</v>
      </c>
      <c r="V14" s="174">
        <f>Ard3_Turn3_ESC3_G3b_T3a!P14</f>
        <v>44117.647058823532</v>
      </c>
      <c r="W14" s="174">
        <f t="shared" si="16"/>
        <v>70.273410415456411</v>
      </c>
      <c r="X14" s="174">
        <f t="shared" si="4"/>
        <v>42003.269605415029</v>
      </c>
      <c r="Y14" s="174">
        <f t="shared" si="17"/>
        <v>85.651016151498695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x14ac:dyDescent="0.3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3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3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3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3">
      <c r="K19" s="96"/>
      <c r="L19" s="174"/>
      <c r="M19" s="174"/>
      <c r="P19" s="174"/>
      <c r="T19" s="96"/>
      <c r="U19" s="174"/>
      <c r="AE19" s="96">
        <f t="shared" ref="AE19:AE29" si="26">F2</f>
        <v>6.0661220353948684</v>
      </c>
      <c r="AF19" s="174">
        <f t="shared" ref="AF19:AF29" si="27">G2</f>
        <v>5.9999999999999995E-25</v>
      </c>
    </row>
    <row r="20" spans="1:32" x14ac:dyDescent="0.3">
      <c r="K20" s="96"/>
      <c r="L20" s="174"/>
      <c r="M20" s="174"/>
      <c r="P20" s="174"/>
      <c r="T20" s="96"/>
      <c r="U20" s="174"/>
      <c r="AE20" s="96">
        <f t="shared" si="26"/>
        <v>9</v>
      </c>
      <c r="AF20" s="174">
        <f t="shared" si="27"/>
        <v>8474.5762711864409</v>
      </c>
    </row>
    <row r="21" spans="1:32" x14ac:dyDescent="0.3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14851.485148514852</v>
      </c>
    </row>
    <row r="22" spans="1:32" x14ac:dyDescent="0.3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16304.347826086958</v>
      </c>
    </row>
    <row r="23" spans="1:32" x14ac:dyDescent="0.3">
      <c r="T23" s="96"/>
      <c r="U23" s="174"/>
      <c r="AE23" s="96">
        <f t="shared" si="26"/>
        <v>35</v>
      </c>
      <c r="AF23" s="174">
        <f t="shared" si="27"/>
        <v>20134.228187919463</v>
      </c>
    </row>
    <row r="24" spans="1:32" x14ac:dyDescent="0.3">
      <c r="AE24" s="96">
        <f t="shared" si="26"/>
        <v>54</v>
      </c>
      <c r="AF24" s="174">
        <f t="shared" si="27"/>
        <v>25104.602510460249</v>
      </c>
    </row>
    <row r="25" spans="1:32" x14ac:dyDescent="0.3">
      <c r="AE25" s="96">
        <f t="shared" si="26"/>
        <v>64</v>
      </c>
      <c r="AF25" s="174">
        <f t="shared" si="27"/>
        <v>27649.76958525346</v>
      </c>
    </row>
    <row r="26" spans="1:32" x14ac:dyDescent="0.3">
      <c r="AE26" s="96">
        <f t="shared" si="26"/>
        <v>90</v>
      </c>
      <c r="AF26" s="174">
        <f t="shared" si="27"/>
        <v>32258.06451612903</v>
      </c>
    </row>
    <row r="27" spans="1:32" x14ac:dyDescent="0.3">
      <c r="AE27" s="96">
        <f t="shared" si="26"/>
        <v>125</v>
      </c>
      <c r="AF27" s="174">
        <f t="shared" si="27"/>
        <v>37037.037037037036</v>
      </c>
    </row>
    <row r="28" spans="1:32" x14ac:dyDescent="0.3">
      <c r="AE28" s="96">
        <f t="shared" si="26"/>
        <v>155</v>
      </c>
      <c r="AF28" s="174">
        <f t="shared" si="27"/>
        <v>41958.041958041955</v>
      </c>
    </row>
    <row r="29" spans="1:32" x14ac:dyDescent="0.3">
      <c r="AE29" s="96">
        <f t="shared" si="26"/>
        <v>180</v>
      </c>
      <c r="AF29" s="174">
        <f t="shared" si="27"/>
        <v>43859.649122807015</v>
      </c>
    </row>
    <row r="30" spans="1:32" x14ac:dyDescent="0.3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x14ac:dyDescent="0.3">
      <c r="AE31" s="96">
        <f t="shared" si="28"/>
        <v>8</v>
      </c>
      <c r="AF31" s="174">
        <f t="shared" si="29"/>
        <v>7500.0000000000009</v>
      </c>
    </row>
    <row r="32" spans="1:32" x14ac:dyDescent="0.3">
      <c r="AE32" s="96">
        <f t="shared" si="28"/>
        <v>12</v>
      </c>
      <c r="AF32" s="174">
        <f t="shared" si="29"/>
        <v>10830.324909747293</v>
      </c>
    </row>
    <row r="33" spans="31:32" x14ac:dyDescent="0.3">
      <c r="AE33" s="96">
        <f t="shared" si="28"/>
        <v>17</v>
      </c>
      <c r="AF33" s="174">
        <f t="shared" si="29"/>
        <v>12244.897959183674</v>
      </c>
    </row>
    <row r="34" spans="31:32" x14ac:dyDescent="0.3">
      <c r="AE34" s="96">
        <f t="shared" si="28"/>
        <v>21</v>
      </c>
      <c r="AF34" s="174">
        <f t="shared" si="29"/>
        <v>14354.066985645934</v>
      </c>
    </row>
    <row r="35" spans="31:32" x14ac:dyDescent="0.3">
      <c r="AE35" s="96">
        <f t="shared" si="28"/>
        <v>27</v>
      </c>
      <c r="AF35" s="174">
        <f t="shared" si="29"/>
        <v>16949.152542372882</v>
      </c>
    </row>
    <row r="36" spans="31:32" x14ac:dyDescent="0.3">
      <c r="AE36" s="96">
        <f t="shared" si="28"/>
        <v>42</v>
      </c>
      <c r="AF36" s="174">
        <f t="shared" si="29"/>
        <v>21660.649819494585</v>
      </c>
    </row>
    <row r="37" spans="31:32" x14ac:dyDescent="0.3">
      <c r="AE37" s="96">
        <f t="shared" si="28"/>
        <v>67</v>
      </c>
      <c r="AF37" s="174">
        <f t="shared" si="29"/>
        <v>27649.76958525346</v>
      </c>
    </row>
    <row r="38" spans="31:32" x14ac:dyDescent="0.3">
      <c r="AE38" s="96">
        <f t="shared" si="28"/>
        <v>79</v>
      </c>
      <c r="AF38" s="174">
        <f t="shared" si="29"/>
        <v>29702.970297029704</v>
      </c>
    </row>
    <row r="39" spans="31:32" x14ac:dyDescent="0.3">
      <c r="AE39" s="96">
        <f t="shared" si="28"/>
        <v>84</v>
      </c>
      <c r="AF39" s="174">
        <f t="shared" si="29"/>
        <v>30456.852791878177</v>
      </c>
    </row>
    <row r="40" spans="31:32" x14ac:dyDescent="0.3">
      <c r="AE40" s="96">
        <f t="shared" si="28"/>
        <v>121</v>
      </c>
      <c r="AF40" s="174">
        <f t="shared" si="29"/>
        <v>36363.636363636368</v>
      </c>
    </row>
    <row r="41" spans="31:32" x14ac:dyDescent="0.3">
      <c r="AE41" s="96">
        <f t="shared" si="28"/>
        <v>175</v>
      </c>
      <c r="AF41" s="174">
        <f t="shared" si="29"/>
        <v>44117.647058823532</v>
      </c>
    </row>
    <row r="42" spans="31:32" x14ac:dyDescent="0.3">
      <c r="AE42" s="96">
        <f t="shared" si="28"/>
        <v>0</v>
      </c>
      <c r="AF42" s="174">
        <f t="shared" si="29"/>
        <v>0</v>
      </c>
    </row>
    <row r="43" spans="31:32" x14ac:dyDescent="0.3">
      <c r="AE43" s="96">
        <f t="shared" ref="AE43:AE54" si="30">P2</f>
        <v>7.7741158395129268</v>
      </c>
      <c r="AF43" s="174">
        <f t="shared" ref="AF43:AF54" si="31">Q2</f>
        <v>5.9999999999999995E-25</v>
      </c>
    </row>
    <row r="44" spans="31:32" x14ac:dyDescent="0.3">
      <c r="AE44" s="96">
        <f t="shared" si="30"/>
        <v>13</v>
      </c>
      <c r="AF44" s="174">
        <f t="shared" si="31"/>
        <v>10452.961672473868</v>
      </c>
    </row>
    <row r="45" spans="31:32" x14ac:dyDescent="0.3">
      <c r="AE45" s="96">
        <f t="shared" si="30"/>
        <v>17</v>
      </c>
      <c r="AF45" s="174">
        <f t="shared" si="31"/>
        <v>11778.563015312133</v>
      </c>
    </row>
    <row r="46" spans="31:32" x14ac:dyDescent="0.3">
      <c r="AE46" s="96">
        <f t="shared" si="30"/>
        <v>24</v>
      </c>
      <c r="AF46" s="174">
        <f t="shared" si="31"/>
        <v>14218.009478672986</v>
      </c>
    </row>
    <row r="47" spans="31:32" x14ac:dyDescent="0.3">
      <c r="AE47" s="96">
        <f t="shared" si="30"/>
        <v>28</v>
      </c>
      <c r="AF47" s="174">
        <f t="shared" si="31"/>
        <v>16000.000000000002</v>
      </c>
    </row>
    <row r="48" spans="31:32" x14ac:dyDescent="0.3">
      <c r="AE48" s="96">
        <f t="shared" si="30"/>
        <v>32</v>
      </c>
      <c r="AF48" s="174">
        <f t="shared" si="31"/>
        <v>17804.154302670624</v>
      </c>
    </row>
    <row r="49" spans="31:32" x14ac:dyDescent="0.3">
      <c r="AE49" s="96">
        <f t="shared" si="30"/>
        <v>50</v>
      </c>
      <c r="AF49" s="174">
        <f t="shared" si="31"/>
        <v>23904.382470119523</v>
      </c>
    </row>
    <row r="50" spans="31:32" x14ac:dyDescent="0.3">
      <c r="AE50" s="96">
        <f t="shared" si="30"/>
        <v>78</v>
      </c>
      <c r="AF50" s="174">
        <f t="shared" si="31"/>
        <v>28301.886792452831</v>
      </c>
    </row>
    <row r="51" spans="31:32" x14ac:dyDescent="0.3">
      <c r="AE51" s="96">
        <f t="shared" si="30"/>
        <v>115</v>
      </c>
      <c r="AF51" s="174">
        <f t="shared" si="31"/>
        <v>34090.909090909088</v>
      </c>
    </row>
    <row r="52" spans="31:32" x14ac:dyDescent="0.3">
      <c r="AE52" s="96">
        <f t="shared" si="30"/>
        <v>140</v>
      </c>
      <c r="AF52" s="174">
        <f t="shared" si="31"/>
        <v>36090.225563909771</v>
      </c>
    </row>
    <row r="53" spans="31:32" x14ac:dyDescent="0.3">
      <c r="AE53" s="96">
        <f t="shared" si="30"/>
        <v>155</v>
      </c>
      <c r="AF53" s="174">
        <f t="shared" si="31"/>
        <v>37037.037037037036</v>
      </c>
    </row>
    <row r="54" spans="31:32" x14ac:dyDescent="0.3">
      <c r="AE54" s="96">
        <f t="shared" si="30"/>
        <v>175</v>
      </c>
      <c r="AF54" s="174">
        <f t="shared" si="31"/>
        <v>44117.647058823532</v>
      </c>
    </row>
    <row r="55" spans="31:32" x14ac:dyDescent="0.3">
      <c r="AE55" s="96">
        <f t="shared" ref="AE55:AE67" si="32">U2</f>
        <v>8.7271708346327035</v>
      </c>
      <c r="AF55" s="174">
        <f t="shared" ref="AF55:AF67" si="33">V2</f>
        <v>5.9999999999999995E-25</v>
      </c>
    </row>
    <row r="56" spans="31:32" x14ac:dyDescent="0.3">
      <c r="AE56" s="96">
        <f t="shared" si="32"/>
        <v>14</v>
      </c>
      <c r="AF56" s="174">
        <f t="shared" si="33"/>
        <v>9316.7701863354032</v>
      </c>
    </row>
    <row r="57" spans="31:32" x14ac:dyDescent="0.3">
      <c r="AE57" s="96">
        <f t="shared" si="32"/>
        <v>18</v>
      </c>
      <c r="AF57" s="174">
        <f t="shared" si="33"/>
        <v>12000.000000000002</v>
      </c>
    </row>
    <row r="58" spans="31:32" x14ac:dyDescent="0.3">
      <c r="AE58" s="96">
        <f t="shared" si="32"/>
        <v>24</v>
      </c>
      <c r="AF58" s="174">
        <f t="shared" si="33"/>
        <v>14851.485148514852</v>
      </c>
    </row>
    <row r="59" spans="31:32" x14ac:dyDescent="0.3">
      <c r="AE59" s="96">
        <f t="shared" si="32"/>
        <v>28</v>
      </c>
      <c r="AF59" s="174">
        <f t="shared" si="33"/>
        <v>16574.585635359115</v>
      </c>
    </row>
    <row r="60" spans="31:32" x14ac:dyDescent="0.3">
      <c r="AE60" s="96">
        <f t="shared" si="32"/>
        <v>36</v>
      </c>
      <c r="AF60" s="174">
        <f t="shared" si="33"/>
        <v>20134.228187919463</v>
      </c>
    </row>
    <row r="61" spans="31:32" x14ac:dyDescent="0.3">
      <c r="AE61" s="96">
        <f t="shared" si="32"/>
        <v>52</v>
      </c>
      <c r="AF61" s="174">
        <f t="shared" si="33"/>
        <v>24193.548387096776</v>
      </c>
    </row>
    <row r="62" spans="31:32" x14ac:dyDescent="0.3">
      <c r="AE62" s="96">
        <f t="shared" si="32"/>
        <v>73</v>
      </c>
      <c r="AF62" s="174">
        <f t="shared" si="33"/>
        <v>28571.428571428572</v>
      </c>
    </row>
    <row r="63" spans="31:32" x14ac:dyDescent="0.3">
      <c r="AE63" s="96">
        <f t="shared" si="32"/>
        <v>94</v>
      </c>
      <c r="AF63" s="174">
        <f t="shared" si="33"/>
        <v>33333.333333333336</v>
      </c>
    </row>
    <row r="64" spans="31:32" x14ac:dyDescent="0.3">
      <c r="AE64" s="96">
        <f t="shared" si="32"/>
        <v>99</v>
      </c>
      <c r="AF64" s="174">
        <f t="shared" si="33"/>
        <v>34090.909090909088</v>
      </c>
    </row>
    <row r="65" spans="31:32" x14ac:dyDescent="0.3">
      <c r="AE65" s="96">
        <f t="shared" si="32"/>
        <v>110</v>
      </c>
      <c r="AF65" s="174">
        <f t="shared" si="33"/>
        <v>36585.365853658535</v>
      </c>
    </row>
    <row r="66" spans="31:32" x14ac:dyDescent="0.3">
      <c r="AE66" s="96">
        <f t="shared" si="32"/>
        <v>132</v>
      </c>
      <c r="AF66" s="174">
        <f t="shared" si="33"/>
        <v>41095.890410958906</v>
      </c>
    </row>
    <row r="67" spans="31:32" x14ac:dyDescent="0.3">
      <c r="AE67" s="96">
        <f t="shared" si="32"/>
        <v>175</v>
      </c>
      <c r="AF67" s="174">
        <f t="shared" si="33"/>
        <v>44117.647058823532</v>
      </c>
    </row>
    <row r="68" spans="31:32" x14ac:dyDescent="0.3">
      <c r="AE68" s="96">
        <f t="shared" ref="AE68:AE80" si="34">Z2</f>
        <v>9.1059042173196207</v>
      </c>
      <c r="AF68" s="174">
        <f t="shared" ref="AF68:AF80" si="35">AA2</f>
        <v>5.9999999999999995E-25</v>
      </c>
    </row>
    <row r="69" spans="31:32" x14ac:dyDescent="0.3">
      <c r="AE69" s="96">
        <f t="shared" si="34"/>
        <v>11</v>
      </c>
      <c r="AF69" s="174">
        <f t="shared" si="35"/>
        <v>7936.5079365079364</v>
      </c>
    </row>
    <row r="70" spans="31:32" x14ac:dyDescent="0.3">
      <c r="AE70" s="96">
        <f t="shared" si="34"/>
        <v>15</v>
      </c>
      <c r="AF70" s="174">
        <f t="shared" si="35"/>
        <v>9933.7748344370866</v>
      </c>
    </row>
    <row r="71" spans="31:32" x14ac:dyDescent="0.3">
      <c r="AE71" s="96">
        <f t="shared" si="34"/>
        <v>26</v>
      </c>
      <c r="AF71" s="174">
        <f t="shared" si="35"/>
        <v>14150.943396226416</v>
      </c>
    </row>
    <row r="72" spans="31:32" x14ac:dyDescent="0.3">
      <c r="AE72" s="96">
        <f t="shared" si="34"/>
        <v>34</v>
      </c>
      <c r="AF72" s="174">
        <f t="shared" si="35"/>
        <v>17910.447761194031</v>
      </c>
    </row>
    <row r="73" spans="31:32" x14ac:dyDescent="0.3">
      <c r="AE73" s="96">
        <f t="shared" si="34"/>
        <v>51</v>
      </c>
      <c r="AF73" s="174">
        <f t="shared" si="35"/>
        <v>22900.763358778626</v>
      </c>
    </row>
    <row r="74" spans="31:32" x14ac:dyDescent="0.3">
      <c r="AE74" s="96">
        <f t="shared" si="34"/>
        <v>76</v>
      </c>
      <c r="AF74" s="174">
        <f t="shared" si="35"/>
        <v>28571.428571428572</v>
      </c>
    </row>
    <row r="75" spans="31:32" x14ac:dyDescent="0.3">
      <c r="AE75" s="96">
        <f t="shared" si="34"/>
        <v>91</v>
      </c>
      <c r="AF75" s="174">
        <f t="shared" si="35"/>
        <v>32085.561497326202</v>
      </c>
    </row>
    <row r="76" spans="31:32" x14ac:dyDescent="0.3">
      <c r="AE76" s="96">
        <f t="shared" si="34"/>
        <v>106</v>
      </c>
      <c r="AF76" s="174">
        <f t="shared" si="35"/>
        <v>35087.719298245618</v>
      </c>
    </row>
    <row r="77" spans="31:32" x14ac:dyDescent="0.3">
      <c r="AE77" s="96">
        <f t="shared" si="34"/>
        <v>132</v>
      </c>
      <c r="AF77" s="174">
        <f t="shared" si="35"/>
        <v>40000</v>
      </c>
    </row>
    <row r="78" spans="31:32" x14ac:dyDescent="0.3">
      <c r="AE78" s="96">
        <f t="shared" si="34"/>
        <v>178</v>
      </c>
      <c r="AF78" s="174">
        <f t="shared" si="35"/>
        <v>44117.647058823532</v>
      </c>
    </row>
    <row r="79" spans="31:32" x14ac:dyDescent="0.3">
      <c r="AE79" s="96">
        <f t="shared" si="34"/>
        <v>0</v>
      </c>
      <c r="AF79" s="174">
        <f t="shared" si="35"/>
        <v>0</v>
      </c>
    </row>
    <row r="80" spans="31:32" x14ac:dyDescent="0.3">
      <c r="AE80" s="96">
        <f t="shared" si="34"/>
        <v>0</v>
      </c>
      <c r="AF80" s="174">
        <f t="shared" si="35"/>
        <v>0</v>
      </c>
    </row>
    <row r="81" spans="23:23" x14ac:dyDescent="0.3">
      <c r="W81" s="96"/>
    </row>
    <row r="82" spans="23:23" x14ac:dyDescent="0.3">
      <c r="W82" s="96"/>
    </row>
    <row r="83" spans="23:23" x14ac:dyDescent="0.3">
      <c r="W83" s="96"/>
    </row>
    <row r="84" spans="23:23" x14ac:dyDescent="0.3">
      <c r="W84" s="96"/>
    </row>
    <row r="85" spans="23:23" x14ac:dyDescent="0.3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F40" zoomScale="90" zoomScaleNormal="90" workbookViewId="0">
      <selection activeCell="Z48" sqref="Z4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" style="1" bestFit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5" customHeight="1" x14ac:dyDescent="0.3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5" customHeight="1" x14ac:dyDescent="0.3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H10" zoomScale="70" zoomScaleNormal="70" workbookViewId="0">
      <selection activeCell="Q47" sqref="Q47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>N2*60/$C$25</f>
        <v>5.9999999999999995E-25</v>
      </c>
      <c r="Q2" s="4">
        <v>0</v>
      </c>
      <c r="R2" s="3">
        <f>P2/$Q$30</f>
        <v>1.3020833333333332E-27</v>
      </c>
      <c r="S2" s="3">
        <f>Q2/$Q$30</f>
        <v>0</v>
      </c>
      <c r="T2" s="3">
        <f t="shared" ref="T2:T13" si="6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>$Q$37*(P2/$Q$30/100)^3</f>
        <v>9.76843480821773E-87</v>
      </c>
      <c r="AA2" s="229">
        <f>SQRT(Z2^3/4/$Q$27/$Q$33)</f>
        <v>9.469612348787209E-129</v>
      </c>
      <c r="AB2" s="1"/>
      <c r="AC2" s="158">
        <f>SQRT(Z2/$Q$33/$Q$27)</f>
        <v>1.9388187636407961E-42</v>
      </c>
      <c r="AD2" s="175">
        <f t="shared" ref="AD2:AD9" si="7">AC2*1/1.6/1000*3600</f>
        <v>4.3623422181917907E-42</v>
      </c>
      <c r="AE2" s="4">
        <f>Q2/60*PI()*$C$39/1000</f>
        <v>0</v>
      </c>
      <c r="AF2" s="158">
        <f>AE2/AC2</f>
        <v>0</v>
      </c>
      <c r="AH2" s="228">
        <f>D2/$Q$31*$Q$23</f>
        <v>0.14945361227299461</v>
      </c>
      <c r="AI2" s="228">
        <f>AH2/$Q$23*$Q$31</f>
        <v>5.3803300418278059</v>
      </c>
      <c r="AJ2" s="229">
        <f>MAX(($Q$41+$R$41*LN($AI2)),0)</f>
        <v>0</v>
      </c>
      <c r="AK2" s="229">
        <f>MAX(($Q$41+$R$41*LN(AI2))/$Q$30,0)</f>
        <v>0</v>
      </c>
      <c r="AL2" s="229">
        <f>($Q$42+$R$42*AK2*$Q$30)/$Q$30</f>
        <v>-12.585815469150777</v>
      </c>
      <c r="AM2" s="229">
        <f>($Q$43+$R$43*AL2*$Q$30)/$Q$30</f>
        <v>3.923181115926945E-2</v>
      </c>
      <c r="AN2" s="1"/>
      <c r="AO2" s="1">
        <f>MAX($Q$42+$R$42*AJ2, 0)</f>
        <v>0</v>
      </c>
      <c r="AP2" s="227"/>
      <c r="AQ2" s="227"/>
      <c r="AR2" s="227"/>
      <c r="AS2" s="1"/>
      <c r="AT2" s="227"/>
      <c r="AU2" s="1"/>
      <c r="AV2">
        <f t="shared" ref="AV2:AV13" si="8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>N3*60/$C$25</f>
        <v>7500.0000000000009</v>
      </c>
      <c r="Q3" s="3">
        <f>O3*60/$C$25</f>
        <v>5.9999999999999995E-25</v>
      </c>
      <c r="R3" s="3">
        <f>P3/$Q$30</f>
        <v>16.276041666666668</v>
      </c>
      <c r="S3" s="3">
        <f>Q3/$Q$30</f>
        <v>1.3020833333333332E-27</v>
      </c>
      <c r="T3" s="3">
        <f>L3</f>
        <v>8</v>
      </c>
      <c r="U3" s="158">
        <f>K3</f>
        <v>3.3877100000000002</v>
      </c>
      <c r="V3" s="1">
        <f t="shared" ref="V3:V13" si="9">($U3-$U$2)</f>
        <v>3.1551500000000003</v>
      </c>
      <c r="W3" s="234">
        <f t="shared" ref="W3:W13" si="10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>$Q$37*(P3/$Q$30/100)^3</f>
        <v>1.9078974234800265E-2</v>
      </c>
      <c r="AA3" s="229">
        <f>SQRT(Z3^3/4/$Q$27/$Q$33)</f>
        <v>2.584801871638143E-2</v>
      </c>
      <c r="AB3" s="2">
        <f>AA3/U3*100</f>
        <v>0.76299384293169803</v>
      </c>
      <c r="AC3" s="158">
        <f>SQRT(Z3/$Q$33/$Q$27)</f>
        <v>2.7095815947205746</v>
      </c>
      <c r="AD3" s="175">
        <f t="shared" si="7"/>
        <v>6.096558588121292</v>
      </c>
      <c r="AE3" s="4">
        <f>Q3/60*PI()*$C$39/1000</f>
        <v>1.7278759594743859E-27</v>
      </c>
      <c r="AF3" s="158">
        <f t="shared" ref="AF3:AF13" si="11">AE3/AC3</f>
        <v>6.3769106006662739E-28</v>
      </c>
      <c r="AH3" s="228">
        <f>D3/$Q$31*$Q$23</f>
        <v>0.22222222222222224</v>
      </c>
      <c r="AI3" s="228">
        <f>AH3/$Q$23*$Q$31</f>
        <v>8</v>
      </c>
      <c r="AJ3" s="229">
        <f>MAX(($Q$41+$R$41*LN($AI3)),0)</f>
        <v>4555.170672024622</v>
      </c>
      <c r="AK3" s="229">
        <f>MAX(($Q$41+$R$41*LN(AI3))/$Q$30,0)</f>
        <v>9.8853530208867664</v>
      </c>
      <c r="AL3" s="229">
        <f>($Q$42+$R$42*AK3*$Q$30)/$Q$30</f>
        <v>-2.9289255895124828</v>
      </c>
      <c r="AM3" s="229">
        <f>($Q$43+$R$43*AL3*$Q$30)/$Q$30</f>
        <v>9.9172706414521858</v>
      </c>
      <c r="AN3" s="1"/>
      <c r="AO3" s="1">
        <f>MAX($Q$42+$R$42*AJ3, 0)</f>
        <v>0</v>
      </c>
      <c r="AP3" s="227">
        <f>MAX($J$47+$AJ3*($K$47+$AJ3*$L$47), 0)</f>
        <v>0</v>
      </c>
      <c r="AQ3" s="227">
        <f>AJ3*AP3/5252</f>
        <v>0</v>
      </c>
      <c r="AR3" s="231">
        <f>MAX($K$47+$L$47*2*AJ3,1E-32)</f>
        <v>2.8272318367231825E-7</v>
      </c>
      <c r="AS3" s="228"/>
      <c r="AT3" s="1"/>
      <c r="AU3" s="228"/>
      <c r="AV3">
        <f t="shared" si="8"/>
        <v>4.5999999999999999E-3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>N4*60/$C$25</f>
        <v>10830.324909747293</v>
      </c>
      <c r="Q4" s="3">
        <f>O4*60/$C$25</f>
        <v>4545.454545454546</v>
      </c>
      <c r="R4" s="3">
        <f>P4/$Q$30</f>
        <v>23.503309265944644</v>
      </c>
      <c r="S4" s="3">
        <f>Q4/$Q$30</f>
        <v>9.8642676767676782</v>
      </c>
      <c r="T4" s="3">
        <f t="shared" si="6"/>
        <v>12</v>
      </c>
      <c r="U4" s="158">
        <f t="shared" si="0"/>
        <v>6.468</v>
      </c>
      <c r="V4" s="229">
        <f t="shared" si="9"/>
        <v>6.2354399999999996</v>
      </c>
      <c r="W4" s="234">
        <f t="shared" si="10"/>
        <v>8.3618622196799993E-3</v>
      </c>
      <c r="X4" s="230">
        <f t="shared" ref="X4:X13" si="12">$W4/$P4*5252</f>
        <v>4.0549568682131136E-3</v>
      </c>
      <c r="Y4" s="230">
        <f t="shared" ref="Y4:Y13" si="13">X4-$X$3</f>
        <v>1.0920406737528997E-3</v>
      </c>
      <c r="Z4" s="228">
        <f>$Q$37*(P4/$Q$30/100)^3</f>
        <v>5.7450748105172637E-2</v>
      </c>
      <c r="AA4" s="229">
        <f>SQRT(Z4^3/4/$Q$27/$Q$33)</f>
        <v>0.13506358084086184</v>
      </c>
      <c r="AB4" s="2">
        <f t="shared" ref="AB4:AB11" si="14">AA4/U4*100</f>
        <v>2.0881815219675608</v>
      </c>
      <c r="AC4" s="158">
        <f>SQRT(Z4/$Q$33/$Q$27)</f>
        <v>4.7018911083144355</v>
      </c>
      <c r="AD4" s="175">
        <f t="shared" si="7"/>
        <v>10.57925499370748</v>
      </c>
      <c r="AE4" s="175">
        <f>Q4/60*PI()*$C$39/1000</f>
        <v>13.089969389957473</v>
      </c>
      <c r="AF4" s="158">
        <f t="shared" si="11"/>
        <v>2.7839796984686127</v>
      </c>
      <c r="AG4" s="151"/>
      <c r="AH4" s="228">
        <f>D4/$Q$31*$Q$23</f>
        <v>0.33333333333333331</v>
      </c>
      <c r="AI4" s="228">
        <f>AH4/$Q$23*$Q$31</f>
        <v>12</v>
      </c>
      <c r="AJ4" s="229">
        <f>MAX(($Q$41+$R$41*LN($AI4)),0)</f>
        <v>9211.0840546388536</v>
      </c>
      <c r="AK4" s="229">
        <f>MAX(($Q$41+$R$41*LN(AI4))/$Q$30,0)</f>
        <v>19.989331715796123</v>
      </c>
      <c r="AL4" s="229">
        <f>($Q$42+$R$42*AK4*$Q$30)/$Q$30</f>
        <v>6.941537245430192</v>
      </c>
      <c r="AM4" s="229">
        <f>($Q$43+$R$43*AL4*$Q$30)/$Q$30</f>
        <v>20.013773384235744</v>
      </c>
      <c r="AN4" s="2">
        <f>AO4/$Q$30</f>
        <v>6.941537245430192</v>
      </c>
      <c r="AO4" s="3">
        <f>MAX($Q$42+$R$42*AJ4, 0)</f>
        <v>3198.6603626942324</v>
      </c>
      <c r="AP4" s="227">
        <f>MAX($J$47+$AJ4*($K$47+$AJ4*$L$47), 0)</f>
        <v>3.2994267727491818E-4</v>
      </c>
      <c r="AQ4" s="227">
        <f t="shared" ref="AQ4:AQ13" si="15">AJ4*AP4/5252</f>
        <v>5.7866141157499084E-4</v>
      </c>
      <c r="AR4" s="231">
        <f>MAX($K$47+$L$47*2*AJ4,1E-32)</f>
        <v>3.6957404609849427E-7</v>
      </c>
      <c r="AS4" s="228">
        <f>$Q$35/AR4</f>
        <v>0.10127014572560596</v>
      </c>
      <c r="AT4" s="1"/>
      <c r="AU4" s="228"/>
      <c r="AV4">
        <f t="shared" si="8"/>
        <v>0.23799999999999999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>N5*60/$C$25</f>
        <v>12244.897959183674</v>
      </c>
      <c r="Q5" s="3">
        <f>O5*60/$C$25</f>
        <v>6000.0000000000009</v>
      </c>
      <c r="R5" s="3">
        <f>P5/$Q$30</f>
        <v>26.573129251700681</v>
      </c>
      <c r="S5" s="3">
        <f>Q5/$Q$30</f>
        <v>13.020833333333336</v>
      </c>
      <c r="T5" s="3">
        <f t="shared" si="6"/>
        <v>17</v>
      </c>
      <c r="U5" s="158">
        <f t="shared" si="0"/>
        <v>8.0172000000000008</v>
      </c>
      <c r="V5" s="229">
        <f t="shared" si="9"/>
        <v>7.7846400000000004</v>
      </c>
      <c r="W5" s="234">
        <f t="shared" si="10"/>
        <v>1.0439373502080001E-2</v>
      </c>
      <c r="X5" s="230">
        <f t="shared" si="12"/>
        <v>4.477586486688806E-3</v>
      </c>
      <c r="Y5" s="230">
        <f t="shared" si="13"/>
        <v>1.5146702922285921E-3</v>
      </c>
      <c r="Z5" s="228">
        <f>$Q$37*(P5/$Q$30/100)^3</f>
        <v>8.3030325869473912E-2</v>
      </c>
      <c r="AA5" s="229">
        <f>SQRT(Z5^3/4/$Q$27/$Q$33)</f>
        <v>0.23466582178855083</v>
      </c>
      <c r="AB5" s="2">
        <f t="shared" si="14"/>
        <v>2.9270296585909144</v>
      </c>
      <c r="AC5" s="158">
        <f>SQRT(Z5/$Q$33/$Q$27)</f>
        <v>5.6525328386029061</v>
      </c>
      <c r="AD5" s="175">
        <f t="shared" si="7"/>
        <v>12.718198886856539</v>
      </c>
      <c r="AE5" s="175">
        <f>Q5/60*PI()*$C$39/1000</f>
        <v>17.278759594743867</v>
      </c>
      <c r="AF5" s="158">
        <f t="shared" si="11"/>
        <v>3.056817198255239</v>
      </c>
      <c r="AG5" s="151"/>
      <c r="AH5" s="228">
        <f>D5/$Q$31*$Q$23</f>
        <v>0.47222222222222221</v>
      </c>
      <c r="AI5" s="228">
        <f>AH5/$Q$23*$Q$31</f>
        <v>17</v>
      </c>
      <c r="AJ5" s="229">
        <f>MAX(($Q$41+$R$41*LN($AI5)),0)</f>
        <v>13210.653355839728</v>
      </c>
      <c r="AK5" s="229">
        <f>MAX(($Q$41+$R$41*LN(AI5))/$Q$30,0)</f>
        <v>28.668952595138297</v>
      </c>
      <c r="AL5" s="229">
        <f>($Q$42+$R$42*AK5*$Q$30)/$Q$30</f>
        <v>15.420560994174144</v>
      </c>
      <c r="AM5" s="229">
        <f>($Q$43+$R$43*AL5*$Q$30)/$Q$30</f>
        <v>28.686972196378115</v>
      </c>
      <c r="AN5" s="2">
        <f>AO5/$Q$30</f>
        <v>15.420560994174144</v>
      </c>
      <c r="AO5" s="3">
        <f>MAX($Q$42+$R$42*AJ5, 0)</f>
        <v>7105.794506115446</v>
      </c>
      <c r="AP5" s="227">
        <f>MAX($J$47+$AJ5*($K$47+$AJ5*$L$47), 0)</f>
        <v>1.9572786136409217E-3</v>
      </c>
      <c r="AQ5" s="227">
        <f t="shared" si="15"/>
        <v>4.9232538624540689E-3</v>
      </c>
      <c r="AR5" s="231">
        <f>MAX($K$47+$L$47*2*AJ5,1E-32)</f>
        <v>4.4418154297325635E-7</v>
      </c>
      <c r="AS5" s="228">
        <f>$Q$35/AR5</f>
        <v>8.4260181668669082E-2</v>
      </c>
      <c r="AT5" s="232"/>
      <c r="AU5" s="165"/>
      <c r="AV5">
        <f t="shared" si="8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>N6*60/$C$25</f>
        <v>14354.066985645934</v>
      </c>
      <c r="Q6" s="3">
        <f>O6*60/$C$25</f>
        <v>8000.0000000000009</v>
      </c>
      <c r="R6" s="3">
        <f>P6/$Q$30</f>
        <v>31.150318979266348</v>
      </c>
      <c r="S6" s="3">
        <f>Q6/$Q$30</f>
        <v>17.361111111111114</v>
      </c>
      <c r="T6" s="3">
        <f t="shared" si="6"/>
        <v>21</v>
      </c>
      <c r="U6" s="158">
        <f t="shared" si="0"/>
        <v>10.73448</v>
      </c>
      <c r="V6" s="229">
        <f t="shared" si="9"/>
        <v>10.50192</v>
      </c>
      <c r="W6" s="234">
        <f t="shared" si="10"/>
        <v>1.4083305762240001E-2</v>
      </c>
      <c r="X6" s="230">
        <f t="shared" si="12"/>
        <v>5.1529313564754849E-3</v>
      </c>
      <c r="Y6" s="230">
        <f t="shared" si="13"/>
        <v>2.190015162015271E-3</v>
      </c>
      <c r="Z6" s="228">
        <f>$Q$37*(P6/$Q$30/100)^3</f>
        <v>0.13375072264645263</v>
      </c>
      <c r="AA6" s="229">
        <f>SQRT(Z6^3/4/$Q$27/$Q$33)</f>
        <v>0.47977645696176557</v>
      </c>
      <c r="AB6" s="2">
        <f t="shared" si="14"/>
        <v>4.4694895044917464</v>
      </c>
      <c r="AC6" s="158">
        <f>SQRT(Z6/$Q$33/$Q$27)</f>
        <v>7.1741886319369401</v>
      </c>
      <c r="AD6" s="175">
        <f t="shared" si="7"/>
        <v>16.141924421858114</v>
      </c>
      <c r="AE6" s="175">
        <f>Q6/60*PI()*$C$39/1000</f>
        <v>23.038346126325152</v>
      </c>
      <c r="AF6" s="158">
        <f t="shared" si="11"/>
        <v>3.21128246109485</v>
      </c>
      <c r="AG6" s="151"/>
      <c r="AH6" s="228">
        <f>D6/$Q$31*$Q$23</f>
        <v>0.58333333333333337</v>
      </c>
      <c r="AI6" s="228">
        <f>AH6/$Q$23*$Q$31</f>
        <v>21</v>
      </c>
      <c r="AJ6" s="229">
        <f>MAX(($Q$41+$R$41*LN($AI6)),0)</f>
        <v>15637.093553526916</v>
      </c>
      <c r="AK6" s="229">
        <f>MAX(($Q$41+$R$41*LN(AI6))/$Q$30,0)</f>
        <v>33.934664829702506</v>
      </c>
      <c r="AL6" s="229">
        <f>($Q$42+$R$42*AK6*$Q$30)/$Q$30</f>
        <v>20.56457588970785</v>
      </c>
      <c r="AM6" s="229">
        <f>($Q$43+$R$43*AL6*$Q$30)/$Q$30</f>
        <v>33.948788320928394</v>
      </c>
      <c r="AN6" s="2">
        <f>AO6/$Q$30</f>
        <v>20.564575889707857</v>
      </c>
      <c r="AO6" s="3">
        <f>MAX($Q$42+$R$42*AJ6, 0)</f>
        <v>9476.1565699773801</v>
      </c>
      <c r="AP6" s="227">
        <f>MAX($J$47+$AJ6*($K$47+$AJ6*$L$47), 0)</f>
        <v>3.0899719769106734E-3</v>
      </c>
      <c r="AQ6" s="227">
        <f t="shared" si="15"/>
        <v>9.1999582788897007E-3</v>
      </c>
      <c r="AR6" s="231">
        <f>MAX($K$47+$L$47*2*AJ6,1E-32)</f>
        <v>4.8944407396912864E-7</v>
      </c>
      <c r="AS6" s="228">
        <f>$Q$35/AR6</f>
        <v>7.6468016460562963E-2</v>
      </c>
      <c r="AT6" s="232">
        <f>$Q$44*$Q$27*$Q$36^2*$Q$33*PI()/240*($AC6-$Q$46)/$Q$45*$Q$34</f>
        <v>-1.0314509239179901E-7</v>
      </c>
      <c r="AU6" s="165">
        <f>-$Q$35/AT6</f>
        <v>0.36285601803166451</v>
      </c>
      <c r="AV6">
        <f t="shared" si="8"/>
        <v>0.58599999999999997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>N7*60/$C$25</f>
        <v>16949.152542372882</v>
      </c>
      <c r="Q7" s="3">
        <f>O7*60/$C$25</f>
        <v>10752.688172043012</v>
      </c>
      <c r="R7" s="3">
        <f>P7/$Q$30</f>
        <v>36.78201506591337</v>
      </c>
      <c r="S7" s="3">
        <f>Q7/$Q$30</f>
        <v>23.33482676224612</v>
      </c>
      <c r="T7" s="3">
        <f t="shared" si="6"/>
        <v>27</v>
      </c>
      <c r="U7" s="158">
        <f t="shared" si="0"/>
        <v>15.042899999999999</v>
      </c>
      <c r="V7" s="229">
        <f t="shared" si="9"/>
        <v>14.81034</v>
      </c>
      <c r="W7" s="234">
        <f t="shared" si="10"/>
        <v>1.9860991767480001E-2</v>
      </c>
      <c r="X7" s="230">
        <f t="shared" si="12"/>
        <v>6.1542857970054926E-3</v>
      </c>
      <c r="Y7" s="230">
        <f t="shared" si="13"/>
        <v>3.1913696025452788E-3</v>
      </c>
      <c r="Z7" s="228">
        <f>$Q$37*(P7/$Q$30/100)^3</f>
        <v>0.22019892600134502</v>
      </c>
      <c r="AA7" s="229">
        <f>SQRT(Z7^3/4/$Q$27/$Q$33)</f>
        <v>1.0134854585355983</v>
      </c>
      <c r="AB7" s="2">
        <f t="shared" si="14"/>
        <v>6.737301042588852</v>
      </c>
      <c r="AC7" s="158">
        <f>SQRT(Z7/$Q$33/$Q$27)</f>
        <v>9.2051807603222162</v>
      </c>
      <c r="AD7" s="175">
        <f t="shared" si="7"/>
        <v>20.711656710724984</v>
      </c>
      <c r="AE7" s="175">
        <f>Q7/60*PI()*$C$39/1000</f>
        <v>30.965518986996173</v>
      </c>
      <c r="AF7" s="158">
        <f t="shared" si="11"/>
        <v>3.363922968299458</v>
      </c>
      <c r="AG7" s="151"/>
      <c r="AH7" s="228">
        <f>D7/$Q$31*$Q$23</f>
        <v>0.75</v>
      </c>
      <c r="AI7" s="228">
        <f>AH7/$Q$23*$Q$31</f>
        <v>27</v>
      </c>
      <c r="AJ7" s="229">
        <f>MAX(($Q$41+$R$41*LN($AI7)),0)</f>
        <v>18522.910819867313</v>
      </c>
      <c r="AK7" s="233">
        <f>MAX(($Q$41+$R$41*LN(AI7))/$Q$30,0)</f>
        <v>40.197289105614828</v>
      </c>
      <c r="AL7" s="233">
        <f>($Q$42+$R$42*AK7*$Q$30)/$Q$30</f>
        <v>26.682462915315533</v>
      </c>
      <c r="AM7" s="233">
        <f>($Q$43+$R$43*AL7*$Q$30)/$Q$30</f>
        <v>40.206778869802854</v>
      </c>
      <c r="AN7" s="9">
        <f>AO7/$Q$30</f>
        <v>26.682462915315533</v>
      </c>
      <c r="AO7" s="10">
        <f>MAX($Q$42+$R$42*AJ7, 0)</f>
        <v>12295.278911377398</v>
      </c>
      <c r="AP7" s="230">
        <f>MAX($J$47+$AJ7*($K$47+$AJ7*$L$47), 0)</f>
        <v>4.5800923567918947E-3</v>
      </c>
      <c r="AQ7" s="230">
        <f t="shared" si="15"/>
        <v>1.6153206830086093E-2</v>
      </c>
      <c r="AR7" s="232">
        <f>MAX($K$47+$L$47*2*AJ7,1E-32)</f>
        <v>5.432757709508463E-7</v>
      </c>
      <c r="AS7" s="228">
        <f>$Q$35/AR7</f>
        <v>6.889101172189506E-2</v>
      </c>
      <c r="AT7" s="232">
        <f>$Q$44*$Q$27*$Q$36^2*$Q$33*PI()/240*($AC7-$Q$46)/$Q$45*$Q$34</f>
        <v>-1.4363199490561306E-7</v>
      </c>
      <c r="AU7" s="165">
        <f>-$Q$35/AT7</f>
        <v>0.26057437640820308</v>
      </c>
      <c r="AV7">
        <f t="shared" si="8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>N8*60/$C$25</f>
        <v>21660.649819494585</v>
      </c>
      <c r="Q8" s="3">
        <f>O8*60/$C$25</f>
        <v>15957.44680851064</v>
      </c>
      <c r="R8" s="3">
        <f>P8/$Q$30</f>
        <v>47.006618531889288</v>
      </c>
      <c r="S8" s="3">
        <f>Q8/$Q$30</f>
        <v>34.629875886524829</v>
      </c>
      <c r="T8" s="3">
        <f t="shared" si="6"/>
        <v>42</v>
      </c>
      <c r="U8" s="158">
        <f t="shared" si="0"/>
        <v>29.3779</v>
      </c>
      <c r="V8" s="229">
        <f t="shared" si="9"/>
        <v>29.145340000000001</v>
      </c>
      <c r="W8" s="234">
        <f t="shared" si="10"/>
        <v>3.9084542137480006E-2</v>
      </c>
      <c r="X8" s="230">
        <f t="shared" si="12"/>
        <v>9.476724706629077E-3</v>
      </c>
      <c r="Y8" s="230">
        <f t="shared" si="13"/>
        <v>6.5138085121688631E-3</v>
      </c>
      <c r="Z8" s="228">
        <f>$Q$37*(P8/$Q$30/100)^3</f>
        <v>0.4596059848413811</v>
      </c>
      <c r="AA8" s="229">
        <f>SQRT(Z8^3/4/$Q$27/$Q$33)</f>
        <v>3.0561399649251477</v>
      </c>
      <c r="AB8" s="2">
        <f t="shared" si="14"/>
        <v>10.402853726526224</v>
      </c>
      <c r="AC8" s="158">
        <f>SQRT(Z8/$Q$33/$Q$27)</f>
        <v>13.298956348359477</v>
      </c>
      <c r="AD8" s="175">
        <f t="shared" si="7"/>
        <v>29.922651783808821</v>
      </c>
      <c r="AE8" s="175">
        <f>Q8/60*PI()*$C$39/1000</f>
        <v>45.954147858361345</v>
      </c>
      <c r="AF8" s="158">
        <f t="shared" si="11"/>
        <v>3.4554702380108289</v>
      </c>
      <c r="AG8" s="151"/>
      <c r="AH8" s="228">
        <f>D8/$Q$31*$Q$23</f>
        <v>1.1666666666666667</v>
      </c>
      <c r="AI8" s="228">
        <f>AH8/$Q$23*$Q$31</f>
        <v>42</v>
      </c>
      <c r="AJ8" s="229">
        <f>MAX(($Q$41+$R$41*LN($AI8)),0)</f>
        <v>23596.430052660289</v>
      </c>
      <c r="AK8" s="229">
        <f>MAX(($Q$41+$R$41*LN(AI8))/$Q$30,0)</f>
        <v>51.207530496224585</v>
      </c>
      <c r="AL8" s="229">
        <f>($Q$42+$R$42*AK8*$Q$30)/$Q$30</f>
        <v>37.438243556907246</v>
      </c>
      <c r="AM8" s="229">
        <f>($Q$43+$R$43*AL8*$Q$30)/$Q$30</f>
        <v>51.208873762877822</v>
      </c>
      <c r="AN8" s="2">
        <f>AO8/$Q$30</f>
        <v>37.438243556907246</v>
      </c>
      <c r="AO8" s="3">
        <f>MAX($Q$42+$R$42*AJ8, 0)</f>
        <v>17251.542631022858</v>
      </c>
      <c r="AP8" s="227">
        <f>MAX($J$47+$AJ8*($K$47+$AJ8*$L$47), 0)</f>
        <v>7.5764934726365541E-3</v>
      </c>
      <c r="AQ8" s="227">
        <f t="shared" si="15"/>
        <v>3.4040022519327057E-2</v>
      </c>
      <c r="AR8" s="231">
        <f>MAX($K$47+$L$47*2*AJ8,1E-32)</f>
        <v>6.3791660395028843E-7</v>
      </c>
      <c r="AS8" s="228">
        <f>$Q$35/AR8</f>
        <v>5.8670392451037258E-2</v>
      </c>
      <c r="AT8" s="232">
        <f>$Q$44*$Q$27*$Q$36^2*$Q$33*PI()/240*($AC8-$Q$46)/$Q$45*$Q$34</f>
        <v>-2.2523954563406911E-7</v>
      </c>
      <c r="AU8" s="165">
        <f>-$Q$35/AT8</f>
        <v>0.16616450454753204</v>
      </c>
      <c r="AV8">
        <f t="shared" si="8"/>
        <v>1.175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>N9*60/$C$25</f>
        <v>27649.76958525346</v>
      </c>
      <c r="Q9" s="3">
        <f>O9*60/$C$25</f>
        <v>21352.313167259788</v>
      </c>
      <c r="R9" s="3">
        <f>P9/$Q$30</f>
        <v>60.003840245775734</v>
      </c>
      <c r="S9" s="3">
        <f>Q9/$Q$30</f>
        <v>46.337485172004747</v>
      </c>
      <c r="T9" s="3">
        <f t="shared" si="6"/>
        <v>67</v>
      </c>
      <c r="U9" s="158">
        <f t="shared" si="0"/>
        <v>51.795099999999998</v>
      </c>
      <c r="V9" s="229">
        <f t="shared" si="9"/>
        <v>51.562539999999998</v>
      </c>
      <c r="W9" s="234">
        <f t="shared" si="10"/>
        <v>6.9146500515880005E-2</v>
      </c>
      <c r="X9" s="230">
        <f t="shared" si="12"/>
        <v>1.3134193382323363E-2</v>
      </c>
      <c r="Y9" s="230">
        <f t="shared" si="13"/>
        <v>1.0171277187863148E-2</v>
      </c>
      <c r="Z9" s="228">
        <f>$Q$37*(P9/$Q$30/100)^3</f>
        <v>0.95597334004328605</v>
      </c>
      <c r="AA9" s="229">
        <f>SQRT(Z9^3/4/$Q$27/$Q$33)</f>
        <v>9.1677634433024693</v>
      </c>
      <c r="AB9" s="2">
        <f t="shared" si="14"/>
        <v>17.700059355619487</v>
      </c>
      <c r="AC9" s="158">
        <f>SQRT(Z9/$Q$33/$Q$27)</f>
        <v>19.179956300637748</v>
      </c>
      <c r="AD9" s="175">
        <f t="shared" si="7"/>
        <v>43.154901676434932</v>
      </c>
      <c r="AE9" s="175">
        <f>Q9/60*PI()*$C$39/1000</f>
        <v>61.49024766812763</v>
      </c>
      <c r="AF9" s="165">
        <f t="shared" si="11"/>
        <v>3.2059639085873743</v>
      </c>
      <c r="AG9" s="151"/>
      <c r="AH9" s="228">
        <f>D9/$Q$31*$Q$23</f>
        <v>1.8611111111111112</v>
      </c>
      <c r="AI9" s="228">
        <f>AH9/$Q$23*$Q$31</f>
        <v>67</v>
      </c>
      <c r="AJ9" s="229">
        <f>MAX(($Q$41+$R$41*LN($AI9)),0)</f>
        <v>28959.20627523346</v>
      </c>
      <c r="AK9" s="229">
        <f>MAX(($Q$41+$R$41*LN(AI9))/$Q$30,0)</f>
        <v>62.845499729239279</v>
      </c>
      <c r="AL9" s="229">
        <f>($Q$42+$R$42*AK9*$Q$30)/$Q$30</f>
        <v>48.807244448264356</v>
      </c>
      <c r="AM9" s="229">
        <f>($Q$43+$R$43*AL9*$Q$30)/$Q$30</f>
        <v>62.838232041390853</v>
      </c>
      <c r="AN9" s="2">
        <f>AO9/$Q$30</f>
        <v>48.807244448264363</v>
      </c>
      <c r="AO9" s="3">
        <f>MAX($Q$42+$R$42*AJ9, 0)</f>
        <v>22490.37824176022</v>
      </c>
      <c r="AP9" s="227">
        <f>MAX($J$47+$AJ9*($K$47+$AJ9*$L$47), 0)</f>
        <v>1.1265734415476743E-2</v>
      </c>
      <c r="AQ9" s="227">
        <f t="shared" si="15"/>
        <v>6.2118569455405115E-2</v>
      </c>
      <c r="AR9" s="231">
        <f>MAX($K$47+$L$47*2*AJ9,1E-32)</f>
        <v>7.3795320292746935E-7</v>
      </c>
      <c r="AS9" s="228">
        <f>$Q$35/AR9</f>
        <v>5.0717060860124577E-2</v>
      </c>
      <c r="AT9" s="232">
        <f>$Q$44*$Q$27*$Q$36^2*$Q$33*PI()/240*($AC9-$Q$46)/$Q$45*$Q$34</f>
        <v>-3.4247459958818648E-7</v>
      </c>
      <c r="AU9" s="165">
        <f>-$Q$35/AT9</f>
        <v>0.10928348423445342</v>
      </c>
      <c r="AV9">
        <f t="shared" si="8"/>
        <v>1.6240000000000001</v>
      </c>
      <c r="AX9" s="127"/>
      <c r="AY9" s="96"/>
    </row>
    <row r="10" spans="1:51" ht="13.95" customHeight="1" x14ac:dyDescent="0.3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16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>N10*60/$C$25</f>
        <v>29702.970297029704</v>
      </c>
      <c r="Q10" s="3">
        <f>O10*60/$C$25</f>
        <v>23437.500000000004</v>
      </c>
      <c r="R10" s="3">
        <f>P10/$Q$30</f>
        <v>64.459570957095707</v>
      </c>
      <c r="S10" s="3">
        <f>Q10/$Q$30</f>
        <v>50.862630208333343</v>
      </c>
      <c r="T10" s="3">
        <f t="shared" ref="T10:T12" si="17">L10</f>
        <v>79</v>
      </c>
      <c r="U10" s="158">
        <f t="shared" ref="U10:U12" si="18">K10</f>
        <v>64.318799999999996</v>
      </c>
      <c r="V10" s="229">
        <f t="shared" si="9"/>
        <v>64.086239999999989</v>
      </c>
      <c r="W10" s="234">
        <f t="shared" si="10"/>
        <v>8.5941057737279988E-2</v>
      </c>
      <c r="X10" s="230">
        <f t="shared" si="12"/>
        <v>1.5195868652951881E-2</v>
      </c>
      <c r="Y10" s="230">
        <f t="shared" ref="Y10:Y12" si="19">X10-$X$3</f>
        <v>1.2232952458491667E-2</v>
      </c>
      <c r="Z10" s="228">
        <f>$Q$37*(P10/$Q$30/100)^3</f>
        <v>1.1851433231911994</v>
      </c>
      <c r="AA10" s="229">
        <f>SQRT(Z10^3/4/$Q$27/$Q$33)</f>
        <v>12.654676236558226</v>
      </c>
      <c r="AB10" s="2">
        <f t="shared" si="14"/>
        <v>19.674925895007721</v>
      </c>
      <c r="AC10" s="158">
        <f>SQRT(Z10/$Q$33/$Q$27)</f>
        <v>21.355520448756128</v>
      </c>
      <c r="AD10" s="175">
        <f t="shared" ref="AD10:AD13" si="20">AC10*1/1.6/1000*3600</f>
        <v>48.049921009701286</v>
      </c>
      <c r="AE10" s="175">
        <f>Q10/60*PI()*$C$39/1000</f>
        <v>67.495154666968219</v>
      </c>
      <c r="AF10" s="163">
        <f t="shared" ref="AF10:AF12" si="21">AE10/AC10</f>
        <v>3.1605483382588102</v>
      </c>
      <c r="AG10" s="159">
        <f>$M$41/($Q$27*$Q$36*$Q$33*($AC10-$Q$46)^2/4/$AF10)/(PI()*$Q$36/60/($AC10-$Q$46))</f>
        <v>-0.83001462470815057</v>
      </c>
      <c r="AH10" s="228">
        <f>D10/$Q$31*$Q$23</f>
        <v>2.1944444444444446</v>
      </c>
      <c r="AI10" s="228">
        <f>AH10/$Q$23*$Q$31</f>
        <v>79.000000000000014</v>
      </c>
      <c r="AJ10" s="229">
        <f>MAX(($Q$41+$R$41*LN($AI10)),0)</f>
        <v>30851.073366124794</v>
      </c>
      <c r="AK10" s="229">
        <f>MAX(($Q$41+$R$41*LN(AI10))/$Q$30,0)</f>
        <v>66.951114075791651</v>
      </c>
      <c r="AL10" s="229">
        <f>($Q$42+$R$42*AK10*$Q$30)/$Q$30</f>
        <v>52.817972800519279</v>
      </c>
      <c r="AM10" s="229">
        <f>($Q$43+$R$43*AL10*$Q$30)/$Q$30</f>
        <v>66.940808636456552</v>
      </c>
      <c r="AN10" s="2">
        <f>AO10/$Q$30</f>
        <v>52.817972800519286</v>
      </c>
      <c r="AO10" s="3">
        <f>MAX($Q$42+$R$42*AJ10, 0)</f>
        <v>24338.521866479288</v>
      </c>
      <c r="AP10" s="227">
        <f>MAX($J$47+$AJ10*($K$47+$AJ10*$L$47), 0)</f>
        <v>1.2695226420403077E-2</v>
      </c>
      <c r="AQ10" s="227">
        <f t="shared" ref="AQ10:AQ12" si="22">AJ10*AP10/5252</f>
        <v>7.4573755082905785E-2</v>
      </c>
      <c r="AR10" s="231">
        <f>MAX($K$47+$L$47*2*AJ10,1E-32)</f>
        <v>7.7324386985722134E-7</v>
      </c>
      <c r="AS10" s="228">
        <f>$Q$35/AR10</f>
        <v>4.8402346224493374E-2</v>
      </c>
      <c r="AT10" s="232">
        <f>$Q$44*$Q$27*$Q$36^2*$Q$33*PI()/240*($AC10-$Q$46)/$Q$45*$Q$34</f>
        <v>-3.8584347943088994E-7</v>
      </c>
      <c r="AU10" s="165">
        <f>-$Q$35/AT10</f>
        <v>9.7000000000000003E-2</v>
      </c>
      <c r="AV10">
        <f t="shared" si="8"/>
        <v>1.786</v>
      </c>
      <c r="AX10" s="127"/>
      <c r="AY10" s="96"/>
    </row>
    <row r="11" spans="1:51" ht="13.95" customHeight="1" x14ac:dyDescent="0.3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16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>N11*60/$C$25</f>
        <v>30456.852791878177</v>
      </c>
      <c r="Q11" s="3">
        <f>O11*60/$C$25</f>
        <v>24193.548387096776</v>
      </c>
      <c r="R11" s="3">
        <f>P11/$Q$30</f>
        <v>66.095600676818961</v>
      </c>
      <c r="S11" s="3">
        <f>Q11/$Q$30</f>
        <v>52.503360215053767</v>
      </c>
      <c r="T11" s="3">
        <f t="shared" si="17"/>
        <v>84</v>
      </c>
      <c r="U11" s="158">
        <f t="shared" si="18"/>
        <v>68.010400000000004</v>
      </c>
      <c r="V11" s="229">
        <f t="shared" si="9"/>
        <v>67.777839999999998</v>
      </c>
      <c r="W11" s="234">
        <f t="shared" si="10"/>
        <v>9.0891574552480009E-2</v>
      </c>
      <c r="X11" s="230">
        <f t="shared" si="12"/>
        <v>1.5673403710212686E-2</v>
      </c>
      <c r="Y11" s="230">
        <f t="shared" si="19"/>
        <v>1.2710487515752471E-2</v>
      </c>
      <c r="Z11" s="228">
        <f>$Q$37*(P11/$Q$30/100)^3</f>
        <v>1.2776923778889189</v>
      </c>
      <c r="AA11" s="229">
        <f>SQRT(Z11^3/4/$Q$27/$Q$33)</f>
        <v>14.165574197505515</v>
      </c>
      <c r="AB11" s="2">
        <f t="shared" si="14"/>
        <v>20.828541219439252</v>
      </c>
      <c r="AC11" s="158">
        <f>SQRT(Z11/$Q$33/$Q$27)</f>
        <v>22.173685063239933</v>
      </c>
      <c r="AD11" s="175">
        <f t="shared" si="20"/>
        <v>49.890791392289849</v>
      </c>
      <c r="AE11" s="175">
        <f>Q11/60*PI()*$C$39/1000</f>
        <v>69.672417720741393</v>
      </c>
      <c r="AF11" s="165">
        <f t="shared" si="21"/>
        <v>3.1421217322260069</v>
      </c>
      <c r="AG11" s="151"/>
      <c r="AH11" s="228">
        <f>D11/$Q$31*$Q$23</f>
        <v>2.3333333333333335</v>
      </c>
      <c r="AI11" s="228">
        <f>AH11/$Q$23*$Q$31</f>
        <v>84</v>
      </c>
      <c r="AJ11" s="229">
        <f>MAX(($Q$41+$R$41*LN($AI11)),0)</f>
        <v>31555.766551793655</v>
      </c>
      <c r="AK11" s="229">
        <f>MAX(($Q$41+$R$41*LN(AI11))/$Q$30,0)</f>
        <v>68.480396162746644</v>
      </c>
      <c r="AL11" s="229">
        <f>($Q$42+$R$42*AK11*$Q$30)/$Q$30</f>
        <v>54.311911224106609</v>
      </c>
      <c r="AM11" s="229">
        <f>($Q$43+$R$43*AL11*$Q$30)/$Q$30</f>
        <v>68.468959204827215</v>
      </c>
      <c r="AN11" s="2">
        <f>AO11/$Q$30</f>
        <v>54.311911224106609</v>
      </c>
      <c r="AO11" s="3">
        <f>MAX($Q$42+$R$42*AJ11, 0)</f>
        <v>25026.928692068326</v>
      </c>
      <c r="AP11" s="227">
        <f>MAX($J$47+$AJ11*($K$47+$AJ11*$L$47), 0)</f>
        <v>1.3244757795360145E-2</v>
      </c>
      <c r="AQ11" s="227">
        <f t="shared" si="22"/>
        <v>7.9578919464096329E-2</v>
      </c>
      <c r="AR11" s="231">
        <f>MAX($K$47+$L$47*2*AJ11,1E-32)</f>
        <v>7.863891339314479E-7</v>
      </c>
      <c r="AS11" s="228">
        <f>$Q$35/AR11</f>
        <v>4.7593253632188338E-2</v>
      </c>
      <c r="AT11" s="232">
        <f>$Q$44*$Q$27*$Q$36^2*$Q$33*PI()/240*($AC11-$Q$46)/$Q$45*$Q$34</f>
        <v>-4.0215321816591598E-7</v>
      </c>
      <c r="AU11" s="165">
        <f>-$Q$35/AT11</f>
        <v>9.3066064908015181E-2</v>
      </c>
      <c r="AV11">
        <f t="shared" si="8"/>
        <v>1.8420000000000001</v>
      </c>
      <c r="AX11" s="127"/>
      <c r="AY11" s="96"/>
    </row>
    <row r="12" spans="1:51" ht="13.95" customHeight="1" x14ac:dyDescent="0.3">
      <c r="A12" t="s">
        <v>232</v>
      </c>
      <c r="B12" s="176">
        <v>62</v>
      </c>
      <c r="C12" s="220">
        <f t="shared" ref="C12" si="23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24">F12*G12</f>
        <v>103.6602</v>
      </c>
      <c r="L12" s="1">
        <f t="shared" ref="L12" si="25">D12</f>
        <v>121</v>
      </c>
      <c r="M12" s="234">
        <f t="shared" si="16"/>
        <v>4.7957905455967413</v>
      </c>
      <c r="N12" s="3">
        <f t="shared" ref="N12" si="26">1/H12/0.000001</f>
        <v>606.06060606060612</v>
      </c>
      <c r="O12" s="3">
        <f t="shared" ref="O12" si="27">1/I12/0.000001</f>
        <v>490.19607843137254</v>
      </c>
      <c r="P12" s="3">
        <f>N12*60/$C$25</f>
        <v>36363.636363636368</v>
      </c>
      <c r="Q12" s="3">
        <f>O12*60/$C$25</f>
        <v>29411.764705882353</v>
      </c>
      <c r="R12" s="3">
        <f>P12/$Q$30</f>
        <v>78.914141414141426</v>
      </c>
      <c r="S12" s="3">
        <f>Q12/$Q$30</f>
        <v>63.827614379084963</v>
      </c>
      <c r="T12" s="3">
        <f t="shared" si="17"/>
        <v>121</v>
      </c>
      <c r="U12" s="158">
        <f t="shared" si="18"/>
        <v>103.6602</v>
      </c>
      <c r="V12" s="229">
        <f t="shared" si="9"/>
        <v>103.42764</v>
      </c>
      <c r="W12" s="234">
        <f t="shared" si="10"/>
        <v>0.13869874064807999</v>
      </c>
      <c r="X12" s="230">
        <f t="shared" si="12"/>
        <v>2.0032259111802193E-2</v>
      </c>
      <c r="Y12" s="230">
        <f t="shared" si="19"/>
        <v>1.7069342917341978E-2</v>
      </c>
      <c r="Z12" s="228">
        <f>$Q$37*(P12/$Q$30/100)^3</f>
        <v>2.174568786090711</v>
      </c>
      <c r="AA12" s="229">
        <f>SQRT(Z12^3/4/$Q$27/$Q$33)</f>
        <v>31.452447925513269</v>
      </c>
      <c r="AB12" s="2">
        <f t="shared" ref="AB12" si="28">AA12/U12*100</f>
        <v>30.341874630295202</v>
      </c>
      <c r="AC12" s="158">
        <f>SQRT(Z12/$Q$33/$Q$27)</f>
        <v>28.927526346091174</v>
      </c>
      <c r="AD12" s="175">
        <f t="shared" si="20"/>
        <v>65.086934278705144</v>
      </c>
      <c r="AE12" s="175">
        <f>Q12/60*PI()*$C$39/1000</f>
        <v>84.699801935018925</v>
      </c>
      <c r="AF12" s="165">
        <f t="shared" si="21"/>
        <v>2.9280001657128891</v>
      </c>
      <c r="AG12" s="151"/>
      <c r="AH12" s="228">
        <f>D12/$Q$31*$Q$23</f>
        <v>3.3611111111111116</v>
      </c>
      <c r="AI12" s="228">
        <f>AH12/$Q$23*$Q$31</f>
        <v>121.00000000000001</v>
      </c>
      <c r="AJ12" s="229">
        <f>MAX(($Q$41+$R$41*LN($AI12)),0)</f>
        <v>35746.721871576265</v>
      </c>
      <c r="AK12" s="229">
        <f>MAX(($Q$41+$R$41*LN(AI12))/$Q$30,0)</f>
        <v>77.575351283802661</v>
      </c>
      <c r="AL12" s="229">
        <f>($Q$42+$R$42*AK12*$Q$30)/$Q$30</f>
        <v>63.196670309464153</v>
      </c>
      <c r="AM12" s="229">
        <f>($Q$43+$R$43*AL12*$Q$30)/$Q$30</f>
        <v>77.557184952126192</v>
      </c>
      <c r="AN12" s="2">
        <f>AO12/$Q$30</f>
        <v>63.196670309464153</v>
      </c>
      <c r="AO12" s="3">
        <f>MAX($Q$42+$R$42*AJ12, 0)</f>
        <v>29121.025678601083</v>
      </c>
      <c r="AP12" s="227">
        <f>MAX($J$47+$AJ12*($K$47+$AJ12*$L$47), 0)</f>
        <v>1.6704298911363304E-2</v>
      </c>
      <c r="AQ12" s="227">
        <f t="shared" si="22"/>
        <v>0.11369457868320224</v>
      </c>
      <c r="AR12" s="231">
        <f>MAX($K$47+$L$47*2*AJ12,1E-32)</f>
        <v>8.6456672316063497E-7</v>
      </c>
      <c r="AS12" s="228">
        <f>$Q$35/AR12</f>
        <v>4.3289680833392991E-2</v>
      </c>
      <c r="AT12" s="232">
        <f>$Q$44*$Q$27*$Q$36^2*$Q$33*PI()/240*($AC12-$Q$46)/$Q$45*$Q$34</f>
        <v>-5.3678796627297485E-7</v>
      </c>
      <c r="AU12" s="165">
        <f>-$Q$35/AT12</f>
        <v>6.9723652273090492E-2</v>
      </c>
      <c r="AV12">
        <f t="shared" si="8"/>
        <v>2.19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>N13*60/$C$25</f>
        <v>44117.647058823532</v>
      </c>
      <c r="Q13" s="3">
        <f>O13*60/$C$25</f>
        <v>37037.037037037036</v>
      </c>
      <c r="R13" s="3">
        <f>P13/$Q$30</f>
        <v>95.741421568627459</v>
      </c>
      <c r="S13" s="3">
        <f>Q13/$Q$30</f>
        <v>80.375514403292172</v>
      </c>
      <c r="T13" s="3">
        <f t="shared" si="6"/>
        <v>175</v>
      </c>
      <c r="U13" s="158">
        <f t="shared" si="0"/>
        <v>172.22399999999999</v>
      </c>
      <c r="V13" s="229">
        <f t="shared" si="9"/>
        <v>171.99143999999998</v>
      </c>
      <c r="W13" s="234">
        <f t="shared" si="10"/>
        <v>0.23064430485168</v>
      </c>
      <c r="X13" s="230">
        <f t="shared" si="12"/>
        <v>2.7457128152503195E-2</v>
      </c>
      <c r="Y13" s="230">
        <f t="shared" si="13"/>
        <v>2.449421195804298E-2</v>
      </c>
      <c r="Z13" s="163">
        <f>C33/0.224</f>
        <v>4.4249528005034611</v>
      </c>
      <c r="AA13" s="229">
        <f>SQRT(Z13^3/4/$Q$27/$Q$33)</f>
        <v>91.297248929319878</v>
      </c>
      <c r="AB13" s="2">
        <f>AA13/U13*100</f>
        <v>53.010758622096731</v>
      </c>
      <c r="AC13" s="158">
        <f>SQRT(Z13/$Q$33/$Q$27)</f>
        <v>41.264733453849395</v>
      </c>
      <c r="AD13" s="175">
        <f t="shared" si="20"/>
        <v>92.845650271161119</v>
      </c>
      <c r="AE13" s="175">
        <f>Q13/60*PI()*$C$39/1000</f>
        <v>106.65900984409792</v>
      </c>
      <c r="AF13" s="165">
        <f t="shared" si="11"/>
        <v>2.5847497588560868</v>
      </c>
      <c r="AG13" s="151"/>
      <c r="AH13" s="228">
        <f>D13/$Q$31*$Q$23</f>
        <v>4.8611111111111107</v>
      </c>
      <c r="AI13" s="228">
        <f>AH13/$Q$23*$Q$31</f>
        <v>174.99999999999997</v>
      </c>
      <c r="AJ13" s="229">
        <f>MAX(($Q$41+$R$41*LN($AI13)),0)</f>
        <v>39983.857739779705</v>
      </c>
      <c r="AK13" s="229">
        <f>MAX(($Q$41+$R$41*LN(AI13))/$Q$30,0)</f>
        <v>86.770524608896935</v>
      </c>
      <c r="AL13" s="229">
        <f>($Q$42+$R$42*AK13*$Q$30)/$Q$30</f>
        <v>72.179331428091302</v>
      </c>
      <c r="AM13" s="229">
        <f>($Q$43+$R$43*AL13*$Q$30)/$Q$30</f>
        <v>86.745554751832856</v>
      </c>
      <c r="AN13" s="2">
        <f>AO13/$Q$30</f>
        <v>72.179331428091302</v>
      </c>
      <c r="AO13" s="3">
        <f>MAX($Q$42+$R$42*AJ13, 0)</f>
        <v>33260.235922064472</v>
      </c>
      <c r="AP13" s="227">
        <f>MAX($J$47+$AJ13*($K$47+$AJ13*$L$47), 0)</f>
        <v>2.0535035151237838E-2</v>
      </c>
      <c r="AQ13" s="227">
        <f t="shared" si="15"/>
        <v>0.15633471518820818</v>
      </c>
      <c r="AR13" s="231">
        <f>MAX($K$47+$L$47*2*AJ13,1E-32)</f>
        <v>9.4360575892631468E-7</v>
      </c>
      <c r="AS13" s="228">
        <f>$Q$35/AR13</f>
        <v>3.9663617088753857E-2</v>
      </c>
      <c r="AT13" s="232">
        <f>$Q$44*$Q$27*$Q$36^2*$Q$33*PI()/240*($AC13-$Q$46)/$Q$45*$Q$34</f>
        <v>-7.8272456764309463E-7</v>
      </c>
      <c r="AU13" s="165">
        <f>-$Q$35/AT13</f>
        <v>4.7816076116652749E-2</v>
      </c>
      <c r="AV13">
        <f t="shared" si="8"/>
        <v>2.66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29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29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29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29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29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29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0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0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0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0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0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0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abSelected="1" topLeftCell="H10" zoomScale="70" zoomScaleNormal="70" workbookViewId="0">
      <selection activeCell="M22" sqref="M22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1.0431895324417384</v>
      </c>
      <c r="D2" s="262">
        <f>EXP((0-$Q$41)/$R$41)</f>
        <v>7.7741158395129268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7.7741158395129268</v>
      </c>
      <c r="M2" s="234">
        <f t="shared" ref="M2:M13" si="4">LN(L2)</f>
        <v>2.050799733208251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7.7741158395129268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0.21594766220869241</v>
      </c>
      <c r="AI2" s="228">
        <f t="shared" ref="AI2:AI13" si="16">AH2/$Q$23*$Q$31</f>
        <v>7.7741158395129268</v>
      </c>
      <c r="AJ2" s="229">
        <f t="shared" ref="AJ2:AJ13" si="17">MAX(($Q$41+$R$41*LN($AI2)),0)</f>
        <v>3.637978807091713E-12</v>
      </c>
      <c r="AK2" s="229">
        <f t="shared" ref="AK2:AK13" si="18">MAX(($Q$41+$R$41*LN(AI2))/$Q$30,0)</f>
        <v>7.8949192862233357E-15</v>
      </c>
      <c r="AL2" s="229">
        <f t="shared" ref="AL2:AL13" si="19">($Q$42+$R$42*AK2*$Q$30)/$Q$30</f>
        <v>-13.839646287649675</v>
      </c>
      <c r="AM2" s="229">
        <f t="shared" ref="AM2:AM13" si="20">($Q$43+$R$43*AL2*$Q$30)/$Q$30</f>
        <v>0.2124953685351115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f>5740</f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6616.14515842931</v>
      </c>
      <c r="AK3" s="229">
        <f t="shared" si="18"/>
        <v>14.357953902841384</v>
      </c>
      <c r="AL3" s="229">
        <f t="shared" si="19"/>
        <v>-0.20901826167123932</v>
      </c>
      <c r="AM3" s="229">
        <f t="shared" si="20"/>
        <v>14.51706257826557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2.0905568646485249E-7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f>5660*0.9</f>
        <v>5094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196.30938358853555</v>
      </c>
      <c r="O4" s="3">
        <f t="shared" si="5"/>
        <v>61.349693251533751</v>
      </c>
      <c r="P4" s="3">
        <f t="shared" si="6"/>
        <v>11778.563015312133</v>
      </c>
      <c r="Q4" s="3">
        <f t="shared" si="22"/>
        <v>3680.9815950920251</v>
      </c>
      <c r="R4" s="3">
        <f t="shared" si="7"/>
        <v>25.561117654757233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2.8371636745821451E-3</v>
      </c>
      <c r="Y4" s="230">
        <f t="shared" ref="Y4:Y13" si="29">X4-$X$3</f>
        <v>-3.1047630311354258E-4</v>
      </c>
      <c r="Z4" s="228">
        <f t="shared" si="10"/>
        <v>7.3900633378160677E-2</v>
      </c>
      <c r="AA4" s="229">
        <f t="shared" si="11"/>
        <v>0.19704570278567457</v>
      </c>
      <c r="AB4" s="2">
        <f t="shared" ref="AB4:AB12" si="30">AA4/U4*100</f>
        <v>3.6707470712681558</v>
      </c>
      <c r="AC4" s="158">
        <f t="shared" si="12"/>
        <v>5.3327202698618841</v>
      </c>
      <c r="AD4" s="175">
        <f t="shared" si="13"/>
        <v>11.998620607189238</v>
      </c>
      <c r="AE4" s="175">
        <f t="shared" si="14"/>
        <v>10.600466009045316</v>
      </c>
      <c r="AF4" s="158">
        <f t="shared" si="25"/>
        <v>1.9878158749399142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10068.201510054641</v>
      </c>
      <c r="AK4" s="229">
        <f t="shared" si="18"/>
        <v>21.849395638139413</v>
      </c>
      <c r="AL4" s="229">
        <f t="shared" si="19"/>
        <v>6.9029321153201586</v>
      </c>
      <c r="AM4" s="229">
        <f t="shared" si="20"/>
        <v>21.9806491397981</v>
      </c>
      <c r="AN4" s="2">
        <f t="shared" ref="AN4:AN13" si="31">AO4/$Q$30</f>
        <v>6.9029321153201586</v>
      </c>
      <c r="AO4" s="3">
        <f t="shared" si="21"/>
        <v>3180.8711187395293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2.832416442713349E-7</v>
      </c>
      <c r="AS4" s="228">
        <f t="shared" ref="AS4:AS13" si="33">$Q$35/AR4</f>
        <v>0.13213741080016764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14505.654356826519</v>
      </c>
      <c r="AK5" s="229">
        <f t="shared" si="18"/>
        <v>31.479284628529772</v>
      </c>
      <c r="AL5" s="229">
        <f t="shared" si="19"/>
        <v>16.045003168598853</v>
      </c>
      <c r="AM5" s="229">
        <f t="shared" si="20"/>
        <v>31.574731640510262</v>
      </c>
      <c r="AN5" s="2">
        <f t="shared" si="31"/>
        <v>16.04500316859885</v>
      </c>
      <c r="AO5" s="3">
        <f t="shared" si="21"/>
        <v>7393.5374600903506</v>
      </c>
      <c r="AP5" s="227">
        <f t="shared" si="26"/>
        <v>1.3399126688422428E-3</v>
      </c>
      <c r="AQ5" s="227">
        <f t="shared" si="32"/>
        <v>3.7007444863972824E-3</v>
      </c>
      <c r="AR5" s="231">
        <f t="shared" si="27"/>
        <v>3.7860413437201886E-7</v>
      </c>
      <c r="AS5" s="228">
        <f t="shared" si="33"/>
        <v>9.8854751195137494E-2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16489.285630483304</v>
      </c>
      <c r="AK6" s="229">
        <f t="shared" si="18"/>
        <v>35.784039996708557</v>
      </c>
      <c r="AL6" s="229">
        <f t="shared" si="19"/>
        <v>20.131694041374747</v>
      </c>
      <c r="AM6" s="229">
        <f t="shared" si="20"/>
        <v>35.863480782780137</v>
      </c>
      <c r="AN6" s="2">
        <f t="shared" si="31"/>
        <v>20.131694041374747</v>
      </c>
      <c r="AO6" s="3">
        <f t="shared" si="21"/>
        <v>9276.6846142654831</v>
      </c>
      <c r="AP6" s="227">
        <f t="shared" si="26"/>
        <v>2.1332037432044417E-3</v>
      </c>
      <c r="AQ6" s="227">
        <f t="shared" si="32"/>
        <v>6.6974497010118417E-3</v>
      </c>
      <c r="AR6" s="231">
        <f t="shared" si="27"/>
        <v>4.2123309838120573E-7</v>
      </c>
      <c r="AS6" s="228">
        <f t="shared" si="33"/>
        <v>8.8850609433653679E-2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18207.58519764556</v>
      </c>
      <c r="AK7" s="233">
        <f t="shared" si="18"/>
        <v>39.512988710168315</v>
      </c>
      <c r="AL7" s="233">
        <f t="shared" si="19"/>
        <v>23.671746696862254</v>
      </c>
      <c r="AM7" s="233">
        <f t="shared" si="20"/>
        <v>39.578564272689313</v>
      </c>
      <c r="AN7" s="9">
        <f t="shared" si="31"/>
        <v>23.671746696862254</v>
      </c>
      <c r="AO7" s="10">
        <f t="shared" si="21"/>
        <v>10907.940877914127</v>
      </c>
      <c r="AP7" s="230">
        <f t="shared" si="26"/>
        <v>2.8887341218903351E-3</v>
      </c>
      <c r="AQ7" s="230">
        <f t="shared" si="32"/>
        <v>1.0014636831238405E-2</v>
      </c>
      <c r="AR7" s="232">
        <f t="shared" si="27"/>
        <v>4.5815998664836213E-7</v>
      </c>
      <c r="AS7" s="228">
        <f t="shared" si="33"/>
        <v>8.1689406747607177E-2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23950.466479748509</v>
      </c>
      <c r="AK8" s="229">
        <f t="shared" si="18"/>
        <v>51.975838714732006</v>
      </c>
      <c r="AL8" s="229">
        <f t="shared" si="19"/>
        <v>35.503270443581719</v>
      </c>
      <c r="AM8" s="229">
        <f t="shared" si="20"/>
        <v>51.995074084703049</v>
      </c>
      <c r="AN8" s="2">
        <f t="shared" si="31"/>
        <v>35.503270443581727</v>
      </c>
      <c r="AO8" s="3">
        <f t="shared" si="21"/>
        <v>16359.907020402461</v>
      </c>
      <c r="AP8" s="227">
        <f t="shared" si="26"/>
        <v>5.8742760497669253E-3</v>
      </c>
      <c r="AQ8" s="227">
        <f t="shared" si="32"/>
        <v>2.6788204802500423E-2</v>
      </c>
      <c r="AR8" s="231">
        <f t="shared" si="27"/>
        <v>5.8157661288076248E-7</v>
      </c>
      <c r="AS8" s="228">
        <f t="shared" si="33"/>
        <v>6.4354062174899987E-2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29672.742262083237</v>
      </c>
      <c r="AK9" s="229">
        <f t="shared" si="18"/>
        <v>64.393971922923683</v>
      </c>
      <c r="AL9" s="229">
        <f t="shared" si="19"/>
        <v>47.292342597129583</v>
      </c>
      <c r="AM9" s="229">
        <f t="shared" si="20"/>
        <v>64.367033369292358</v>
      </c>
      <c r="AN9" s="2">
        <f t="shared" si="31"/>
        <v>47.29234259712959</v>
      </c>
      <c r="AO9" s="3">
        <f t="shared" si="21"/>
        <v>21792.311468757314</v>
      </c>
      <c r="AP9" s="227">
        <f t="shared" si="26"/>
        <v>9.5540628345698632E-3</v>
      </c>
      <c r="AQ9" s="227">
        <f t="shared" si="32"/>
        <v>5.3978530854139367E-2</v>
      </c>
      <c r="AR9" s="231">
        <f t="shared" si="27"/>
        <v>7.0455041936149019E-7</v>
      </c>
      <c r="AS9" s="228">
        <f t="shared" si="33"/>
        <v>5.3121560184031913E-2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34668.45089745953</v>
      </c>
      <c r="AK10" s="229">
        <f t="shared" si="18"/>
        <v>75.235353510111821</v>
      </c>
      <c r="AL10" s="229">
        <f t="shared" si="19"/>
        <v>57.584536088112245</v>
      </c>
      <c r="AM10" s="229">
        <f t="shared" si="20"/>
        <v>75.168103814961981</v>
      </c>
      <c r="AN10" s="2">
        <f t="shared" si="31"/>
        <v>57.584536088112245</v>
      </c>
      <c r="AO10" s="3">
        <f t="shared" si="21"/>
        <v>26534.954229402123</v>
      </c>
      <c r="AP10" s="227">
        <f t="shared" si="26"/>
        <v>1.334196011866778E-2</v>
      </c>
      <c r="AQ10" s="227">
        <f t="shared" si="32"/>
        <v>8.8070275942478543E-2</v>
      </c>
      <c r="AR10" s="231">
        <f t="shared" si="27"/>
        <v>8.1191003122385469E-7</v>
      </c>
      <c r="AS10" s="228">
        <f t="shared" si="33"/>
        <v>4.609724731246391E-2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f>1750*0.95</f>
        <v>1662.5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601.50375939849619</v>
      </c>
      <c r="O11" s="3">
        <f t="shared" si="5"/>
        <v>452.48868778280547</v>
      </c>
      <c r="P11" s="3">
        <f t="shared" si="6"/>
        <v>36090.225563909771</v>
      </c>
      <c r="Q11" s="3">
        <f t="shared" si="22"/>
        <v>27149.321266968327</v>
      </c>
      <c r="R11" s="3">
        <f t="shared" si="7"/>
        <v>78.320802005012524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1.6533763992356815E-2</v>
      </c>
      <c r="Y11" s="230">
        <f t="shared" si="29"/>
        <v>1.3386124014661127E-2</v>
      </c>
      <c r="Z11" s="228">
        <f t="shared" si="10"/>
        <v>2.1258862382116224</v>
      </c>
      <c r="AA11" s="229">
        <f t="shared" si="11"/>
        <v>30.402182245511412</v>
      </c>
      <c r="AB11" s="2">
        <f t="shared" si="30"/>
        <v>35.622227899706502</v>
      </c>
      <c r="AC11" s="158">
        <f t="shared" si="12"/>
        <v>28.601890072054754</v>
      </c>
      <c r="AD11" s="175">
        <f t="shared" si="13"/>
        <v>64.354252662123201</v>
      </c>
      <c r="AE11" s="175">
        <f t="shared" si="14"/>
        <v>78.184432555402111</v>
      </c>
      <c r="AF11" s="165">
        <f t="shared" si="25"/>
        <v>2.7335407680554504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37199.744901183418</v>
      </c>
      <c r="AK11" s="229">
        <f t="shared" si="18"/>
        <v>80.728613066804286</v>
      </c>
      <c r="AL11" s="229">
        <f t="shared" si="19"/>
        <v>62.799525506110612</v>
      </c>
      <c r="AM11" s="229">
        <f t="shared" si="20"/>
        <v>80.640937970924227</v>
      </c>
      <c r="AN11" s="2">
        <f t="shared" si="31"/>
        <v>62.799525506110612</v>
      </c>
      <c r="AO11" s="3">
        <f t="shared" si="21"/>
        <v>28938.021353215772</v>
      </c>
      <c r="AP11" s="227">
        <f t="shared" si="26"/>
        <v>1.5465992331033317E-2</v>
      </c>
      <c r="AQ11" s="227">
        <f t="shared" si="32"/>
        <v>0.10954511983208273</v>
      </c>
      <c r="AR11" s="231">
        <f t="shared" si="27"/>
        <v>8.6630846827939316E-7</v>
      </c>
      <c r="AS11" s="228">
        <f t="shared" si="33"/>
        <v>4.3202645333862533E-2</v>
      </c>
      <c r="AT11" s="232">
        <f t="shared" si="34"/>
        <v>-6.6780314501835029E-7</v>
      </c>
      <c r="AU11" s="165">
        <f t="shared" si="35"/>
        <v>5.6044685898818114E-2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38509.498032188094</v>
      </c>
      <c r="AK12" s="229">
        <f t="shared" si="18"/>
        <v>83.57095927124152</v>
      </c>
      <c r="AL12" s="229">
        <f t="shared" si="19"/>
        <v>65.497887967496482</v>
      </c>
      <c r="AM12" s="229">
        <f t="shared" si="20"/>
        <v>83.47271557585502</v>
      </c>
      <c r="AN12" s="2">
        <f t="shared" si="31"/>
        <v>65.497887967496453</v>
      </c>
      <c r="AO12" s="3">
        <f t="shared" si="21"/>
        <v>30181.426775422369</v>
      </c>
      <c r="AP12" s="227">
        <f t="shared" si="26"/>
        <v>1.6619075419863856E-2</v>
      </c>
      <c r="AQ12" s="227">
        <f t="shared" si="32"/>
        <v>0.12185686446649518</v>
      </c>
      <c r="AR12" s="231">
        <f t="shared" si="27"/>
        <v>8.9445554370818006E-7</v>
      </c>
      <c r="AS12" s="228">
        <f t="shared" si="33"/>
        <v>4.1843127663600217E-2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40071.185542234896</v>
      </c>
      <c r="AK13" s="229">
        <f t="shared" si="18"/>
        <v>86.960038069086139</v>
      </c>
      <c r="AL13" s="229">
        <f t="shared" si="19"/>
        <v>68.715287379470354</v>
      </c>
      <c r="AM13" s="229">
        <f t="shared" si="20"/>
        <v>86.849192876931085</v>
      </c>
      <c r="AN13" s="2">
        <f t="shared" si="31"/>
        <v>68.715287379470368</v>
      </c>
      <c r="AO13" s="3">
        <f t="shared" si="21"/>
        <v>31664.004424459948</v>
      </c>
      <c r="AP13" s="227">
        <f t="shared" si="26"/>
        <v>1.8042141553624113E-2</v>
      </c>
      <c r="AQ13" s="227">
        <f t="shared" si="32"/>
        <v>0.13765613133559368</v>
      </c>
      <c r="AR13" s="231">
        <f t="shared" si="27"/>
        <v>9.2801678139559334E-7</v>
      </c>
      <c r="AS13" s="228">
        <f t="shared" si="33"/>
        <v>4.0329893009598591E-2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91.795515843886037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79.801881522735954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15314.253530953289</v>
      </c>
      <c r="S40" s="67">
        <f>INDEX(LINEST($Q$5:$Q$13,$E$5:$E$13^{1,2},FALSE,FALSE),1)</f>
        <v>-894.0414950797807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65.109679479327085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INDEX(LINEST($P$4:$P$13,$M$4:$M$13),2)</f>
        <v>-26389.961376476051</v>
      </c>
      <c r="R41" s="67">
        <f>INDEX(LINEST($P$4:$P$13,$M$4:$M$13),1)</f>
        <v>12868.131855659965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40.972490408012526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-6377.3090093489736</v>
      </c>
      <c r="R42" s="69">
        <f>INDEX(LINEST($Q$4:$Q$13,$P$4:$P$13),1)</f>
        <v>0.94934334782068031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35.725275392509367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6790.5401842928841</v>
      </c>
      <c r="R43" s="69">
        <f>INDEX(LINEST($P$4:$P$13,$Q$4:$Q$13),1)</f>
        <v>1.0494430031006328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30.028299089963074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-1.8910509149417561E-3</v>
      </c>
      <c r="K47" s="180">
        <f>INDEX(LINEST($Y$3:$Y$13,$P$3:$P$13^{1,2}),2)</f>
        <v>6.6872299066293726E-8</v>
      </c>
      <c r="L47" s="180">
        <f>INDEX(LINEST($Y$3:$Y$13,$P$3:$P$13^{1,2}),1)</f>
        <v>1.0745183486294113E-11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P23" zoomScale="70" zoomScaleNormal="70" workbookViewId="0">
      <selection activeCell="AH40" sqref="AH40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I8" zoomScale="90" zoomScaleNormal="90" workbookViewId="0">
      <selection activeCell="Q46" sqref="Q4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2" si="1">D2/180+1</f>
        <v>1.0505883567628869</v>
      </c>
      <c r="D2" s="262">
        <f>EXP((0-$Q$40)/$R$40)</f>
        <v>9.1059042173196207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9.1059042173196207</v>
      </c>
      <c r="M2" s="234">
        <f t="shared" ref="M2:M12" si="4">LN(L2)</f>
        <v>2.2089230182233597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>N2*60/$C$24</f>
        <v>5.9999999999999995E-25</v>
      </c>
      <c r="Q2" s="4">
        <v>0</v>
      </c>
      <c r="R2" s="3">
        <f>P2/$Q$29</f>
        <v>1.3020833333333332E-27</v>
      </c>
      <c r="S2" s="3">
        <f>Q2/$Q$29</f>
        <v>0</v>
      </c>
      <c r="T2" s="3">
        <f t="shared" ref="T2:T12" si="6">L2</f>
        <v>9.1059042173196207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>$Q$36*(P2/$Q$29/100)^3</f>
        <v>9.76843480821773E-87</v>
      </c>
      <c r="AA2" s="229">
        <f>SQRT(Z2^3/4/$Q$26/$Q$32)</f>
        <v>9.469612348787209E-129</v>
      </c>
      <c r="AB2" s="1"/>
      <c r="AC2" s="158">
        <f>SQRT(Z2/$Q$32/$Q$26)</f>
        <v>1.9388187636407961E-42</v>
      </c>
      <c r="AD2" s="175">
        <f t="shared" ref="AD2:AD11" si="7">AC2*1/1.6/1000*3600</f>
        <v>4.3623422181917907E-42</v>
      </c>
      <c r="AE2" s="4">
        <f>Q2/60*PI()*$C$38/1000</f>
        <v>0</v>
      </c>
      <c r="AF2" s="158">
        <f>AE2/AC2</f>
        <v>0</v>
      </c>
      <c r="AH2" s="228">
        <f>D2/$Q$30*$Q$22</f>
        <v>0.25294178381443388</v>
      </c>
      <c r="AI2" s="228">
        <f>AH2/$Q$22*$Q$30</f>
        <v>9.105904217319619</v>
      </c>
      <c r="AJ2" s="229">
        <f>MAX(($Q$40+$R$40*LN($AI2)),0)</f>
        <v>0</v>
      </c>
      <c r="AK2" s="229">
        <f>MAX(($Q$40+$R$40*LN(AI2))/$Q$29,0)</f>
        <v>0</v>
      </c>
      <c r="AL2" s="229">
        <f>($Q$41+$R$41*AK2*$Q$29)/$Q$29</f>
        <v>-16.322696673317804</v>
      </c>
      <c r="AM2" s="229">
        <f>($Q$42+$R$42*AL2*$Q$29)/$Q$29</f>
        <v>0.28055245175112969</v>
      </c>
      <c r="AN2" s="1"/>
      <c r="AO2" s="1">
        <f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>N3*60/$C$24</f>
        <v>7936.5079365079364</v>
      </c>
      <c r="Q3" s="3">
        <f>O3*60/$C$24</f>
        <v>5.9999999999999995E-25</v>
      </c>
      <c r="R3" s="3">
        <f>P3/$Q$29</f>
        <v>17.22332451499118</v>
      </c>
      <c r="S3" s="3">
        <f>Q3/$Q$29</f>
        <v>1.3020833333333332E-27</v>
      </c>
      <c r="T3" s="3">
        <f>L3</f>
        <v>11</v>
      </c>
      <c r="U3" s="158">
        <f>K3</f>
        <v>3.9959400000000005</v>
      </c>
      <c r="V3" s="1">
        <f t="shared" ref="V3:V12" si="8">($U3-$U$2)</f>
        <v>3.0664600000000006</v>
      </c>
      <c r="W3" s="234">
        <f t="shared" ref="W3:W12" si="9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>$Q$36*(P3/$Q$29/100)^3</f>
        <v>2.2607867332556594E-2</v>
      </c>
      <c r="AA3" s="229">
        <f>SQRT(Z3^3/4/$Q$26/$Q$32)</f>
        <v>3.3341422214415065E-2</v>
      </c>
      <c r="AB3" s="2">
        <f>AA3/U3*100</f>
        <v>0.83438245355073049</v>
      </c>
      <c r="AC3" s="158">
        <f>SQRT(Z3/$Q$32/$Q$26)</f>
        <v>2.9495415665679845</v>
      </c>
      <c r="AD3" s="175">
        <f t="shared" si="7"/>
        <v>6.636468524777964</v>
      </c>
      <c r="AE3" s="4">
        <f>Q3/60*PI()*$C$38/1000</f>
        <v>1.7278759594743859E-27</v>
      </c>
      <c r="AF3" s="158">
        <f t="shared" ref="AF3:AF12" si="10">AE3/AC3</f>
        <v>5.8581170004832332E-28</v>
      </c>
      <c r="AH3" s="228">
        <f>D3/$Q$30*$Q$22</f>
        <v>0.30555555555555552</v>
      </c>
      <c r="AI3" s="228">
        <f>AH3/$Q$22*$Q$30</f>
        <v>10.999999999999998</v>
      </c>
      <c r="AJ3" s="229">
        <f>MAX(($Q$40+$R$40*LN($AI3)),0)</f>
        <v>2702.6697175951012</v>
      </c>
      <c r="AK3" s="229">
        <f>MAX(($Q$40+$R$40*LN(AI3))/$Q$29,0)</f>
        <v>5.86516865797548</v>
      </c>
      <c r="AL3" s="229">
        <f>($Q$41+$R$41*AK3*$Q$29)/$Q$29</f>
        <v>-10.403603149045443</v>
      </c>
      <c r="AM3" s="229">
        <f>($Q$42+$R$42*AL3*$Q$29)/$Q$29</f>
        <v>6.117839865509465</v>
      </c>
      <c r="AN3" s="1"/>
      <c r="AO3" s="1">
        <f>MAX($Q$41+$R$41*AJ3, 0)</f>
        <v>0</v>
      </c>
      <c r="AP3" s="227">
        <f>MAX($J$46+$AJ3*($K$46+$AJ3*$L$46), 0)</f>
        <v>0</v>
      </c>
      <c r="AQ3" s="227">
        <f>AJ3*AP3/5252</f>
        <v>0</v>
      </c>
      <c r="AR3" s="231">
        <f>MAX($K$46+$L$46*2*AJ3,1E-32)</f>
        <v>2.1589455983921055E-7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>N4*60/$C$24</f>
        <v>9933.7748344370866</v>
      </c>
      <c r="Q4" s="3">
        <f>O4*60/$C$24</f>
        <v>750.00000000000011</v>
      </c>
      <c r="R4" s="3">
        <f>P4/$Q$29</f>
        <v>21.557671081677704</v>
      </c>
      <c r="S4" s="3">
        <f>Q4/$Q$29</f>
        <v>1.627604166666667</v>
      </c>
      <c r="T4" s="3">
        <f t="shared" si="6"/>
        <v>15</v>
      </c>
      <c r="U4" s="158">
        <f t="shared" si="0"/>
        <v>5.16906</v>
      </c>
      <c r="V4" s="229">
        <f t="shared" si="8"/>
        <v>4.2395800000000001</v>
      </c>
      <c r="W4" s="234">
        <f t="shared" si="9"/>
        <v>5.6853700507600007E-3</v>
      </c>
      <c r="X4" s="230">
        <f t="shared" ref="X4:X12" si="11">$W4/$P4*5252</f>
        <v>3.0058627263302132E-3</v>
      </c>
      <c r="Y4" s="230">
        <f t="shared" ref="Y4:Y12" si="12">X4-$X$3</f>
        <v>2.8461255628665872E-4</v>
      </c>
      <c r="Z4" s="228">
        <f>$Q$36*(P4/$Q$29/100)^3</f>
        <v>4.4331677644672267E-2</v>
      </c>
      <c r="AA4" s="229">
        <f>SQRT(Z4^3/4/$Q$26/$Q$32)</f>
        <v>9.1551608116826624E-2</v>
      </c>
      <c r="AB4" s="2">
        <f t="shared" ref="AB4:AB11" si="13">AA4/U4*100</f>
        <v>1.7711461681007112</v>
      </c>
      <c r="AC4" s="158">
        <f>SQRT(Z4/$Q$32/$Q$26)</f>
        <v>4.1303019863417774</v>
      </c>
      <c r="AD4" s="175">
        <f t="shared" si="7"/>
        <v>9.2931794692689991</v>
      </c>
      <c r="AE4" s="175">
        <f>Q4/60*PI()*$C$38/1000</f>
        <v>2.1598449493429834</v>
      </c>
      <c r="AF4" s="158">
        <f t="shared" si="10"/>
        <v>0.52292664228553554</v>
      </c>
      <c r="AG4" s="151"/>
      <c r="AH4" s="228">
        <f>D4/$Q$30*$Q$22</f>
        <v>0.41666666666666663</v>
      </c>
      <c r="AI4" s="228">
        <f>AH4/$Q$22*$Q$30</f>
        <v>15</v>
      </c>
      <c r="AJ4" s="229">
        <f>MAX(($Q$40+$R$40*LN($AI4)),0)</f>
        <v>7138.4866811744396</v>
      </c>
      <c r="AK4" s="229">
        <f>MAX(($Q$40+$R$40*LN(AI4))/$Q$29,0)</f>
        <v>15.49150755463203</v>
      </c>
      <c r="AL4" s="229">
        <f>($Q$41+$R$41*AK4*$Q$29)/$Q$29</f>
        <v>-0.68875886265473696</v>
      </c>
      <c r="AM4" s="229">
        <f>($Q$42+$R$42*AL4*$Q$29)/$Q$29</f>
        <v>15.698418048136123</v>
      </c>
      <c r="AN4" s="2">
        <f>AO4/$Q$29</f>
        <v>0</v>
      </c>
      <c r="AO4" s="3">
        <f>MAX($Q$41+$R$41*AJ4, 0)</f>
        <v>0</v>
      </c>
      <c r="AP4" s="227">
        <f>MAX($J$46+$AJ4*($K$46+$AJ4*$L$46), 0)</f>
        <v>0</v>
      </c>
      <c r="AQ4" s="227">
        <f t="shared" ref="AQ4:AQ13" si="14">AJ4*AP4/5252</f>
        <v>0</v>
      </c>
      <c r="AR4" s="231">
        <f>MAX($K$46+$L$46*2*AJ4,1E-32)</f>
        <v>2.9746648396618457E-7</v>
      </c>
      <c r="AS4" s="228">
        <f>$Q$34/AR4</f>
        <v>0.125818603177664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>N5*60/$C$24</f>
        <v>14150.943396226416</v>
      </c>
      <c r="Q5" s="3">
        <f>O5*60/$C$24</f>
        <v>7317.0731707317073</v>
      </c>
      <c r="R5" s="3">
        <f>P5/$Q$29</f>
        <v>30.709512578616351</v>
      </c>
      <c r="S5" s="3">
        <f>Q5/$Q$29</f>
        <v>15.879065040650406</v>
      </c>
      <c r="T5" s="3">
        <f t="shared" si="6"/>
        <v>26</v>
      </c>
      <c r="U5" s="158">
        <f t="shared" si="0"/>
        <v>9.6257999999999999</v>
      </c>
      <c r="V5" s="229">
        <f t="shared" si="8"/>
        <v>8.6963200000000001</v>
      </c>
      <c r="W5" s="234">
        <f t="shared" si="9"/>
        <v>1.1661956439040002E-2</v>
      </c>
      <c r="X5" s="230">
        <f t="shared" si="11"/>
        <v>4.3282340620605583E-3</v>
      </c>
      <c r="Y5" s="230">
        <f t="shared" si="12"/>
        <v>1.6069838920170039E-3</v>
      </c>
      <c r="Z5" s="228">
        <f>$Q$36*(P5/$Q$29/100)^3</f>
        <v>0.12815259734411796</v>
      </c>
      <c r="AA5" s="229">
        <f>SQRT(Z5^3/4/$Q$26/$Q$32)</f>
        <v>0.44997236896437842</v>
      </c>
      <c r="AB5" s="2">
        <f t="shared" si="13"/>
        <v>4.6746490573705914</v>
      </c>
      <c r="AC5" s="158">
        <f>SQRT(Z5/$Q$32/$Q$26)</f>
        <v>7.0224463380340776</v>
      </c>
      <c r="AD5" s="175">
        <f t="shared" si="7"/>
        <v>15.800504260576671</v>
      </c>
      <c r="AE5" s="175">
        <f>Q5/60*PI()*$C$38/1000</f>
        <v>21.071658042370565</v>
      </c>
      <c r="AF5" s="158">
        <f t="shared" si="10"/>
        <v>3.0006150318650269</v>
      </c>
      <c r="AG5" s="151"/>
      <c r="AH5" s="228">
        <f>D5/$Q$30*$Q$22</f>
        <v>0.7222222222222221</v>
      </c>
      <c r="AI5" s="228">
        <f>AH5/$Q$22*$Q$30</f>
        <v>25.999999999999996</v>
      </c>
      <c r="AJ5" s="229">
        <f>MAX(($Q$40+$R$40*LN($AI5)),0)</f>
        <v>15005.216013525915</v>
      </c>
      <c r="AK5" s="229">
        <f>MAX(($Q$40+$R$40*LN(AI5))/$Q$29,0)</f>
        <v>32.563402807130892</v>
      </c>
      <c r="AL5" s="229">
        <f>($Q$41+$R$41*AK5*$Q$29)/$Q$29</f>
        <v>16.540096866619766</v>
      </c>
      <c r="AM5" s="229">
        <f>($Q$42+$R$42*AL5*$Q$29)/$Q$29</f>
        <v>32.689158655552923</v>
      </c>
      <c r="AN5" s="2">
        <f>AO5/$Q$29</f>
        <v>16.540096866619763</v>
      </c>
      <c r="AO5" s="3">
        <f>MAX($Q$41+$R$41*AJ5, 0)</f>
        <v>7621.676636138387</v>
      </c>
      <c r="AP5" s="227">
        <f>MAX($J$46+$AJ5*($K$46+$AJ5*$L$46), 0)</f>
        <v>2.3095905283023526E-3</v>
      </c>
      <c r="AQ5" s="227">
        <f t="shared" si="14"/>
        <v>6.5986109634368307E-3</v>
      </c>
      <c r="AR5" s="231">
        <f>MAX($K$46+$L$46*2*AJ5,1E-32)</f>
        <v>4.4213075967791568E-7</v>
      </c>
      <c r="AS5" s="228">
        <f>$Q$34/AR5</f>
        <v>8.4651014853752968E-2</v>
      </c>
      <c r="AT5" s="232"/>
      <c r="AU5" s="165"/>
      <c r="AX5" s="127"/>
      <c r="AY5" s="96"/>
    </row>
    <row r="6" spans="1:51" ht="13.95" customHeight="1" x14ac:dyDescent="0.3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0.88100000000000001</v>
      </c>
      <c r="F6" s="73">
        <v>12.18</v>
      </c>
      <c r="G6" s="73">
        <v>1.3280000000000001</v>
      </c>
      <c r="H6" s="73">
        <v>3350</v>
      </c>
      <c r="I6" s="78">
        <v>5360</v>
      </c>
      <c r="J6" s="61"/>
      <c r="K6" s="2">
        <f t="shared" si="2"/>
        <v>16.175039999999999</v>
      </c>
      <c r="L6" s="1">
        <f t="shared" si="3"/>
        <v>34</v>
      </c>
      <c r="M6" s="234">
        <f t="shared" si="4"/>
        <v>3.5263605246161616</v>
      </c>
      <c r="N6" s="3">
        <f t="shared" si="5"/>
        <v>298.50746268656718</v>
      </c>
      <c r="O6" s="3">
        <f t="shared" si="5"/>
        <v>186.56716417910448</v>
      </c>
      <c r="P6" s="3">
        <f>N6*60/$C$24</f>
        <v>17910.447761194031</v>
      </c>
      <c r="Q6" s="3">
        <f>O6*60/$C$24</f>
        <v>11194.029850746268</v>
      </c>
      <c r="R6" s="3">
        <f>P6/$Q$29</f>
        <v>38.868159203980099</v>
      </c>
      <c r="S6" s="3">
        <f>Q6/$Q$29</f>
        <v>24.292599502487562</v>
      </c>
      <c r="T6" s="3">
        <f t="shared" si="6"/>
        <v>34</v>
      </c>
      <c r="U6" s="158">
        <f t="shared" si="0"/>
        <v>16.175039999999999</v>
      </c>
      <c r="V6" s="229">
        <f t="shared" si="8"/>
        <v>15.245559999999999</v>
      </c>
      <c r="W6" s="234">
        <f t="shared" si="9"/>
        <v>2.0444631362320002E-2</v>
      </c>
      <c r="X6" s="230">
        <f t="shared" si="11"/>
        <v>5.9951155519155095E-3</v>
      </c>
      <c r="Y6" s="230">
        <f t="shared" si="12"/>
        <v>3.273865381871955E-3</v>
      </c>
      <c r="Z6" s="228">
        <f>$Q$36*(P6/$Q$29/100)^3</f>
        <v>0.25983075865629035</v>
      </c>
      <c r="AA6" s="229">
        <f>SQRT(Z6^3/4/$Q$26/$Q$32)</f>
        <v>1.2990640646721523</v>
      </c>
      <c r="AB6" s="2">
        <f t="shared" si="13"/>
        <v>8.0312881122529056</v>
      </c>
      <c r="AC6" s="158">
        <f>SQRT(Z6/$Q$32/$Q$26)</f>
        <v>9.9993093303520837</v>
      </c>
      <c r="AD6" s="175">
        <f t="shared" si="7"/>
        <v>22.49844599329219</v>
      </c>
      <c r="AE6" s="175">
        <f>Q6/60*PI()*$C$38/1000</f>
        <v>32.236491781238549</v>
      </c>
      <c r="AF6" s="158">
        <f t="shared" si="10"/>
        <v>3.2238718411668015</v>
      </c>
      <c r="AG6" s="151"/>
      <c r="AH6" s="228">
        <f>D6/$Q$30*$Q$22</f>
        <v>0.94444444444444442</v>
      </c>
      <c r="AI6" s="228">
        <f>AH6/$Q$22*$Q$30</f>
        <v>34</v>
      </c>
      <c r="AJ6" s="233">
        <f>MAX(($Q$40+$R$40*LN($AI6)),0)</f>
        <v>18841.911270834102</v>
      </c>
      <c r="AK6" s="233">
        <f>MAX(($Q$40+$R$40*LN(AI6))/$Q$29,0)</f>
        <v>40.889564389830952</v>
      </c>
      <c r="AL6" s="233">
        <f>($Q$41+$R$41*AK6*$Q$29)/$Q$29</f>
        <v>24.942809896736911</v>
      </c>
      <c r="AM6" s="233">
        <f>($Q$42+$R$42*AL6*$Q$29)/$Q$29</f>
        <v>40.975740175339872</v>
      </c>
      <c r="AN6" s="9">
        <f>AO6/$Q$29</f>
        <v>24.942809896736904</v>
      </c>
      <c r="AO6" s="10">
        <f>MAX($Q$41+$R$41*AJ6, 0)</f>
        <v>11493.646800416365</v>
      </c>
      <c r="AP6" s="230">
        <f>MAX($J$46+$AJ6*($K$46+$AJ6*$L$46), 0)</f>
        <v>4.1412594738406304E-3</v>
      </c>
      <c r="AQ6" s="230">
        <f t="shared" si="14"/>
        <v>1.485705322840942E-2</v>
      </c>
      <c r="AR6" s="232">
        <f>MAX($K$46+$L$46*2*AJ6,1E-32)</f>
        <v>5.1268520703160597E-7</v>
      </c>
      <c r="AS6" s="228">
        <f>$Q$34/AR6</f>
        <v>7.3001555323770131E-2</v>
      </c>
      <c r="AT6" s="232">
        <f>$Q$43*$Q$26*$Q$35^2*$Q$32*PI()/240*($AC6-$Q$45)/$Q$44*$Q$33</f>
        <v>-1.2605004939959085E-7</v>
      </c>
      <c r="AU6" s="165">
        <f>-$Q$34/AT6</f>
        <v>0.29692029224161343</v>
      </c>
      <c r="AX6" s="127"/>
      <c r="AY6" s="96"/>
    </row>
    <row r="7" spans="1:51" ht="13.95" customHeight="1" x14ac:dyDescent="0.3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1.2849999999999999</v>
      </c>
      <c r="F7" s="73">
        <v>12.14</v>
      </c>
      <c r="G7" s="73">
        <v>2.54</v>
      </c>
      <c r="H7" s="73">
        <v>2620</v>
      </c>
      <c r="I7" s="78">
        <v>3640</v>
      </c>
      <c r="J7" s="61"/>
      <c r="K7" s="2">
        <f t="shared" si="2"/>
        <v>30.835600000000003</v>
      </c>
      <c r="L7" s="1">
        <f t="shared" si="3"/>
        <v>51</v>
      </c>
      <c r="M7" s="234">
        <f t="shared" si="4"/>
        <v>3.9318256327243257</v>
      </c>
      <c r="N7" s="3">
        <f t="shared" si="5"/>
        <v>381.67938931297709</v>
      </c>
      <c r="O7" s="3">
        <f t="shared" si="5"/>
        <v>274.72527472527474</v>
      </c>
      <c r="P7" s="3">
        <f>N7*60/$C$24</f>
        <v>22900.763358778626</v>
      </c>
      <c r="Q7" s="3">
        <f>O7*60/$C$24</f>
        <v>16483.516483516483</v>
      </c>
      <c r="R7" s="3">
        <f>P7/$Q$29</f>
        <v>49.697837150127228</v>
      </c>
      <c r="S7" s="3">
        <f>Q7/$Q$29</f>
        <v>35.771520146520146</v>
      </c>
      <c r="T7" s="3">
        <f t="shared" si="6"/>
        <v>51</v>
      </c>
      <c r="U7" s="158">
        <f t="shared" si="0"/>
        <v>30.835600000000003</v>
      </c>
      <c r="V7" s="229">
        <f t="shared" si="8"/>
        <v>29.906120000000001</v>
      </c>
      <c r="W7" s="234">
        <f t="shared" si="9"/>
        <v>4.0104764854640006E-2</v>
      </c>
      <c r="X7" s="230">
        <f t="shared" si="11"/>
        <v>9.1975198257235272E-3</v>
      </c>
      <c r="Y7" s="230">
        <f t="shared" si="12"/>
        <v>6.4762696556799728E-3</v>
      </c>
      <c r="Z7" s="228">
        <f>$Q$36*(P7/$Q$29/100)^3</f>
        <v>0.54315165668436749</v>
      </c>
      <c r="AA7" s="229">
        <f>SQRT(Z7^3/4/$Q$26/$Q$32)</f>
        <v>3.9262359022114204</v>
      </c>
      <c r="AB7" s="2">
        <f t="shared" si="13"/>
        <v>12.732802028212262</v>
      </c>
      <c r="AC7" s="158">
        <f>SQRT(Z7/$Q$32/$Q$26)</f>
        <v>14.457236220833282</v>
      </c>
      <c r="AD7" s="175">
        <f t="shared" si="7"/>
        <v>32.528781496874885</v>
      </c>
      <c r="AE7" s="175">
        <f>Q7/60*PI()*$C$38/1000</f>
        <v>47.469119765779844</v>
      </c>
      <c r="AF7" s="158">
        <f t="shared" si="10"/>
        <v>3.2834159337713187</v>
      </c>
      <c r="AG7" s="151"/>
      <c r="AH7" s="228">
        <f>D7/$Q$30*$Q$22</f>
        <v>1.4166666666666665</v>
      </c>
      <c r="AI7" s="228">
        <f>AH7/$Q$22*$Q$30</f>
        <v>51</v>
      </c>
      <c r="AJ7" s="229">
        <f>MAX(($Q$40+$R$40*LN($AI7)),0)</f>
        <v>24640.848642300854</v>
      </c>
      <c r="AK7" s="229">
        <f>MAX(($Q$40+$R$40*LN(AI7))/$Q$29,0)</f>
        <v>53.474063893882061</v>
      </c>
      <c r="AL7" s="229">
        <f>($Q$41+$R$41*AK7*$Q$29)/$Q$29</f>
        <v>37.643012374179307</v>
      </c>
      <c r="AM7" s="229">
        <f>($Q$42+$R$42*AL7*$Q$29)/$Q$29</f>
        <v>53.500416761332886</v>
      </c>
      <c r="AN7" s="2">
        <f>AO7/$Q$29</f>
        <v>37.643012374179307</v>
      </c>
      <c r="AO7" s="3">
        <f>MAX($Q$41+$R$41*AJ7, 0)</f>
        <v>17345.900102021824</v>
      </c>
      <c r="AP7" s="227">
        <f>MAX($J$46+$AJ7*($K$46+$AJ7*$L$46), 0)</f>
        <v>7.4234849258282935E-3</v>
      </c>
      <c r="AQ7" s="227">
        <f t="shared" si="14"/>
        <v>3.4828821107337579E-2</v>
      </c>
      <c r="AR7" s="231">
        <f>MAX($K$46+$L$46*2*AJ7,1E-32)</f>
        <v>6.1932407043968115E-7</v>
      </c>
      <c r="AS7" s="228">
        <f>$Q$34/AR7</f>
        <v>6.0431717885961765E-2</v>
      </c>
      <c r="AT7" s="232">
        <f>$Q$43*$Q$26*$Q$35^2*$Q$32*PI()/240*($AC7-$Q$45)/$Q$44*$Q$33</f>
        <v>-2.3844995659344025E-7</v>
      </c>
      <c r="AU7" s="165">
        <f>-$Q$34/AT7</f>
        <v>0.15695879353255432</v>
      </c>
      <c r="AX7" s="127"/>
      <c r="AY7" s="96"/>
    </row>
    <row r="8" spans="1:51" ht="13.95" customHeight="1" x14ac:dyDescent="0.3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1.702</v>
      </c>
      <c r="F8" s="73">
        <v>12.07</v>
      </c>
      <c r="G8" s="73">
        <v>4.46</v>
      </c>
      <c r="H8" s="73">
        <v>2100</v>
      </c>
      <c r="I8" s="78">
        <v>2740</v>
      </c>
      <c r="J8" s="61"/>
      <c r="K8" s="2">
        <f t="shared" si="2"/>
        <v>53.8322</v>
      </c>
      <c r="L8" s="1">
        <f t="shared" si="3"/>
        <v>76</v>
      </c>
      <c r="M8" s="234">
        <f t="shared" si="4"/>
        <v>4.3307333402863311</v>
      </c>
      <c r="N8" s="3">
        <f t="shared" si="5"/>
        <v>476.1904761904762</v>
      </c>
      <c r="O8" s="3">
        <f t="shared" si="5"/>
        <v>364.96350364963502</v>
      </c>
      <c r="P8" s="3">
        <f>N8*60/$C$24</f>
        <v>28571.428571428572</v>
      </c>
      <c r="Q8" s="3">
        <f>O8*60/$C$24</f>
        <v>21897.810218978102</v>
      </c>
      <c r="R8" s="3">
        <f>P8/$Q$29</f>
        <v>62.003968253968253</v>
      </c>
      <c r="S8" s="3">
        <f>Q8/$Q$29</f>
        <v>47.521289537712896</v>
      </c>
      <c r="T8" s="3">
        <f t="shared" si="6"/>
        <v>76</v>
      </c>
      <c r="U8" s="158">
        <f t="shared" si="0"/>
        <v>53.8322</v>
      </c>
      <c r="V8" s="229">
        <f t="shared" si="8"/>
        <v>52.902720000000002</v>
      </c>
      <c r="W8" s="234">
        <f t="shared" si="9"/>
        <v>7.0943711379840013E-2</v>
      </c>
      <c r="X8" s="230">
        <f t="shared" si="11"/>
        <v>1.3040873025842191E-2</v>
      </c>
      <c r="Y8" s="230">
        <f t="shared" si="12"/>
        <v>1.0319622855798637E-2</v>
      </c>
      <c r="Z8" s="228">
        <f>$Q$36*(P8/$Q$29/100)^3</f>
        <v>1.0547926582677607</v>
      </c>
      <c r="AA8" s="229">
        <f>SQRT(Z8^3/4/$Q$26/$Q$32)</f>
        <v>10.62540211180036</v>
      </c>
      <c r="AB8" s="2">
        <f t="shared" si="13"/>
        <v>19.73800459910678</v>
      </c>
      <c r="AC8" s="158">
        <f>SQRT(Z8/$Q$32/$Q$26)</f>
        <v>20.146901911983324</v>
      </c>
      <c r="AD8" s="175">
        <f t="shared" si="7"/>
        <v>45.330529301962478</v>
      </c>
      <c r="AE8" s="175">
        <f>Q8/60*PI()*$C$38/1000</f>
        <v>63.061166404174671</v>
      </c>
      <c r="AF8" s="163">
        <f t="shared" si="10"/>
        <v>3.1300676739119901</v>
      </c>
      <c r="AG8" s="159">
        <f>$M$40/($Q$26*$Q$35*$Q$32*($AC8-$Q$45)^2/4/$AF8)/(PI()*$Q$35/60/($AC8-$Q$45))</f>
        <v>-1.0396896822678605</v>
      </c>
      <c r="AH8" s="228">
        <f>D8/$Q$30*$Q$22</f>
        <v>2.1111111111111112</v>
      </c>
      <c r="AI8" s="228">
        <f>AH8/$Q$22*$Q$30</f>
        <v>76</v>
      </c>
      <c r="AJ8" s="229">
        <f>MAX(($Q$40+$R$40*LN($AI8)),0)</f>
        <v>30346.002469076866</v>
      </c>
      <c r="AK8" s="229">
        <f>MAX(($Q$40+$R$40*LN(AI8))/$Q$29,0)</f>
        <v>65.855040080461947</v>
      </c>
      <c r="AL8" s="229">
        <f>($Q$41+$R$41*AK8*$Q$29)/$Q$29</f>
        <v>50.137820323223224</v>
      </c>
      <c r="AM8" s="229">
        <f>($Q$42+$R$42*AL8*$Q$29)/$Q$29</f>
        <v>65.822537518370197</v>
      </c>
      <c r="AN8" s="2">
        <f>AO8/$Q$29</f>
        <v>50.137820323223224</v>
      </c>
      <c r="AO8" s="3">
        <f>MAX($Q$41+$R$41*AJ8, 0)</f>
        <v>23103.507604941264</v>
      </c>
      <c r="AP8" s="227">
        <f>MAX($J$46+$AJ8*($K$46+$AJ8*$L$46), 0)</f>
        <v>1.1256099961380434E-2</v>
      </c>
      <c r="AQ8" s="227">
        <f t="shared" si="14"/>
        <v>6.5037630849243466E-2</v>
      </c>
      <c r="AR8" s="231">
        <f>MAX($K$46+$L$46*2*AJ8,1E-32)</f>
        <v>7.2423831259879962E-7</v>
      </c>
      <c r="AS8" s="228">
        <f>$Q$34/AR8</f>
        <v>5.167748909954361E-2</v>
      </c>
      <c r="AT8" s="232">
        <f>$Q$43*$Q$26*$Q$35^2*$Q$32*PI()/240*($AC8-$Q$45)/$Q$44*$Q$33</f>
        <v>-3.8190630106935038E-7</v>
      </c>
      <c r="AU8" s="165">
        <f>-$Q$34/AT8</f>
        <v>9.7999999999999962E-2</v>
      </c>
      <c r="AX8" s="127"/>
      <c r="AY8" s="96"/>
    </row>
    <row r="9" spans="1:51" ht="13.95" customHeight="1" x14ac:dyDescent="0.3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1.9330000000000001</v>
      </c>
      <c r="F9" s="73">
        <v>12</v>
      </c>
      <c r="G9" s="73">
        <v>5.81</v>
      </c>
      <c r="H9" s="73">
        <v>1870</v>
      </c>
      <c r="I9" s="78">
        <v>2420</v>
      </c>
      <c r="J9" s="61"/>
      <c r="K9" s="2">
        <f t="shared" si="2"/>
        <v>69.72</v>
      </c>
      <c r="L9" s="1">
        <f t="shared" si="3"/>
        <v>91</v>
      </c>
      <c r="M9" s="234">
        <f t="shared" si="4"/>
        <v>4.5108595065168497</v>
      </c>
      <c r="N9" s="3">
        <f t="shared" si="5"/>
        <v>534.75935828877004</v>
      </c>
      <c r="O9" s="3">
        <f t="shared" si="5"/>
        <v>413.22314049586777</v>
      </c>
      <c r="P9" s="3">
        <f>N9*60/$C$24</f>
        <v>32085.561497326202</v>
      </c>
      <c r="Q9" s="3">
        <f>O9*60/$C$24</f>
        <v>24793.388429752067</v>
      </c>
      <c r="R9" s="3">
        <f>P9/$Q$29</f>
        <v>69.630124777183596</v>
      </c>
      <c r="S9" s="3">
        <f>Q9/$Q$29</f>
        <v>53.805096418732781</v>
      </c>
      <c r="T9" s="3">
        <f t="shared" si="6"/>
        <v>91</v>
      </c>
      <c r="U9" s="158">
        <f t="shared" si="0"/>
        <v>69.72</v>
      </c>
      <c r="V9" s="229">
        <f t="shared" si="8"/>
        <v>68.790520000000001</v>
      </c>
      <c r="W9" s="234">
        <f t="shared" si="9"/>
        <v>9.2249600711440005E-2</v>
      </c>
      <c r="X9" s="230">
        <f t="shared" si="11"/>
        <v>1.5100091141520385E-2</v>
      </c>
      <c r="Y9" s="230">
        <f t="shared" si="12"/>
        <v>1.2378840971476832E-2</v>
      </c>
      <c r="Z9" s="228">
        <f>$Q$36*(P9/$Q$29/100)^3</f>
        <v>1.4938265119186129</v>
      </c>
      <c r="AA9" s="229">
        <f>SQRT(Z9^3/4/$Q$26/$Q$32)</f>
        <v>17.907912822547804</v>
      </c>
      <c r="AB9" s="2">
        <f t="shared" si="13"/>
        <v>25.685474501646304</v>
      </c>
      <c r="AC9" s="158">
        <f>SQRT(Z9/$Q$32/$Q$26)</f>
        <v>23.975893692698723</v>
      </c>
      <c r="AD9" s="175">
        <f t="shared" si="7"/>
        <v>53.945760808572125</v>
      </c>
      <c r="AE9" s="175">
        <f>Q9/60*PI()*$C$38/1000</f>
        <v>71.399833036131668</v>
      </c>
      <c r="AF9" s="165">
        <f t="shared" si="10"/>
        <v>2.9779842182848331</v>
      </c>
      <c r="AG9" s="151"/>
      <c r="AH9" s="228">
        <f>D9/$Q$30*$Q$22</f>
        <v>2.5277777777777777</v>
      </c>
      <c r="AI9" s="228">
        <f>AH9/$Q$22*$Q$30</f>
        <v>91</v>
      </c>
      <c r="AJ9" s="229">
        <f>MAX(($Q$40+$R$40*LN($AI9)),0)</f>
        <v>32922.1559679731</v>
      </c>
      <c r="AK9" s="229">
        <f>MAX(($Q$40+$R$40*LN(AI9))/$Q$29,0)</f>
        <v>71.445650972163847</v>
      </c>
      <c r="AL9" s="229">
        <f>($Q$41+$R$41*AK9*$Q$29)/$Q$29</f>
        <v>55.779831773448365</v>
      </c>
      <c r="AM9" s="229">
        <f>($Q$42+$R$42*AL9*$Q$29)/$Q$29</f>
        <v>71.386572330732491</v>
      </c>
      <c r="AN9" s="2">
        <f>AO9/$Q$29</f>
        <v>55.779831773448365</v>
      </c>
      <c r="AO9" s="3">
        <f>MAX($Q$41+$R$41*AJ9, 0)</f>
        <v>25703.346481205008</v>
      </c>
      <c r="AP9" s="227">
        <f>MAX($J$46+$AJ9*($K$46+$AJ9*$L$46), 0)</f>
        <v>1.3182870199544647E-2</v>
      </c>
      <c r="AQ9" s="227">
        <f t="shared" si="14"/>
        <v>8.2636806705055896E-2</v>
      </c>
      <c r="AR9" s="231">
        <f>MAX($K$46+$L$46*2*AJ9,1E-32)</f>
        <v>7.7161217844511155E-7</v>
      </c>
      <c r="AS9" s="228">
        <f>$Q$34/AR9</f>
        <v>4.8504700353765438E-2</v>
      </c>
      <c r="AT9" s="232">
        <f>$Q$43*$Q$26*$Q$35^2*$Q$32*PI()/240*($AC9-$Q$45)/$Q$44*$Q$33</f>
        <v>-4.7844855745255605E-7</v>
      </c>
      <c r="AU9" s="165">
        <f>-$Q$34/AT9</f>
        <v>7.8225374330881212E-2</v>
      </c>
      <c r="AX9" s="150"/>
      <c r="AY9" s="152"/>
    </row>
    <row r="10" spans="1:51" ht="13.95" customHeight="1" x14ac:dyDescent="0.3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2.1789999999999998</v>
      </c>
      <c r="F10" s="73">
        <v>11.96</v>
      </c>
      <c r="G10" s="73">
        <v>7.56</v>
      </c>
      <c r="H10" s="73">
        <v>1710</v>
      </c>
      <c r="I10" s="78">
        <v>2150</v>
      </c>
      <c r="J10" s="61"/>
      <c r="K10" s="2">
        <f t="shared" si="2"/>
        <v>90.417600000000007</v>
      </c>
      <c r="L10" s="1">
        <f t="shared" si="3"/>
        <v>106</v>
      </c>
      <c r="M10" s="234">
        <f t="shared" si="4"/>
        <v>4.6634390941120669</v>
      </c>
      <c r="N10" s="3">
        <f t="shared" si="5"/>
        <v>584.79532163742692</v>
      </c>
      <c r="O10" s="3">
        <f t="shared" si="5"/>
        <v>465.11627906976747</v>
      </c>
      <c r="P10" s="3">
        <f>N10*60/$C$24</f>
        <v>35087.719298245618</v>
      </c>
      <c r="Q10" s="3">
        <f>O10*60/$C$24</f>
        <v>27906.976744186049</v>
      </c>
      <c r="R10" s="3">
        <f>P10/$Q$29</f>
        <v>76.145224171539965</v>
      </c>
      <c r="S10" s="3">
        <f>Q10/$Q$29</f>
        <v>60.562015503875976</v>
      </c>
      <c r="T10" s="3">
        <f t="shared" si="6"/>
        <v>106</v>
      </c>
      <c r="U10" s="158">
        <f t="shared" si="0"/>
        <v>90.417600000000007</v>
      </c>
      <c r="V10" s="229">
        <f t="shared" si="8"/>
        <v>89.488120000000009</v>
      </c>
      <c r="W10" s="234">
        <f t="shared" si="9"/>
        <v>0.12000553765864003</v>
      </c>
      <c r="X10" s="230">
        <f t="shared" si="11"/>
        <v>1.7962668887820554E-2</v>
      </c>
      <c r="Y10" s="230">
        <f t="shared" si="12"/>
        <v>1.5241418717777001E-2</v>
      </c>
      <c r="Z10" s="228">
        <f>$Q$36*(P10/$Q$29/100)^3</f>
        <v>1.953604519532822</v>
      </c>
      <c r="AA10" s="229">
        <f>SQRT(Z10^3/4/$Q$26/$Q$32)</f>
        <v>26.782413083507471</v>
      </c>
      <c r="AB10" s="2">
        <f t="shared" si="13"/>
        <v>29.620796264784143</v>
      </c>
      <c r="AC10" s="158">
        <f>SQRT(Z10/$Q$32/$Q$26)</f>
        <v>27.418459381852905</v>
      </c>
      <c r="AD10" s="175">
        <f t="shared" si="7"/>
        <v>61.691533609169035</v>
      </c>
      <c r="AE10" s="175">
        <f>Q10/60*PI()*$C$38/1000</f>
        <v>80.366323696483093</v>
      </c>
      <c r="AF10" s="165">
        <f t="shared" si="10"/>
        <v>2.9311028230008462</v>
      </c>
      <c r="AG10" s="151"/>
      <c r="AH10" s="228">
        <f>D10/$Q$30*$Q$22</f>
        <v>2.9444444444444446</v>
      </c>
      <c r="AI10" s="228">
        <f>AH10/$Q$22*$Q$30</f>
        <v>106</v>
      </c>
      <c r="AJ10" s="229">
        <f>MAX(($Q$40+$R$40*LN($AI10)),0)</f>
        <v>35104.339970826579</v>
      </c>
      <c r="AK10" s="229">
        <f>MAX(($Q$40+$R$40*LN(AI10))/$Q$29,0)</f>
        <v>76.181293339467402</v>
      </c>
      <c r="AL10" s="229">
        <f>($Q$41+$R$41*AK10*$Q$29)/$Q$29</f>
        <v>60.559014044952193</v>
      </c>
      <c r="AM10" s="229">
        <f>($Q$42+$R$42*AL10*$Q$29)/$Q$29</f>
        <v>76.09970288140002</v>
      </c>
      <c r="AN10" s="2">
        <f>AO10/$Q$29</f>
        <v>60.559014044952193</v>
      </c>
      <c r="AO10" s="3">
        <f>MAX($Q$41+$R$41*AJ10, 0)</f>
        <v>27905.593671913972</v>
      </c>
      <c r="AP10" s="227">
        <f>MAX($J$46+$AJ10*($K$46+$AJ10*$L$46), 0)</f>
        <v>1.4910454394727607E-2</v>
      </c>
      <c r="AQ10" s="227">
        <f t="shared" si="14"/>
        <v>9.9661397599395116E-2</v>
      </c>
      <c r="AR10" s="231">
        <f>MAX($K$46+$L$46*2*AJ10,1E-32)</f>
        <v>8.1174118948713279E-7</v>
      </c>
      <c r="AS10" s="228">
        <f>$Q$34/AR10</f>
        <v>4.6106835515446754E-2</v>
      </c>
      <c r="AT10" s="232">
        <f>$Q$43*$Q$26*$Q$35^2*$Q$32*PI()/240*($AC10-$Q$45)/$Q$44*$Q$33</f>
        <v>-5.6524766238984967E-7</v>
      </c>
      <c r="AU10" s="165">
        <f>-$Q$34/AT10</f>
        <v>6.6213130977944956E-2</v>
      </c>
      <c r="AX10" s="127"/>
      <c r="AY10" s="96"/>
    </row>
    <row r="11" spans="1:51" ht="13.95" customHeight="1" x14ac:dyDescent="0.3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2.5299999999999998</v>
      </c>
      <c r="F11" s="73">
        <v>11.83</v>
      </c>
      <c r="G11" s="73">
        <v>10.54</v>
      </c>
      <c r="H11" s="73">
        <v>1500</v>
      </c>
      <c r="I11" s="78">
        <v>1840</v>
      </c>
      <c r="J11" s="61"/>
      <c r="K11" s="2">
        <f t="shared" si="2"/>
        <v>124.68819999999999</v>
      </c>
      <c r="L11" s="1">
        <f t="shared" si="3"/>
        <v>132</v>
      </c>
      <c r="M11" s="234">
        <f t="shared" si="4"/>
        <v>4.8828019225863706</v>
      </c>
      <c r="N11" s="3">
        <f t="shared" si="5"/>
        <v>666.66666666666663</v>
      </c>
      <c r="O11" s="3">
        <f t="shared" si="5"/>
        <v>543.47826086956525</v>
      </c>
      <c r="P11" s="3">
        <f>N11*60/$C$24</f>
        <v>40000</v>
      </c>
      <c r="Q11" s="3">
        <f>O11*60/$C$24</f>
        <v>32608.695652173916</v>
      </c>
      <c r="R11" s="3">
        <f>P11/$Q$29</f>
        <v>86.805555555555557</v>
      </c>
      <c r="S11" s="3">
        <f>Q11/$Q$29</f>
        <v>70.76539855072464</v>
      </c>
      <c r="T11" s="3">
        <f t="shared" si="6"/>
        <v>132</v>
      </c>
      <c r="U11" s="158">
        <f t="shared" si="0"/>
        <v>124.68819999999999</v>
      </c>
      <c r="V11" s="229">
        <f t="shared" si="8"/>
        <v>123.75872</v>
      </c>
      <c r="W11" s="234">
        <f t="shared" si="9"/>
        <v>0.16596316621184001</v>
      </c>
      <c r="X11" s="230">
        <f t="shared" si="11"/>
        <v>2.1790963723614595E-2</v>
      </c>
      <c r="Y11" s="230">
        <f t="shared" si="12"/>
        <v>1.9069713553571042E-2</v>
      </c>
      <c r="Z11" s="228">
        <f>$Q$36*(P11/$Q$29/100)^3</f>
        <v>2.894351054286735</v>
      </c>
      <c r="AA11" s="229">
        <f>SQRT(Z11^3/4/$Q$26/$Q$32)</f>
        <v>48.297153477389912</v>
      </c>
      <c r="AB11" s="2">
        <f t="shared" si="13"/>
        <v>38.734341723908052</v>
      </c>
      <c r="AC11" s="158">
        <f>SQRT(Z11/$Q$32/$Q$26)</f>
        <v>33.373390146201146</v>
      </c>
      <c r="AD11" s="175">
        <f t="shared" si="7"/>
        <v>75.090127828952575</v>
      </c>
      <c r="AE11" s="175">
        <f>Q11/60*PI()*$C$38/1000</f>
        <v>93.906302145347084</v>
      </c>
      <c r="AF11" s="165">
        <f t="shared" si="10"/>
        <v>2.8138076993066985</v>
      </c>
      <c r="AG11" s="151"/>
      <c r="AH11" s="228">
        <f>D11/$Q$30*$Q$22</f>
        <v>3.6666666666666665</v>
      </c>
      <c r="AI11" s="228">
        <f>AH11/$Q$22*$Q$30</f>
        <v>132</v>
      </c>
      <c r="AJ11" s="229">
        <f>MAX(($Q$40+$R$40*LN($AI11)),0)</f>
        <v>38241.653832148877</v>
      </c>
      <c r="AK11" s="229">
        <f>MAX(($Q$40+$R$40*LN(AI11))/$Q$29,0)</f>
        <v>82.989700156573079</v>
      </c>
      <c r="AL11" s="229">
        <f>($Q$41+$R$41*AK11*$Q$29)/$Q$29</f>
        <v>67.430017941309458</v>
      </c>
      <c r="AM11" s="229">
        <f>($Q$42+$R$42*AL11*$Q$29)/$Q$29</f>
        <v>82.875744584343238</v>
      </c>
      <c r="AN11" s="2">
        <f>AO11/$Q$29</f>
        <v>67.430017941309458</v>
      </c>
      <c r="AO11" s="3">
        <f>MAX($Q$41+$R$41*AJ11, 0)</f>
        <v>31071.752267355398</v>
      </c>
      <c r="AP11" s="227">
        <f>MAX($J$46+$AJ11*($K$46+$AJ11*$L$46), 0)</f>
        <v>1.7547642207818674E-2</v>
      </c>
      <c r="AQ11" s="227">
        <f t="shared" si="14"/>
        <v>0.12777053672540106</v>
      </c>
      <c r="AR11" s="231">
        <f>MAX($K$46+$L$46*2*AJ11,1E-32)</f>
        <v>8.6943444652625607E-7</v>
      </c>
      <c r="AS11" s="228">
        <f>$Q$34/AR11</f>
        <v>4.3047313865158747E-2</v>
      </c>
      <c r="AT11" s="232">
        <f>$Q$43*$Q$26*$Q$35^2*$Q$32*PI()/240*($AC11-$Q$45)/$Q$44*$Q$33</f>
        <v>-7.1539226585738016E-7</v>
      </c>
      <c r="AU11" s="165">
        <f>-$Q$34/AT11</f>
        <v>5.2316497243566365E-2</v>
      </c>
      <c r="AX11" s="127"/>
      <c r="AY11" s="96"/>
    </row>
    <row r="12" spans="1:51" ht="13.95" customHeight="1" thickBot="1" x14ac:dyDescent="0.35">
      <c r="A12" t="s">
        <v>233</v>
      </c>
      <c r="B12" t="s">
        <v>234</v>
      </c>
      <c r="C12" s="221">
        <f t="shared" si="1"/>
        <v>1.9888888888888889</v>
      </c>
      <c r="D12" s="80">
        <v>178</v>
      </c>
      <c r="E12" s="80">
        <v>2.82</v>
      </c>
      <c r="F12" s="80">
        <v>11.66</v>
      </c>
      <c r="G12" s="80">
        <v>13.79</v>
      </c>
      <c r="H12" s="80">
        <v>1360</v>
      </c>
      <c r="I12" s="81">
        <v>1650</v>
      </c>
      <c r="J12" s="61"/>
      <c r="K12" s="2">
        <f t="shared" si="2"/>
        <v>160.79139999999998</v>
      </c>
      <c r="L12" s="1">
        <f t="shared" si="3"/>
        <v>178</v>
      </c>
      <c r="M12" s="234">
        <f t="shared" si="4"/>
        <v>5.181783550292085</v>
      </c>
      <c r="N12" s="3">
        <f t="shared" si="5"/>
        <v>735.2941176470589</v>
      </c>
      <c r="O12" s="3">
        <f t="shared" si="5"/>
        <v>606.06060606060612</v>
      </c>
      <c r="P12" s="3">
        <f>N12*60/$C$24</f>
        <v>44117.647058823532</v>
      </c>
      <c r="Q12" s="3">
        <f>O12*60/$C$24</f>
        <v>36363.636363636368</v>
      </c>
      <c r="R12" s="3">
        <f>P12/$Q$29</f>
        <v>95.741421568627459</v>
      </c>
      <c r="S12" s="3">
        <f>Q12/$Q$29</f>
        <v>78.914141414141426</v>
      </c>
      <c r="T12" s="3">
        <f t="shared" si="6"/>
        <v>178</v>
      </c>
      <c r="U12" s="158">
        <f t="shared" si="0"/>
        <v>160.79139999999998</v>
      </c>
      <c r="V12" s="229">
        <f t="shared" si="8"/>
        <v>159.86191999999997</v>
      </c>
      <c r="W12" s="234">
        <f t="shared" si="9"/>
        <v>0.21437835168223998</v>
      </c>
      <c r="X12" s="230">
        <f t="shared" si="11"/>
        <v>2.5520742335462816E-2</v>
      </c>
      <c r="Y12" s="230">
        <f t="shared" si="12"/>
        <v>2.2799492165419263E-2</v>
      </c>
      <c r="Z12" s="163">
        <f>C32/0.224</f>
        <v>4.4249528005034611</v>
      </c>
      <c r="AA12" s="229">
        <f>SQRT(Z12^3/4/$Q$26/$Q$32)</f>
        <v>91.297248929319878</v>
      </c>
      <c r="AB12" s="2">
        <f>AA12/U12*100</f>
        <v>56.779932838024848</v>
      </c>
      <c r="AC12" s="158">
        <f>SQRT(Z12/$Q$32/$Q$26)</f>
        <v>41.264733453849395</v>
      </c>
      <c r="AD12" s="175">
        <f>AC12*1/1.6/1000*3600</f>
        <v>92.845650271161119</v>
      </c>
      <c r="AE12" s="175">
        <f>Q12/60*PI()*$C$38/1000</f>
        <v>104.71975511965978</v>
      </c>
      <c r="AF12" s="165">
        <f t="shared" si="10"/>
        <v>2.5377543086950669</v>
      </c>
      <c r="AG12" s="151"/>
      <c r="AH12" s="228">
        <f>D12/$Q$30*$Q$22</f>
        <v>4.9444444444444446</v>
      </c>
      <c r="AI12" s="228">
        <f>AH12/$Q$22*$Q$30</f>
        <v>178</v>
      </c>
      <c r="AJ12" s="229">
        <f>MAX(($Q$40+$R$40*LN($AI12)),0)</f>
        <v>42517.670928599298</v>
      </c>
      <c r="AK12" s="229">
        <f>MAX(($Q$40+$R$40*LN(AI12))/$Q$29,0)</f>
        <v>92.269251147133886</v>
      </c>
      <c r="AL12" s="229">
        <f>($Q$41+$R$41*AK12*$Q$29)/$Q$29</f>
        <v>76.794885923698061</v>
      </c>
      <c r="AM12" s="229">
        <f>($Q$42+$R$42*AL12*$Q$29)/$Q$29</f>
        <v>92.111183386068433</v>
      </c>
      <c r="AN12" s="2">
        <f>AO12/$Q$29</f>
        <v>76.794885923698061</v>
      </c>
      <c r="AO12" s="3">
        <f>MAX($Q$41+$R$41*AJ12, 0)</f>
        <v>35387.083433640066</v>
      </c>
      <c r="AP12" s="227">
        <f>MAX($J$46+$AJ12*($K$46+$AJ12*$L$46), 0)</f>
        <v>2.1433477440750276E-2</v>
      </c>
      <c r="AQ12" s="227">
        <f t="shared" si="14"/>
        <v>0.17351514483651501</v>
      </c>
      <c r="AR12" s="231">
        <f>MAX($K$46+$L$46*2*AJ12,1E-32)</f>
        <v>9.4806775015920004E-7</v>
      </c>
      <c r="AS12" s="228">
        <f>$Q$34/AR12</f>
        <v>3.9476944024845896E-2</v>
      </c>
      <c r="AT12" s="232">
        <f>$Q$43*$Q$26*$Q$35^2*$Q$32*PI()/240*($AC12-$Q$45)/$Q$44*$Q$33</f>
        <v>-9.1436059288589362E-7</v>
      </c>
      <c r="AU12" s="165">
        <f>-$Q$34/AT12</f>
        <v>4.0932229358955928E-2</v>
      </c>
      <c r="AX12" s="127"/>
      <c r="AY12" s="96"/>
    </row>
    <row r="13" spans="1:51" ht="13.95" customHeight="1" x14ac:dyDescent="0.3">
      <c r="C13" s="267"/>
      <c r="AE13" s="45"/>
      <c r="AF13" s="30"/>
      <c r="AH13" s="228">
        <f>D13/$Q$30*$Q$22</f>
        <v>0</v>
      </c>
      <c r="AI13" s="228">
        <f>AH13/$Q$22*$Q$30</f>
        <v>0</v>
      </c>
      <c r="AJ13" s="229" t="e">
        <f>MAX(($Q$40+$R$40*LN($AI13)),0)</f>
        <v>#NUM!</v>
      </c>
      <c r="AK13" s="229" t="e">
        <f>MAX(($Q$40+$R$40*LN(AI13))/$Q$29,0)</f>
        <v>#NUM!</v>
      </c>
      <c r="AL13" s="229" t="e">
        <f>($Q$41+$R$41*AK13*$Q$29)/$Q$29</f>
        <v>#NUM!</v>
      </c>
      <c r="AM13" s="229" t="e">
        <f>($Q$42+$R$42*AL13*$Q$29)/$Q$29</f>
        <v>#NUM!</v>
      </c>
      <c r="AN13" s="2" t="e">
        <f>AO13/$Q$29</f>
        <v>#NUM!</v>
      </c>
      <c r="AO13" s="3" t="e">
        <f>MAX($Q$41+$R$41*AJ13, 0)</f>
        <v>#NUM!</v>
      </c>
      <c r="AP13" s="227" t="e">
        <f>MAX($J$46+$AJ13*($K$46+$AJ13*$L$46), 0)</f>
        <v>#NUM!</v>
      </c>
      <c r="AQ13" s="227" t="e">
        <f t="shared" si="14"/>
        <v>#NUM!</v>
      </c>
      <c r="AR13" s="231" t="e">
        <f>MAX($K$46+$L$46*2*AJ13,1E-32)</f>
        <v>#NUM!</v>
      </c>
      <c r="AS13" s="228" t="e">
        <f>$Q$34/AR13</f>
        <v>#NUM!</v>
      </c>
      <c r="AV13" s="146"/>
      <c r="AW13" s="95"/>
      <c r="AX13" s="128"/>
      <c r="AY13" s="96"/>
    </row>
    <row r="14" spans="1:51" x14ac:dyDescent="0.3">
      <c r="A14" t="s">
        <v>235</v>
      </c>
      <c r="AE14" s="194"/>
      <c r="AF14" s="30"/>
    </row>
    <row r="15" spans="1:51" ht="13.95" customHeight="1" x14ac:dyDescent="0.3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5" customHeight="1" x14ac:dyDescent="0.3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5" customHeight="1" x14ac:dyDescent="0.3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5" customHeight="1" x14ac:dyDescent="0.3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5" customHeight="1" x14ac:dyDescent="0.3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5" customHeight="1" thickBot="1" x14ac:dyDescent="0.35">
      <c r="A20">
        <v>6</v>
      </c>
      <c r="C20" t="s">
        <v>241</v>
      </c>
      <c r="O20" s="188"/>
      <c r="AN20" s="45"/>
      <c r="AO20" s="5"/>
      <c r="AV20" s="5"/>
    </row>
    <row r="21" spans="1:48" ht="13.95" customHeight="1" x14ac:dyDescent="0.3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5" customHeight="1" x14ac:dyDescent="0.3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5" customHeight="1" thickBot="1" x14ac:dyDescent="0.35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5" customHeight="1" x14ac:dyDescent="0.3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5" customHeight="1" x14ac:dyDescent="0.3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5" customHeight="1" x14ac:dyDescent="0.3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5" customHeight="1" x14ac:dyDescent="0.3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3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5" customHeight="1" x14ac:dyDescent="0.3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5" customHeight="1" thickBot="1" x14ac:dyDescent="0.35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5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5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3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" thickBot="1" x14ac:dyDescent="0.35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3.8" thickBot="1" x14ac:dyDescent="0.35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" x14ac:dyDescent="0.35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15">(I38*$Q$29*$R$42+$Q$42)/$Q$29</f>
        <v>88.314953905624549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" thickBot="1" x14ac:dyDescent="0.35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15"/>
        <v>77.520773378818305</v>
      </c>
      <c r="K39" s="243">
        <v>4.2999999999999997E-2</v>
      </c>
      <c r="L39" s="249"/>
      <c r="M39" s="250"/>
      <c r="P39" s="65" t="s">
        <v>121</v>
      </c>
      <c r="Q39" s="205">
        <f>INDEX(LINEST($Q$4:$Q$12,$E$4:$E$12^{1,2},FALSE,FALSE),3)</f>
        <v>0</v>
      </c>
      <c r="R39" s="67">
        <f>INDEX(LINEST($Q$4:$Q$12,$E$4:$E$12^{1,2},FALSE,FALSE),2)</f>
        <v>12813.411080914857</v>
      </c>
      <c r="S39" s="67">
        <f>INDEX(LINEST($Q$4:$Q$12,$E$4:$E$12^{1,2},FALSE,FALSE),1)</f>
        <v>22.268575818648586</v>
      </c>
      <c r="T39" s="31" t="s">
        <v>267</v>
      </c>
      <c r="AI39" s="5"/>
    </row>
    <row r="40" spans="1:50" ht="15" thickBot="1" x14ac:dyDescent="0.35">
      <c r="B40" s="30"/>
      <c r="C40" s="201"/>
      <c r="D40"/>
      <c r="E40"/>
      <c r="H40" s="10"/>
      <c r="I40" s="241">
        <v>48</v>
      </c>
      <c r="J40" s="253">
        <f t="shared" si="15"/>
        <v>63.714263402670746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-31591.882963333705</v>
      </c>
      <c r="R40" s="67">
        <f>INDEX(LINEST($P$4:$P$12,$M$4:$M$12),1)</f>
        <v>14301.939317352539</v>
      </c>
      <c r="S40" s="30"/>
      <c r="T40" s="31" t="s">
        <v>267</v>
      </c>
      <c r="AI40" s="5"/>
      <c r="AW40" s="151"/>
      <c r="AX40" s="164"/>
    </row>
    <row r="41" spans="1:50" ht="15" thickBot="1" x14ac:dyDescent="0.35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15"/>
        <v>41.032139870428352</v>
      </c>
      <c r="K41" s="243">
        <v>0.28899999999999998</v>
      </c>
      <c r="L41" s="61"/>
      <c r="M41" s="250"/>
      <c r="P41" s="65" t="s">
        <v>122</v>
      </c>
      <c r="Q41" s="205">
        <f>INDEX(LINEST($Q$4:$Q$12,$P$4:$P$12),2)</f>
        <v>-7521.4986270648442</v>
      </c>
      <c r="R41" s="69">
        <f>INDEX(LINEST($Q$4:$Q$12,$P$4:$P$12),1)</f>
        <v>1.0091940862132847</v>
      </c>
      <c r="S41" s="30"/>
      <c r="T41" s="31" t="s">
        <v>267</v>
      </c>
      <c r="AI41" s="5"/>
    </row>
    <row r="42" spans="1:50" ht="15" thickBot="1" x14ac:dyDescent="0.35">
      <c r="C42" s="198"/>
      <c r="D42"/>
      <c r="E42"/>
      <c r="G42" s="6"/>
      <c r="I42" s="241">
        <v>16</v>
      </c>
      <c r="J42" s="253">
        <f t="shared" si="15"/>
        <v>32.156526314333505</v>
      </c>
      <c r="K42" s="243">
        <v>0.436</v>
      </c>
      <c r="L42" s="61"/>
      <c r="M42" s="250"/>
      <c r="P42" s="65" t="s">
        <v>123</v>
      </c>
      <c r="Q42" s="205">
        <f>INDEX(LINEST($P$4:$P$12,$Q$4:$Q$12),2)</f>
        <v>7546.8247004919795</v>
      </c>
      <c r="R42" s="69">
        <f>INDEX(LINEST($P$4:$P$12,$Q$4:$Q$12),1)</f>
        <v>0.98617928401053878</v>
      </c>
      <c r="S42" s="30"/>
      <c r="T42" s="31" t="s">
        <v>267</v>
      </c>
      <c r="AI42" s="5"/>
    </row>
    <row r="43" spans="1:50" ht="15" thickBot="1" x14ac:dyDescent="0.35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15"/>
        <v>28.292313609639148</v>
      </c>
      <c r="K43" s="246">
        <v>0.5</v>
      </c>
      <c r="L43" s="255"/>
      <c r="M43" s="256"/>
      <c r="P43" s="65" t="s">
        <v>180</v>
      </c>
      <c r="Q43" s="206">
        <f>AG8</f>
        <v>-1.0396896822678605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3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3.1300676739119901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" thickBot="1" x14ac:dyDescent="0.35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" thickBot="1" x14ac:dyDescent="0.35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-2.2544327284355296E-3</v>
      </c>
      <c r="K46" s="180">
        <f>INDEX(LINEST($Y$3:$Y$12,$P$3:$P$12^{1,2}),2)</f>
        <v>1.6619413916043592E-7</v>
      </c>
      <c r="L46" s="180">
        <f>INDEX(LINEST($Y$3:$Y$12,$P$3:$P$12^{1,2}),1)</f>
        <v>9.1946900420742566E-12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" thickBot="1" x14ac:dyDescent="0.35">
      <c r="Q47" s="61"/>
      <c r="R47" s="213"/>
      <c r="T47" s="213"/>
      <c r="U47" s="188"/>
      <c r="V47" s="30"/>
    </row>
    <row r="48" spans="1:50" ht="15" thickBot="1" x14ac:dyDescent="0.35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3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3">
      <c r="I50" s="241">
        <v>0</v>
      </c>
      <c r="J50" s="253">
        <f t="shared" ref="J50:J55" ca="1" si="16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3">
      <c r="I51" s="241">
        <v>0.02</v>
      </c>
      <c r="J51" s="253">
        <f t="shared" ca="1" si="16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3">
      <c r="I52" s="241">
        <v>8.5000000000000006E-2</v>
      </c>
      <c r="J52" s="253">
        <f t="shared" ca="1" si="16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3">
      <c r="I53" s="241">
        <v>0.185</v>
      </c>
      <c r="J53" s="253">
        <f t="shared" ca="1" si="16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3">
      <c r="I54" s="241">
        <v>0.34399999999999997</v>
      </c>
      <c r="J54" s="253">
        <f t="shared" ca="1" si="16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" thickBot="1" x14ac:dyDescent="0.35">
      <c r="I55" s="245">
        <v>0.5</v>
      </c>
      <c r="J55" s="257">
        <f t="shared" ca="1" si="16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3">
      <c r="V56" s="45"/>
      <c r="W56" s="45"/>
      <c r="X56" s="196"/>
      <c r="Y56" s="45"/>
    </row>
    <row r="57" spans="8:45" x14ac:dyDescent="0.3">
      <c r="W57" s="45"/>
      <c r="X57" s="196"/>
      <c r="Y57" s="45"/>
    </row>
    <row r="58" spans="8:45" x14ac:dyDescent="0.3">
      <c r="W58" s="45"/>
      <c r="X58" s="149"/>
      <c r="Y58" s="45"/>
    </row>
    <row r="59" spans="8:45" x14ac:dyDescent="0.3">
      <c r="W59" s="45"/>
      <c r="X59" s="149"/>
      <c r="Y59" s="45"/>
    </row>
    <row r="60" spans="8:45" x14ac:dyDescent="0.3">
      <c r="W60" s="45"/>
      <c r="X60" s="149"/>
      <c r="Y60" s="45"/>
    </row>
    <row r="61" spans="8:45" x14ac:dyDescent="0.3">
      <c r="H61" s="176"/>
    </row>
    <row r="63" spans="8:45" x14ac:dyDescent="0.3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3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3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3320312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2017-01-06T09:35:42Z</dcterms:modified>
</cp:coreProperties>
</file>