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e\Documents\GitHub\ESC\myESC-Particle-DEV\saves\"/>
    </mc:Choice>
  </mc:AlternateContent>
  <bookViews>
    <workbookView xWindow="0" yWindow="0" windowWidth="23040" windowHeight="9972"/>
  </bookViews>
  <sheets>
    <sheet name="CalArduinoHiTec" sheetId="1" r:id="rId1"/>
    <sheet name="CalPhotonHiTec" sheetId="2" r:id="rId2"/>
  </sheets>
  <calcPr calcId="152511"/>
</workbook>
</file>

<file path=xl/calcChain.xml><?xml version="1.0" encoding="utf-8"?>
<calcChain xmlns="http://schemas.openxmlformats.org/spreadsheetml/2006/main">
  <c r="B2" i="2" l="1"/>
  <c r="N3" i="2"/>
  <c r="P3" i="2" s="1"/>
  <c r="M3" i="2"/>
  <c r="O3" i="2" s="1"/>
  <c r="L3" i="2"/>
  <c r="K3" i="2"/>
  <c r="S3" i="2" s="1"/>
  <c r="J3" i="2"/>
  <c r="X3" i="2" s="1"/>
  <c r="M2" i="1"/>
  <c r="O2" i="1" s="1"/>
  <c r="L2" i="1"/>
  <c r="N2" i="1" s="1"/>
  <c r="K2" i="1"/>
  <c r="S2" i="1" s="1"/>
  <c r="J2" i="1"/>
  <c r="X2" i="1" s="1"/>
  <c r="Y2" i="1" s="1"/>
  <c r="B2" i="1"/>
  <c r="Q3" i="2" l="1"/>
  <c r="Z2" i="1"/>
  <c r="AA2" i="1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1" i="1"/>
  <c r="D31" i="1" s="1"/>
  <c r="AH24" i="2" l="1"/>
  <c r="AH23" i="2"/>
  <c r="AH21" i="2"/>
  <c r="AH20" i="2"/>
  <c r="AH19" i="2"/>
  <c r="AH18" i="2"/>
  <c r="M9" i="2"/>
  <c r="O9" i="2" s="1"/>
  <c r="L9" i="2"/>
  <c r="N9" i="2" s="1"/>
  <c r="K9" i="2"/>
  <c r="X9" i="2"/>
  <c r="AA21" i="2"/>
  <c r="AH22" i="2" s="1"/>
  <c r="M8" i="2"/>
  <c r="O8" i="2" s="1"/>
  <c r="L8" i="2"/>
  <c r="N8" i="2" s="1"/>
  <c r="K8" i="2"/>
  <c r="S8" i="2" s="1"/>
  <c r="J8" i="2"/>
  <c r="X8" i="2" s="1"/>
  <c r="M7" i="2"/>
  <c r="O7" i="2" s="1"/>
  <c r="L7" i="2"/>
  <c r="N7" i="2" s="1"/>
  <c r="K7" i="2"/>
  <c r="S7" i="2" s="1"/>
  <c r="J7" i="2"/>
  <c r="X7" i="2" s="1"/>
  <c r="M6" i="2"/>
  <c r="O6" i="2" s="1"/>
  <c r="L6" i="2"/>
  <c r="N6" i="2" s="1"/>
  <c r="K6" i="2"/>
  <c r="S6" i="2" s="1"/>
  <c r="J6" i="2"/>
  <c r="X6" i="2" s="1"/>
  <c r="M5" i="2"/>
  <c r="O5" i="2" s="1"/>
  <c r="L5" i="2"/>
  <c r="N5" i="2" s="1"/>
  <c r="K5" i="2"/>
  <c r="S5" i="2" s="1"/>
  <c r="J5" i="2"/>
  <c r="X5" i="2" s="1"/>
  <c r="M4" i="2"/>
  <c r="O4" i="2" s="1"/>
  <c r="L4" i="2"/>
  <c r="N4" i="2" s="1"/>
  <c r="K4" i="2"/>
  <c r="S4" i="2" s="1"/>
  <c r="J4" i="2"/>
  <c r="X4" i="2" s="1"/>
  <c r="M2" i="2"/>
  <c r="O2" i="2" s="1"/>
  <c r="L2" i="2"/>
  <c r="N2" i="2" s="1"/>
  <c r="K2" i="2"/>
  <c r="S2" i="2" s="1"/>
  <c r="J2" i="2"/>
  <c r="X2" i="2" s="1"/>
  <c r="X1" i="2"/>
  <c r="P4" i="2" l="1"/>
  <c r="P5" i="2"/>
  <c r="P6" i="2"/>
  <c r="P7" i="2"/>
  <c r="P8" i="2"/>
  <c r="S9" i="2"/>
  <c r="P9" i="2"/>
  <c r="Q6" i="2"/>
  <c r="AA34" i="2"/>
  <c r="AH25" i="2" s="1"/>
  <c r="AA33" i="2"/>
  <c r="AI25" i="2" s="1"/>
  <c r="AA32" i="2"/>
  <c r="Q2" i="2"/>
  <c r="Q8" i="2"/>
  <c r="Q5" i="2"/>
  <c r="P2" i="2"/>
  <c r="Q7" i="2"/>
  <c r="Q4" i="2"/>
  <c r="Q9" i="2"/>
  <c r="V3" i="2" l="1"/>
  <c r="W3" i="2" s="1"/>
  <c r="AJ25" i="2"/>
  <c r="V9" i="2"/>
  <c r="W9" i="2" s="1"/>
  <c r="V8" i="2"/>
  <c r="W8" i="2" s="1"/>
  <c r="V7" i="2"/>
  <c r="W7" i="2" s="1"/>
  <c r="V6" i="2"/>
  <c r="W6" i="2" s="1"/>
  <c r="V5" i="2"/>
  <c r="W5" i="2" s="1"/>
  <c r="V4" i="2"/>
  <c r="W4" i="2" s="1"/>
  <c r="V2" i="2"/>
  <c r="W2" i="2" s="1"/>
  <c r="AH22" i="1" l="1"/>
  <c r="AH21" i="1"/>
  <c r="AH27" i="1"/>
  <c r="AH26" i="1"/>
  <c r="AH23" i="1"/>
  <c r="AH24" i="1"/>
  <c r="X1" i="1"/>
  <c r="L4" i="1"/>
  <c r="N4" i="1" s="1"/>
  <c r="L5" i="1"/>
  <c r="N5" i="1" s="1"/>
  <c r="L6" i="1"/>
  <c r="N6" i="1" s="1"/>
  <c r="L7" i="1"/>
  <c r="N7" i="1" s="1"/>
  <c r="L8" i="1"/>
  <c r="N8" i="1" s="1"/>
  <c r="L9" i="1"/>
  <c r="N9" i="1" s="1"/>
  <c r="L3" i="1"/>
  <c r="N3" i="1" s="1"/>
  <c r="K4" i="1" l="1"/>
  <c r="K5" i="1"/>
  <c r="K6" i="1"/>
  <c r="K7" i="1"/>
  <c r="K8" i="1"/>
  <c r="K9" i="1"/>
  <c r="K3" i="1"/>
  <c r="AA24" i="1"/>
  <c r="AH25" i="1" l="1"/>
  <c r="P2" i="1"/>
  <c r="Q2" i="1"/>
  <c r="P6" i="1"/>
  <c r="P3" i="1"/>
  <c r="P9" i="1"/>
  <c r="P8" i="1"/>
  <c r="P7" i="1"/>
  <c r="P5" i="1"/>
  <c r="P4" i="1"/>
  <c r="S4" i="1"/>
  <c r="S3" i="1"/>
  <c r="S5" i="1"/>
  <c r="S9" i="1"/>
  <c r="S6" i="1"/>
  <c r="S8" i="1"/>
  <c r="S7" i="1"/>
  <c r="J4" i="1"/>
  <c r="J5" i="1"/>
  <c r="J6" i="1"/>
  <c r="J7" i="1"/>
  <c r="J8" i="1"/>
  <c r="J9" i="1"/>
  <c r="J3" i="1"/>
  <c r="X3" i="1" l="1"/>
  <c r="Y3" i="1" s="1"/>
  <c r="Z3" i="1" s="1"/>
  <c r="AA3" i="1" s="1"/>
  <c r="X9" i="1"/>
  <c r="Y9" i="1" s="1"/>
  <c r="Z9" i="1" s="1"/>
  <c r="AA9" i="1" s="1"/>
  <c r="X5" i="1"/>
  <c r="Y5" i="1" s="1"/>
  <c r="Z5" i="1" s="1"/>
  <c r="AA5" i="1" s="1"/>
  <c r="AC5" i="1" s="1"/>
  <c r="AD5" i="1" s="1"/>
  <c r="AE5" i="1" s="1"/>
  <c r="X4" i="1"/>
  <c r="Y4" i="1" s="1"/>
  <c r="Z4" i="1" s="1"/>
  <c r="AA4" i="1" s="1"/>
  <c r="AC4" i="1" s="1"/>
  <c r="X6" i="1"/>
  <c r="Y6" i="1" s="1"/>
  <c r="Z6" i="1" s="1"/>
  <c r="AA6" i="1" s="1"/>
  <c r="AC6" i="1" s="1"/>
  <c r="AD6" i="1" s="1"/>
  <c r="AE6" i="1" s="1"/>
  <c r="X8" i="1"/>
  <c r="Y8" i="1" s="1"/>
  <c r="Z8" i="1" s="1"/>
  <c r="AA8" i="1" s="1"/>
  <c r="X7" i="1"/>
  <c r="Y7" i="1" s="1"/>
  <c r="Z7" i="1" s="1"/>
  <c r="AA7" i="1" s="1"/>
  <c r="AC7" i="1" s="1"/>
  <c r="AD7" i="1" s="1"/>
  <c r="AE7" i="1" s="1"/>
  <c r="M4" i="1"/>
  <c r="O4" i="1" s="1"/>
  <c r="M5" i="1"/>
  <c r="O5" i="1" s="1"/>
  <c r="M6" i="1"/>
  <c r="O6" i="1" s="1"/>
  <c r="M7" i="1"/>
  <c r="O7" i="1" s="1"/>
  <c r="M8" i="1"/>
  <c r="O8" i="1" s="1"/>
  <c r="M9" i="1"/>
  <c r="O9" i="1" s="1"/>
  <c r="M3" i="1"/>
  <c r="O3" i="1" s="1"/>
  <c r="AC10" i="1" l="1"/>
  <c r="AD4" i="1"/>
  <c r="AD36" i="1"/>
  <c r="AD35" i="1"/>
  <c r="R2" i="1" s="1"/>
  <c r="T2" i="1" s="1"/>
  <c r="AD38" i="1"/>
  <c r="AD28" i="1" s="1"/>
  <c r="AD30" i="1" s="1"/>
  <c r="AD37" i="1"/>
  <c r="AA35" i="1"/>
  <c r="AA36" i="1"/>
  <c r="AI28" i="1" s="1"/>
  <c r="AA37" i="1"/>
  <c r="AH28" i="1" s="1"/>
  <c r="Q3" i="1"/>
  <c r="Q5" i="1"/>
  <c r="Q4" i="1"/>
  <c r="Q8" i="1"/>
  <c r="Q9" i="1"/>
  <c r="Q7" i="1"/>
  <c r="Q6" i="1"/>
  <c r="V2" i="1" l="1"/>
  <c r="W2" i="1" s="1"/>
  <c r="AJ28" i="1"/>
  <c r="V11" i="1"/>
  <c r="AD31" i="1"/>
  <c r="AH30" i="1" s="1"/>
  <c r="AI30" i="1"/>
  <c r="AD10" i="1"/>
  <c r="AE4" i="1"/>
  <c r="AE10" i="1" s="1"/>
  <c r="AI31" i="1"/>
  <c r="AD34" i="2"/>
  <c r="AI28" i="2" s="1"/>
  <c r="AH31" i="1"/>
  <c r="AD35" i="2"/>
  <c r="AI32" i="1"/>
  <c r="O19" i="2"/>
  <c r="P19" i="2" s="1"/>
  <c r="Q19" i="2" s="1"/>
  <c r="O16" i="2"/>
  <c r="P16" i="2" s="1"/>
  <c r="Q16" i="2" s="1"/>
  <c r="O13" i="2"/>
  <c r="P13" i="2" s="1"/>
  <c r="Q13" i="2" s="1"/>
  <c r="O14" i="2"/>
  <c r="P14" i="2" s="1"/>
  <c r="Q14" i="2" s="1"/>
  <c r="O15" i="2"/>
  <c r="P15" i="2" s="1"/>
  <c r="Q15" i="2" s="1"/>
  <c r="O18" i="2"/>
  <c r="P18" i="2" s="1"/>
  <c r="Q18" i="2" s="1"/>
  <c r="AD32" i="2"/>
  <c r="O17" i="2"/>
  <c r="P17" i="2" s="1"/>
  <c r="Q17" i="2" s="1"/>
  <c r="AH32" i="1"/>
  <c r="AD33" i="2"/>
  <c r="AH29" i="2" s="1"/>
  <c r="R7" i="1"/>
  <c r="T7" i="1" s="1"/>
  <c r="R6" i="1"/>
  <c r="T6" i="1" s="1"/>
  <c r="R4" i="1"/>
  <c r="T4" i="1" s="1"/>
  <c r="R8" i="1"/>
  <c r="T8" i="1" s="1"/>
  <c r="R3" i="1"/>
  <c r="R5" i="1"/>
  <c r="T5" i="1" s="1"/>
  <c r="R9" i="1"/>
  <c r="T9" i="1" s="1"/>
  <c r="R3" i="2" l="1"/>
  <c r="T3" i="2" s="1"/>
  <c r="T3" i="1"/>
  <c r="AA38" i="1"/>
  <c r="U2" i="1" s="1"/>
  <c r="AA39" i="1"/>
  <c r="AH29" i="1" s="1"/>
  <c r="AH28" i="2"/>
  <c r="AD25" i="2"/>
  <c r="AD27" i="2" s="1"/>
  <c r="AI29" i="2"/>
  <c r="R2" i="2"/>
  <c r="R5" i="2"/>
  <c r="T5" i="2" s="1"/>
  <c r="R4" i="2"/>
  <c r="T4" i="2" s="1"/>
  <c r="R9" i="2"/>
  <c r="T9" i="2" s="1"/>
  <c r="R7" i="2"/>
  <c r="T7" i="2" s="1"/>
  <c r="R8" i="2"/>
  <c r="T8" i="2" s="1"/>
  <c r="R6" i="2"/>
  <c r="T6" i="2" s="1"/>
  <c r="V7" i="1"/>
  <c r="W7" i="1" s="1"/>
  <c r="V4" i="1"/>
  <c r="W4" i="1" s="1"/>
  <c r="V8" i="1"/>
  <c r="W8" i="1" s="1"/>
  <c r="V5" i="1"/>
  <c r="W5" i="1" s="1"/>
  <c r="V9" i="1"/>
  <c r="W9" i="1" s="1"/>
  <c r="V6" i="1"/>
  <c r="W6" i="1" s="1"/>
  <c r="V3" i="1"/>
  <c r="W3" i="1" s="1"/>
  <c r="AF7" i="1" l="1"/>
  <c r="AF9" i="1"/>
  <c r="AF6" i="1"/>
  <c r="AF5" i="1"/>
  <c r="AF4" i="1"/>
  <c r="AI29" i="1"/>
  <c r="AF2" i="1" s="1"/>
  <c r="AD28" i="2"/>
  <c r="AH27" i="2" s="1"/>
  <c r="AI27" i="2"/>
  <c r="T2" i="2"/>
  <c r="AA35" i="2"/>
  <c r="U3" i="2" s="1"/>
  <c r="AA36" i="2"/>
  <c r="AH26" i="2" s="1"/>
  <c r="U5" i="1"/>
  <c r="U7" i="1"/>
  <c r="U3" i="1"/>
  <c r="U6" i="1"/>
  <c r="U8" i="1"/>
  <c r="U9" i="1"/>
  <c r="U4" i="1"/>
  <c r="AF3" i="1" l="1"/>
  <c r="AF8" i="1"/>
  <c r="AI26" i="2"/>
  <c r="U7" i="2"/>
  <c r="U8" i="2"/>
  <c r="U5" i="2"/>
  <c r="U9" i="2"/>
  <c r="U4" i="2"/>
  <c r="U6" i="2"/>
  <c r="U2" i="2"/>
</calcChain>
</file>

<file path=xl/sharedStrings.xml><?xml version="1.0" encoding="utf-8"?>
<sst xmlns="http://schemas.openxmlformats.org/spreadsheetml/2006/main" count="162" uniqueCount="79">
  <si>
    <t>throttleFlt, deg</t>
  </si>
  <si>
    <t>v4, vdc</t>
  </si>
  <si>
    <t>Vemf, V pk-pk</t>
  </si>
  <si>
    <t>numPoles</t>
  </si>
  <si>
    <t>Kv</t>
  </si>
  <si>
    <t>Vc</t>
  </si>
  <si>
    <t>max RPM</t>
  </si>
  <si>
    <t>fan,RPM</t>
  </si>
  <si>
    <t>fan, %</t>
  </si>
  <si>
    <t>Calc fan, rpm</t>
  </si>
  <si>
    <t>Throttle, deg</t>
  </si>
  <si>
    <t>Calc NG from Nf, rpm</t>
  </si>
  <si>
    <t>Calc Ng from Nf, %</t>
  </si>
  <si>
    <t>Calc Ng from Throttle, rpm</t>
  </si>
  <si>
    <t>for 100% Ng at</t>
  </si>
  <si>
    <t>Charger V, vdc</t>
  </si>
  <si>
    <t>Charger I, A</t>
  </si>
  <si>
    <t>Charger Pwr, W</t>
  </si>
  <si>
    <t>P_V4_NF</t>
  </si>
  <si>
    <t>P_P_PNF</t>
  </si>
  <si>
    <t>P_NG_NF</t>
  </si>
  <si>
    <t>P_NF_NG</t>
  </si>
  <si>
    <t>THTL_MIN</t>
  </si>
  <si>
    <t>POT_MIN</t>
  </si>
  <si>
    <t>POT_MAX</t>
  </si>
  <si>
    <t>F2V_MIN</t>
  </si>
  <si>
    <t>F2V_MAX</t>
  </si>
  <si>
    <t>THTL_MAX</t>
  </si>
  <si>
    <t>potValue, v</t>
  </si>
  <si>
    <t>throttle, deg</t>
  </si>
  <si>
    <t>P_LT_NG</t>
  </si>
  <si>
    <t>Calc fan, %</t>
  </si>
  <si>
    <t>vf2v, v</t>
  </si>
  <si>
    <t>Tfan, micros</t>
  </si>
  <si>
    <t>Tng, micros</t>
  </si>
  <si>
    <t>FreqFan, Hz</t>
  </si>
  <si>
    <t>FreqNg, Hz</t>
  </si>
  <si>
    <t>Ng, RPM</t>
  </si>
  <si>
    <t>Ng, %</t>
  </si>
  <si>
    <t>RPM_P</t>
  </si>
  <si>
    <t>Key</t>
  </si>
  <si>
    <t>User Inputs</t>
  </si>
  <si>
    <t>Calculated</t>
  </si>
  <si>
    <t>Entry to potESC.ino</t>
  </si>
  <si>
    <t>Motor</t>
  </si>
  <si>
    <t>LM2907N Circuit</t>
  </si>
  <si>
    <t>watts max ESC output</t>
  </si>
  <si>
    <t>ESC</t>
  </si>
  <si>
    <t>Enter 'value' until 100% Ng at max ESC watts</t>
  </si>
  <si>
    <t>Enter AD Scalings</t>
  </si>
  <si>
    <t>pcnfRef, %</t>
  </si>
  <si>
    <t>Computed Values</t>
  </si>
  <si>
    <t>Test Data</t>
  </si>
  <si>
    <t>what works</t>
  </si>
  <si>
    <t>nf</t>
  </si>
  <si>
    <t>ng</t>
  </si>
  <si>
    <t>freq</t>
  </si>
  <si>
    <t>same as Arduino</t>
  </si>
  <si>
    <t>Charger Pwr, SHP</t>
  </si>
  <si>
    <t>Ng Torque, ft-lbf</t>
  </si>
  <si>
    <t>dQ/dNg, ft-lbf/rpm</t>
  </si>
  <si>
    <t>Tau</t>
  </si>
  <si>
    <t>JgEst, ft-lbf/(rpm/sec)</t>
  </si>
  <si>
    <t>JgEst, lbm-ft^2</t>
  </si>
  <si>
    <t>JgEst, lbm-in^2</t>
  </si>
  <si>
    <t>avg=</t>
  </si>
  <si>
    <t>TTL, ms</t>
  </si>
  <si>
    <t>original throttle, deg</t>
  </si>
  <si>
    <t>ttl, ms</t>
  </si>
  <si>
    <t>cal thtl</t>
  </si>
  <si>
    <t>Nf for 0% Ng</t>
  </si>
  <si>
    <t>-----&gt;</t>
  </si>
  <si>
    <t>10/13/2016 determined to scale deg throttle to 1000-2000 microseconds by setting in code for Servo</t>
  </si>
  <si>
    <t>Nf, %</t>
  </si>
  <si>
    <t>Entries for potESC.ino Arduino</t>
  </si>
  <si>
    <t>Entries for potESC.ino Photon</t>
  </si>
  <si>
    <t>Calc Throttle from Ng, deg</t>
  </si>
  <si>
    <t>P_TH_NG</t>
  </si>
  <si>
    <t>Force NG(TH) to 0,0 so shutoff and min TTL at startup for initializing ESCs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</si>
</sst>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"/>
    <numFmt numFmtId="171" formatCode="0E+00"/>
  </numFmts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wrapText="1"/>
    </xf>
    <xf numFmtId="1" fontId="0" fillId="0" borderId="0" xfId="0" applyNumberFormat="1" applyFill="1"/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" borderId="0" xfId="0" applyNumberFormat="1" applyFill="1" applyAlignment="1">
      <alignment horizontal="left"/>
    </xf>
    <xf numFmtId="1" fontId="0" fillId="3" borderId="0" xfId="0" applyNumberFormat="1" applyFill="1" applyAlignment="1">
      <alignment horizontal="center"/>
    </xf>
    <xf numFmtId="1" fontId="0" fillId="2" borderId="0" xfId="0" applyNumberFormat="1" applyFill="1" applyAlignment="1">
      <alignment horizontal="left"/>
    </xf>
    <xf numFmtId="1" fontId="0" fillId="2" borderId="0" xfId="0" applyNumberFormat="1" applyFill="1" applyAlignment="1">
      <alignment horizontal="center"/>
    </xf>
    <xf numFmtId="1" fontId="0" fillId="5" borderId="0" xfId="0" applyNumberFormat="1" applyFill="1" applyAlignment="1">
      <alignment horizontal="left"/>
    </xf>
    <xf numFmtId="1" fontId="0" fillId="5" borderId="0" xfId="0" applyNumberFormat="1" applyFill="1" applyAlignment="1">
      <alignment horizontal="center"/>
    </xf>
    <xf numFmtId="0" fontId="0" fillId="0" borderId="1" xfId="0" applyBorder="1"/>
    <xf numFmtId="0" fontId="0" fillId="3" borderId="2" xfId="0" applyFill="1" applyBorder="1"/>
    <xf numFmtId="0" fontId="0" fillId="0" borderId="3" xfId="0" applyBorder="1"/>
    <xf numFmtId="0" fontId="0" fillId="3" borderId="4" xfId="0" applyFill="1" applyBorder="1"/>
    <xf numFmtId="0" fontId="0" fillId="0" borderId="5" xfId="0" applyBorder="1"/>
    <xf numFmtId="0" fontId="0" fillId="3" borderId="6" xfId="0" applyFill="1" applyBorder="1"/>
    <xf numFmtId="0" fontId="0" fillId="0" borderId="2" xfId="0" applyBorder="1" applyAlignment="1">
      <alignment wrapText="1"/>
    </xf>
    <xf numFmtId="0" fontId="0" fillId="3" borderId="3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0" borderId="7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8" xfId="0" applyBorder="1"/>
    <xf numFmtId="0" fontId="0" fillId="0" borderId="6" xfId="0" applyBorder="1"/>
    <xf numFmtId="0" fontId="0" fillId="3" borderId="9" xfId="0" applyFill="1" applyBorder="1"/>
    <xf numFmtId="0" fontId="0" fillId="0" borderId="10" xfId="0" applyBorder="1"/>
    <xf numFmtId="0" fontId="0" fillId="0" borderId="10" xfId="0" applyFill="1" applyBorder="1" applyAlignment="1">
      <alignment horizontal="center"/>
    </xf>
    <xf numFmtId="0" fontId="0" fillId="0" borderId="11" xfId="0" applyBorder="1"/>
    <xf numFmtId="0" fontId="0" fillId="0" borderId="9" xfId="0" applyBorder="1"/>
    <xf numFmtId="164" fontId="0" fillId="2" borderId="10" xfId="0" applyNumberFormat="1" applyFill="1" applyBorder="1"/>
    <xf numFmtId="0" fontId="0" fillId="3" borderId="10" xfId="0" applyFill="1" applyBorder="1"/>
    <xf numFmtId="0" fontId="0" fillId="0" borderId="11" xfId="0" applyFill="1" applyBorder="1" applyAlignment="1">
      <alignment horizontal="center"/>
    </xf>
    <xf numFmtId="0" fontId="0" fillId="0" borderId="7" xfId="0" applyBorder="1" applyAlignment="1">
      <alignment wrapText="1"/>
    </xf>
    <xf numFmtId="0" fontId="0" fillId="2" borderId="3" xfId="0" applyFill="1" applyBorder="1"/>
    <xf numFmtId="0" fontId="0" fillId="2" borderId="0" xfId="0" applyFill="1" applyBorder="1"/>
    <xf numFmtId="0" fontId="0" fillId="0" borderId="0" xfId="0" applyFill="1" applyBorder="1"/>
    <xf numFmtId="0" fontId="0" fillId="2" borderId="4" xfId="0" applyFill="1" applyBorder="1"/>
    <xf numFmtId="0" fontId="0" fillId="0" borderId="8" xfId="0" applyFill="1" applyBorder="1"/>
    <xf numFmtId="0" fontId="0" fillId="2" borderId="6" xfId="0" applyFill="1" applyBorder="1"/>
    <xf numFmtId="0" fontId="0" fillId="2" borderId="1" xfId="0" applyFill="1" applyBorder="1"/>
    <xf numFmtId="164" fontId="0" fillId="2" borderId="7" xfId="0" applyNumberFormat="1" applyFill="1" applyBorder="1"/>
    <xf numFmtId="0" fontId="0" fillId="2" borderId="7" xfId="0" applyFill="1" applyBorder="1"/>
    <xf numFmtId="0" fontId="0" fillId="2" borderId="2" xfId="0" applyFill="1" applyBorder="1"/>
    <xf numFmtId="1" fontId="0" fillId="2" borderId="0" xfId="0" applyNumberFormat="1" applyFill="1" applyBorder="1"/>
    <xf numFmtId="164" fontId="0" fillId="2" borderId="0" xfId="0" applyNumberFormat="1" applyFill="1" applyBorder="1"/>
    <xf numFmtId="0" fontId="0" fillId="2" borderId="5" xfId="0" applyFill="1" applyBorder="1"/>
    <xf numFmtId="1" fontId="0" fillId="2" borderId="8" xfId="0" applyNumberFormat="1" applyFill="1" applyBorder="1"/>
    <xf numFmtId="0" fontId="0" fillId="0" borderId="3" xfId="0" applyFill="1" applyBorder="1"/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5" borderId="1" xfId="0" applyNumberFormat="1" applyFill="1" applyBorder="1" applyAlignment="1">
      <alignment horizontal="left"/>
    </xf>
    <xf numFmtId="1" fontId="0" fillId="5" borderId="7" xfId="0" applyNumberFormat="1" applyFill="1" applyBorder="1" applyAlignment="1">
      <alignment horizontal="left"/>
    </xf>
    <xf numFmtId="0" fontId="0" fillId="0" borderId="7" xfId="0" applyFill="1" applyBorder="1"/>
    <xf numFmtId="1" fontId="0" fillId="5" borderId="3" xfId="0" applyNumberFormat="1" applyFill="1" applyBorder="1" applyAlignment="1">
      <alignment horizontal="left"/>
    </xf>
    <xf numFmtId="1" fontId="0" fillId="5" borderId="0" xfId="0" applyNumberFormat="1" applyFill="1" applyBorder="1" applyAlignment="1">
      <alignment horizontal="left"/>
    </xf>
    <xf numFmtId="1" fontId="0" fillId="5" borderId="0" xfId="0" applyNumberFormat="1" applyFill="1" applyBorder="1"/>
    <xf numFmtId="1" fontId="0" fillId="5" borderId="4" xfId="0" applyNumberFormat="1" applyFill="1" applyBorder="1"/>
    <xf numFmtId="165" fontId="0" fillId="5" borderId="0" xfId="0" applyNumberFormat="1" applyFill="1" applyBorder="1"/>
    <xf numFmtId="1" fontId="0" fillId="5" borderId="5" xfId="0" applyNumberFormat="1" applyFill="1" applyBorder="1" applyAlignment="1">
      <alignment horizontal="left"/>
    </xf>
    <xf numFmtId="1" fontId="0" fillId="5" borderId="8" xfId="0" applyNumberFormat="1" applyFill="1" applyBorder="1" applyAlignment="1">
      <alignment horizontal="left"/>
    </xf>
    <xf numFmtId="165" fontId="0" fillId="5" borderId="8" xfId="0" applyNumberFormat="1" applyFill="1" applyBorder="1"/>
    <xf numFmtId="0" fontId="0" fillId="3" borderId="12" xfId="0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 applyAlignment="1">
      <alignment horizontal="center" wrapText="1"/>
    </xf>
    <xf numFmtId="0" fontId="0" fillId="3" borderId="15" xfId="0" applyFill="1" applyBorder="1" applyAlignment="1">
      <alignment horizontal="center" wrapText="1"/>
    </xf>
    <xf numFmtId="0" fontId="0" fillId="3" borderId="16" xfId="0" applyFill="1" applyBorder="1"/>
    <xf numFmtId="0" fontId="0" fillId="3" borderId="17" xfId="0" applyFill="1" applyBorder="1" applyAlignment="1">
      <alignment horizontal="center"/>
    </xf>
    <xf numFmtId="0" fontId="0" fillId="3" borderId="18" xfId="0" applyFill="1" applyBorder="1"/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/>
    <xf numFmtId="0" fontId="0" fillId="3" borderId="22" xfId="0" applyFill="1" applyBorder="1" applyAlignment="1">
      <alignment horizontal="center" wrapText="1"/>
    </xf>
    <xf numFmtId="0" fontId="0" fillId="3" borderId="23" xfId="0" applyFill="1" applyBorder="1" applyAlignment="1">
      <alignment horizontal="center" wrapText="1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164" fontId="0" fillId="5" borderId="7" xfId="0" applyNumberFormat="1" applyFill="1" applyBorder="1" applyAlignment="1">
      <alignment horizontal="left"/>
    </xf>
    <xf numFmtId="0" fontId="0" fillId="6" borderId="0" xfId="0" applyFill="1" applyAlignment="1">
      <alignment horizontal="center"/>
    </xf>
    <xf numFmtId="2" fontId="0" fillId="2" borderId="4" xfId="0" applyNumberFormat="1" applyFill="1" applyBorder="1" applyAlignment="1">
      <alignment horizontal="center"/>
    </xf>
    <xf numFmtId="164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/>
    <xf numFmtId="1" fontId="0" fillId="0" borderId="0" xfId="0" applyNumberFormat="1" applyFill="1" applyBorder="1"/>
    <xf numFmtId="0" fontId="1" fillId="0" borderId="0" xfId="0" quotePrefix="1" applyFont="1"/>
    <xf numFmtId="164" fontId="0" fillId="0" borderId="0" xfId="0" applyNumberFormat="1"/>
    <xf numFmtId="0" fontId="0" fillId="3" borderId="24" xfId="0" applyFill="1" applyBorder="1"/>
    <xf numFmtId="0" fontId="0" fillId="3" borderId="25" xfId="0" applyFill="1" applyBorder="1" applyAlignment="1">
      <alignment horizontal="center" wrapText="1"/>
    </xf>
    <xf numFmtId="0" fontId="0" fillId="3" borderId="26" xfId="0" applyFill="1" applyBorder="1" applyAlignment="1">
      <alignment horizontal="center" wrapText="1"/>
    </xf>
    <xf numFmtId="171" fontId="0" fillId="3" borderId="25" xfId="0" applyNumberFormat="1" applyFill="1" applyBorder="1" applyAlignment="1">
      <alignment horizontal="center" wrapText="1"/>
    </xf>
    <xf numFmtId="164" fontId="0" fillId="2" borderId="8" xfId="0" applyNumberFormat="1" applyFill="1" applyBorder="1"/>
    <xf numFmtId="171" fontId="0" fillId="3" borderId="14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CalArduinoHiTec!$J$2:$J$34</c:f>
              <c:numCache>
                <c:formatCode>0.0</c:formatCode>
                <c:ptCount val="33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xVal>
          <c:yVal>
            <c:numRef>
              <c:f>CalArduinoHiTec!$P$2:$P$34</c:f>
              <c:numCache>
                <c:formatCode>0</c:formatCode>
                <c:ptCount val="33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23656"/>
        <c:axId val="145620520"/>
      </c:scatterChart>
      <c:valAx>
        <c:axId val="145623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20520"/>
        <c:crosses val="autoZero"/>
        <c:crossBetween val="midCat"/>
      </c:valAx>
      <c:valAx>
        <c:axId val="14562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23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CalArduinoHiTec!$O$1</c:f>
              <c:strCache>
                <c:ptCount val="1"/>
                <c:pt idx="0">
                  <c:v>fan,RPM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CalArduinoHiTec!$N$3:$N$9</c:f>
              <c:numCache>
                <c:formatCode>0</c:formatCode>
                <c:ptCount val="7"/>
                <c:pt idx="0">
                  <c:v>7812.5000000000009</c:v>
                </c:pt>
                <c:pt idx="1">
                  <c:v>9433.962264150945</c:v>
                </c:pt>
                <c:pt idx="2">
                  <c:v>12244.897959183674</c:v>
                </c:pt>
                <c:pt idx="3">
                  <c:v>15000.000000000002</c:v>
                </c:pt>
                <c:pt idx="4">
                  <c:v>15544.041450777202</c:v>
                </c:pt>
                <c:pt idx="5">
                  <c:v>18633.540372670806</c:v>
                </c:pt>
                <c:pt idx="6">
                  <c:v>21306.818181818184</c:v>
                </c:pt>
              </c:numCache>
            </c:numRef>
          </c:xVal>
          <c:yVal>
            <c:numRef>
              <c:f>CalArduinoHiTec!$O$3:$O$9</c:f>
              <c:numCache>
                <c:formatCode>0</c:formatCode>
                <c:ptCount val="7"/>
                <c:pt idx="0">
                  <c:v>3278.688524590164</c:v>
                </c:pt>
                <c:pt idx="1">
                  <c:v>4950.4950495049507</c:v>
                </c:pt>
                <c:pt idx="2">
                  <c:v>7812.5000000000009</c:v>
                </c:pt>
                <c:pt idx="3">
                  <c:v>10067.114093959732</c:v>
                </c:pt>
                <c:pt idx="4">
                  <c:v>10869.565217391306</c:v>
                </c:pt>
                <c:pt idx="5">
                  <c:v>13761.467889908257</c:v>
                </c:pt>
                <c:pt idx="6">
                  <c:v>15957.44680851064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24440"/>
        <c:axId val="145617384"/>
      </c:scatterChart>
      <c:valAx>
        <c:axId val="145624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17384"/>
        <c:crosses val="autoZero"/>
        <c:crossBetween val="midCat"/>
      </c:valAx>
      <c:valAx>
        <c:axId val="14561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24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Throttle to 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6602897731953912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18560"/>
        <c:axId val="145617776"/>
      </c:scatterChart>
      <c:scatterChart>
        <c:scatterStyle val="lineMarker"/>
        <c:varyColors val="0"/>
        <c:ser>
          <c:idx val="1"/>
          <c:order val="1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22480"/>
        <c:axId val="145618168"/>
      </c:scatterChart>
      <c:valAx>
        <c:axId val="145618560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17776"/>
        <c:crosses val="autoZero"/>
        <c:crossBetween val="midCat"/>
      </c:valAx>
      <c:valAx>
        <c:axId val="14561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18560"/>
        <c:crosses val="autoZero"/>
        <c:crossBetween val="midCat"/>
      </c:valAx>
      <c:valAx>
        <c:axId val="1456181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22480"/>
        <c:crosses val="max"/>
        <c:crossBetween val="midCat"/>
      </c:valAx>
      <c:valAx>
        <c:axId val="145622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618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915115991666955E-2"/>
          <c:y val="0.82389355699646971"/>
          <c:w val="0.75743135247107563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18952"/>
        <c:axId val="145619344"/>
      </c:scatterChart>
      <c:valAx>
        <c:axId val="14561895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45619344"/>
        <c:crosses val="autoZero"/>
        <c:crossBetween val="midCat"/>
      </c:valAx>
      <c:valAx>
        <c:axId val="1456193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618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52674358798312"/>
          <c:y val="0.24957033840520826"/>
          <c:w val="0.85584877842541363"/>
          <c:h val="0.601843341646351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CalArduinoHiTec!$AB$1</c:f>
              <c:strCache>
                <c:ptCount val="1"/>
                <c:pt idx="0">
                  <c:v>Tau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CalArduinoHiTec!$P$3:$P$9</c:f>
              <c:numCache>
                <c:formatCode>0</c:formatCode>
                <c:ptCount val="7"/>
                <c:pt idx="0">
                  <c:v>35.26475694444445</c:v>
                </c:pt>
                <c:pt idx="1">
                  <c:v>42.58385744234802</c:v>
                </c:pt>
                <c:pt idx="2">
                  <c:v>55.272108843537424</c:v>
                </c:pt>
                <c:pt idx="3">
                  <c:v>67.708333333333343</c:v>
                </c:pt>
                <c:pt idx="4">
                  <c:v>70.164075993091544</c:v>
                </c:pt>
                <c:pt idx="5">
                  <c:v>84.10973084886129</c:v>
                </c:pt>
                <c:pt idx="6">
                  <c:v>96.176609848484858</c:v>
                </c:pt>
              </c:numCache>
            </c:numRef>
          </c:xVal>
          <c:yVal>
            <c:numRef>
              <c:f>CalArduinoHiTec!$AB$3:$AB$9</c:f>
              <c:numCache>
                <c:formatCode>General</c:formatCode>
                <c:ptCount val="7"/>
                <c:pt idx="1">
                  <c:v>0.18</c:v>
                </c:pt>
                <c:pt idx="2">
                  <c:v>0.18</c:v>
                </c:pt>
                <c:pt idx="3">
                  <c:v>0.14000000000000001</c:v>
                </c:pt>
                <c:pt idx="4">
                  <c:v>0.12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21304"/>
        <c:axId val="147025456"/>
      </c:scatterChart>
      <c:valAx>
        <c:axId val="145621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47025456"/>
        <c:crosses val="autoZero"/>
        <c:crossBetween val="midCat"/>
      </c:valAx>
      <c:valAx>
        <c:axId val="147025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621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CalArduinoHiTec!$T$1</c:f>
              <c:strCache>
                <c:ptCount val="1"/>
                <c:pt idx="0">
                  <c:v>Calc Ng from Nf,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backward val="32"/>
            <c:dispRSqr val="0"/>
            <c:dispEq val="0"/>
          </c:trendline>
          <c:xVal>
            <c:numRef>
              <c:f>CalArduinoHiTec!$Q$2:$Q$9</c:f>
              <c:numCache>
                <c:formatCode>0</c:formatCode>
                <c:ptCount val="8"/>
                <c:pt idx="0">
                  <c:v>1.3541666666666668E-11</c:v>
                </c:pt>
                <c:pt idx="1">
                  <c:v>14.799635701275045</c:v>
                </c:pt>
                <c:pt idx="2">
                  <c:v>22.345984598459847</c:v>
                </c:pt>
                <c:pt idx="3">
                  <c:v>35.26475694444445</c:v>
                </c:pt>
                <c:pt idx="4">
                  <c:v>45.44183445190157</c:v>
                </c:pt>
                <c:pt idx="5">
                  <c:v>49.064009661835762</c:v>
                </c:pt>
                <c:pt idx="6">
                  <c:v>62.117737003058117</c:v>
                </c:pt>
                <c:pt idx="7">
                  <c:v>72.030141843971634</c:v>
                </c:pt>
              </c:numCache>
            </c:numRef>
          </c:xVal>
          <c:yVal>
            <c:numRef>
              <c:f>CalArduinoHiTec!$T$2:$T$9</c:f>
              <c:numCache>
                <c:formatCode>0</c:formatCode>
                <c:ptCount val="8"/>
                <c:pt idx="0">
                  <c:v>18.869943356217771</c:v>
                </c:pt>
                <c:pt idx="1">
                  <c:v>34.560601222019052</c:v>
                </c:pt>
                <c:pt idx="2">
                  <c:v>42.561283203103258</c:v>
                </c:pt>
                <c:pt idx="3">
                  <c:v>56.257839052092237</c:v>
                </c:pt>
                <c:pt idx="4">
                  <c:v>67.047634454261498</c:v>
                </c:pt>
                <c:pt idx="5">
                  <c:v>70.887885193961779</c:v>
                </c:pt>
                <c:pt idx="6">
                  <c:v>84.727521095750703</c:v>
                </c:pt>
                <c:pt idx="7">
                  <c:v>95.236709032912501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24672"/>
        <c:axId val="147025064"/>
      </c:scatterChart>
      <c:valAx>
        <c:axId val="147024672"/>
        <c:scaling>
          <c:orientation val="minMax"/>
          <c:max val="8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25064"/>
        <c:crosses val="autoZero"/>
        <c:crossBetween val="midCat"/>
      </c:valAx>
      <c:valAx>
        <c:axId val="14702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24672"/>
        <c:crossesAt val="-2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CalArduinoHiTec!$S$1</c:f>
              <c:strCache>
                <c:ptCount val="1"/>
                <c:pt idx="0">
                  <c:v>Throttle, deg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7500"/>
            <c:intercept val="0"/>
            <c:dispRSqr val="0"/>
            <c:dispEq val="1"/>
            <c:trendlineLbl>
              <c:layout>
                <c:manualLayout>
                  <c:x val="-0.11207458442694664"/>
                  <c:y val="3.42403032954214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xVal>
          <c:yVal>
            <c:numRef>
              <c:f>CalArduinoHiTec!$S$2:$S$9</c:f>
              <c:numCache>
                <c:formatCode>0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12176"/>
        <c:axId val="208513744"/>
      </c:scatterChart>
      <c:valAx>
        <c:axId val="20851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13744"/>
        <c:crosses val="autoZero"/>
        <c:crossBetween val="midCat"/>
      </c:valAx>
      <c:valAx>
        <c:axId val="20851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1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048556430446198E-2"/>
          <c:y val="0.16708333333333336"/>
          <c:w val="0.90339588801399828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CalArduinoHiTec!$N$1</c:f>
              <c:strCache>
                <c:ptCount val="1"/>
                <c:pt idx="0">
                  <c:v>Ng,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55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95256"/>
        <c:axId val="201802312"/>
      </c:scatterChart>
      <c:valAx>
        <c:axId val="201795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02312"/>
        <c:crosses val="autoZero"/>
        <c:crossBetween val="midCat"/>
      </c:valAx>
      <c:valAx>
        <c:axId val="20180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95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CalPhotonHiTec!$J$2:$J$31</c:f>
              <c:numCache>
                <c:formatCode>0.0</c:formatCode>
                <c:ptCount val="30"/>
                <c:pt idx="0">
                  <c:v>0</c:v>
                </c:pt>
                <c:pt idx="1">
                  <c:v>18.954000000000001</c:v>
                </c:pt>
                <c:pt idx="2">
                  <c:v>23.065999999999999</c:v>
                </c:pt>
                <c:pt idx="3">
                  <c:v>44.176200000000001</c:v>
                </c:pt>
                <c:pt idx="4">
                  <c:v>77.8596</c:v>
                </c:pt>
                <c:pt idx="5">
                  <c:v>100.6914</c:v>
                </c:pt>
                <c:pt idx="6">
                  <c:v>155.69400000000002</c:v>
                </c:pt>
              </c:numCache>
            </c:numRef>
          </c:xVal>
          <c:yVal>
            <c:numRef>
              <c:f>CalPhotonHiTec!$P$2:$P$31</c:f>
              <c:numCache>
                <c:formatCode>0</c:formatCode>
                <c:ptCount val="30"/>
                <c:pt idx="0">
                  <c:v>0</c:v>
                </c:pt>
                <c:pt idx="1">
                  <c:v>35.535006556692458</c:v>
                </c:pt>
                <c:pt idx="2">
                  <c:v>41.694986197572746</c:v>
                </c:pt>
                <c:pt idx="3">
                  <c:v>58.497191347429769</c:v>
                </c:pt>
                <c:pt idx="4">
                  <c:v>71.633456576421381</c:v>
                </c:pt>
                <c:pt idx="5">
                  <c:v>78.025081169228997</c:v>
                </c:pt>
                <c:pt idx="6">
                  <c:v>87.695216353429245</c:v>
                </c:pt>
                <c:pt idx="7">
                  <c:v>99.436452599869568</c:v>
                </c:pt>
                <c:pt idx="10">
                  <c:v>0</c:v>
                </c:pt>
                <c:pt idx="11">
                  <c:v>262.41235611095965</c:v>
                </c:pt>
                <c:pt idx="12">
                  <c:v>307.90143653592179</c:v>
                </c:pt>
                <c:pt idx="13">
                  <c:v>431.97925918101981</c:v>
                </c:pt>
                <c:pt idx="14">
                  <c:v>528.98552548741941</c:v>
                </c:pt>
                <c:pt idx="15">
                  <c:v>576.18521478815251</c:v>
                </c:pt>
                <c:pt idx="16">
                  <c:v>647.59544384070819</c:v>
                </c:pt>
                <c:pt idx="17">
                  <c:v>734.29995766057539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26240"/>
        <c:axId val="147028592"/>
      </c:scatterChart>
      <c:valAx>
        <c:axId val="14702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28592"/>
        <c:crosses val="autoZero"/>
        <c:crossBetween val="midCat"/>
      </c:valAx>
      <c:valAx>
        <c:axId val="1470285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2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11</xdr:row>
      <xdr:rowOff>83820</xdr:rowOff>
    </xdr:from>
    <xdr:to>
      <xdr:col>12</xdr:col>
      <xdr:colOff>83820</xdr:colOff>
      <xdr:row>28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28</xdr:row>
      <xdr:rowOff>175260</xdr:rowOff>
    </xdr:from>
    <xdr:to>
      <xdr:col>11</xdr:col>
      <xdr:colOff>0</xdr:colOff>
      <xdr:row>39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209550</xdr:colOff>
      <xdr:row>13</xdr:row>
      <xdr:rowOff>45726</xdr:rowOff>
    </xdr:from>
    <xdr:to>
      <xdr:col>24</xdr:col>
      <xdr:colOff>403860</xdr:colOff>
      <xdr:row>32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51435</xdr:colOff>
      <xdr:row>31</xdr:row>
      <xdr:rowOff>184791</xdr:rowOff>
    </xdr:from>
    <xdr:to>
      <xdr:col>20</xdr:col>
      <xdr:colOff>198120</xdr:colOff>
      <xdr:row>45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154305</xdr:colOff>
      <xdr:row>0</xdr:row>
      <xdr:rowOff>1</xdr:rowOff>
    </xdr:from>
    <xdr:to>
      <xdr:col>37</xdr:col>
      <xdr:colOff>152400</xdr:colOff>
      <xdr:row>13</xdr:row>
      <xdr:rowOff>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7620</xdr:colOff>
      <xdr:row>41</xdr:row>
      <xdr:rowOff>15246</xdr:rowOff>
    </xdr:from>
    <xdr:to>
      <xdr:col>13</xdr:col>
      <xdr:colOff>304800</xdr:colOff>
      <xdr:row>58</xdr:row>
      <xdr:rowOff>160020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236220</xdr:colOff>
      <xdr:row>14</xdr:row>
      <xdr:rowOff>83826</xdr:rowOff>
    </xdr:from>
    <xdr:to>
      <xdr:col>15</xdr:col>
      <xdr:colOff>243840</xdr:colOff>
      <xdr:row>27</xdr:row>
      <xdr:rowOff>137160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381000</xdr:colOff>
      <xdr:row>42</xdr:row>
      <xdr:rowOff>152406</xdr:rowOff>
    </xdr:from>
    <xdr:to>
      <xdr:col>24</xdr:col>
      <xdr:colOff>464820</xdr:colOff>
      <xdr:row>57</xdr:row>
      <xdr:rowOff>152406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10</xdr:row>
      <xdr:rowOff>60960</xdr:rowOff>
    </xdr:from>
    <xdr:to>
      <xdr:col>15</xdr:col>
      <xdr:colOff>53340</xdr:colOff>
      <xdr:row>24</xdr:row>
      <xdr:rowOff>106680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"/>
  <sheetViews>
    <sheetView tabSelected="1" topLeftCell="U1" workbookViewId="0">
      <pane ySplit="3" topLeftCell="A23" activePane="bottomLeft" state="frozen"/>
      <selection pane="bottomLeft" activeCell="AE31" sqref="AE31"/>
    </sheetView>
  </sheetViews>
  <sheetFormatPr defaultRowHeight="14.4" x14ac:dyDescent="0.3"/>
  <cols>
    <col min="2" max="2" width="7.109375" bestFit="1" customWidth="1"/>
    <col min="3" max="3" width="6.88671875" style="1" customWidth="1"/>
    <col min="4" max="4" width="6.44140625" style="1" customWidth="1"/>
    <col min="5" max="5" width="6.33203125" style="1" customWidth="1"/>
    <col min="6" max="6" width="4.66406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1" width="5.109375" style="1" customWidth="1"/>
    <col min="12" max="12" width="6.6640625" style="1" customWidth="1"/>
    <col min="13" max="13" width="4.77734375" style="1" customWidth="1"/>
    <col min="14" max="14" width="7.33203125" style="1" bestFit="1" customWidth="1"/>
    <col min="15" max="16" width="6.33203125" style="1" customWidth="1"/>
    <col min="17" max="17" width="4.33203125" style="1" customWidth="1"/>
    <col min="18" max="18" width="7.6640625" style="1" customWidth="1"/>
    <col min="19" max="19" width="8" style="1" customWidth="1"/>
    <col min="20" max="20" width="6.33203125" style="1" customWidth="1"/>
    <col min="21" max="21" width="8.109375" style="1" bestFit="1" customWidth="1"/>
    <col min="22" max="24" width="6.109375" customWidth="1"/>
    <col min="26" max="26" width="9.88671875" bestFit="1" customWidth="1"/>
    <col min="27" max="27" width="10.6640625" customWidth="1"/>
    <col min="28" max="28" width="6.5546875" bestFit="1" customWidth="1"/>
    <col min="29" max="30" width="9.6640625" customWidth="1"/>
    <col min="31" max="31" width="7.88671875" customWidth="1"/>
    <col min="32" max="32" width="10" customWidth="1"/>
    <col min="33" max="33" width="11.5546875" customWidth="1"/>
    <col min="34" max="34" width="11.109375" customWidth="1"/>
    <col min="36" max="36" width="9.6640625" customWidth="1"/>
  </cols>
  <sheetData>
    <row r="1" spans="1:32" ht="57.6" x14ac:dyDescent="0.3">
      <c r="A1" t="s">
        <v>52</v>
      </c>
      <c r="B1" s="74" t="s">
        <v>66</v>
      </c>
      <c r="C1" s="75" t="s">
        <v>0</v>
      </c>
      <c r="D1" s="75" t="s">
        <v>1</v>
      </c>
      <c r="E1" s="75" t="s">
        <v>15</v>
      </c>
      <c r="F1" s="75" t="s">
        <v>16</v>
      </c>
      <c r="G1" s="75" t="s">
        <v>34</v>
      </c>
      <c r="H1" s="75" t="s">
        <v>33</v>
      </c>
      <c r="I1" s="76" t="s">
        <v>2</v>
      </c>
      <c r="J1" s="4" t="s">
        <v>17</v>
      </c>
      <c r="K1" s="4" t="s">
        <v>10</v>
      </c>
      <c r="L1" s="4" t="s">
        <v>36</v>
      </c>
      <c r="M1" s="4" t="s">
        <v>35</v>
      </c>
      <c r="N1" s="4" t="s">
        <v>37</v>
      </c>
      <c r="O1" s="4" t="s">
        <v>7</v>
      </c>
      <c r="P1" s="4" t="s">
        <v>38</v>
      </c>
      <c r="Q1" s="4" t="s">
        <v>73</v>
      </c>
      <c r="R1" s="4" t="s">
        <v>11</v>
      </c>
      <c r="S1" s="4" t="s">
        <v>10</v>
      </c>
      <c r="T1" s="4" t="s">
        <v>12</v>
      </c>
      <c r="U1" s="4" t="s">
        <v>13</v>
      </c>
      <c r="V1" s="4" t="s">
        <v>9</v>
      </c>
      <c r="W1" s="4" t="s">
        <v>31</v>
      </c>
      <c r="X1" s="4" t="str">
        <f>J1</f>
        <v>Charger Pwr, W</v>
      </c>
      <c r="Y1" s="4" t="s">
        <v>58</v>
      </c>
      <c r="Z1" s="4" t="s">
        <v>59</v>
      </c>
      <c r="AA1" s="4" t="s">
        <v>60</v>
      </c>
      <c r="AB1" s="4" t="s">
        <v>61</v>
      </c>
      <c r="AC1" s="4" t="s">
        <v>62</v>
      </c>
      <c r="AD1" s="4" t="s">
        <v>63</v>
      </c>
      <c r="AE1" s="4" t="s">
        <v>64</v>
      </c>
      <c r="AF1" s="4" t="s">
        <v>76</v>
      </c>
    </row>
    <row r="2" spans="1:32" x14ac:dyDescent="0.3">
      <c r="B2" s="96">
        <f>C2/180+1</f>
        <v>1.2611111111111111</v>
      </c>
      <c r="C2" s="97">
        <v>47</v>
      </c>
      <c r="D2" s="97"/>
      <c r="E2" s="97">
        <v>12</v>
      </c>
      <c r="F2" s="97">
        <v>0.43</v>
      </c>
      <c r="G2" s="97">
        <v>4980</v>
      </c>
      <c r="H2" s="99">
        <v>1E+16</v>
      </c>
      <c r="I2" s="98"/>
      <c r="J2" s="2">
        <f>E2*F2</f>
        <v>5.16</v>
      </c>
      <c r="K2" s="1">
        <f t="shared" ref="K2" si="0">C2</f>
        <v>47</v>
      </c>
      <c r="L2" s="3">
        <f>1/G2/0.000001</f>
        <v>200.80321285140565</v>
      </c>
      <c r="M2" s="3">
        <f>1/H2/0.000001</f>
        <v>1E-10</v>
      </c>
      <c r="N2" s="3">
        <f>L2*60/$AA$16</f>
        <v>6024.0963855421696</v>
      </c>
      <c r="O2" s="3">
        <f>M2*60/$AA$16</f>
        <v>3E-9</v>
      </c>
      <c r="P2" s="3">
        <f>N2/$AA$24*100</f>
        <v>27.192101740294518</v>
      </c>
      <c r="Q2" s="3">
        <f>O2/$AA$24*100</f>
        <v>1.3541666666666668E-11</v>
      </c>
      <c r="R2" s="3">
        <f>O2*$AD$35+$AD$36</f>
        <v>4180.4182204543986</v>
      </c>
      <c r="S2" s="3">
        <f>K2</f>
        <v>47</v>
      </c>
      <c r="T2" s="3">
        <f>R2/$AA$24*100</f>
        <v>18.869943356217771</v>
      </c>
      <c r="U2" s="3">
        <f>$AA$38*LN(C2)+$AA$39</f>
        <v>464.32038932937508</v>
      </c>
      <c r="V2" s="3">
        <f>D2*D2*$AA$35+D2*$AA$36+$AA$37</f>
        <v>0</v>
      </c>
      <c r="W2" s="3">
        <f>V2/$AA$24*100</f>
        <v>0</v>
      </c>
      <c r="X2" s="4">
        <f>J2</f>
        <v>5.16</v>
      </c>
      <c r="Y2">
        <f>X2*0.001341022</f>
        <v>6.9196735200000008E-3</v>
      </c>
      <c r="Z2">
        <f>Y2/N2*5252</f>
        <v>6.0327928042886395E-3</v>
      </c>
      <c r="AA2">
        <f>-Z2/2/N2</f>
        <v>-5.0072180275595703E-7</v>
      </c>
      <c r="AB2" s="4"/>
      <c r="AC2" s="4"/>
      <c r="AD2" s="4"/>
      <c r="AE2" s="4"/>
      <c r="AF2" s="95">
        <f>(N2-$AH$29)/$AI$29</f>
        <v>49.951845286752039</v>
      </c>
    </row>
    <row r="3" spans="1:32" ht="15" customHeight="1" x14ac:dyDescent="0.3">
      <c r="B3" s="77">
        <v>1.4338333333333333</v>
      </c>
      <c r="C3" s="73">
        <v>78.089999999999989</v>
      </c>
      <c r="D3" s="73">
        <v>0.5</v>
      </c>
      <c r="E3" s="73">
        <v>12</v>
      </c>
      <c r="F3" s="73">
        <v>0.97</v>
      </c>
      <c r="G3" s="73">
        <v>3840</v>
      </c>
      <c r="H3" s="73">
        <v>9150</v>
      </c>
      <c r="I3" s="78">
        <v>3.2</v>
      </c>
      <c r="J3" s="2">
        <f>E3*F3</f>
        <v>11.64</v>
      </c>
      <c r="K3" s="1">
        <f t="shared" ref="K3:K9" si="1">C3</f>
        <v>78.089999999999989</v>
      </c>
      <c r="L3" s="3">
        <f>1/G3/0.000001</f>
        <v>260.41666666666669</v>
      </c>
      <c r="M3" s="3">
        <f>1/H3/0.000001</f>
        <v>109.2896174863388</v>
      </c>
      <c r="N3" s="3">
        <f>L3*60/$AA$16</f>
        <v>7812.5000000000009</v>
      </c>
      <c r="O3" s="3">
        <f>M3*60/$AA$16</f>
        <v>3278.688524590164</v>
      </c>
      <c r="P3" s="3">
        <f>N3/$AA$24*100</f>
        <v>35.26475694444445</v>
      </c>
      <c r="Q3" s="3">
        <f>O3/$AA$24*100</f>
        <v>14.799635701275045</v>
      </c>
      <c r="R3" s="3">
        <f>O3*$AD$35+$AD$36</f>
        <v>7656.5024245703744</v>
      </c>
      <c r="S3" s="3">
        <f>K3</f>
        <v>78.089999999999989</v>
      </c>
      <c r="T3" s="3">
        <f>R3/$AA$24*100</f>
        <v>34.560601222019052</v>
      </c>
      <c r="U3" s="3">
        <f>$AA$38*LN(C3)+$AA$39</f>
        <v>525.54976935129287</v>
      </c>
      <c r="V3" s="3">
        <f>D3*D3*$AA$35+D3*$AA$36+$AA$37</f>
        <v>3494.6201834301496</v>
      </c>
      <c r="W3" s="3">
        <f>V3/$AA$24*100</f>
        <v>15.774327216872205</v>
      </c>
      <c r="X3" s="4">
        <f>J3</f>
        <v>11.64</v>
      </c>
      <c r="Y3">
        <f>X3*0.001341022</f>
        <v>1.5609496080000002E-2</v>
      </c>
      <c r="Z3">
        <f>Y3/N3*5252</f>
        <v>1.0493577396756479E-2</v>
      </c>
      <c r="AA3">
        <f>-Z3/2/N3</f>
        <v>-6.715889533924146E-7</v>
      </c>
      <c r="AF3" s="95">
        <f>(N3-$AH$29)/$AI$29</f>
        <v>64.781299356256554</v>
      </c>
    </row>
    <row r="4" spans="1:32" ht="13.95" customHeight="1" x14ac:dyDescent="0.3">
      <c r="B4" s="77">
        <v>1.4649999999999999</v>
      </c>
      <c r="C4" s="73">
        <v>83.699999999999974</v>
      </c>
      <c r="D4" s="73">
        <v>0.74199999999999999</v>
      </c>
      <c r="E4" s="73">
        <v>12</v>
      </c>
      <c r="F4" s="73">
        <v>1.51</v>
      </c>
      <c r="G4" s="73">
        <v>3180</v>
      </c>
      <c r="H4" s="73">
        <v>6060</v>
      </c>
      <c r="I4" s="78">
        <v>4.5999999999999996</v>
      </c>
      <c r="J4" s="2">
        <f t="shared" ref="J4:J9" si="2">E4*F4</f>
        <v>18.12</v>
      </c>
      <c r="K4" s="1">
        <f t="shared" si="1"/>
        <v>83.699999999999974</v>
      </c>
      <c r="L4" s="3">
        <f>1/G4/0.000001</f>
        <v>314.46540880503147</v>
      </c>
      <c r="M4" s="3">
        <f>1/H4/0.000001</f>
        <v>165.01650165016503</v>
      </c>
      <c r="N4" s="3">
        <f>L4*60/$AA$16</f>
        <v>9433.962264150945</v>
      </c>
      <c r="O4" s="3">
        <f>M4*60/$AA$16</f>
        <v>4950.4950495049507</v>
      </c>
      <c r="P4" s="3">
        <f>N4/$AA$24*100</f>
        <v>42.58385744234802</v>
      </c>
      <c r="Q4" s="3">
        <f>O4/$AA$24*100</f>
        <v>22.345984598459847</v>
      </c>
      <c r="R4" s="3">
        <f>O4*$AD$35+$AD$36</f>
        <v>9428.9612019182605</v>
      </c>
      <c r="S4" s="3">
        <f>K4</f>
        <v>83.699999999999974</v>
      </c>
      <c r="T4" s="3">
        <f>R4/$AA$24*100</f>
        <v>42.561283203103258</v>
      </c>
      <c r="U4" s="3">
        <f>$AA$38*LN(C4)+$AA$39</f>
        <v>533.91649836277281</v>
      </c>
      <c r="V4" s="3">
        <f>D4*D4*$AA$35+D4*$AA$36+$AA$37</f>
        <v>5100.5484588755035</v>
      </c>
      <c r="W4" s="3">
        <f>V4/$AA$24*100</f>
        <v>23.02330901575748</v>
      </c>
      <c r="X4" s="4">
        <f>J4</f>
        <v>18.12</v>
      </c>
      <c r="Y4">
        <f t="shared" ref="Y4:Y9" si="3">X4*0.001341022</f>
        <v>2.4299318640000005E-2</v>
      </c>
      <c r="Z4">
        <f t="shared" ref="Z4:Z9" si="4">Y4/N4*5252</f>
        <v>1.3527722278711681E-2</v>
      </c>
      <c r="AA4">
        <f t="shared" ref="AA4:AA9" si="5">-Z4/2/N4</f>
        <v>-7.1696928077171894E-7</v>
      </c>
      <c r="AB4">
        <v>0.18</v>
      </c>
      <c r="AC4">
        <f t="shared" ref="AC4:AC7" si="6">-AB4*AA4</f>
        <v>1.2905447053890941E-7</v>
      </c>
      <c r="AD4">
        <f t="shared" ref="AD4:AD7" si="7">AC4/6.66*2048.5</f>
        <v>3.9694907342185574E-5</v>
      </c>
      <c r="AE4">
        <f t="shared" ref="AE4:AE7" si="8">AD4*144</f>
        <v>5.716066657274723E-3</v>
      </c>
      <c r="AF4" s="95">
        <f>(N4-$AH$29)/$AI$29</f>
        <v>78.22647469434753</v>
      </c>
    </row>
    <row r="5" spans="1:32" ht="13.95" customHeight="1" x14ac:dyDescent="0.3">
      <c r="B5" s="77">
        <v>1.568888888888889</v>
      </c>
      <c r="C5" s="73">
        <v>102.40000000000002</v>
      </c>
      <c r="D5" s="73">
        <v>1.17</v>
      </c>
      <c r="E5" s="73">
        <v>12</v>
      </c>
      <c r="F5" s="73">
        <v>3</v>
      </c>
      <c r="G5" s="73">
        <v>2450</v>
      </c>
      <c r="H5" s="73">
        <v>3840</v>
      </c>
      <c r="I5" s="78">
        <v>7.4</v>
      </c>
      <c r="J5" s="2">
        <f t="shared" si="2"/>
        <v>36</v>
      </c>
      <c r="K5" s="1">
        <f t="shared" si="1"/>
        <v>102.40000000000002</v>
      </c>
      <c r="L5" s="3">
        <f>1/G5/0.000001</f>
        <v>408.16326530612247</v>
      </c>
      <c r="M5" s="3">
        <f>1/H5/0.000001</f>
        <v>260.41666666666669</v>
      </c>
      <c r="N5" s="3">
        <f>L5*60/$AA$16</f>
        <v>12244.897959183674</v>
      </c>
      <c r="O5" s="3">
        <f>M5*60/$AA$16</f>
        <v>7812.5000000000009</v>
      </c>
      <c r="P5" s="3">
        <f>N5/$AA$24*100</f>
        <v>55.272108843537424</v>
      </c>
      <c r="Q5" s="3">
        <f>O5/$AA$24*100</f>
        <v>35.26475694444445</v>
      </c>
      <c r="R5" s="3">
        <f>O5*$AD$35+$AD$36</f>
        <v>12463.275113078895</v>
      </c>
      <c r="S5" s="3">
        <f>K5</f>
        <v>102.40000000000002</v>
      </c>
      <c r="T5" s="3">
        <f>R5/$AA$24*100</f>
        <v>56.257839052092237</v>
      </c>
      <c r="U5" s="3">
        <f>$AA$38*LN(C5)+$AA$39</f>
        <v>558.23482705024071</v>
      </c>
      <c r="V5" s="3">
        <f>D5*D5*$AA$35+D5*$AA$36+$AA$37</f>
        <v>7804.2947828053293</v>
      </c>
      <c r="W5" s="3">
        <f>V5/$AA$24*100</f>
        <v>35.227719505718504</v>
      </c>
      <c r="X5" s="4">
        <f>J5</f>
        <v>36</v>
      </c>
      <c r="Y5">
        <f t="shared" si="3"/>
        <v>4.8276792000000006E-2</v>
      </c>
      <c r="Z5">
        <f t="shared" si="4"/>
        <v>2.070655977936E-2</v>
      </c>
      <c r="AA5">
        <f t="shared" si="5"/>
        <v>-8.4551785765719992E-7</v>
      </c>
      <c r="AB5">
        <v>0.18</v>
      </c>
      <c r="AC5">
        <f t="shared" si="6"/>
        <v>1.5219321437829598E-7</v>
      </c>
      <c r="AD5">
        <f t="shared" si="7"/>
        <v>4.6811981930020919E-5</v>
      </c>
      <c r="AE5">
        <f t="shared" si="8"/>
        <v>6.7409253979230123E-3</v>
      </c>
      <c r="AF5" s="95">
        <f>(N5-$AH$29)/$AI$29</f>
        <v>101.53477123592863</v>
      </c>
    </row>
    <row r="6" spans="1:32" ht="13.95" customHeight="1" x14ac:dyDescent="0.3">
      <c r="B6" s="77">
        <v>1.6727777777777779</v>
      </c>
      <c r="C6" s="73">
        <v>121.10000000000002</v>
      </c>
      <c r="D6" s="73">
        <v>1.52</v>
      </c>
      <c r="E6" s="73">
        <v>12</v>
      </c>
      <c r="F6" s="73">
        <v>4.5999999999999996</v>
      </c>
      <c r="G6" s="73">
        <v>2000</v>
      </c>
      <c r="H6" s="73">
        <v>2980</v>
      </c>
      <c r="I6" s="78">
        <v>9.4</v>
      </c>
      <c r="J6" s="2">
        <f t="shared" si="2"/>
        <v>55.199999999999996</v>
      </c>
      <c r="K6" s="1">
        <f t="shared" si="1"/>
        <v>121.10000000000002</v>
      </c>
      <c r="L6" s="3">
        <f>1/G6/0.000001</f>
        <v>500.00000000000006</v>
      </c>
      <c r="M6" s="3">
        <f>1/H6/0.000001</f>
        <v>335.57046979865771</v>
      </c>
      <c r="N6" s="3">
        <f>L6*60/$AA$16</f>
        <v>15000.000000000002</v>
      </c>
      <c r="O6" s="3">
        <f>M6*60/$AA$16</f>
        <v>10067.114093959732</v>
      </c>
      <c r="P6" s="3">
        <f>N6/$AA$24*100</f>
        <v>67.708333333333343</v>
      </c>
      <c r="Q6" s="3">
        <f>O6/$AA$24*100</f>
        <v>45.44183445190157</v>
      </c>
      <c r="R6" s="3">
        <f>O6*$AD$35+$AD$36</f>
        <v>14853.629786790238</v>
      </c>
      <c r="S6" s="3">
        <f>K6</f>
        <v>121.10000000000002</v>
      </c>
      <c r="T6" s="3">
        <f>R6/$AA$24*100</f>
        <v>67.047634454261498</v>
      </c>
      <c r="U6" s="3">
        <f>$AA$38*LN(C6)+$AA$39</f>
        <v>578.46273469155688</v>
      </c>
      <c r="V6" s="3">
        <f>D6*D6*$AA$35+D6*$AA$36+$AA$37</f>
        <v>9885.6944218814369</v>
      </c>
      <c r="W6" s="3">
        <f>V6/$AA$24*100</f>
        <v>44.622926209881491</v>
      </c>
      <c r="X6" s="4">
        <f>J6</f>
        <v>55.199999999999996</v>
      </c>
      <c r="Y6">
        <f t="shared" si="3"/>
        <v>7.4024414400000002E-2</v>
      </c>
      <c r="Z6">
        <f t="shared" si="4"/>
        <v>2.5918414961919996E-2</v>
      </c>
      <c r="AA6">
        <f t="shared" si="5"/>
        <v>-8.6394716539733309E-7</v>
      </c>
      <c r="AB6">
        <v>0.14000000000000001</v>
      </c>
      <c r="AC6">
        <f t="shared" si="6"/>
        <v>1.2095260315562663E-7</v>
      </c>
      <c r="AD6">
        <f t="shared" si="7"/>
        <v>3.7202914048693865E-5</v>
      </c>
      <c r="AE6">
        <f t="shared" si="8"/>
        <v>5.3572196230119162E-3</v>
      </c>
      <c r="AF6" s="95">
        <f>(N6-$AH$29)/$AI$29</f>
        <v>124.38009476401257</v>
      </c>
    </row>
    <row r="7" spans="1:32" ht="13.95" customHeight="1" x14ac:dyDescent="0.3">
      <c r="B7" s="77">
        <v>1.7143333333333333</v>
      </c>
      <c r="C7" s="73">
        <v>128.57999999999998</v>
      </c>
      <c r="D7" s="73">
        <v>1.7</v>
      </c>
      <c r="E7" s="73">
        <v>12</v>
      </c>
      <c r="F7" s="73">
        <v>5.4</v>
      </c>
      <c r="G7" s="73">
        <v>1930</v>
      </c>
      <c r="H7" s="73">
        <v>2760</v>
      </c>
      <c r="I7" s="78">
        <v>10.4</v>
      </c>
      <c r="J7" s="2">
        <f t="shared" si="2"/>
        <v>64.800000000000011</v>
      </c>
      <c r="K7" s="1">
        <f t="shared" si="1"/>
        <v>128.57999999999998</v>
      </c>
      <c r="L7" s="3">
        <f>1/G7/0.000001</f>
        <v>518.13471502590676</v>
      </c>
      <c r="M7" s="3">
        <f>1/H7/0.000001</f>
        <v>362.31884057971018</v>
      </c>
      <c r="N7" s="3">
        <f>L7*60/$AA$16</f>
        <v>15544.041450777202</v>
      </c>
      <c r="O7" s="3">
        <f>M7*60/$AA$16</f>
        <v>10869.565217391306</v>
      </c>
      <c r="P7" s="3">
        <f>N7/$AA$24*100</f>
        <v>70.164075993091544</v>
      </c>
      <c r="Q7" s="3">
        <f>O7/$AA$24*100</f>
        <v>49.064009661835762</v>
      </c>
      <c r="R7" s="3">
        <f>O7*$AD$35+$AD$36</f>
        <v>15704.393027585378</v>
      </c>
      <c r="S7" s="3">
        <f>K7</f>
        <v>128.57999999999998</v>
      </c>
      <c r="T7" s="3">
        <f>R7/$AA$24*100</f>
        <v>70.887885193961779</v>
      </c>
      <c r="U7" s="3">
        <f>$AA$38*LN(C7)+$AA$39</f>
        <v>585.69073547434391</v>
      </c>
      <c r="V7" s="3">
        <f>D7*D7*$AA$35+D7*$AA$36+$AA$37</f>
        <v>10910.72055031222</v>
      </c>
      <c r="W7" s="3">
        <f>V7/$AA$24*100</f>
        <v>49.249780261825997</v>
      </c>
      <c r="X7" s="4">
        <f>J7</f>
        <v>64.800000000000011</v>
      </c>
      <c r="Y7">
        <f t="shared" si="3"/>
        <v>8.6898225600000017E-2</v>
      </c>
      <c r="Z7">
        <f t="shared" si="4"/>
        <v>2.9361056601427207E-2</v>
      </c>
      <c r="AA7">
        <f t="shared" si="5"/>
        <v>-9.4444732067924179E-7</v>
      </c>
      <c r="AB7">
        <v>0.12</v>
      </c>
      <c r="AC7">
        <f t="shared" si="6"/>
        <v>1.1333367848150901E-7</v>
      </c>
      <c r="AD7">
        <f t="shared" si="7"/>
        <v>3.4859465520926602E-5</v>
      </c>
      <c r="AE7">
        <f t="shared" si="8"/>
        <v>5.0197630350134305E-3</v>
      </c>
      <c r="AF7" s="95">
        <f>(N7-$AH$29)/$AI$29</f>
        <v>128.89128991089385</v>
      </c>
    </row>
    <row r="8" spans="1:32" ht="13.95" customHeight="1" x14ac:dyDescent="0.3">
      <c r="B8" s="77">
        <v>1.8545833333333333</v>
      </c>
      <c r="C8" s="73">
        <v>153.82499999999999</v>
      </c>
      <c r="D8" s="73">
        <v>2.2000000000000002</v>
      </c>
      <c r="E8" s="73">
        <v>12</v>
      </c>
      <c r="F8" s="73">
        <v>8.6999999999999993</v>
      </c>
      <c r="G8" s="73">
        <v>1610</v>
      </c>
      <c r="H8" s="73">
        <v>2180</v>
      </c>
      <c r="I8" s="78">
        <v>13</v>
      </c>
      <c r="J8" s="2">
        <f t="shared" si="2"/>
        <v>104.39999999999999</v>
      </c>
      <c r="K8" s="1">
        <f t="shared" si="1"/>
        <v>153.82499999999999</v>
      </c>
      <c r="L8" s="3">
        <f>1/G8/0.000001</f>
        <v>621.11801242236027</v>
      </c>
      <c r="M8" s="3">
        <f>1/H8/0.000001</f>
        <v>458.71559633027528</v>
      </c>
      <c r="N8" s="3">
        <f>L8*60/$AA$16</f>
        <v>18633.540372670806</v>
      </c>
      <c r="O8" s="3">
        <f>M8*60/$AA$16</f>
        <v>13761.467889908257</v>
      </c>
      <c r="P8" s="3">
        <f>N8/$AA$24*100</f>
        <v>84.10973084886129</v>
      </c>
      <c r="Q8" s="3">
        <f>O8/$AA$24*100</f>
        <v>62.117737003058117</v>
      </c>
      <c r="R8" s="3">
        <f>O8*$AD$35+$AD$36</f>
        <v>18770.404673520155</v>
      </c>
      <c r="S8" s="3">
        <f>K8</f>
        <v>153.82499999999999</v>
      </c>
      <c r="T8" s="3">
        <f>R8/$AA$24*100</f>
        <v>84.727521095750703</v>
      </c>
      <c r="U8" s="3">
        <f>$AA$38*LN(C8)+$AA$39</f>
        <v>607.30966665297819</v>
      </c>
      <c r="V8" s="3">
        <f>D8*D8*$AA$35+D8*$AA$36+$AA$37</f>
        <v>13596.184005950465</v>
      </c>
      <c r="W8" s="3">
        <f>V8/$AA$24*100</f>
        <v>61.371663915748634</v>
      </c>
      <c r="X8" s="4">
        <f>J8</f>
        <v>104.39999999999999</v>
      </c>
      <c r="Y8">
        <f t="shared" si="3"/>
        <v>0.14000269679999999</v>
      </c>
      <c r="Z8">
        <f t="shared" si="4"/>
        <v>3.9460786779523201E-2</v>
      </c>
      <c r="AA8">
        <f t="shared" si="5"/>
        <v>-1.0588644452505392E-6</v>
      </c>
      <c r="AF8" s="95">
        <f>(N8-$AH$29)/$AI$29</f>
        <v>154.50943448945659</v>
      </c>
    </row>
    <row r="9" spans="1:32" ht="13.95" customHeight="1" thickBot="1" x14ac:dyDescent="0.35">
      <c r="B9" s="79">
        <v>1.9470444444444444</v>
      </c>
      <c r="C9" s="80">
        <v>170.46799999999999</v>
      </c>
      <c r="D9" s="80">
        <v>2.71</v>
      </c>
      <c r="E9" s="80">
        <v>12</v>
      </c>
      <c r="F9" s="80">
        <v>13</v>
      </c>
      <c r="G9" s="80">
        <v>1408</v>
      </c>
      <c r="H9" s="80">
        <v>1880</v>
      </c>
      <c r="I9" s="81">
        <v>15</v>
      </c>
      <c r="J9" s="2">
        <f t="shared" si="2"/>
        <v>156</v>
      </c>
      <c r="K9" s="1">
        <f t="shared" si="1"/>
        <v>170.46799999999999</v>
      </c>
      <c r="L9" s="3">
        <f>1/G9/0.000001</f>
        <v>710.22727272727275</v>
      </c>
      <c r="M9" s="3">
        <f>1/H9/0.000001</f>
        <v>531.91489361702133</v>
      </c>
      <c r="N9" s="3">
        <f>L9*60/$AA$16</f>
        <v>21306.818181818184</v>
      </c>
      <c r="O9" s="3">
        <f>M9*60/$AA$16</f>
        <v>15957.44680851064</v>
      </c>
      <c r="P9" s="3">
        <f>N9/$AA$24*100</f>
        <v>96.176609848484858</v>
      </c>
      <c r="Q9" s="3">
        <f>O9/$AA$24*100</f>
        <v>72.030141843971634</v>
      </c>
      <c r="R9" s="3">
        <f>O9*$AD$35+$AD$36</f>
        <v>21098.594001137539</v>
      </c>
      <c r="S9" s="3">
        <f>K9</f>
        <v>170.46799999999999</v>
      </c>
      <c r="T9" s="3">
        <f>R9/$AA$24*100</f>
        <v>95.236709032912501</v>
      </c>
      <c r="U9" s="3">
        <f>$AA$38*LN(C9)+$AA$39</f>
        <v>619.69894848212812</v>
      </c>
      <c r="V9" s="3">
        <f>D9*D9*$AA$35+D9*$AA$36+$AA$37</f>
        <v>16090.182242180526</v>
      </c>
      <c r="W9" s="3">
        <f>V9/$AA$24*100</f>
        <v>72.629294843175998</v>
      </c>
      <c r="X9" s="4">
        <f>J9</f>
        <v>156</v>
      </c>
      <c r="Y9">
        <f t="shared" si="3"/>
        <v>0.20919943200000002</v>
      </c>
      <c r="Z9">
        <f t="shared" si="4"/>
        <v>5.1566376898150398E-2</v>
      </c>
      <c r="AA9">
        <f t="shared" si="5"/>
        <v>-1.2100909778765959E-6</v>
      </c>
      <c r="AF9" s="95">
        <f>(N9-$AH$29)/$AI$29</f>
        <v>176.67627097160877</v>
      </c>
    </row>
    <row r="10" spans="1:32" ht="13.95" customHeight="1" x14ac:dyDescent="0.3">
      <c r="N10" s="1">
        <v>9.34</v>
      </c>
      <c r="AB10" t="s">
        <v>65</v>
      </c>
      <c r="AC10">
        <f>AVERAGE(AC4:AC7)</f>
        <v>1.2888349163858527E-7</v>
      </c>
      <c r="AD10">
        <f>AVERAGE(AD4:AD7)</f>
        <v>3.9642317210456738E-5</v>
      </c>
      <c r="AE10">
        <f>AVERAGE(AE4:AE7)</f>
        <v>5.7084936783057703E-3</v>
      </c>
      <c r="AF10" s="95"/>
    </row>
    <row r="11" spans="1:32" ht="13.95" customHeight="1" x14ac:dyDescent="0.3">
      <c r="V11" s="3">
        <f>D11*D11*$AA$35+D11*$AA$36+$AA$37</f>
        <v>0</v>
      </c>
      <c r="W11" s="3"/>
    </row>
    <row r="12" spans="1:32" ht="13.95" customHeight="1" x14ac:dyDescent="0.3"/>
    <row r="13" spans="1:32" ht="13.95" customHeight="1" x14ac:dyDescent="0.3"/>
    <row r="14" spans="1:32" ht="13.95" customHeight="1" x14ac:dyDescent="0.3">
      <c r="B14" s="5"/>
      <c r="C14" s="6"/>
      <c r="D14" s="6"/>
      <c r="E14" s="6"/>
      <c r="F14" s="6"/>
      <c r="G14" s="6"/>
      <c r="H14" s="6"/>
      <c r="I14" s="6"/>
      <c r="J14" s="2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32" ht="13.95" customHeight="1" thickBot="1" x14ac:dyDescent="0.35">
      <c r="B15" s="5"/>
      <c r="C15" s="6"/>
      <c r="D15" s="6"/>
      <c r="E15" s="6"/>
      <c r="F15" s="6"/>
      <c r="G15" s="6"/>
      <c r="H15" s="6"/>
      <c r="I15" s="6"/>
      <c r="J15" s="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Z15" t="s">
        <v>44</v>
      </c>
      <c r="AC15" t="s">
        <v>45</v>
      </c>
      <c r="AF15" s="30"/>
    </row>
    <row r="16" spans="1:32" ht="13.95" customHeight="1" x14ac:dyDescent="0.3">
      <c r="A16" s="3" t="s">
        <v>40</v>
      </c>
      <c r="B16" s="11" t="s">
        <v>41</v>
      </c>
      <c r="C16" s="12"/>
      <c r="D16" s="12"/>
      <c r="E16" s="6"/>
      <c r="F16" s="6"/>
      <c r="G16" s="6"/>
      <c r="H16" s="6"/>
      <c r="I16" s="6"/>
      <c r="J16" s="2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Z16" s="17" t="s">
        <v>3</v>
      </c>
      <c r="AA16" s="18">
        <v>2</v>
      </c>
      <c r="AC16" s="17"/>
      <c r="AD16" s="23" t="s">
        <v>32</v>
      </c>
      <c r="AE16" s="7"/>
      <c r="AF16" s="30"/>
    </row>
    <row r="17" spans="1:36" x14ac:dyDescent="0.3">
      <c r="A17" s="3"/>
      <c r="B17" s="13" t="s">
        <v>42</v>
      </c>
      <c r="C17" s="14"/>
      <c r="D17" s="14"/>
      <c r="E17" s="6"/>
      <c r="F17" s="6"/>
      <c r="G17" s="6"/>
      <c r="H17" s="6"/>
      <c r="I17" s="6"/>
      <c r="J17" s="2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Z17" s="19" t="s">
        <v>4</v>
      </c>
      <c r="AA17" s="20">
        <v>4800</v>
      </c>
      <c r="AC17" s="24" t="s">
        <v>25</v>
      </c>
      <c r="AD17" s="25">
        <v>0</v>
      </c>
      <c r="AF17" s="30"/>
    </row>
    <row r="18" spans="1:36" ht="13.95" customHeight="1" thickBot="1" x14ac:dyDescent="0.35">
      <c r="A18" s="3"/>
      <c r="B18" s="15" t="s">
        <v>43</v>
      </c>
      <c r="C18" s="16"/>
      <c r="D18" s="16"/>
      <c r="E18" s="6"/>
      <c r="F18" s="6"/>
      <c r="G18" s="6"/>
      <c r="H18" s="6"/>
      <c r="I18" s="6"/>
      <c r="J18" s="2"/>
      <c r="L18" s="3"/>
      <c r="M18" s="3"/>
      <c r="N18" s="3"/>
      <c r="O18" s="2"/>
      <c r="P18" s="3"/>
      <c r="Q18" s="3"/>
      <c r="R18" s="3"/>
      <c r="S18" s="3"/>
      <c r="X18" s="3"/>
      <c r="Z18" s="21" t="s">
        <v>5</v>
      </c>
      <c r="AA18" s="22">
        <v>12</v>
      </c>
      <c r="AC18" s="26" t="s">
        <v>26</v>
      </c>
      <c r="AD18" s="27">
        <v>5</v>
      </c>
      <c r="AF18" s="30"/>
    </row>
    <row r="19" spans="1:36" ht="13.95" customHeight="1" x14ac:dyDescent="0.3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/>
      <c r="O19" s="3"/>
      <c r="P19" s="3"/>
      <c r="Q19" s="3"/>
      <c r="R19" s="3"/>
      <c r="S19" s="3"/>
      <c r="X19" s="3"/>
      <c r="AF19" s="30"/>
    </row>
    <row r="20" spans="1:36" ht="24" thickBot="1" x14ac:dyDescent="0.5">
      <c r="B20" s="5"/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X20" s="3"/>
      <c r="Z20" t="s">
        <v>47</v>
      </c>
      <c r="AF20" s="94" t="s">
        <v>71</v>
      </c>
      <c r="AG20" s="5" t="s">
        <v>74</v>
      </c>
      <c r="AH20" s="5"/>
      <c r="AI20" s="5"/>
    </row>
    <row r="21" spans="1:36" ht="15" thickBot="1" x14ac:dyDescent="0.35">
      <c r="B21" s="5"/>
      <c r="C21" s="6"/>
      <c r="D21" s="6"/>
      <c r="E21" s="6"/>
      <c r="F21" s="6"/>
      <c r="G21" s="6"/>
      <c r="H21" s="6"/>
      <c r="I21" s="6"/>
      <c r="J21" s="2"/>
      <c r="L21" s="3"/>
      <c r="M21" s="3"/>
      <c r="N21" s="3"/>
      <c r="O21" s="3"/>
      <c r="P21" s="3"/>
      <c r="Q21" s="3"/>
      <c r="R21" s="3"/>
      <c r="S21" s="3"/>
      <c r="T21" s="3"/>
      <c r="V21" s="3"/>
      <c r="W21" s="3"/>
      <c r="X21" s="3"/>
      <c r="Z21" s="34">
        <v>210</v>
      </c>
      <c r="AA21" s="35" t="s">
        <v>46</v>
      </c>
      <c r="AB21" s="36"/>
      <c r="AC21" s="35"/>
      <c r="AD21" s="35"/>
      <c r="AE21" s="37"/>
      <c r="AG21" s="62" t="s">
        <v>24</v>
      </c>
      <c r="AH21" s="63">
        <f>AA29</f>
        <v>5</v>
      </c>
      <c r="AI21" s="64"/>
      <c r="AJ21" s="29"/>
    </row>
    <row r="22" spans="1:36" x14ac:dyDescent="0.3">
      <c r="B22" s="5"/>
      <c r="C22" s="6"/>
      <c r="D22" s="6"/>
      <c r="E22" s="6"/>
      <c r="F22" s="6"/>
      <c r="G22" s="6"/>
      <c r="H22" s="6"/>
      <c r="I22" s="6"/>
      <c r="J22" s="2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Z22" s="8"/>
      <c r="AB22" s="8"/>
      <c r="AC22" s="8"/>
      <c r="AG22" s="65" t="s">
        <v>23</v>
      </c>
      <c r="AH22" s="66">
        <f>AA28</f>
        <v>0</v>
      </c>
      <c r="AI22" s="45"/>
      <c r="AJ22" s="31"/>
    </row>
    <row r="23" spans="1:36" ht="15" thickBot="1" x14ac:dyDescent="0.35">
      <c r="C23" s="6"/>
      <c r="D23" s="6"/>
      <c r="E23" s="6"/>
      <c r="F23" s="6"/>
      <c r="G23" s="6"/>
      <c r="H23" s="6"/>
      <c r="I23" s="6"/>
      <c r="J23" s="2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Z23" t="s">
        <v>48</v>
      </c>
      <c r="AG23" s="65" t="s">
        <v>26</v>
      </c>
      <c r="AH23" s="66">
        <f>AD18</f>
        <v>5</v>
      </c>
      <c r="AI23" s="30"/>
      <c r="AJ23" s="31"/>
    </row>
    <row r="24" spans="1:36" ht="15" thickBot="1" x14ac:dyDescent="0.35">
      <c r="Z24" s="38" t="s">
        <v>6</v>
      </c>
      <c r="AA24" s="39">
        <f>AA17*AA18/AB24</f>
        <v>22153.846153846152</v>
      </c>
      <c r="AB24" s="40">
        <v>2.6</v>
      </c>
      <c r="AC24" s="35" t="s">
        <v>14</v>
      </c>
      <c r="AD24" s="41"/>
      <c r="AG24" s="65" t="s">
        <v>25</v>
      </c>
      <c r="AH24" s="66">
        <f>AD17</f>
        <v>0</v>
      </c>
      <c r="AI24" s="30"/>
      <c r="AJ24" s="31"/>
    </row>
    <row r="25" spans="1:36" x14ac:dyDescent="0.3">
      <c r="AG25" s="65" t="s">
        <v>39</v>
      </c>
      <c r="AH25" s="66">
        <f>AA24/100</f>
        <v>221.53846153846152</v>
      </c>
      <c r="AI25" s="30"/>
      <c r="AJ25" s="31"/>
    </row>
    <row r="26" spans="1:36" ht="15" thickBot="1" x14ac:dyDescent="0.35"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t="s">
        <v>49</v>
      </c>
      <c r="AG26" s="65" t="s">
        <v>27</v>
      </c>
      <c r="AH26" s="66">
        <f>AC29</f>
        <v>180</v>
      </c>
      <c r="AI26" s="30"/>
      <c r="AJ26" s="31"/>
    </row>
    <row r="27" spans="1:36" ht="28.8" x14ac:dyDescent="0.3">
      <c r="C27" s="6"/>
      <c r="D27" s="6"/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7"/>
      <c r="AA27" s="42" t="s">
        <v>28</v>
      </c>
      <c r="AB27" s="28"/>
      <c r="AC27" s="42" t="s">
        <v>29</v>
      </c>
      <c r="AD27" s="29" t="s">
        <v>50</v>
      </c>
      <c r="AG27" s="65" t="s">
        <v>22</v>
      </c>
      <c r="AH27" s="66">
        <f>AC28</f>
        <v>0</v>
      </c>
      <c r="AI27" s="30"/>
      <c r="AJ27" s="31"/>
    </row>
    <row r="28" spans="1:36" x14ac:dyDescent="0.3">
      <c r="C28" s="6"/>
      <c r="D28" s="6"/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57" t="s">
        <v>23</v>
      </c>
      <c r="AA28" s="58">
        <v>0</v>
      </c>
      <c r="AB28" s="45" t="s">
        <v>22</v>
      </c>
      <c r="AC28" s="59">
        <v>0</v>
      </c>
      <c r="AD28" s="89">
        <f>AD38/AA24*100</f>
        <v>-17.719588605194325</v>
      </c>
      <c r="AE28" t="s">
        <v>70</v>
      </c>
      <c r="AG28" s="65" t="s">
        <v>18</v>
      </c>
      <c r="AH28" s="66">
        <f>AA37</f>
        <v>0</v>
      </c>
      <c r="AI28" s="67">
        <f>AA36</f>
        <v>7227.227639740272</v>
      </c>
      <c r="AJ28" s="68">
        <f>AA35</f>
        <v>-475.97454575994487</v>
      </c>
    </row>
    <row r="29" spans="1:36" x14ac:dyDescent="0.3">
      <c r="B29" t="s">
        <v>72</v>
      </c>
      <c r="C29" s="6"/>
      <c r="D29" s="6"/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57" t="s">
        <v>24</v>
      </c>
      <c r="AA29" s="58">
        <v>5</v>
      </c>
      <c r="AB29" s="45" t="s">
        <v>27</v>
      </c>
      <c r="AC29" s="59">
        <v>180</v>
      </c>
      <c r="AD29" s="60">
        <v>77</v>
      </c>
      <c r="AG29" s="65" t="s">
        <v>77</v>
      </c>
      <c r="AH29" s="66">
        <f>AA39</f>
        <v>0</v>
      </c>
      <c r="AI29" s="67">
        <f>AA38</f>
        <v>120.59807502526535</v>
      </c>
      <c r="AJ29" s="31"/>
    </row>
    <row r="30" spans="1:36" x14ac:dyDescent="0.3">
      <c r="B30" t="s">
        <v>67</v>
      </c>
      <c r="C30" s="6" t="s">
        <v>68</v>
      </c>
      <c r="D30" s="6" t="s">
        <v>69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Z30" s="19"/>
      <c r="AA30" s="30" t="s">
        <v>53</v>
      </c>
      <c r="AB30" s="30"/>
      <c r="AC30" s="61"/>
      <c r="AD30" s="89">
        <f>(AD29-AD28)/(AA29-AA28)</f>
        <v>18.943917721038865</v>
      </c>
      <c r="AG30" s="65" t="s">
        <v>19</v>
      </c>
      <c r="AH30" s="91">
        <f>AD31</f>
        <v>-17.719588605194332</v>
      </c>
      <c r="AI30" s="92">
        <f>AD30</f>
        <v>18.943917721038865</v>
      </c>
      <c r="AJ30" s="31"/>
    </row>
    <row r="31" spans="1:36" x14ac:dyDescent="0.3">
      <c r="B31" s="73">
        <v>87</v>
      </c>
      <c r="C31" s="6">
        <f>B31/180*(2.4-0.53)+0.53</f>
        <v>1.4338333333333333</v>
      </c>
      <c r="D31" s="88">
        <f>(C31-1)*180</f>
        <v>78.089999999999989</v>
      </c>
      <c r="E31" s="6"/>
      <c r="F31" s="6"/>
      <c r="G31" s="6"/>
      <c r="H31" s="6"/>
      <c r="I31" s="6"/>
      <c r="J31" s="9"/>
      <c r="K31" s="6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Z31" s="19"/>
      <c r="AA31" s="30"/>
      <c r="AB31" s="30"/>
      <c r="AC31" s="61"/>
      <c r="AD31" s="89">
        <f>AD29-AD30*(AA29-AA28)</f>
        <v>-17.719588605194332</v>
      </c>
      <c r="AG31" s="65" t="s">
        <v>20</v>
      </c>
      <c r="AH31" s="66">
        <f>AD38</f>
        <v>-3925.570398689204</v>
      </c>
      <c r="AI31" s="69">
        <f>AD37</f>
        <v>0.94199104022164515</v>
      </c>
      <c r="AJ31" s="31"/>
    </row>
    <row r="32" spans="1:36" ht="15" thickBot="1" x14ac:dyDescent="0.35">
      <c r="B32" s="73">
        <v>90</v>
      </c>
      <c r="C32" s="6">
        <f t="shared" ref="C32:C37" si="9">B32/180*(2.4-0.53)+0.53</f>
        <v>1.4649999999999999</v>
      </c>
      <c r="D32" s="88">
        <f t="shared" ref="D32:D37" si="10">(C32-1)*180</f>
        <v>83.699999999999974</v>
      </c>
      <c r="E32" s="6"/>
      <c r="F32" s="6"/>
      <c r="G32" s="6"/>
      <c r="H32" s="6"/>
      <c r="I32" s="6"/>
      <c r="J32" s="9"/>
      <c r="K32" s="6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Z32" s="21"/>
      <c r="AA32" s="32"/>
      <c r="AB32" s="32"/>
      <c r="AC32" s="47"/>
      <c r="AD32" s="48" t="s">
        <v>19</v>
      </c>
      <c r="AG32" s="70" t="s">
        <v>21</v>
      </c>
      <c r="AH32" s="71">
        <f>AD36</f>
        <v>4180.4182204512181</v>
      </c>
      <c r="AI32" s="72">
        <f>AD35</f>
        <v>1.0602056822563426</v>
      </c>
      <c r="AJ32" s="33"/>
    </row>
    <row r="33" spans="2:40" x14ac:dyDescent="0.3">
      <c r="B33" s="73">
        <v>100</v>
      </c>
      <c r="C33" s="6">
        <f t="shared" si="9"/>
        <v>1.568888888888889</v>
      </c>
      <c r="D33" s="88">
        <f t="shared" si="10"/>
        <v>102.40000000000002</v>
      </c>
      <c r="E33" s="6"/>
      <c r="F33" s="6"/>
      <c r="G33" s="6"/>
      <c r="H33" s="6"/>
      <c r="I33" s="6"/>
      <c r="J33" s="9"/>
      <c r="K33" s="6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2:40" ht="15" thickBot="1" x14ac:dyDescent="0.35">
      <c r="B34" s="73">
        <v>110</v>
      </c>
      <c r="C34" s="6">
        <f t="shared" si="9"/>
        <v>1.6727777777777779</v>
      </c>
      <c r="D34" s="88">
        <f t="shared" si="10"/>
        <v>121.10000000000002</v>
      </c>
      <c r="E34" s="6"/>
      <c r="F34" s="6"/>
      <c r="G34" s="6"/>
      <c r="H34" s="6"/>
      <c r="I34" s="6"/>
      <c r="J34" s="2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Z34" t="s">
        <v>51</v>
      </c>
    </row>
    <row r="35" spans="2:40" x14ac:dyDescent="0.3">
      <c r="B35" s="73">
        <v>114</v>
      </c>
      <c r="C35" s="6">
        <f t="shared" si="9"/>
        <v>1.7143333333333333</v>
      </c>
      <c r="D35" s="88">
        <f t="shared" si="10"/>
        <v>128.57999999999998</v>
      </c>
      <c r="Z35" s="49" t="s">
        <v>18</v>
      </c>
      <c r="AA35" s="50">
        <f>INDEX(LINEST($O$3:$O$9,$D$3:$D$9^{1,2},FALSE,FALSE),1)</f>
        <v>-475.97454575994487</v>
      </c>
      <c r="AB35" s="28"/>
      <c r="AC35" s="51" t="s">
        <v>21</v>
      </c>
      <c r="AD35" s="52">
        <f>INDEX(LINEST($N$3:$N$9,$O$3:$O$9),1)</f>
        <v>1.0602056822563426</v>
      </c>
      <c r="AG35" s="102"/>
      <c r="AM35" s="3"/>
      <c r="AN35" s="3"/>
    </row>
    <row r="36" spans="2:40" x14ac:dyDescent="0.3">
      <c r="B36" s="73">
        <v>127.5</v>
      </c>
      <c r="C36" s="6">
        <f t="shared" si="9"/>
        <v>1.8545833333333333</v>
      </c>
      <c r="D36" s="88">
        <f t="shared" si="10"/>
        <v>153.82499999999999</v>
      </c>
      <c r="Z36" s="43"/>
      <c r="AA36" s="53">
        <f>INDEX(LINEST($O$3:$O$9,$D$3:$D$9^{1,2},FALSE,FALSE),2)</f>
        <v>7227.227639740272</v>
      </c>
      <c r="AB36" s="30"/>
      <c r="AC36" s="44"/>
      <c r="AD36" s="46">
        <f>INDEX(LINEST($N$3:$N$9,$O$3:$O$9),2)</f>
        <v>4180.4182204512181</v>
      </c>
    </row>
    <row r="37" spans="2:40" ht="15" thickBot="1" x14ac:dyDescent="0.35">
      <c r="B37" s="80">
        <v>136.4</v>
      </c>
      <c r="C37" s="6">
        <f t="shared" si="9"/>
        <v>1.9470444444444444</v>
      </c>
      <c r="D37" s="88">
        <f t="shared" si="10"/>
        <v>170.46799999999999</v>
      </c>
      <c r="Z37" s="43"/>
      <c r="AA37" s="44">
        <f>INDEX(LINEST($O$3:$O$9,$D$3:$D$9^{1,2},FALSE,FALSE),3)</f>
        <v>0</v>
      </c>
      <c r="AB37" s="30"/>
      <c r="AC37" s="44" t="s">
        <v>20</v>
      </c>
      <c r="AD37" s="46">
        <f>INDEX(LINEST($O$3:$O$9,$N$3:$N$9),1)</f>
        <v>0.94199104022164515</v>
      </c>
    </row>
    <row r="38" spans="2:40" x14ac:dyDescent="0.3">
      <c r="Z38" s="43" t="s">
        <v>77</v>
      </c>
      <c r="AA38" s="54">
        <f>INDEX(LINEST($R$3:$R$9,$K$3:$K$9,FALSE),1)</f>
        <v>120.59807502526535</v>
      </c>
      <c r="AB38" s="30"/>
      <c r="AC38" s="44"/>
      <c r="AD38" s="46">
        <f>INDEX(LINEST($O$3:$O$9,$N$3:$N$9),2)</f>
        <v>-3925.570398689204</v>
      </c>
      <c r="AE38" t="s">
        <v>78</v>
      </c>
    </row>
    <row r="39" spans="2:40" ht="15" thickBot="1" x14ac:dyDescent="0.35">
      <c r="Z39" s="55"/>
      <c r="AA39" s="100">
        <f>INDEX(LINEST($R$3:$R$9,$K$3:$K$9,FALSE),2)</f>
        <v>0</v>
      </c>
      <c r="AB39" s="32"/>
      <c r="AC39" s="32"/>
      <c r="AD39" s="3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6"/>
  <sheetViews>
    <sheetView workbookViewId="0">
      <pane ySplit="2" topLeftCell="A3" activePane="bottomLeft" state="frozen"/>
      <selection pane="bottomLeft" activeCell="U16" sqref="U16"/>
    </sheetView>
  </sheetViews>
  <sheetFormatPr defaultRowHeight="14.4" x14ac:dyDescent="0.3"/>
  <cols>
    <col min="2" max="2" width="6" customWidth="1"/>
    <col min="3" max="3" width="6.88671875" style="1" customWidth="1"/>
    <col min="4" max="4" width="6.44140625" style="1" customWidth="1"/>
    <col min="5" max="5" width="6.33203125" style="1" customWidth="1"/>
    <col min="6" max="6" width="4.66406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1" width="5.109375" style="1" customWidth="1"/>
    <col min="12" max="12" width="6.6640625" style="1" customWidth="1"/>
    <col min="13" max="13" width="4.33203125" style="1" customWidth="1"/>
    <col min="14" max="14" width="7.33203125" style="1" bestFit="1" customWidth="1"/>
    <col min="15" max="16" width="6.33203125" style="1" customWidth="1"/>
    <col min="17" max="17" width="10.5546875" style="1" customWidth="1"/>
    <col min="18" max="19" width="7.6640625" style="1" customWidth="1"/>
    <col min="20" max="20" width="6.33203125" style="1" customWidth="1"/>
    <col min="21" max="21" width="8.109375" style="1" bestFit="1" customWidth="1"/>
    <col min="22" max="24" width="6.109375" customWidth="1"/>
    <col min="26" max="26" width="9.88671875" bestFit="1" customWidth="1"/>
    <col min="27" max="27" width="10.6640625" customWidth="1"/>
    <col min="28" max="28" width="6.5546875" bestFit="1" customWidth="1"/>
    <col min="29" max="29" width="9.6640625" customWidth="1"/>
    <col min="30" max="30" width="8.5546875" bestFit="1" customWidth="1"/>
    <col min="31" max="31" width="7.88671875" customWidth="1"/>
    <col min="32" max="32" width="10" customWidth="1"/>
    <col min="33" max="33" width="11.5546875" customWidth="1"/>
    <col min="34" max="34" width="11.109375" customWidth="1"/>
    <col min="36" max="36" width="9.6640625" customWidth="1"/>
  </cols>
  <sheetData>
    <row r="1" spans="1:39" ht="58.2" thickBot="1" x14ac:dyDescent="0.35">
      <c r="A1" t="s">
        <v>52</v>
      </c>
      <c r="B1" s="82" t="s">
        <v>68</v>
      </c>
      <c r="C1" s="83" t="s">
        <v>0</v>
      </c>
      <c r="D1" s="83" t="s">
        <v>1</v>
      </c>
      <c r="E1" s="83" t="s">
        <v>15</v>
      </c>
      <c r="F1" s="83" t="s">
        <v>16</v>
      </c>
      <c r="G1" s="83" t="s">
        <v>34</v>
      </c>
      <c r="H1" s="83" t="s">
        <v>33</v>
      </c>
      <c r="I1" s="84" t="s">
        <v>2</v>
      </c>
      <c r="J1" s="4" t="s">
        <v>17</v>
      </c>
      <c r="K1" s="4" t="s">
        <v>10</v>
      </c>
      <c r="L1" s="4" t="s">
        <v>36</v>
      </c>
      <c r="M1" s="4" t="s">
        <v>35</v>
      </c>
      <c r="N1" s="4" t="s">
        <v>37</v>
      </c>
      <c r="O1" s="4" t="s">
        <v>7</v>
      </c>
      <c r="P1" s="4" t="s">
        <v>38</v>
      </c>
      <c r="Q1" s="4" t="s">
        <v>8</v>
      </c>
      <c r="R1" s="4" t="s">
        <v>11</v>
      </c>
      <c r="S1" s="4" t="s">
        <v>10</v>
      </c>
      <c r="T1" s="4" t="s">
        <v>12</v>
      </c>
      <c r="U1" s="4" t="s">
        <v>13</v>
      </c>
      <c r="V1" s="4" t="s">
        <v>9</v>
      </c>
      <c r="W1" s="4" t="s">
        <v>31</v>
      </c>
      <c r="X1" s="4" t="str">
        <f>J1</f>
        <v>Charger Pwr, W</v>
      </c>
    </row>
    <row r="2" spans="1:39" ht="15" thickBot="1" x14ac:dyDescent="0.35">
      <c r="B2" s="74">
        <f>C2/180+1</f>
        <v>1</v>
      </c>
      <c r="C2" s="85"/>
      <c r="D2" s="85"/>
      <c r="E2" s="85">
        <v>12.15</v>
      </c>
      <c r="F2" s="85"/>
      <c r="G2" s="85"/>
      <c r="H2" s="101">
        <v>100000000</v>
      </c>
      <c r="I2" s="86">
        <v>2.88</v>
      </c>
      <c r="J2" s="2">
        <f>E2*F2</f>
        <v>0</v>
      </c>
      <c r="K2" s="1">
        <f t="shared" ref="K2:K9" si="0">C2</f>
        <v>0</v>
      </c>
      <c r="L2" s="3" t="e">
        <f>1/G2/0.000001</f>
        <v>#DIV/0!</v>
      </c>
      <c r="M2" s="3">
        <f>1/H2/0.000001</f>
        <v>0.01</v>
      </c>
      <c r="N2" s="3" t="e">
        <f t="shared" ref="N2:O9" si="1">L2*60/$AA$13</f>
        <v>#DIV/0!</v>
      </c>
      <c r="O2" s="3">
        <f t="shared" si="1"/>
        <v>0.3</v>
      </c>
      <c r="P2" s="3" t="e">
        <f t="shared" ref="P2:Q9" si="2">N2/$AA$21*100</f>
        <v>#DIV/0!</v>
      </c>
      <c r="Q2" s="3">
        <f t="shared" si="2"/>
        <v>1.3541666666666667E-3</v>
      </c>
      <c r="R2" s="3">
        <f t="shared" ref="R2:R9" si="3">O2*$AD$32+$AD$33</f>
        <v>4180.7362821558954</v>
      </c>
      <c r="S2" s="3">
        <f>K2</f>
        <v>0</v>
      </c>
      <c r="T2" s="3">
        <f t="shared" ref="T2:T9" si="4">R2/$AA$21*100</f>
        <v>18.87137905139814</v>
      </c>
      <c r="U2" s="3" t="e">
        <f>$AA$35*LN(C2)+$AA$36</f>
        <v>#REF!</v>
      </c>
      <c r="V2" s="3">
        <f>D2*D2*$AA$32+D2*$AA$33+$AA$34</f>
        <v>0</v>
      </c>
      <c r="W2" s="3">
        <f t="shared" ref="W2:W9" si="5">V2/$AA$21*100</f>
        <v>0</v>
      </c>
      <c r="X2" s="4">
        <f>J2</f>
        <v>0</v>
      </c>
    </row>
    <row r="3" spans="1:39" x14ac:dyDescent="0.3">
      <c r="B3" s="74">
        <v>1.1637222222222223</v>
      </c>
      <c r="C3" s="85">
        <v>29.47000000000002</v>
      </c>
      <c r="D3" s="85">
        <v>0.54</v>
      </c>
      <c r="E3" s="85">
        <v>12.15</v>
      </c>
      <c r="F3" s="85">
        <v>1.56</v>
      </c>
      <c r="G3" s="85">
        <v>3810.7961637948006</v>
      </c>
      <c r="H3" s="85">
        <v>8615</v>
      </c>
      <c r="I3" s="86">
        <v>2.88</v>
      </c>
      <c r="J3" s="2">
        <f>E3*F3</f>
        <v>18.954000000000001</v>
      </c>
      <c r="K3" s="1">
        <f t="shared" ref="K3" si="6">C3</f>
        <v>29.47000000000002</v>
      </c>
      <c r="L3" s="3">
        <f>1/G3/0.000001</f>
        <v>262.41235611095965</v>
      </c>
      <c r="M3" s="3">
        <f>1/H3/0.000001</f>
        <v>116.07661056297157</v>
      </c>
      <c r="N3" s="3">
        <f t="shared" ref="N3" si="7">L3*60/$AA$13</f>
        <v>7872.3706833287897</v>
      </c>
      <c r="O3" s="3">
        <f t="shared" ref="O3" si="8">M3*60/$AA$13</f>
        <v>3482.2983168891469</v>
      </c>
      <c r="P3" s="3">
        <f t="shared" ref="P3" si="9">N3/$AA$21*100</f>
        <v>35.535006556692458</v>
      </c>
      <c r="Q3" s="3">
        <f t="shared" ref="Q3" si="10">O3/$AA$21*100</f>
        <v>15.7187076804024</v>
      </c>
      <c r="R3" s="3">
        <f t="shared" ref="R3" si="11">O3*$AD$32+$AD$33</f>
        <v>7872.3706833287897</v>
      </c>
      <c r="S3" s="3">
        <f>K3</f>
        <v>29.47000000000002</v>
      </c>
      <c r="T3" s="3">
        <f t="shared" ref="T3" si="12">R3/$AA$21*100</f>
        <v>35.535006556692458</v>
      </c>
      <c r="U3" s="3" t="e">
        <f>$AA$35*LN(C3)+$AA$36</f>
        <v>#REF!</v>
      </c>
      <c r="V3" s="3">
        <f>D3*D3*$AA$32+D3*$AA$33+$AA$34</f>
        <v>3895.0045670565864</v>
      </c>
      <c r="W3" s="3">
        <f t="shared" si="5"/>
        <v>17.581617837408203</v>
      </c>
      <c r="X3" s="4">
        <f>J3</f>
        <v>18.954000000000001</v>
      </c>
    </row>
    <row r="4" spans="1:39" ht="13.95" customHeight="1" x14ac:dyDescent="0.3">
      <c r="B4" s="77">
        <v>1.2052777777777779</v>
      </c>
      <c r="C4" s="73">
        <v>36.950000000000017</v>
      </c>
      <c r="D4" s="73">
        <v>0.68</v>
      </c>
      <c r="E4" s="73">
        <v>12.14</v>
      </c>
      <c r="F4" s="73">
        <v>1.9</v>
      </c>
      <c r="G4" s="73">
        <v>3247.7925769058029</v>
      </c>
      <c r="H4" s="73">
        <v>6290</v>
      </c>
      <c r="I4" s="78">
        <v>4.0199999999999996</v>
      </c>
      <c r="J4" s="2">
        <f t="shared" ref="J4:J8" si="13">E4*F4</f>
        <v>23.065999999999999</v>
      </c>
      <c r="K4" s="1">
        <f t="shared" si="0"/>
        <v>36.950000000000017</v>
      </c>
      <c r="L4" s="3">
        <f>1/G4/0.000001</f>
        <v>307.90143653592179</v>
      </c>
      <c r="M4" s="3">
        <f>1/H4/0.000001</f>
        <v>158.98251192368841</v>
      </c>
      <c r="N4" s="3">
        <f t="shared" si="1"/>
        <v>9237.0430960776539</v>
      </c>
      <c r="O4" s="3">
        <f t="shared" si="1"/>
        <v>4769.4753577106521</v>
      </c>
      <c r="P4" s="3">
        <f t="shared" si="2"/>
        <v>41.694986197572746</v>
      </c>
      <c r="Q4" s="3">
        <f t="shared" si="2"/>
        <v>21.528881822999473</v>
      </c>
      <c r="R4" s="3">
        <f t="shared" si="3"/>
        <v>9237.0430960776539</v>
      </c>
      <c r="S4" s="3">
        <f>K4</f>
        <v>36.950000000000017</v>
      </c>
      <c r="T4" s="3">
        <f t="shared" si="4"/>
        <v>41.694986197572746</v>
      </c>
      <c r="U4" s="3" t="e">
        <f>$AA$35*LN(C4)+$AA$36</f>
        <v>#REF!</v>
      </c>
      <c r="V4" s="3">
        <f>D4*D4*$AA$32+D4*$AA$33+$AA$34</f>
        <v>4863.4075129077601</v>
      </c>
      <c r="W4" s="3">
        <f t="shared" si="5"/>
        <v>21.952881134653087</v>
      </c>
      <c r="X4" s="4">
        <f>J4</f>
        <v>23.065999999999999</v>
      </c>
    </row>
    <row r="5" spans="1:39" ht="13.95" customHeight="1" x14ac:dyDescent="0.3">
      <c r="B5" s="77">
        <v>1.3299444444444444</v>
      </c>
      <c r="C5" s="73">
        <v>59.389999999999986</v>
      </c>
      <c r="D5" s="73">
        <v>1.18</v>
      </c>
      <c r="E5" s="73">
        <v>12.07</v>
      </c>
      <c r="F5" s="73">
        <v>3.66</v>
      </c>
      <c r="G5" s="73">
        <v>2314.9259570838622</v>
      </c>
      <c r="H5" s="73">
        <v>3623</v>
      </c>
      <c r="I5" s="78">
        <v>7.4</v>
      </c>
      <c r="J5" s="2">
        <f t="shared" si="13"/>
        <v>44.176200000000001</v>
      </c>
      <c r="K5" s="1">
        <f t="shared" si="0"/>
        <v>59.389999999999986</v>
      </c>
      <c r="L5" s="3">
        <f>1/G5/0.000001</f>
        <v>431.97925918101981</v>
      </c>
      <c r="M5" s="3">
        <f>1/H5/0.000001</f>
        <v>276.01435274634281</v>
      </c>
      <c r="N5" s="3">
        <f t="shared" si="1"/>
        <v>12959.377775430594</v>
      </c>
      <c r="O5" s="3">
        <f t="shared" si="1"/>
        <v>8280.4305823902851</v>
      </c>
      <c r="P5" s="3">
        <f t="shared" si="2"/>
        <v>58.497191347429769</v>
      </c>
      <c r="Q5" s="3">
        <f t="shared" si="2"/>
        <v>37.376943601067261</v>
      </c>
      <c r="R5" s="3">
        <f t="shared" si="3"/>
        <v>12959.377775430594</v>
      </c>
      <c r="S5" s="3">
        <f>K5</f>
        <v>59.389999999999986</v>
      </c>
      <c r="T5" s="3">
        <f t="shared" si="4"/>
        <v>58.497191347429769</v>
      </c>
      <c r="U5" s="3" t="e">
        <f>$AA$35*LN(C5)+$AA$36</f>
        <v>#REF!</v>
      </c>
      <c r="V5" s="3">
        <f>D5*D5*$AA$32+D5*$AA$33+$AA$34</f>
        <v>8182.7859228288407</v>
      </c>
      <c r="W5" s="3">
        <f t="shared" si="5"/>
        <v>36.936186457213523</v>
      </c>
      <c r="X5" s="4">
        <f>J5</f>
        <v>44.176200000000001</v>
      </c>
    </row>
    <row r="6" spans="1:39" ht="13.95" customHeight="1" x14ac:dyDescent="0.3">
      <c r="B6" s="77">
        <v>1.4442222222222223</v>
      </c>
      <c r="C6" s="73">
        <v>79.960000000000008</v>
      </c>
      <c r="D6" s="73">
        <v>1.57</v>
      </c>
      <c r="E6" s="73">
        <v>11.96</v>
      </c>
      <c r="F6" s="73">
        <v>6.51</v>
      </c>
      <c r="G6" s="73">
        <v>1890.4108937169444</v>
      </c>
      <c r="H6" s="73">
        <v>2721</v>
      </c>
      <c r="I6" s="78">
        <v>9.5</v>
      </c>
      <c r="J6" s="2">
        <f t="shared" si="13"/>
        <v>77.8596</v>
      </c>
      <c r="K6" s="1">
        <f t="shared" si="0"/>
        <v>79.960000000000008</v>
      </c>
      <c r="L6" s="3">
        <f>1/G6/0.000001</f>
        <v>528.98552548741941</v>
      </c>
      <c r="M6" s="3">
        <f>1/H6/0.000001</f>
        <v>367.51194413818456</v>
      </c>
      <c r="N6" s="3">
        <f t="shared" si="1"/>
        <v>15869.565764622583</v>
      </c>
      <c r="O6" s="3">
        <f t="shared" si="1"/>
        <v>11025.358324145536</v>
      </c>
      <c r="P6" s="3">
        <f t="shared" si="2"/>
        <v>71.633456576421381</v>
      </c>
      <c r="Q6" s="3">
        <f t="shared" si="2"/>
        <v>49.76724243537916</v>
      </c>
      <c r="R6" s="3">
        <f t="shared" si="3"/>
        <v>15869.565764622583</v>
      </c>
      <c r="S6" s="3">
        <f>K6</f>
        <v>79.960000000000008</v>
      </c>
      <c r="T6" s="3">
        <f t="shared" si="4"/>
        <v>71.633456576421381</v>
      </c>
      <c r="U6" s="3" t="e">
        <f>$AA$35*LN(C6)+$AA$36</f>
        <v>#REF!</v>
      </c>
      <c r="V6" s="3">
        <f>D6*D6*$AA$32+D6*$AA$33+$AA$34</f>
        <v>10620.908743264474</v>
      </c>
      <c r="W6" s="3">
        <f t="shared" si="5"/>
        <v>47.941601966124367</v>
      </c>
      <c r="X6" s="4">
        <f>J6</f>
        <v>77.8596</v>
      </c>
    </row>
    <row r="7" spans="1:39" ht="13.95" customHeight="1" x14ac:dyDescent="0.3">
      <c r="B7" s="77">
        <v>1.5169444444444444</v>
      </c>
      <c r="C7" s="73">
        <v>93.05</v>
      </c>
      <c r="D7" s="73">
        <v>1.88</v>
      </c>
      <c r="E7" s="73">
        <v>11.86</v>
      </c>
      <c r="F7" s="73">
        <v>8.49</v>
      </c>
      <c r="G7" s="73">
        <v>1735.553038041201</v>
      </c>
      <c r="H7" s="73">
        <v>2427</v>
      </c>
      <c r="I7" s="78">
        <v>10.5</v>
      </c>
      <c r="J7" s="2">
        <f t="shared" si="13"/>
        <v>100.6914</v>
      </c>
      <c r="K7" s="1">
        <f t="shared" si="0"/>
        <v>93.05</v>
      </c>
      <c r="L7" s="3">
        <f>1/G7/0.000001</f>
        <v>576.18521478815251</v>
      </c>
      <c r="M7" s="3">
        <f>1/H7/0.000001</f>
        <v>412.03131437989288</v>
      </c>
      <c r="N7" s="3">
        <f t="shared" si="1"/>
        <v>17285.556443644575</v>
      </c>
      <c r="O7" s="3">
        <f t="shared" si="1"/>
        <v>12360.939431396786</v>
      </c>
      <c r="P7" s="3">
        <f t="shared" si="2"/>
        <v>78.025081169228997</v>
      </c>
      <c r="Q7" s="3">
        <f t="shared" si="2"/>
        <v>55.795907155610493</v>
      </c>
      <c r="R7" s="3">
        <f t="shared" si="3"/>
        <v>17285.556443644575</v>
      </c>
      <c r="S7" s="3">
        <f>K7</f>
        <v>93.05</v>
      </c>
      <c r="T7" s="3">
        <f t="shared" si="4"/>
        <v>78.025081169228997</v>
      </c>
      <c r="U7" s="3" t="e">
        <f>$AA$35*LN(C7)+$AA$36</f>
        <v>#REF!</v>
      </c>
      <c r="V7" s="3">
        <f>D7*D7*$AA$32+D7*$AA$33+$AA$34</f>
        <v>12464.506405406451</v>
      </c>
      <c r="W7" s="3">
        <f t="shared" si="5"/>
        <v>56.263396968848568</v>
      </c>
      <c r="X7" s="4">
        <f>J7</f>
        <v>100.6914</v>
      </c>
    </row>
    <row r="8" spans="1:39" ht="13.95" customHeight="1" x14ac:dyDescent="0.3">
      <c r="B8" s="77">
        <v>1.6208333333333333</v>
      </c>
      <c r="C8" s="73">
        <v>111.75</v>
      </c>
      <c r="D8" s="73">
        <v>2.2400000000000002</v>
      </c>
      <c r="E8" s="73">
        <v>11.55</v>
      </c>
      <c r="F8" s="73">
        <v>13.48</v>
      </c>
      <c r="G8" s="73">
        <v>1544.1739275824405</v>
      </c>
      <c r="H8" s="73">
        <v>2086</v>
      </c>
      <c r="I8" s="78">
        <v>12.4</v>
      </c>
      <c r="J8" s="2">
        <f t="shared" si="13"/>
        <v>155.69400000000002</v>
      </c>
      <c r="K8" s="1">
        <f t="shared" si="0"/>
        <v>111.75</v>
      </c>
      <c r="L8" s="3">
        <f>1/G8/0.000001</f>
        <v>647.59544384070819</v>
      </c>
      <c r="M8" s="3">
        <f>1/H8/0.000001</f>
        <v>479.38638542665387</v>
      </c>
      <c r="N8" s="3">
        <f t="shared" si="1"/>
        <v>19427.863315221246</v>
      </c>
      <c r="O8" s="3">
        <f t="shared" si="1"/>
        <v>14381.591562799616</v>
      </c>
      <c r="P8" s="3">
        <f t="shared" si="2"/>
        <v>87.695216353429245</v>
      </c>
      <c r="Q8" s="3">
        <f t="shared" si="2"/>
        <v>64.916906359859382</v>
      </c>
      <c r="R8" s="3">
        <f t="shared" si="3"/>
        <v>19427.863315221246</v>
      </c>
      <c r="S8" s="3">
        <f>K8</f>
        <v>111.75</v>
      </c>
      <c r="T8" s="3">
        <f t="shared" si="4"/>
        <v>87.695216353429245</v>
      </c>
      <c r="U8" s="3" t="e">
        <f>$AA$35*LN(C8)+$AA$36</f>
        <v>#REF!</v>
      </c>
      <c r="V8" s="3">
        <f>D8*D8*$AA$32+D8*$AA$33+$AA$34</f>
        <v>14500.533861250387</v>
      </c>
      <c r="W8" s="3">
        <f t="shared" si="5"/>
        <v>65.453798679255229</v>
      </c>
      <c r="X8" s="4">
        <f>J8</f>
        <v>155.69400000000002</v>
      </c>
    </row>
    <row r="9" spans="1:39" ht="13.95" customHeight="1" thickBot="1" x14ac:dyDescent="0.35">
      <c r="B9" s="79">
        <v>1.7766666666666666</v>
      </c>
      <c r="C9" s="80">
        <v>139.79999999999998</v>
      </c>
      <c r="D9" s="80">
        <v>2.68</v>
      </c>
      <c r="E9" s="80"/>
      <c r="F9" s="80"/>
      <c r="G9" s="80">
        <v>1361.8412878381814</v>
      </c>
      <c r="H9" s="80">
        <v>1782</v>
      </c>
      <c r="I9" s="81">
        <v>14.4</v>
      </c>
      <c r="J9" s="2"/>
      <c r="K9" s="1">
        <f t="shared" si="0"/>
        <v>139.79999999999998</v>
      </c>
      <c r="L9" s="3">
        <f>1/G9/0.000001</f>
        <v>734.29995766057527</v>
      </c>
      <c r="M9" s="3">
        <f>1/H9/0.000001</f>
        <v>561.16722783389457</v>
      </c>
      <c r="N9" s="3">
        <f t="shared" si="1"/>
        <v>22028.998729817256</v>
      </c>
      <c r="O9" s="3">
        <f t="shared" si="1"/>
        <v>16835.016835016839</v>
      </c>
      <c r="P9" s="3">
        <f t="shared" si="2"/>
        <v>99.436452599869568</v>
      </c>
      <c r="Q9" s="3">
        <f t="shared" si="2"/>
        <v>75.991395435839905</v>
      </c>
      <c r="R9" s="3">
        <f t="shared" si="3"/>
        <v>22028.99872981726</v>
      </c>
      <c r="S9" s="3">
        <f>K9</f>
        <v>139.79999999999998</v>
      </c>
      <c r="T9" s="3">
        <f t="shared" si="4"/>
        <v>99.436452599869583</v>
      </c>
      <c r="U9" s="3" t="e">
        <f>$AA$35*LN(C9)+$AA$36</f>
        <v>#REF!</v>
      </c>
      <c r="V9" s="3">
        <f>D9*D9*$AA$32+D9*$AA$33+$AA$34</f>
        <v>16835.887969335286</v>
      </c>
      <c r="W9" s="3">
        <f t="shared" si="5"/>
        <v>75.995327639360681</v>
      </c>
      <c r="X9" s="4">
        <f>J9</f>
        <v>0</v>
      </c>
    </row>
    <row r="10" spans="1:39" ht="13.95" customHeight="1" x14ac:dyDescent="0.3"/>
    <row r="11" spans="1:39" ht="13.95" customHeight="1" x14ac:dyDescent="0.3">
      <c r="B11" s="5"/>
      <c r="C11" s="6"/>
      <c r="D11" s="6"/>
      <c r="E11" s="6"/>
      <c r="F11" s="6"/>
      <c r="G11" s="6"/>
      <c r="H11" s="6"/>
      <c r="I11" s="6"/>
      <c r="J11" s="2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39" ht="13.95" customHeight="1" thickBot="1" x14ac:dyDescent="0.35">
      <c r="B12" s="5"/>
      <c r="C12" s="6"/>
      <c r="D12" s="6"/>
      <c r="E12" s="6"/>
      <c r="F12" s="6"/>
      <c r="G12" s="6"/>
      <c r="H12" s="6"/>
      <c r="I12" s="6"/>
      <c r="J12" s="2"/>
      <c r="L12" s="3"/>
      <c r="M12" s="3"/>
      <c r="N12" s="3" t="s">
        <v>54</v>
      </c>
      <c r="O12" s="3" t="s">
        <v>55</v>
      </c>
      <c r="P12" s="3" t="s">
        <v>56</v>
      </c>
      <c r="Q12" s="3"/>
      <c r="R12" s="3"/>
      <c r="S12" s="3"/>
      <c r="T12" s="3"/>
      <c r="U12" s="3"/>
      <c r="V12" s="3"/>
      <c r="W12" s="3"/>
      <c r="X12" s="3"/>
      <c r="Z12" t="s">
        <v>44</v>
      </c>
      <c r="AC12" t="s">
        <v>45</v>
      </c>
      <c r="AF12" s="30"/>
      <c r="AG12" s="30"/>
      <c r="AH12" s="30"/>
      <c r="AI12" s="30"/>
      <c r="AJ12" s="30"/>
      <c r="AK12" s="30"/>
      <c r="AL12" s="30"/>
      <c r="AM12" s="30"/>
    </row>
    <row r="13" spans="1:39" ht="13.95" customHeight="1" x14ac:dyDescent="0.3">
      <c r="A13" s="3" t="s">
        <v>40</v>
      </c>
      <c r="B13" s="11" t="s">
        <v>41</v>
      </c>
      <c r="C13" s="12"/>
      <c r="D13" s="12"/>
      <c r="E13" s="6"/>
      <c r="F13" s="6"/>
      <c r="G13" s="6"/>
      <c r="H13" s="6"/>
      <c r="I13" s="6"/>
      <c r="J13" s="2"/>
      <c r="L13" s="3"/>
      <c r="M13" s="3"/>
      <c r="N13" s="3">
        <v>3482.2983168891469</v>
      </c>
      <c r="O13" s="3">
        <f>N13*CalArduinoHiTec!$AD$35+CalArduinoHiTec!$AD$36</f>
        <v>7872.3706833287897</v>
      </c>
      <c r="P13" s="3">
        <f t="shared" ref="P13:P19" si="14">O13/60*$AA$13</f>
        <v>262.41235611095965</v>
      </c>
      <c r="Q13" s="3">
        <f>1/P13/0.000001</f>
        <v>3810.7961637948006</v>
      </c>
      <c r="R13" s="3"/>
      <c r="S13" s="3"/>
      <c r="T13" s="3"/>
      <c r="U13" s="3"/>
      <c r="V13" s="3"/>
      <c r="W13" s="3"/>
      <c r="X13" s="3"/>
      <c r="Z13" s="17" t="s">
        <v>3</v>
      </c>
      <c r="AA13" s="18">
        <v>2</v>
      </c>
      <c r="AC13" s="17"/>
      <c r="AD13" s="23" t="s">
        <v>32</v>
      </c>
      <c r="AE13" s="7"/>
      <c r="AF13" s="30"/>
      <c r="AG13" s="30"/>
      <c r="AH13" s="30"/>
      <c r="AI13" s="30"/>
      <c r="AJ13" s="30"/>
      <c r="AK13" s="30"/>
      <c r="AL13" s="30"/>
      <c r="AM13" s="30"/>
    </row>
    <row r="14" spans="1:39" x14ac:dyDescent="0.3">
      <c r="A14" s="3"/>
      <c r="B14" s="13" t="s">
        <v>42</v>
      </c>
      <c r="C14" s="14"/>
      <c r="D14" s="14"/>
      <c r="E14" s="6"/>
      <c r="F14" s="6"/>
      <c r="G14" s="6"/>
      <c r="H14" s="6"/>
      <c r="I14" s="6"/>
      <c r="J14" s="2"/>
      <c r="L14" s="3"/>
      <c r="M14" s="3"/>
      <c r="N14" s="3">
        <v>4769.4753577106521</v>
      </c>
      <c r="O14" s="3">
        <f>N14*CalArduinoHiTec!$AD$35+CalArduinoHiTec!$AD$36</f>
        <v>9237.0430960776539</v>
      </c>
      <c r="P14" s="3">
        <f t="shared" si="14"/>
        <v>307.90143653592179</v>
      </c>
      <c r="Q14" s="3">
        <f t="shared" ref="Q14:Q19" si="15">1/P14/0.000001</f>
        <v>3247.7925769058029</v>
      </c>
      <c r="R14" s="3"/>
      <c r="S14" s="3"/>
      <c r="T14" s="3"/>
      <c r="U14" s="3"/>
      <c r="V14" s="3"/>
      <c r="W14" s="3"/>
      <c r="X14" s="3"/>
      <c r="Z14" s="19" t="s">
        <v>4</v>
      </c>
      <c r="AA14" s="20">
        <v>4800</v>
      </c>
      <c r="AC14" s="24" t="s">
        <v>25</v>
      </c>
      <c r="AD14" s="25">
        <v>0</v>
      </c>
      <c r="AF14" s="30"/>
      <c r="AG14" s="30"/>
      <c r="AH14" s="30"/>
      <c r="AI14" s="30"/>
      <c r="AJ14" s="30"/>
      <c r="AK14" s="30"/>
      <c r="AL14" s="30"/>
      <c r="AM14" s="30"/>
    </row>
    <row r="15" spans="1:39" ht="13.95" customHeight="1" thickBot="1" x14ac:dyDescent="0.35">
      <c r="A15" s="3"/>
      <c r="B15" s="15" t="s">
        <v>43</v>
      </c>
      <c r="C15" s="16"/>
      <c r="D15" s="16"/>
      <c r="E15" s="6"/>
      <c r="F15" s="6"/>
      <c r="G15" s="6"/>
      <c r="H15" s="6"/>
      <c r="I15" s="6"/>
      <c r="J15" s="2"/>
      <c r="L15" s="3"/>
      <c r="M15" s="3"/>
      <c r="N15" s="3">
        <v>8280.4305823902851</v>
      </c>
      <c r="O15" s="3">
        <f>N15*CalArduinoHiTec!$AD$35+CalArduinoHiTec!$AD$36</f>
        <v>12959.377775430594</v>
      </c>
      <c r="P15" s="3">
        <f t="shared" si="14"/>
        <v>431.97925918101981</v>
      </c>
      <c r="Q15" s="3">
        <f t="shared" si="15"/>
        <v>2314.9259570838622</v>
      </c>
      <c r="R15" s="3"/>
      <c r="S15" s="3"/>
      <c r="X15" s="3"/>
      <c r="Z15" s="21" t="s">
        <v>5</v>
      </c>
      <c r="AA15" s="22">
        <v>12</v>
      </c>
      <c r="AC15" s="26" t="s">
        <v>26</v>
      </c>
      <c r="AD15" s="27">
        <v>5</v>
      </c>
      <c r="AF15" s="30"/>
      <c r="AG15" s="30"/>
      <c r="AH15" s="93"/>
      <c r="AI15" s="93"/>
      <c r="AJ15" s="30"/>
      <c r="AK15" s="30"/>
      <c r="AL15" s="30"/>
      <c r="AM15" s="30"/>
    </row>
    <row r="16" spans="1:39" ht="13.95" customHeight="1" x14ac:dyDescent="0.3">
      <c r="B16" s="5"/>
      <c r="C16" s="6"/>
      <c r="D16" s="6"/>
      <c r="E16" s="6"/>
      <c r="F16" s="6"/>
      <c r="G16" s="6"/>
      <c r="H16" s="6"/>
      <c r="I16" s="6"/>
      <c r="J16" s="2"/>
      <c r="L16" s="3"/>
      <c r="M16" s="3"/>
      <c r="N16" s="3">
        <v>11025.358324145536</v>
      </c>
      <c r="O16" s="3">
        <f>N16*CalArduinoHiTec!$AD$35+CalArduinoHiTec!$AD$36</f>
        <v>15869.565764622583</v>
      </c>
      <c r="P16" s="3">
        <f t="shared" si="14"/>
        <v>528.98552548741941</v>
      </c>
      <c r="Q16" s="3">
        <f t="shared" si="15"/>
        <v>1890.4108937169444</v>
      </c>
      <c r="R16" s="3"/>
      <c r="S16" s="3"/>
      <c r="X16" s="3"/>
      <c r="AF16" s="30"/>
      <c r="AG16" s="30"/>
      <c r="AH16" s="30"/>
      <c r="AI16" s="30"/>
      <c r="AJ16" s="30"/>
      <c r="AK16" s="30"/>
      <c r="AL16" s="30"/>
      <c r="AM16" s="30"/>
    </row>
    <row r="17" spans="2:40" ht="24" thickBot="1" x14ac:dyDescent="0.5">
      <c r="B17" s="5"/>
      <c r="C17" s="6"/>
      <c r="D17" s="6"/>
      <c r="E17" s="6"/>
      <c r="F17" s="6"/>
      <c r="G17" s="6"/>
      <c r="H17" s="6"/>
      <c r="I17" s="6"/>
      <c r="J17" s="2"/>
      <c r="L17" s="3"/>
      <c r="M17" s="3"/>
      <c r="N17" s="3">
        <v>12360.939431396786</v>
      </c>
      <c r="O17" s="3">
        <f>N17*CalArduinoHiTec!$AD$35+CalArduinoHiTec!$AD$36</f>
        <v>17285.556443644575</v>
      </c>
      <c r="P17" s="3">
        <f t="shared" si="14"/>
        <v>576.18521478815251</v>
      </c>
      <c r="Q17" s="3">
        <f t="shared" si="15"/>
        <v>1735.553038041201</v>
      </c>
      <c r="R17" s="3"/>
      <c r="S17" s="3"/>
      <c r="X17" s="3"/>
      <c r="Z17" t="s">
        <v>47</v>
      </c>
      <c r="AF17" s="94" t="s">
        <v>71</v>
      </c>
      <c r="AG17" s="5" t="s">
        <v>75</v>
      </c>
      <c r="AH17" s="5"/>
      <c r="AI17" s="5"/>
    </row>
    <row r="18" spans="2:40" ht="15" thickBot="1" x14ac:dyDescent="0.35">
      <c r="B18" s="5"/>
      <c r="C18" s="6"/>
      <c r="D18" s="6"/>
      <c r="E18" s="6"/>
      <c r="F18" s="6"/>
      <c r="G18" s="6"/>
      <c r="H18" s="6"/>
      <c r="I18" s="6"/>
      <c r="J18" s="2"/>
      <c r="L18" s="3"/>
      <c r="M18" s="3"/>
      <c r="N18" s="3">
        <v>14381.591562799616</v>
      </c>
      <c r="O18" s="3">
        <f>N18*CalArduinoHiTec!$AD$35+CalArduinoHiTec!$AD$36</f>
        <v>19427.863315221246</v>
      </c>
      <c r="P18" s="3">
        <f t="shared" si="14"/>
        <v>647.59544384070819</v>
      </c>
      <c r="Q18" s="3">
        <f t="shared" si="15"/>
        <v>1544.1739275824405</v>
      </c>
      <c r="R18" s="3"/>
      <c r="S18" s="3"/>
      <c r="T18" s="3"/>
      <c r="V18" s="3"/>
      <c r="W18" s="3"/>
      <c r="X18" s="3"/>
      <c r="Z18" s="34">
        <v>210</v>
      </c>
      <c r="AA18" s="35" t="s">
        <v>46</v>
      </c>
      <c r="AB18" s="36"/>
      <c r="AC18" s="35"/>
      <c r="AD18" s="35"/>
      <c r="AE18" s="37"/>
      <c r="AG18" s="62" t="s">
        <v>24</v>
      </c>
      <c r="AH18" s="87">
        <f>AA26</f>
        <v>3.3</v>
      </c>
      <c r="AI18" s="64"/>
      <c r="AJ18" s="29"/>
    </row>
    <row r="19" spans="2:40" x14ac:dyDescent="0.3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>
        <v>16835.016835016839</v>
      </c>
      <c r="O19" s="3">
        <f>N19*CalArduinoHiTec!$AD$35+CalArduinoHiTec!$AD$36</f>
        <v>22028.99872981726</v>
      </c>
      <c r="P19" s="3">
        <f t="shared" si="14"/>
        <v>734.29995766057539</v>
      </c>
      <c r="Q19" s="3">
        <f t="shared" si="15"/>
        <v>1361.8412878381814</v>
      </c>
      <c r="R19" s="3"/>
      <c r="S19" s="3"/>
      <c r="T19" s="3"/>
      <c r="U19" s="3"/>
      <c r="V19" s="3"/>
      <c r="W19" s="3"/>
      <c r="X19" s="3"/>
      <c r="Z19" s="8"/>
      <c r="AB19" s="8"/>
      <c r="AC19" s="8"/>
      <c r="AG19" s="65" t="s">
        <v>23</v>
      </c>
      <c r="AH19" s="66">
        <f>AA25</f>
        <v>0</v>
      </c>
      <c r="AI19" s="45"/>
      <c r="AJ19" s="31"/>
    </row>
    <row r="20" spans="2:40" ht="15" thickBot="1" x14ac:dyDescent="0.35"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Z20" t="s">
        <v>48</v>
      </c>
      <c r="AG20" s="65" t="s">
        <v>26</v>
      </c>
      <c r="AH20" s="66">
        <f>AD15</f>
        <v>5</v>
      </c>
      <c r="AI20" s="30"/>
      <c r="AJ20" s="31"/>
    </row>
    <row r="21" spans="2:40" ht="15" thickBot="1" x14ac:dyDescent="0.35">
      <c r="Z21" s="38" t="s">
        <v>6</v>
      </c>
      <c r="AA21" s="39">
        <f>AA14*AA15/AB21</f>
        <v>22153.846153846152</v>
      </c>
      <c r="AB21" s="40">
        <v>2.6</v>
      </c>
      <c r="AC21" s="35" t="s">
        <v>14</v>
      </c>
      <c r="AD21" s="41"/>
      <c r="AE21" s="8"/>
      <c r="AG21" s="65" t="s">
        <v>25</v>
      </c>
      <c r="AH21" s="66">
        <f>AD14</f>
        <v>0</v>
      </c>
      <c r="AI21" s="30"/>
      <c r="AJ21" s="31"/>
    </row>
    <row r="22" spans="2:40" x14ac:dyDescent="0.3">
      <c r="AE22" s="8"/>
      <c r="AG22" s="65" t="s">
        <v>39</v>
      </c>
      <c r="AH22" s="90">
        <f>AA21/100</f>
        <v>221.53846153846152</v>
      </c>
      <c r="AI22" s="30"/>
      <c r="AJ22" s="31"/>
    </row>
    <row r="23" spans="2:40" ht="15" thickBot="1" x14ac:dyDescent="0.35">
      <c r="C23" s="6"/>
      <c r="D23" s="6"/>
      <c r="E23" s="6"/>
      <c r="F23" s="6"/>
      <c r="G23" s="6"/>
      <c r="H23" s="6"/>
      <c r="I23" s="6"/>
      <c r="J23" s="9"/>
      <c r="K23" s="6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Z23" t="s">
        <v>49</v>
      </c>
      <c r="AG23" s="65" t="s">
        <v>27</v>
      </c>
      <c r="AH23" s="66">
        <f>AC26</f>
        <v>180</v>
      </c>
      <c r="AI23" s="30"/>
      <c r="AJ23" s="31"/>
      <c r="AN23" s="3"/>
    </row>
    <row r="24" spans="2:40" ht="28.8" x14ac:dyDescent="0.3">
      <c r="C24" s="6"/>
      <c r="D24" s="6"/>
      <c r="E24" s="6"/>
      <c r="F24" s="6"/>
      <c r="G24" s="6"/>
      <c r="H24" s="6"/>
      <c r="I24" s="6"/>
      <c r="J24" s="9"/>
      <c r="K24" s="6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Z24" s="17"/>
      <c r="AA24" s="42" t="s">
        <v>28</v>
      </c>
      <c r="AB24" s="28"/>
      <c r="AC24" s="42" t="s">
        <v>29</v>
      </c>
      <c r="AD24" s="29" t="s">
        <v>50</v>
      </c>
      <c r="AG24" s="65" t="s">
        <v>22</v>
      </c>
      <c r="AH24" s="66">
        <f>AC25</f>
        <v>0</v>
      </c>
      <c r="AI24" s="30"/>
      <c r="AJ24" s="31"/>
    </row>
    <row r="25" spans="2:40" x14ac:dyDescent="0.3">
      <c r="C25" s="6"/>
      <c r="D25" s="6"/>
      <c r="E25" s="6"/>
      <c r="F25" s="6"/>
      <c r="G25" s="6"/>
      <c r="H25" s="6"/>
      <c r="I25" s="6"/>
      <c r="J25" s="9"/>
      <c r="K25" s="6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Z25" s="57" t="s">
        <v>23</v>
      </c>
      <c r="AA25" s="58">
        <v>0</v>
      </c>
      <c r="AB25" s="45" t="s">
        <v>22</v>
      </c>
      <c r="AC25" s="59">
        <v>0</v>
      </c>
      <c r="AD25" s="89">
        <f>AD35/AA21*100</f>
        <v>-17.719588605194325</v>
      </c>
      <c r="AE25" t="s">
        <v>70</v>
      </c>
      <c r="AG25" s="65" t="s">
        <v>18</v>
      </c>
      <c r="AH25" s="66">
        <f>AA34</f>
        <v>0</v>
      </c>
      <c r="AI25" s="67">
        <f>AA33</f>
        <v>7447.8773934613846</v>
      </c>
      <c r="AJ25" s="68">
        <f>AA32</f>
        <v>-435.01106108560197</v>
      </c>
    </row>
    <row r="26" spans="2:40" x14ac:dyDescent="0.3">
      <c r="B26" t="s">
        <v>72</v>
      </c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s="57" t="s">
        <v>24</v>
      </c>
      <c r="AA26" s="58">
        <v>3.3</v>
      </c>
      <c r="AB26" s="45" t="s">
        <v>27</v>
      </c>
      <c r="AC26" s="59">
        <v>180</v>
      </c>
      <c r="AD26" s="60">
        <v>77</v>
      </c>
      <c r="AG26" s="65" t="s">
        <v>30</v>
      </c>
      <c r="AH26" s="66" t="e">
        <f>AA36</f>
        <v>#REF!</v>
      </c>
      <c r="AI26" s="67" t="e">
        <f>AA35</f>
        <v>#REF!</v>
      </c>
      <c r="AJ26" s="31"/>
    </row>
    <row r="27" spans="2:40" ht="15" thickBot="1" x14ac:dyDescent="0.35">
      <c r="B27" t="s">
        <v>67</v>
      </c>
      <c r="C27" s="6" t="s">
        <v>68</v>
      </c>
      <c r="D27" s="6" t="s">
        <v>69</v>
      </c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9"/>
      <c r="AA27" s="30" t="s">
        <v>53</v>
      </c>
      <c r="AB27" s="30"/>
      <c r="AC27" s="61"/>
      <c r="AD27" s="89">
        <f>(AD26-AD25)/(AA26-AA25)</f>
        <v>28.702905637937679</v>
      </c>
      <c r="AG27" s="65" t="s">
        <v>19</v>
      </c>
      <c r="AH27" s="91">
        <f>AD28</f>
        <v>-17.719588605194332</v>
      </c>
      <c r="AI27" s="92">
        <f>AD27</f>
        <v>28.702905637937679</v>
      </c>
      <c r="AJ27" s="31"/>
    </row>
    <row r="28" spans="2:40" x14ac:dyDescent="0.3">
      <c r="B28" s="85">
        <v>61</v>
      </c>
      <c r="C28" s="6">
        <f>B28/180*(2.4-0.53)+0.53</f>
        <v>1.1637222222222223</v>
      </c>
      <c r="D28" s="88">
        <f>(C28-1)*180</f>
        <v>29.47000000000002</v>
      </c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19"/>
      <c r="AA28" s="30"/>
      <c r="AB28" s="30"/>
      <c r="AC28" s="61"/>
      <c r="AD28" s="89">
        <f>AD26-AD27*(AA26-AA25)</f>
        <v>-17.719588605194332</v>
      </c>
      <c r="AG28" s="65" t="s">
        <v>20</v>
      </c>
      <c r="AH28" s="66">
        <f>AD35</f>
        <v>-3925.570398689204</v>
      </c>
      <c r="AI28" s="69">
        <f>AD34</f>
        <v>0.94199104022164515</v>
      </c>
      <c r="AJ28" s="31"/>
    </row>
    <row r="29" spans="2:40" ht="15" thickBot="1" x14ac:dyDescent="0.35">
      <c r="B29" s="73">
        <v>65</v>
      </c>
      <c r="C29" s="6">
        <f t="shared" ref="C29:C34" si="16">B29/180*(2.4-0.53)+0.53</f>
        <v>1.2052777777777779</v>
      </c>
      <c r="D29" s="88">
        <f t="shared" ref="D29:D34" si="17">(C29-1)*180</f>
        <v>36.950000000000017</v>
      </c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21"/>
      <c r="AA29" s="32"/>
      <c r="AB29" s="32"/>
      <c r="AC29" s="47"/>
      <c r="AD29" s="48" t="s">
        <v>19</v>
      </c>
      <c r="AG29" s="70" t="s">
        <v>21</v>
      </c>
      <c r="AH29" s="71">
        <f>AD33</f>
        <v>4180.4182204512181</v>
      </c>
      <c r="AI29" s="72">
        <f>AD32</f>
        <v>1.0602056822563426</v>
      </c>
      <c r="AJ29" s="33"/>
    </row>
    <row r="30" spans="2:40" x14ac:dyDescent="0.3">
      <c r="B30" s="73">
        <v>77</v>
      </c>
      <c r="C30" s="6">
        <f t="shared" si="16"/>
        <v>1.3299444444444444</v>
      </c>
      <c r="D30" s="88">
        <f t="shared" si="17"/>
        <v>59.389999999999986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2:40" ht="15" thickBot="1" x14ac:dyDescent="0.35">
      <c r="B31" s="73">
        <v>88</v>
      </c>
      <c r="C31" s="6">
        <f t="shared" si="16"/>
        <v>1.4442222222222223</v>
      </c>
      <c r="D31" s="88">
        <f t="shared" si="17"/>
        <v>79.960000000000008</v>
      </c>
      <c r="E31" s="6"/>
      <c r="F31" s="6"/>
      <c r="G31" s="6"/>
      <c r="H31" s="6"/>
      <c r="I31" s="6"/>
      <c r="J31" s="2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t="s">
        <v>51</v>
      </c>
      <c r="AB31" t="s">
        <v>57</v>
      </c>
    </row>
    <row r="32" spans="2:40" x14ac:dyDescent="0.3">
      <c r="B32" s="73">
        <v>95</v>
      </c>
      <c r="C32" s="6">
        <f t="shared" si="16"/>
        <v>1.5169444444444444</v>
      </c>
      <c r="D32" s="88">
        <f t="shared" si="17"/>
        <v>93.05</v>
      </c>
      <c r="Z32" s="49" t="s">
        <v>18</v>
      </c>
      <c r="AA32" s="50">
        <f>INDEX(LINEST($O$2:$O$9,$D$2:$D$9^{1,2},FALSE,FALSE),1)</f>
        <v>-435.01106108560197</v>
      </c>
      <c r="AB32" s="28"/>
      <c r="AC32" s="51" t="s">
        <v>21</v>
      </c>
      <c r="AD32" s="52">
        <f>CalArduinoHiTec!AD35</f>
        <v>1.0602056822563426</v>
      </c>
    </row>
    <row r="33" spans="2:39" x14ac:dyDescent="0.3">
      <c r="B33" s="73">
        <v>105</v>
      </c>
      <c r="C33" s="6">
        <f t="shared" si="16"/>
        <v>1.6208333333333333</v>
      </c>
      <c r="D33" s="88">
        <f t="shared" si="17"/>
        <v>111.75</v>
      </c>
      <c r="Z33" s="43"/>
      <c r="AA33" s="53">
        <f>INDEX(LINEST($O$2:$O$9,$D$2:$D$9^{1,2},FALSE,FALSE),2)</f>
        <v>7447.8773934613846</v>
      </c>
      <c r="AB33" s="30"/>
      <c r="AC33" s="44"/>
      <c r="AD33" s="46">
        <f>CalArduinoHiTec!AD36</f>
        <v>4180.4182204512181</v>
      </c>
      <c r="AL33" s="3"/>
      <c r="AM33" s="3"/>
    </row>
    <row r="34" spans="2:39" ht="15" thickBot="1" x14ac:dyDescent="0.35">
      <c r="B34" s="80">
        <v>120</v>
      </c>
      <c r="C34" s="6">
        <f t="shared" si="16"/>
        <v>1.7766666666666666</v>
      </c>
      <c r="D34" s="88">
        <f t="shared" si="17"/>
        <v>139.79999999999998</v>
      </c>
      <c r="Z34" s="43"/>
      <c r="AA34" s="44">
        <f>INDEX(LINEST($O$2:$O$9,$D$2:$D$9^{1,2},FALSE,FALSE),3)</f>
        <v>0</v>
      </c>
      <c r="AB34" s="30"/>
      <c r="AC34" s="44" t="s">
        <v>20</v>
      </c>
      <c r="AD34" s="46">
        <f>CalArduinoHiTec!AD37</f>
        <v>0.94199104022164515</v>
      </c>
      <c r="AK34" s="3"/>
    </row>
    <row r="35" spans="2:39" x14ac:dyDescent="0.3">
      <c r="Z35" s="43" t="s">
        <v>30</v>
      </c>
      <c r="AA35" s="54" t="e">
        <f>INDEX(LINEST($R$2:$R$9,#REF!),1)</f>
        <v>#REF!</v>
      </c>
      <c r="AB35" s="30"/>
      <c r="AC35" s="44"/>
      <c r="AD35" s="46">
        <f>CalArduinoHiTec!AD38</f>
        <v>-3925.570398689204</v>
      </c>
    </row>
    <row r="36" spans="2:39" ht="15" thickBot="1" x14ac:dyDescent="0.35">
      <c r="Z36" s="55"/>
      <c r="AA36" s="56" t="e">
        <f>INDEX(LINEST($R$2:$R$9,#REF!),2)</f>
        <v>#REF!</v>
      </c>
      <c r="AB36" s="32"/>
      <c r="AC36" s="32"/>
      <c r="AD36" s="33"/>
      <c r="AI36" s="3"/>
      <c r="AJ3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CalArduinoHiTec</vt:lpstr>
      <vt:lpstr>CalPhotonHiTec</vt:lpstr>
    </vt:vector>
  </TitlesOfParts>
  <Company>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Gutz</dc:creator>
  <cp:lastModifiedBy>Dave Gutz</cp:lastModifiedBy>
  <dcterms:created xsi:type="dcterms:W3CDTF">2016-09-13T12:10:02Z</dcterms:created>
  <dcterms:modified xsi:type="dcterms:W3CDTF">2016-10-14T23:13:49Z</dcterms:modified>
</cp:coreProperties>
</file>