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9.xml" ContentType="application/vnd.openxmlformats-officedocument.drawing+xml"/>
  <Override PartName="/xl/charts/chart5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67.xml" ContentType="application/vnd.openxmlformats-officedocument.drawingml.chart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7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8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8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4" activeTab="6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x_Turnx_ESCx_Gxb_Txa" sheetId="16" r:id="rId8"/>
    <sheet name="CalPhotonTurnigy" sheetId="4" r:id="rId9"/>
    <sheet name="TauPhotonTurnigy" sheetId="5" r:id="rId10"/>
    <sheet name="CalArduinoTurnigy" sheetId="3" r:id="rId11"/>
    <sheet name="CalArduinoHiTec" sheetId="1" r:id="rId12"/>
    <sheet name="CalPhotonHiTec" sheetId="2" r:id="rId13"/>
  </sheets>
  <definedNames>
    <definedName name="Meas_TauT__s" localSheetId="2">Ard0_Turn0_ESC0_G0b_T0a!$K$38:$K$43</definedName>
    <definedName name="Meas_TauT__s" localSheetId="3">Ard1_Turn1x_ESC1_G1b_T1a!$K$38:$K$43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Ard4_Turn4_ESC4_G4b_T4a!$K$37:$K$42</definedName>
    <definedName name="Meas_TauT__s" localSheetId="7">Ardx_Turnx_ESCx_Gxb_Txa!$K$39:$K$44</definedName>
    <definedName name="Meas_TauT__s">#REF!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7">Ardx_Turnx_ESCx_Gxb_Txa!$I$39:$I$44</definedName>
    <definedName name="MeasNt">#REF!</definedName>
    <definedName name="MeasTauT" localSheetId="2">Ard0_Turn0_ESC0_G0b_T0a!$K$38:$K$43</definedName>
    <definedName name="MeasTauT" localSheetId="3">Ard1_Turn1x_ESC1_G1b_T1a!$K$38:$K$43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Ard4_Turn4_ESC4_G4b_T4a!$K$37:$K$42</definedName>
    <definedName name="MeasTauT" localSheetId="7">Ardx_Turnx_ESCx_Gxb_Txa!$K$39:$K$44</definedName>
    <definedName name="MeasTauT">#REF!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7">Ardx_Turnx_ESCx_Gxb_Txa!$I$39:$I$44</definedName>
    <definedName name="Nt">#REF!</definedName>
  </definedNames>
  <calcPr calcId="152511"/>
</workbook>
</file>

<file path=xl/calcChain.xml><?xml version="1.0" encoding="utf-8"?>
<calcChain xmlns="http://schemas.openxmlformats.org/spreadsheetml/2006/main">
  <c r="S39" i="10" l="1"/>
  <c r="R39" i="10"/>
  <c r="Q39" i="10"/>
  <c r="R42" i="10"/>
  <c r="R41" i="10"/>
  <c r="Q42" i="10"/>
  <c r="Q41" i="10"/>
  <c r="Q43" i="9" l="1"/>
  <c r="R41" i="9"/>
  <c r="V57" i="16" l="1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AA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AH11" i="16"/>
  <c r="AI11" i="16" s="1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U5" i="16"/>
  <c r="O5" i="16"/>
  <c r="Q5" i="16" s="1"/>
  <c r="AE5" i="16" s="1"/>
  <c r="N5" i="16"/>
  <c r="P5" i="16" s="1"/>
  <c r="R5" i="16" s="1"/>
  <c r="L5" i="16"/>
  <c r="M5" i="16" s="1"/>
  <c r="K5" i="16"/>
  <c r="C5" i="16"/>
  <c r="T4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T5" i="16" l="1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R41" i="16"/>
  <c r="S41" i="16"/>
  <c r="Q41" i="16"/>
  <c r="S5" i="16"/>
  <c r="Q44" i="16"/>
  <c r="J36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/>
  <c r="K13" i="15"/>
  <c r="N13" i="15" s="1"/>
  <c r="Z6" i="15"/>
  <c r="AC6" i="15" s="1"/>
  <c r="Z7" i="15"/>
  <c r="AC7" i="15" s="1"/>
  <c r="Z8" i="15"/>
  <c r="AC8" i="15" s="1"/>
  <c r="Z9" i="15"/>
  <c r="Z10" i="15"/>
  <c r="AC10" i="15"/>
  <c r="Z11" i="15"/>
  <c r="AC11" i="15" s="1"/>
  <c r="Z12" i="15"/>
  <c r="AC12" i="15" s="1"/>
  <c r="AD11" i="15" l="1"/>
  <c r="O13" i="15"/>
  <c r="BC42" i="16"/>
  <c r="AF14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Z12" i="16"/>
  <c r="Z6" i="16"/>
  <c r="Z2" i="16"/>
  <c r="Z9" i="16"/>
  <c r="Z5" i="16"/>
  <c r="Z11" i="16"/>
  <c r="Z4" i="16"/>
  <c r="Z8" i="16"/>
  <c r="Z3" i="16"/>
  <c r="Z13" i="16"/>
  <c r="Z10" i="16"/>
  <c r="Z7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D10" i="15" l="1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F10" i="16"/>
  <c r="AP7" i="16"/>
  <c r="AR8" i="16"/>
  <c r="AS8" i="16" s="1"/>
  <c r="AD11" i="16"/>
  <c r="AF11" i="16"/>
  <c r="AO10" i="16"/>
  <c r="AN10" i="16" s="1"/>
  <c r="AD8" i="16"/>
  <c r="AF8" i="16"/>
  <c r="AD5" i="16"/>
  <c r="AF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Q11" i="16" s="1"/>
  <c r="AD13" i="16"/>
  <c r="AF13" i="16"/>
  <c r="AR7" i="16"/>
  <c r="AS7" i="16" s="1"/>
  <c r="AO6" i="16"/>
  <c r="AN6" i="16" s="1"/>
  <c r="AD7" i="16"/>
  <c r="AF7" i="16"/>
  <c r="AQ3" i="16"/>
  <c r="AO3" i="16"/>
  <c r="AD12" i="16"/>
  <c r="AF12" i="16"/>
  <c r="AF2" i="16"/>
  <c r="AD2" i="16"/>
  <c r="AQ13" i="16"/>
  <c r="AO13" i="16"/>
  <c r="AN13" i="16" s="1"/>
  <c r="AO8" i="16"/>
  <c r="AN8" i="16" s="1"/>
  <c r="AO14" i="16"/>
  <c r="AN14" i="16" s="1"/>
  <c r="AD4" i="16"/>
  <c r="AF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Y5" i="15" s="1"/>
  <c r="X7" i="15"/>
  <c r="X9" i="15"/>
  <c r="Y9" i="15" s="1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T6" i="15" l="1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Q40" i="14"/>
  <c r="R11" i="14"/>
  <c r="R6" i="14"/>
  <c r="G6" i="15"/>
  <c r="M3" i="14"/>
  <c r="H5" i="15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Y12" i="14" l="1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13" i="13" l="1"/>
  <c r="M13" i="15"/>
  <c r="M12" i="15"/>
  <c r="AF5" i="15"/>
  <c r="R41" i="13"/>
  <c r="Q41" i="13"/>
  <c r="AF31" i="15"/>
  <c r="AF38" i="15"/>
  <c r="Q35" i="13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L41" i="13" l="1"/>
  <c r="M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AA5" i="15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B9" i="15" l="1"/>
  <c r="AB6" i="15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AE4" i="10"/>
  <c r="S4" i="10"/>
  <c r="W4" i="10"/>
  <c r="X4" i="10" s="1"/>
  <c r="V4" i="10"/>
  <c r="V5" i="10"/>
  <c r="T6" i="10"/>
  <c r="M6" i="10"/>
  <c r="V7" i="10"/>
  <c r="W7" i="10"/>
  <c r="X7" i="10" s="1"/>
  <c r="R3" i="10"/>
  <c r="R4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V4" i="15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AH3" i="9" l="1"/>
  <c r="AI3" i="9" s="1"/>
  <c r="AH6" i="9"/>
  <c r="AI6" i="9" s="1"/>
  <c r="AH14" i="9"/>
  <c r="AI14" i="9" s="1"/>
  <c r="AF57" i="15"/>
  <c r="W4" i="15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Z9" i="9"/>
  <c r="AA9" i="9" s="1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Z10" i="9"/>
  <c r="R10" i="9"/>
  <c r="V3" i="9"/>
  <c r="W3" i="9"/>
  <c r="X3" i="9" s="1"/>
  <c r="Y3" i="9" s="1"/>
  <c r="AE14" i="9"/>
  <c r="S14" i="9"/>
  <c r="R8" i="9"/>
  <c r="Z8" i="9"/>
  <c r="R4" i="9"/>
  <c r="Z4" i="9"/>
  <c r="R43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2" i="9" l="1"/>
  <c r="AD2" i="9" s="1"/>
  <c r="AF14" i="9"/>
  <c r="D2" i="10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6" i="9" l="1"/>
  <c r="AJ13" i="9"/>
  <c r="AO13" i="9" s="1"/>
  <c r="AN13" i="9" s="1"/>
  <c r="D2" i="9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42" i="9"/>
  <c r="M42" i="9" s="1"/>
  <c r="AD8" i="9"/>
  <c r="AF8" i="9"/>
  <c r="AF13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Q45" i="9" s="1"/>
  <c r="AG9" i="9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3" i="9"/>
  <c r="AU13" i="9" s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Q42" i="8"/>
  <c r="R7" i="8"/>
  <c r="R40" i="8"/>
  <c r="S40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R41" i="8" s="1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Q41" i="8" l="1"/>
  <c r="R11" i="15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E43" i="15" l="1"/>
  <c r="R3" i="15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AA36" i="2"/>
  <c r="U9" i="2" s="1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4" i="2"/>
  <c r="AH23" i="2"/>
  <c r="AH21" i="2"/>
  <c r="AA21" i="2"/>
  <c r="AH22" i="2" s="1"/>
  <c r="AH20" i="2"/>
  <c r="AH19" i="2"/>
  <c r="AH18" i="2"/>
  <c r="X9" i="2"/>
  <c r="M9" i="2"/>
  <c r="O9" i="2" s="1"/>
  <c r="L9" i="2"/>
  <c r="N9" i="2" s="1"/>
  <c r="K9" i="2"/>
  <c r="S9" i="2" s="1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M6" i="2"/>
  <c r="O6" i="2" s="1"/>
  <c r="Q6" i="2" s="1"/>
  <c r="L6" i="2"/>
  <c r="N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M2" i="2"/>
  <c r="O2" i="2" s="1"/>
  <c r="L2" i="2"/>
  <c r="N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M5" i="1"/>
  <c r="O5" i="1" s="1"/>
  <c r="L5" i="1"/>
  <c r="N5" i="1" s="1"/>
  <c r="P5" i="1" s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AF4" i="3" s="1"/>
  <c r="AG4" i="3" s="1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H26" i="2" l="1"/>
  <c r="U2" i="2"/>
  <c r="P4" i="2"/>
  <c r="U6" i="2"/>
  <c r="P9" i="2"/>
  <c r="P2" i="2"/>
  <c r="U4" i="2"/>
  <c r="P6" i="2"/>
  <c r="U8" i="2"/>
  <c r="S2" i="3"/>
  <c r="V12" i="3"/>
  <c r="W12" i="3" s="1"/>
  <c r="Y12" i="3" s="1"/>
  <c r="Z12" i="3" s="1"/>
  <c r="AA12" i="3" s="1"/>
  <c r="AG6" i="4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AF33" i="4" s="1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AH11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I7" i="3"/>
  <c r="AH5" i="3"/>
  <c r="AI14" i="3"/>
  <c r="O14" i="3" s="1"/>
  <c r="Q14" i="3" s="1"/>
  <c r="AH14" i="3"/>
  <c r="AI10" i="3"/>
  <c r="AH10" i="3"/>
  <c r="AI13" i="3"/>
  <c r="AI12" i="3"/>
  <c r="C3" i="3"/>
  <c r="AH13" i="3"/>
  <c r="AI5" i="3"/>
  <c r="AH2" i="3"/>
  <c r="AI4" i="3"/>
  <c r="AH9" i="3"/>
  <c r="AH7" i="3"/>
  <c r="AH4" i="3"/>
  <c r="AH12" i="3"/>
  <c r="AI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H8" i="3" l="1"/>
  <c r="AI6" i="3"/>
  <c r="AI9" i="3"/>
  <c r="AI2" i="3"/>
  <c r="AH6" i="3"/>
  <c r="W57" i="3"/>
  <c r="AJ6" i="4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l="1"/>
  <c r="Z12" i="14"/>
  <c r="Z8" i="14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AA4" i="14"/>
  <c r="AB4" i="14" s="1"/>
  <c r="Z10" i="14"/>
  <c r="AA5" i="14"/>
  <c r="AB5" i="14" s="1"/>
  <c r="Z3" i="14"/>
  <c r="AA8" i="14"/>
  <c r="AB8" i="14" s="1"/>
  <c r="Z2" i="14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F9" i="14"/>
  <c r="AD4" i="14"/>
  <c r="AF4" i="14"/>
  <c r="AA2" i="14"/>
  <c r="AC2" i="14"/>
  <c r="AC10" i="14"/>
  <c r="AA10" i="14"/>
  <c r="AB10" i="14" s="1"/>
  <c r="AD12" i="14" l="1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<sst xmlns="http://schemas.openxmlformats.org/spreadsheetml/2006/main" count="1817" uniqueCount="344">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</sst>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6.7090339239286205</c:v>
                </c:pt>
                <c:pt idx="67" formatCode="0.00">
                  <c:v>10</c:v>
                </c:pt>
                <c:pt idx="68" formatCode="0.00">
                  <c:v>14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180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8152.1739130434789</c:v>
                </c:pt>
                <c:pt idx="68">
                  <c:v>11029.411764705883</c:v>
                </c:pt>
                <c:pt idx="69">
                  <c:v>16620.498614958451</c:v>
                </c:pt>
                <c:pt idx="70">
                  <c:v>19480.519480519481</c:v>
                </c:pt>
                <c:pt idx="71">
                  <c:v>24096.385542168679</c:v>
                </c:pt>
                <c:pt idx="72">
                  <c:v>28985.507246376812</c:v>
                </c:pt>
                <c:pt idx="73">
                  <c:v>31746.031746031746</c:v>
                </c:pt>
                <c:pt idx="74">
                  <c:v>33333.333333333336</c:v>
                </c:pt>
                <c:pt idx="75">
                  <c:v>36809.815950920245</c:v>
                </c:pt>
                <c:pt idx="76">
                  <c:v>43795.620437956204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1376"/>
        <c:axId val="164104512"/>
      </c:scatterChart>
      <c:valAx>
        <c:axId val="1641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104512"/>
        <c:crosses val="autoZero"/>
        <c:crossBetween val="midCat"/>
      </c:valAx>
      <c:valAx>
        <c:axId val="16410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410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3064"/>
        <c:axId val="166420320"/>
      </c:scatterChart>
      <c:valAx>
        <c:axId val="16642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20320"/>
        <c:crosses val="autoZero"/>
        <c:crossBetween val="midCat"/>
      </c:valAx>
      <c:valAx>
        <c:axId val="166420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6423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1696"/>
        <c:axId val="166242088"/>
      </c:scatterChart>
      <c:valAx>
        <c:axId val="1662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42088"/>
        <c:crosses val="autoZero"/>
        <c:crossBetween val="midCat"/>
      </c:valAx>
      <c:valAx>
        <c:axId val="16624208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62416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40128"/>
        <c:axId val="166239736"/>
      </c:scatterChart>
      <c:valAx>
        <c:axId val="1662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9736"/>
        <c:crosses val="autoZero"/>
        <c:crossBetween val="midCat"/>
      </c:valAx>
      <c:valAx>
        <c:axId val="1662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38560"/>
        <c:axId val="166238952"/>
      </c:scatterChart>
      <c:valAx>
        <c:axId val="1662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6238952"/>
        <c:crosses val="autoZero"/>
        <c:crossBetween val="midCat"/>
      </c:valAx>
      <c:valAx>
        <c:axId val="1662389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62385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0984"/>
        <c:axId val="166751040"/>
      </c:scatterChart>
      <c:valAx>
        <c:axId val="16410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751040"/>
        <c:crosses val="autoZero"/>
        <c:crossBetween val="midCat"/>
      </c:valAx>
      <c:valAx>
        <c:axId val="1667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10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8296"/>
        <c:axId val="166747512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9472"/>
        <c:axId val="166751432"/>
      </c:scatterChart>
      <c:valAx>
        <c:axId val="1667482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747512"/>
        <c:crossesAt val="-40"/>
        <c:crossBetween val="midCat"/>
        <c:majorUnit val="20"/>
      </c:valAx>
      <c:valAx>
        <c:axId val="166747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748296"/>
        <c:crosses val="autoZero"/>
        <c:crossBetween val="midCat"/>
      </c:valAx>
      <c:valAx>
        <c:axId val="1667514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749472"/>
        <c:crosses val="max"/>
        <c:crossBetween val="midCat"/>
        <c:majorUnit val="40"/>
      </c:valAx>
      <c:valAx>
        <c:axId val="16674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75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54568"/>
        <c:axId val="166750648"/>
      </c:scatterChart>
      <c:valAx>
        <c:axId val="1667545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750648"/>
        <c:crosses val="autoZero"/>
        <c:crossBetween val="midCat"/>
      </c:valAx>
      <c:valAx>
        <c:axId val="1667506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54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52608"/>
        <c:axId val="166751824"/>
      </c:scatterChart>
      <c:valAx>
        <c:axId val="1667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751824"/>
        <c:crosses val="autoZero"/>
        <c:crossBetween val="midCat"/>
      </c:valAx>
      <c:valAx>
        <c:axId val="16675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75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8688"/>
        <c:axId val="166749080"/>
      </c:scatterChart>
      <c:valAx>
        <c:axId val="16674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749080"/>
        <c:crosses val="autoZero"/>
        <c:crossBetween val="midCat"/>
      </c:valAx>
      <c:valAx>
        <c:axId val="1667490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66748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49864"/>
        <c:axId val="166752216"/>
      </c:scatterChart>
      <c:valAx>
        <c:axId val="16674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52216"/>
        <c:crosses val="autoZero"/>
        <c:crossBetween val="midCat"/>
      </c:valAx>
      <c:valAx>
        <c:axId val="16675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49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6.7090339239286205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2477.137024388659</c:v>
                </c:pt>
                <c:pt idx="1">
                  <c:v>2477.137024388659</c:v>
                </c:pt>
                <c:pt idx="2">
                  <c:v>719.30946291560099</c:v>
                </c:pt>
                <c:pt idx="3">
                  <c:v>465.92390418771402</c:v>
                </c:pt>
                <c:pt idx="4">
                  <c:v>357.50260819512869</c:v>
                </c:pt>
                <c:pt idx="5">
                  <c:v>271.52153303818812</c:v>
                </c:pt>
                <c:pt idx="6">
                  <c:v>195.56486816832535</c:v>
                </c:pt>
                <c:pt idx="7">
                  <c:v>184.03496664366224</c:v>
                </c:pt>
                <c:pt idx="8">
                  <c:v>105.82010582010601</c:v>
                </c:pt>
                <c:pt idx="9">
                  <c:v>133.71086990718882</c:v>
                </c:pt>
                <c:pt idx="10">
                  <c:v>145.53759347991581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9024"/>
        <c:axId val="164104120"/>
      </c:scatterChart>
      <c:valAx>
        <c:axId val="16409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104120"/>
        <c:crosses val="autoZero"/>
        <c:crossBetween val="midCat"/>
      </c:valAx>
      <c:valAx>
        <c:axId val="16410412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4099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53392"/>
        <c:axId val="211144408"/>
      </c:scatterChart>
      <c:valAx>
        <c:axId val="16675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44408"/>
        <c:crosses val="autoZero"/>
        <c:crossBetween val="midCat"/>
      </c:valAx>
      <c:valAx>
        <c:axId val="2111444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67533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7936"/>
        <c:axId val="211145584"/>
      </c:scatterChart>
      <c:valAx>
        <c:axId val="21114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45584"/>
        <c:crosses val="autoZero"/>
        <c:crossBetween val="midCat"/>
      </c:valAx>
      <c:valAx>
        <c:axId val="2111455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1479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6760"/>
        <c:axId val="211144800"/>
      </c:scatterChart>
      <c:valAx>
        <c:axId val="21114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800"/>
        <c:crosses val="autoZero"/>
        <c:crossBetween val="midCat"/>
      </c:valAx>
      <c:valAx>
        <c:axId val="2111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3125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7152"/>
        <c:axId val="211147544"/>
      </c:scatterChart>
      <c:valAx>
        <c:axId val="21114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147544"/>
        <c:crosses val="autoZero"/>
        <c:crossBetween val="midCat"/>
      </c:valAx>
      <c:valAx>
        <c:axId val="2111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14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3904"/>
        <c:axId val="165062336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0768"/>
        <c:axId val="165058024"/>
      </c:scatterChart>
      <c:valAx>
        <c:axId val="1650639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062336"/>
        <c:crossesAt val="-40"/>
        <c:crossBetween val="midCat"/>
        <c:majorUnit val="20"/>
      </c:valAx>
      <c:valAx>
        <c:axId val="1650623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063904"/>
        <c:crosses val="autoZero"/>
        <c:crossBetween val="midCat"/>
      </c:valAx>
      <c:valAx>
        <c:axId val="1650580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060768"/>
        <c:crosses val="max"/>
        <c:crossBetween val="midCat"/>
        <c:majorUnit val="40"/>
      </c:valAx>
      <c:valAx>
        <c:axId val="16506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05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2728"/>
        <c:axId val="165058416"/>
      </c:scatterChart>
      <c:valAx>
        <c:axId val="1650627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058416"/>
        <c:crosses val="autoZero"/>
        <c:crossBetween val="midCat"/>
      </c:valAx>
      <c:valAx>
        <c:axId val="16505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65062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3512"/>
        <c:axId val="165057632"/>
      </c:scatterChart>
      <c:valAx>
        <c:axId val="16506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057632"/>
        <c:crosses val="autoZero"/>
        <c:crossBetween val="midCat"/>
      </c:valAx>
      <c:valAx>
        <c:axId val="165057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06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9200"/>
        <c:axId val="165063120"/>
      </c:scatterChart>
      <c:valAx>
        <c:axId val="1650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063120"/>
        <c:crosses val="autoZero"/>
        <c:crossBetween val="midCat"/>
      </c:valAx>
      <c:valAx>
        <c:axId val="1650631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6505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0376"/>
        <c:axId val="165064296"/>
      </c:scatterChart>
      <c:valAx>
        <c:axId val="16506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64296"/>
        <c:crosses val="autoZero"/>
        <c:crossBetween val="midCat"/>
      </c:valAx>
      <c:valAx>
        <c:axId val="165064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060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61552"/>
        <c:axId val="165061944"/>
      </c:scatterChart>
      <c:valAx>
        <c:axId val="16506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61944"/>
        <c:crosses val="autoZero"/>
        <c:crossBetween val="midCat"/>
      </c:valAx>
      <c:valAx>
        <c:axId val="1650619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50615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91.763321955226317</c:v>
                </c:pt>
                <c:pt idx="1">
                  <c:v>79.502892729656168</c:v>
                </c:pt>
                <c:pt idx="2">
                  <c:v>64.483866928332702</c:v>
                </c:pt>
                <c:pt idx="3">
                  <c:v>39.809753111872752</c:v>
                </c:pt>
                <c:pt idx="4">
                  <c:v>34.445815325685807</c:v>
                </c:pt>
                <c:pt idx="5">
                  <c:v>28.622111443539978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94.180507611575763</c:v>
                </c:pt>
                <c:pt idx="1">
                  <c:v>78.613865839269394</c:v>
                </c:pt>
                <c:pt idx="2">
                  <c:v>64.000283767308289</c:v>
                </c:pt>
                <c:pt idx="3">
                  <c:v>39.992256077657927</c:v>
                </c:pt>
                <c:pt idx="4">
                  <c:v>30.597810459968649</c:v>
                </c:pt>
                <c:pt idx="5">
                  <c:v>27.408338182358097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88.911215408699249</c:v>
                </c:pt>
                <c:pt idx="1">
                  <c:v>77.725299021912619</c:v>
                </c:pt>
                <c:pt idx="2">
                  <c:v>63.41773155044131</c:v>
                </c:pt>
                <c:pt idx="3">
                  <c:v>39.912442133024179</c:v>
                </c:pt>
                <c:pt idx="4">
                  <c:v>30.714720187078346</c:v>
                </c:pt>
                <c:pt idx="5">
                  <c:v>26.710269816054311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ser>
          <c:idx val="8"/>
          <c:order val="8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4C4-4D6C-ABF9-953DABCF21DD}"/>
            </c:ext>
          </c:extLst>
        </c:ser>
        <c:ser>
          <c:idx val="9"/>
          <c:order val="9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9808"/>
        <c:axId val="164102944"/>
      </c:scatterChart>
      <c:valAx>
        <c:axId val="1640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2944"/>
        <c:crosses val="autoZero"/>
        <c:crossBetween val="midCat"/>
      </c:valAx>
      <c:valAx>
        <c:axId val="1641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5.8023808601098592</c:v>
                </c:pt>
                <c:pt idx="1">
                  <c:v>22.811576153900912</c:v>
                </c:pt>
                <c:pt idx="2">
                  <c:v>26.594292280271613</c:v>
                </c:pt>
                <c:pt idx="3">
                  <c:v>29.871030033381423</c:v>
                </c:pt>
                <c:pt idx="4">
                  <c:v>40.822505706375907</c:v>
                </c:pt>
                <c:pt idx="5">
                  <c:v>51.734687405081729</c:v>
                </c:pt>
                <c:pt idx="6">
                  <c:v>61.261330722642697</c:v>
                </c:pt>
                <c:pt idx="7">
                  <c:v>66.088420704350938</c:v>
                </c:pt>
                <c:pt idx="8">
                  <c:v>68.586074555654932</c:v>
                </c:pt>
                <c:pt idx="9">
                  <c:v>72.255445992290788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944"/>
        <c:axId val="211685336"/>
      </c:scatterChart>
      <c:valAx>
        <c:axId val="21168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85336"/>
        <c:crosses val="autoZero"/>
        <c:crossBetween val="midCat"/>
      </c:valAx>
      <c:valAx>
        <c:axId val="2116853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6849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Ard2_Turn2_ESC2_G2b_T2a!$S$1</c:f>
              <c:strCache>
                <c:ptCount val="1"/>
                <c:pt idx="0">
                  <c:v>Nt,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Ard2_Turn2_ESC2_G2b_T2a!$D$2:$D$13</c:f>
              <c:numCache>
                <c:formatCode>General</c:formatCode>
                <c:ptCount val="12"/>
                <c:pt idx="0" formatCode="0.0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Ard2_Turn2_ESC2_G2b_T2a!$S$2:$S$13</c:f>
              <c:numCache>
                <c:formatCode>0</c:formatCode>
                <c:ptCount val="12"/>
                <c:pt idx="0">
                  <c:v>0</c:v>
                </c:pt>
                <c:pt idx="1">
                  <c:v>1.3020833333333332E-27</c:v>
                </c:pt>
                <c:pt idx="2">
                  <c:v>6.7816840277777777</c:v>
                </c:pt>
                <c:pt idx="3">
                  <c:v>20.218685300207039</c:v>
                </c:pt>
                <c:pt idx="4">
                  <c:v>23.33482676224612</c:v>
                </c:pt>
                <c:pt idx="5">
                  <c:v>26.35796221322537</c:v>
                </c:pt>
                <c:pt idx="6">
                  <c:v>38.072612085769983</c:v>
                </c:pt>
                <c:pt idx="7">
                  <c:v>49.135220125786169</c:v>
                </c:pt>
                <c:pt idx="8">
                  <c:v>59.865900383141764</c:v>
                </c:pt>
                <c:pt idx="9">
                  <c:v>66.60272804774084</c:v>
                </c:pt>
                <c:pt idx="10">
                  <c:v>72.337962962962962</c:v>
                </c:pt>
                <c:pt idx="11">
                  <c:v>76.593137254901961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60-4F2D-8ADD-6305162B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2592"/>
        <c:axId val="211683376"/>
      </c:scatterChart>
      <c:valAx>
        <c:axId val="2116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376"/>
        <c:crosses val="autoZero"/>
        <c:crossBetween val="midCat"/>
        <c:majorUnit val="20"/>
      </c:valAx>
      <c:valAx>
        <c:axId val="2116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10309.278350515466</c:v>
                </c:pt>
                <c:pt idx="1">
                  <c:v>16042.780748663101</c:v>
                </c:pt>
                <c:pt idx="2">
                  <c:v>17341.040462427747</c:v>
                </c:pt>
                <c:pt idx="3">
                  <c:v>20134.228187919463</c:v>
                </c:pt>
                <c:pt idx="4">
                  <c:v>24691.358024691359</c:v>
                </c:pt>
                <c:pt idx="5">
                  <c:v>29411.764705882353</c:v>
                </c:pt>
                <c:pt idx="6">
                  <c:v>32432.43243243243</c:v>
                </c:pt>
                <c:pt idx="7">
                  <c:v>32967.032967032967</c:v>
                </c:pt>
                <c:pt idx="8">
                  <c:v>35087.719298245618</c:v>
                </c:pt>
                <c:pt idx="9">
                  <c:v>37267.080745341613</c:v>
                </c:pt>
                <c:pt idx="10">
                  <c:v>43795.620437956204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472"/>
        <c:axId val="211684160"/>
      </c:scatterChart>
      <c:valAx>
        <c:axId val="21168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684160"/>
        <c:crosses val="autoZero"/>
        <c:crossBetween val="midCat"/>
      </c:valAx>
      <c:valAx>
        <c:axId val="2116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68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8080"/>
        <c:axId val="211687296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2200"/>
        <c:axId val="211681808"/>
      </c:scatterChart>
      <c:valAx>
        <c:axId val="2116880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687296"/>
        <c:crossesAt val="-40"/>
        <c:crossBetween val="midCat"/>
        <c:majorUnit val="20"/>
      </c:valAx>
      <c:valAx>
        <c:axId val="2116872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688080"/>
        <c:crosses val="autoZero"/>
        <c:crossBetween val="midCat"/>
      </c:valAx>
      <c:valAx>
        <c:axId val="2116818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682200"/>
        <c:crosses val="max"/>
        <c:crossBetween val="midCat"/>
        <c:majorUnit val="40"/>
      </c:valAx>
      <c:valAx>
        <c:axId val="211682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8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552"/>
        <c:axId val="211681024"/>
      </c:scatterChart>
      <c:valAx>
        <c:axId val="2116845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1681024"/>
        <c:crosses val="autoZero"/>
        <c:crossBetween val="midCat"/>
      </c:valAx>
      <c:valAx>
        <c:axId val="211681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1684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6120"/>
        <c:axId val="211682984"/>
      </c:scatterChart>
      <c:valAx>
        <c:axId val="21168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682984"/>
        <c:crosses val="autoZero"/>
        <c:crossBetween val="midCat"/>
      </c:valAx>
      <c:valAx>
        <c:axId val="211682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168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3424"/>
        <c:axId val="212743816"/>
      </c:scatterChart>
      <c:valAx>
        <c:axId val="21274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2743816"/>
        <c:crosses val="autoZero"/>
        <c:crossBetween val="midCat"/>
      </c:valAx>
      <c:valAx>
        <c:axId val="2127438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2743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1464"/>
        <c:axId val="212744208"/>
      </c:scatterChart>
      <c:valAx>
        <c:axId val="21274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44208"/>
        <c:crosses val="autoZero"/>
        <c:crossBetween val="midCat"/>
      </c:valAx>
      <c:valAx>
        <c:axId val="2127442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741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112"/>
        <c:axId val="212744992"/>
      </c:scatterChart>
      <c:valAx>
        <c:axId val="21273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44992"/>
        <c:crosses val="autoZero"/>
        <c:crossBetween val="midCat"/>
      </c:valAx>
      <c:valAx>
        <c:axId val="2127449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391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4.0416541216298523</c:v>
                </c:pt>
                <c:pt idx="1">
                  <c:v>19.986322207456581</c:v>
                </c:pt>
                <c:pt idx="2">
                  <c:v>23.995233467684077</c:v>
                </c:pt>
                <c:pt idx="3">
                  <c:v>30.531028460751699</c:v>
                </c:pt>
                <c:pt idx="4">
                  <c:v>40.094242929614481</c:v>
                </c:pt>
                <c:pt idx="5">
                  <c:v>48.916038145625222</c:v>
                </c:pt>
                <c:pt idx="6">
                  <c:v>55.491386675659186</c:v>
                </c:pt>
                <c:pt idx="7">
                  <c:v>56.839172480802645</c:v>
                </c:pt>
                <c:pt idx="8">
                  <c:v>59.579224993560686</c:v>
                </c:pt>
                <c:pt idx="9">
                  <c:v>64.320760631499837</c:v>
                </c:pt>
                <c:pt idx="10">
                  <c:v>72.386787884092286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896"/>
        <c:axId val="212739504"/>
      </c:scatterChart>
      <c:valAx>
        <c:axId val="21273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39504"/>
        <c:crosses val="autoZero"/>
        <c:crossBetween val="midCat"/>
      </c:valAx>
      <c:valAx>
        <c:axId val="21273950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398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2160"/>
        <c:axId val="132250656"/>
      </c:scatterChart>
      <c:valAx>
        <c:axId val="1641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2250656"/>
        <c:crosses val="autoZero"/>
        <c:crossBetween val="midCat"/>
      </c:valAx>
      <c:valAx>
        <c:axId val="1322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41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Ard4_Turn4_ESC4_G4b_T4a!$P$5:$P$12</c:f>
              <c:numCache>
                <c:formatCode>0</c:formatCode>
                <c:ptCount val="8"/>
                <c:pt idx="0">
                  <c:v>16620.498614958451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28985.507246376812</c:v>
                </c:pt>
                <c:pt idx="4">
                  <c:v>31746.031746031746</c:v>
                </c:pt>
                <c:pt idx="5">
                  <c:v>33333.333333333336</c:v>
                </c:pt>
                <c:pt idx="6">
                  <c:v>36809.815950920245</c:v>
                </c:pt>
                <c:pt idx="7">
                  <c:v>43795.620437956204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5384"/>
        <c:axId val="212738328"/>
      </c:scatterChart>
      <c:valAx>
        <c:axId val="21274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738328"/>
        <c:crosses val="autoZero"/>
        <c:crossBetween val="midCat"/>
      </c:valAx>
      <c:valAx>
        <c:axId val="2127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74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23.935355392156865</c:v>
                </c:pt>
                <c:pt idx="1">
                  <c:v>36.068790397045248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62.902576489533011</c:v>
                </c:pt>
                <c:pt idx="5">
                  <c:v>68.893298059964721</c:v>
                </c:pt>
                <c:pt idx="6">
                  <c:v>72.337962962962962</c:v>
                </c:pt>
                <c:pt idx="7">
                  <c:v>79.882413087934552</c:v>
                </c:pt>
                <c:pt idx="8">
                  <c:v>95.042579075425792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8720"/>
        <c:axId val="212741072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4.3625400000000001</c:v>
                </c:pt>
                <c:pt idx="1">
                  <c:v>6.6843400000000006</c:v>
                </c:pt>
                <c:pt idx="2">
                  <c:v>14.7378</c:v>
                </c:pt>
                <c:pt idx="3">
                  <c:v>21.1584</c:v>
                </c:pt>
                <c:pt idx="4">
                  <c:v>35.186</c:v>
                </c:pt>
                <c:pt idx="5">
                  <c:v>57.695400000000006</c:v>
                </c:pt>
                <c:pt idx="6">
                  <c:v>71.400800000000004</c:v>
                </c:pt>
                <c:pt idx="7">
                  <c:v>85.226599999999991</c:v>
                </c:pt>
                <c:pt idx="8">
                  <c:v>108.00790000000001</c:v>
                </c:pt>
                <c:pt idx="9">
                  <c:v>166.86500000000001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2248"/>
        <c:axId val="212741856"/>
      </c:scatterChart>
      <c:valAx>
        <c:axId val="2127387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741072"/>
        <c:crossesAt val="-40"/>
        <c:crossBetween val="midCat"/>
        <c:majorUnit val="20"/>
      </c:valAx>
      <c:valAx>
        <c:axId val="212741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738720"/>
        <c:crosses val="autoZero"/>
        <c:crossBetween val="midCat"/>
      </c:valAx>
      <c:valAx>
        <c:axId val="2127418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742248"/>
        <c:crosses val="max"/>
        <c:crossBetween val="midCat"/>
        <c:majorUnit val="40"/>
      </c:valAx>
      <c:valAx>
        <c:axId val="212742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4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17.69134963768116</c:v>
                </c:pt>
                <c:pt idx="1">
                  <c:v>23.935355392156865</c:v>
                </c:pt>
                <c:pt idx="2">
                  <c:v>36.068790397045248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62.902576489533011</c:v>
                </c:pt>
                <c:pt idx="6">
                  <c:v>68.893298059964721</c:v>
                </c:pt>
                <c:pt idx="7">
                  <c:v>72.337962962962962</c:v>
                </c:pt>
                <c:pt idx="8">
                  <c:v>79.882413087934552</c:v>
                </c:pt>
                <c:pt idx="9">
                  <c:v>95.042579075425792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4.603808987320001E-3</c:v>
                </c:pt>
                <c:pt idx="1">
                  <c:v>7.7173938669200014E-3</c:v>
                </c:pt>
                <c:pt idx="2">
                  <c:v>1.8517260903040001E-2</c:v>
                </c:pt>
                <c:pt idx="3">
                  <c:v>2.7127426756240001E-2</c:v>
                </c:pt>
                <c:pt idx="4">
                  <c:v>4.5938746963440004E-2</c:v>
                </c:pt>
                <c:pt idx="5">
                  <c:v>7.6124347570240017E-2</c:v>
                </c:pt>
                <c:pt idx="6">
                  <c:v>9.4503590489040015E-2</c:v>
                </c:pt>
                <c:pt idx="7">
                  <c:v>0.11304429245663999</c:v>
                </c:pt>
                <c:pt idx="8">
                  <c:v>0.14359451694524003</c:v>
                </c:pt>
                <c:pt idx="9">
                  <c:v>0.22252318290144002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6096"/>
        <c:axId val="165320608"/>
      </c:scatterChart>
      <c:valAx>
        <c:axId val="1653260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5320608"/>
        <c:crosses val="autoZero"/>
        <c:crossBetween val="midCat"/>
      </c:valAx>
      <c:valAx>
        <c:axId val="16532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6532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4955.5552609427614</c:v>
                </c:pt>
                <c:pt idx="1">
                  <c:v>9133.1571145852577</c:v>
                </c:pt>
                <c:pt idx="2">
                  <c:v>16819.07905121908</c:v>
                </c:pt>
                <c:pt idx="3">
                  <c:v>20149.814861452069</c:v>
                </c:pt>
                <c:pt idx="4">
                  <c:v>25184.024531258845</c:v>
                </c:pt>
                <c:pt idx="5">
                  <c:v>30136.818245467628</c:v>
                </c:pt>
                <c:pt idx="6">
                  <c:v>32373.24468436357</c:v>
                </c:pt>
                <c:pt idx="7">
                  <c:v>34267.655867784233</c:v>
                </c:pt>
                <c:pt idx="8">
                  <c:v>36991.240339587683</c:v>
                </c:pt>
                <c:pt idx="9">
                  <c:v>40842.089421252422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6488"/>
        <c:axId val="165324920"/>
      </c:scatterChart>
      <c:valAx>
        <c:axId val="16532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324920"/>
        <c:crosses val="autoZero"/>
        <c:crossBetween val="midCat"/>
      </c:valAx>
      <c:valAx>
        <c:axId val="165324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32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7.0889644576948565E-4</c:v>
                </c:pt>
                <c:pt idx="2">
                  <c:v>2.8853855758374561E-3</c:v>
                </c:pt>
                <c:pt idx="3">
                  <c:v>4.3476441376480175E-3</c:v>
                </c:pt>
                <c:pt idx="4">
                  <c:v>7.0467349550184851E-3</c:v>
                </c:pt>
                <c:pt idx="5">
                  <c:v>1.0827292578003099E-2</c:v>
                </c:pt>
                <c:pt idx="6">
                  <c:v>1.2668502547686832E-2</c:v>
                </c:pt>
                <c:pt idx="7">
                  <c:v>1.4845276263829227E-2</c:v>
                </c:pt>
                <c:pt idx="8">
                  <c:v>1.7521987492429912E-2</c:v>
                </c:pt>
                <c:pt idx="9">
                  <c:v>2.3719145986690317E-2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784"/>
        <c:axId val="165327272"/>
      </c:scatterChart>
      <c:valAx>
        <c:axId val="16532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5327272"/>
        <c:crosses val="autoZero"/>
        <c:crossBetween val="midCat"/>
      </c:valAx>
      <c:valAx>
        <c:axId val="16532727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65321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Ard4_Turn4_ESC4_G4b_T4a!$E$5:$E$12</c:f>
              <c:numCache>
                <c:formatCode>General</c:formatCode>
                <c:ptCount val="8"/>
                <c:pt idx="0">
                  <c:v>0.72</c:v>
                </c:pt>
                <c:pt idx="1">
                  <c:v>0.97</c:v>
                </c:pt>
                <c:pt idx="2">
                  <c:v>1.3149999999999999</c:v>
                </c:pt>
                <c:pt idx="3">
                  <c:v>1.68</c:v>
                </c:pt>
                <c:pt idx="4">
                  <c:v>1.86</c:v>
                </c:pt>
                <c:pt idx="5">
                  <c:v>2.02</c:v>
                </c:pt>
                <c:pt idx="6">
                  <c:v>2.2599999999999998</c:v>
                </c:pt>
                <c:pt idx="7">
                  <c:v>2.75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8056"/>
        <c:axId val="165322960"/>
      </c:scatterChart>
      <c:valAx>
        <c:axId val="16532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22960"/>
        <c:crosses val="autoZero"/>
        <c:crossBetween val="midCat"/>
      </c:valAx>
      <c:valAx>
        <c:axId val="165322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328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000"/>
        <c:axId val="165322176"/>
      </c:scatterChart>
      <c:valAx>
        <c:axId val="16532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22176"/>
        <c:crosses val="autoZero"/>
        <c:crossBetween val="midCat"/>
      </c:valAx>
      <c:valAx>
        <c:axId val="1653221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53210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28.761634659659219</c:v>
                </c:pt>
                <c:pt idx="1">
                  <c:v>39.436300742106155</c:v>
                </c:pt>
                <c:pt idx="2">
                  <c:v>49.9383303638581</c:v>
                </c:pt>
                <c:pt idx="3">
                  <c:v>54.680505803302282</c:v>
                </c:pt>
                <c:pt idx="4">
                  <c:v>58.697463405833936</c:v>
                </c:pt>
                <c:pt idx="5">
                  <c:v>64.472621114939727</c:v>
                </c:pt>
                <c:pt idx="6">
                  <c:v>72.638059341958638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0.24082907334376075</c:v>
                </c:pt>
                <c:pt idx="1">
                  <c:v>0.14404578774310253</c:v>
                </c:pt>
                <c:pt idx="2">
                  <c:v>9.8000000000000004E-2</c:v>
                </c:pt>
                <c:pt idx="3">
                  <c:v>8.2138410084370811E-2</c:v>
                </c:pt>
                <c:pt idx="4">
                  <c:v>7.4920214485870801E-2</c:v>
                </c:pt>
                <c:pt idx="5">
                  <c:v>6.2443805631723442E-2</c:v>
                </c:pt>
                <c:pt idx="6">
                  <c:v>4.2120072096139397E-2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5.4016336851826967</c:v>
                </c:pt>
                <c:pt idx="1">
                  <c:v>21.699057827325941</c:v>
                </c:pt>
                <c:pt idx="2">
                  <c:v>28.761634659659219</c:v>
                </c:pt>
                <c:pt idx="3">
                  <c:v>39.436300742106155</c:v>
                </c:pt>
                <c:pt idx="4">
                  <c:v>49.9383303638581</c:v>
                </c:pt>
                <c:pt idx="5">
                  <c:v>54.680505803302282</c:v>
                </c:pt>
                <c:pt idx="6">
                  <c:v>58.697463405833936</c:v>
                </c:pt>
                <c:pt idx="7">
                  <c:v>64.472621114939727</c:v>
                </c:pt>
                <c:pt idx="8">
                  <c:v>72.638059341958638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0.11345863469863143</c:v>
                </c:pt>
                <c:pt idx="1">
                  <c:v>7.6186569978131474E-2</c:v>
                </c:pt>
                <c:pt idx="2">
                  <c:v>6.6692218982307566E-2</c:v>
                </c:pt>
                <c:pt idx="3">
                  <c:v>5.6121444340006467E-2</c:v>
                </c:pt>
                <c:pt idx="4">
                  <c:v>4.855058685789107E-2</c:v>
                </c:pt>
                <c:pt idx="5">
                  <c:v>4.5762959536747666E-2</c:v>
                </c:pt>
                <c:pt idx="6">
                  <c:v>4.364045265914053E-2</c:v>
                </c:pt>
                <c:pt idx="7">
                  <c:v>4.0912377554880808E-2</c:v>
                </c:pt>
                <c:pt idx="8">
                  <c:v>3.7589957360202833E-2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2568"/>
        <c:axId val="165323744"/>
      </c:scatterChart>
      <c:valAx>
        <c:axId val="16532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23744"/>
        <c:crosses val="autoZero"/>
        <c:crossBetween val="midCat"/>
      </c:valAx>
      <c:valAx>
        <c:axId val="1653237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53225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4528"/>
        <c:axId val="213688024"/>
      </c:scatterChart>
      <c:valAx>
        <c:axId val="1653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88024"/>
        <c:crosses val="autoZero"/>
        <c:crossBetween val="midCat"/>
      </c:valAx>
      <c:valAx>
        <c:axId val="2136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53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3512"/>
        <c:axId val="213693120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5472"/>
        <c:axId val="213695080"/>
      </c:scatterChart>
      <c:valAx>
        <c:axId val="2136935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93120"/>
        <c:crossesAt val="-40"/>
        <c:crossBetween val="midCat"/>
        <c:majorUnit val="20"/>
      </c:valAx>
      <c:valAx>
        <c:axId val="2136931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93512"/>
        <c:crosses val="autoZero"/>
        <c:crossBetween val="midCat"/>
      </c:valAx>
      <c:valAx>
        <c:axId val="2136950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95472"/>
        <c:crosses val="max"/>
        <c:crossBetween val="midCat"/>
        <c:majorUnit val="40"/>
      </c:valAx>
      <c:valAx>
        <c:axId val="21369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69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9536"/>
        <c:axId val="166425416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2280"/>
        <c:axId val="166422672"/>
      </c:scatterChart>
      <c:valAx>
        <c:axId val="16641953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425416"/>
        <c:crossesAt val="-40"/>
        <c:crossBetween val="midCat"/>
        <c:majorUnit val="20"/>
      </c:valAx>
      <c:valAx>
        <c:axId val="166425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419536"/>
        <c:crosses val="autoZero"/>
        <c:crossBetween val="midCat"/>
      </c:valAx>
      <c:valAx>
        <c:axId val="16642267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422280"/>
        <c:crosses val="max"/>
        <c:crossBetween val="midCat"/>
        <c:majorUnit val="40"/>
      </c:valAx>
      <c:valAx>
        <c:axId val="166422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2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7432"/>
        <c:axId val="213696648"/>
      </c:scatterChart>
      <c:valAx>
        <c:axId val="2136974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3696648"/>
        <c:crosses val="autoZero"/>
        <c:crossBetween val="midCat"/>
      </c:valAx>
      <c:valAx>
        <c:axId val="213696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3697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5864"/>
        <c:axId val="213694296"/>
      </c:scatterChart>
      <c:valAx>
        <c:axId val="21369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94296"/>
        <c:crosses val="autoZero"/>
        <c:crossBetween val="midCat"/>
      </c:valAx>
      <c:valAx>
        <c:axId val="213694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69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9784"/>
        <c:axId val="213689592"/>
      </c:scatterChart>
      <c:valAx>
        <c:axId val="21369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3689592"/>
        <c:crosses val="autoZero"/>
        <c:crossBetween val="midCat"/>
      </c:valAx>
      <c:valAx>
        <c:axId val="21368959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3699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9984"/>
        <c:axId val="213692336"/>
      </c:scatterChart>
      <c:valAx>
        <c:axId val="2136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92336"/>
        <c:crosses val="autoZero"/>
        <c:crossBetween val="midCat"/>
      </c:valAx>
      <c:valAx>
        <c:axId val="21369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8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9392"/>
        <c:axId val="213694688"/>
      </c:scatterChart>
      <c:valAx>
        <c:axId val="2136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94688"/>
        <c:crosses val="autoZero"/>
        <c:crossBetween val="midCat"/>
      </c:valAx>
      <c:valAx>
        <c:axId val="21369468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6993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0376"/>
        <c:axId val="213696256"/>
      </c:scatterChart>
      <c:valAx>
        <c:axId val="21369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96256"/>
        <c:crosses val="autoZero"/>
        <c:crossBetween val="midCat"/>
      </c:valAx>
      <c:valAx>
        <c:axId val="2136962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6903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1944"/>
        <c:axId val="213691552"/>
      </c:scatterChart>
      <c:valAx>
        <c:axId val="21369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1552"/>
        <c:crosses val="autoZero"/>
        <c:crossBetween val="midCat"/>
      </c:valAx>
      <c:valAx>
        <c:axId val="2136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8808"/>
        <c:axId val="213690768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2728"/>
        <c:axId val="213691160"/>
      </c:scatterChart>
      <c:valAx>
        <c:axId val="21368880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0768"/>
        <c:crossesAt val="-40"/>
        <c:crossBetween val="midCat"/>
        <c:majorUnit val="20"/>
      </c:valAx>
      <c:valAx>
        <c:axId val="2136907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8808"/>
        <c:crosses val="autoZero"/>
        <c:crossBetween val="midCat"/>
      </c:valAx>
      <c:valAx>
        <c:axId val="2136911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2728"/>
        <c:crosses val="max"/>
        <c:crossBetween val="midCat"/>
        <c:majorUnit val="40"/>
      </c:valAx>
      <c:valAx>
        <c:axId val="213692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69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3312"/>
        <c:axId val="213702920"/>
      </c:scatterChart>
      <c:valAx>
        <c:axId val="2137033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3702920"/>
        <c:crosses val="autoZero"/>
        <c:crossBetween val="midCat"/>
      </c:valAx>
      <c:valAx>
        <c:axId val="213702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0568"/>
        <c:axId val="213700960"/>
      </c:scatterChart>
      <c:valAx>
        <c:axId val="21370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0960"/>
        <c:crosses val="autoZero"/>
        <c:crossBetween val="midCat"/>
      </c:valAx>
      <c:valAx>
        <c:axId val="21370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3456"/>
        <c:axId val="166423848"/>
      </c:scatterChart>
      <c:valAx>
        <c:axId val="1664234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423848"/>
        <c:crosses val="autoZero"/>
        <c:crossBetween val="midCat"/>
      </c:valAx>
      <c:valAx>
        <c:axId val="1664238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2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1744"/>
        <c:axId val="213702136"/>
      </c:scatterChart>
      <c:valAx>
        <c:axId val="2137017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3702136"/>
        <c:crosses val="autoZero"/>
        <c:crossBetween val="midCat"/>
      </c:valAx>
      <c:valAx>
        <c:axId val="2137021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3701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848"/>
        <c:axId val="214816552"/>
      </c:scatterChart>
      <c:valAx>
        <c:axId val="214811848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4816552"/>
        <c:crosses val="autoZero"/>
        <c:crossBetween val="midCat"/>
      </c:valAx>
      <c:valAx>
        <c:axId val="214816552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4811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9296"/>
        <c:axId val="214809104"/>
      </c:scatterChart>
      <c:valAx>
        <c:axId val="2148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104"/>
        <c:crosses val="autoZero"/>
        <c:crossBetween val="midCat"/>
      </c:valAx>
      <c:valAx>
        <c:axId val="2148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4200"/>
        <c:axId val="214815376"/>
      </c:scatterChart>
      <c:valAx>
        <c:axId val="21481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5376"/>
        <c:crosses val="autoZero"/>
        <c:crossBetween val="midCat"/>
      </c:valAx>
      <c:valAx>
        <c:axId val="2148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9688"/>
        <c:axId val="214814592"/>
      </c:scatterChart>
      <c:valAx>
        <c:axId val="21481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4592"/>
        <c:crosses val="autoZero"/>
        <c:crossBetween val="midCat"/>
      </c:valAx>
      <c:valAx>
        <c:axId val="214814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064"/>
        <c:axId val="214810280"/>
      </c:scatterChart>
      <c:valAx>
        <c:axId val="214811064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14810280"/>
        <c:crosses val="autoZero"/>
        <c:crossBetween val="midCat"/>
        <c:minorUnit val="2"/>
      </c:valAx>
      <c:valAx>
        <c:axId val="214810280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14811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2240"/>
        <c:axId val="214821256"/>
      </c:scatterChart>
      <c:valAx>
        <c:axId val="2148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21256"/>
        <c:crosses val="autoZero"/>
        <c:crossBetween val="midCat"/>
      </c:valAx>
      <c:valAx>
        <c:axId val="2148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8512"/>
        <c:axId val="214813024"/>
      </c:scatterChart>
      <c:valAx>
        <c:axId val="21481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3024"/>
        <c:crosses val="autoZero"/>
        <c:crossBetween val="midCat"/>
      </c:valAx>
      <c:valAx>
        <c:axId val="2148130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77-4835-9A92-B071E001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20472"/>
        <c:axId val="214818904"/>
      </c:scatterChart>
      <c:valAx>
        <c:axId val="21482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8904"/>
        <c:crosses val="autoZero"/>
        <c:crossBetween val="midCat"/>
      </c:valAx>
      <c:valAx>
        <c:axId val="21481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2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4984"/>
        <c:axId val="21481263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456"/>
        <c:axId val="214816944"/>
      </c:scatterChart>
      <c:valAx>
        <c:axId val="2148149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2632"/>
        <c:crossesAt val="-40"/>
        <c:crossBetween val="midCat"/>
        <c:majorUnit val="20"/>
      </c:valAx>
      <c:valAx>
        <c:axId val="214812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4984"/>
        <c:crosses val="autoZero"/>
        <c:crossBetween val="midCat"/>
      </c:valAx>
      <c:valAx>
        <c:axId val="2148169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456"/>
        <c:crosses val="max"/>
        <c:crossBetween val="midCat"/>
        <c:majorUnit val="40"/>
      </c:valAx>
      <c:valAx>
        <c:axId val="2148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81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5808"/>
        <c:axId val="166424240"/>
      </c:scatterChart>
      <c:valAx>
        <c:axId val="1664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424240"/>
        <c:crosses val="autoZero"/>
        <c:crossBetween val="midCat"/>
      </c:valAx>
      <c:valAx>
        <c:axId val="16642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64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EC-48D1-9936-E0150E8F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6160"/>
        <c:axId val="214817336"/>
      </c:scatterChart>
      <c:valAx>
        <c:axId val="2148161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4817336"/>
        <c:crosses val="autoZero"/>
        <c:crossBetween val="midCat"/>
      </c:valAx>
      <c:valAx>
        <c:axId val="214817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1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3-4020-8DA4-74462AE05726}"/>
            </c:ext>
          </c:extLst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C3-4020-8DA4-74462AE0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22432"/>
        <c:axId val="214823216"/>
      </c:scatterChart>
      <c:valAx>
        <c:axId val="2148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23216"/>
        <c:crosses val="autoZero"/>
        <c:crossBetween val="midCat"/>
      </c:valAx>
      <c:valAx>
        <c:axId val="214823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2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E-4EF8-B020-3A7DB84E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24000"/>
        <c:axId val="214823608"/>
      </c:scatterChart>
      <c:valAx>
        <c:axId val="2148240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4823608"/>
        <c:crosses val="autoZero"/>
        <c:crossBetween val="midCat"/>
      </c:valAx>
      <c:valAx>
        <c:axId val="21482360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482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71-47BF-AC1A-CB6B8C4E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24784"/>
        <c:axId val="214821648"/>
      </c:scatterChart>
      <c:valAx>
        <c:axId val="2148247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821648"/>
        <c:crosses val="autoZero"/>
        <c:crossBetween val="midCat"/>
        <c:dispUnits>
          <c:builtInUnit val="thousands"/>
          <c:dispUnitsLbl/>
        </c:dispUnits>
      </c:valAx>
      <c:valAx>
        <c:axId val="2148216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482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22-4D8F-88D8-AD25985A22DF}"/>
            </c:ext>
          </c:extLst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22-4D8F-88D8-AD25985A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64104"/>
        <c:axId val="216267240"/>
      </c:scatterChart>
      <c:valAx>
        <c:axId val="21626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67240"/>
        <c:crosses val="autoZero"/>
        <c:crossBetween val="midCat"/>
      </c:valAx>
      <c:valAx>
        <c:axId val="21626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64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7F-43B3-9696-B3702263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69984"/>
        <c:axId val="216267632"/>
      </c:scatterChart>
      <c:valAx>
        <c:axId val="216269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6267632"/>
        <c:crosses val="autoZero"/>
        <c:crossBetween val="midCat"/>
      </c:valAx>
      <c:valAx>
        <c:axId val="21626763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6269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3F-4427-BCB4-7B3C0AC9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66848"/>
        <c:axId val="216271552"/>
      </c:scatterChart>
      <c:valAx>
        <c:axId val="2162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1552"/>
        <c:crosses val="autoZero"/>
        <c:crossBetween val="midCat"/>
      </c:valAx>
      <c:valAx>
        <c:axId val="2162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58-4C5D-9A1B-D245FFA2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70376"/>
        <c:axId val="216272728"/>
      </c:scatterChart>
      <c:valAx>
        <c:axId val="21627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2728"/>
        <c:crosses val="autoZero"/>
        <c:crossBetween val="midCat"/>
      </c:valAx>
      <c:valAx>
        <c:axId val="2162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68024"/>
        <c:axId val="21627312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74688"/>
        <c:axId val="216264888"/>
      </c:scatterChart>
      <c:valAx>
        <c:axId val="2162680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3120"/>
        <c:crosses val="autoZero"/>
        <c:crossBetween val="midCat"/>
      </c:valAx>
      <c:valAx>
        <c:axId val="2162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8024"/>
        <c:crosses val="autoZero"/>
        <c:crossBetween val="midCat"/>
      </c:valAx>
      <c:valAx>
        <c:axId val="216264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4688"/>
        <c:crosses val="max"/>
        <c:crossBetween val="midCat"/>
      </c:valAx>
      <c:valAx>
        <c:axId val="21627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26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D0-47A1-B0A1-CF90C42A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69200"/>
        <c:axId val="216273512"/>
      </c:scatterChart>
      <c:valAx>
        <c:axId val="2162692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6273512"/>
        <c:crosses val="autoZero"/>
        <c:crossBetween val="midCat"/>
      </c:valAx>
      <c:valAx>
        <c:axId val="216273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26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21496"/>
        <c:axId val="166421888"/>
      </c:scatterChart>
      <c:valAx>
        <c:axId val="16642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421888"/>
        <c:crosses val="autoZero"/>
        <c:crossBetween val="midCat"/>
      </c:valAx>
      <c:valAx>
        <c:axId val="1664218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66421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99-410A-9B96-249A6015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73904"/>
        <c:axId val="216268808"/>
      </c:scatterChart>
      <c:valAx>
        <c:axId val="21627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6268808"/>
        <c:crosses val="autoZero"/>
        <c:crossBetween val="midCat"/>
      </c:valAx>
      <c:valAx>
        <c:axId val="21626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7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C3-4461-9C5E-F72795B5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69592"/>
        <c:axId val="216265672"/>
      </c:scatterChart>
      <c:valAx>
        <c:axId val="21626959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5672"/>
        <c:crosses val="autoZero"/>
        <c:crossBetween val="midCat"/>
      </c:valAx>
      <c:valAx>
        <c:axId val="2162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6959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22-4BE5-A55F-4C68F164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71160"/>
        <c:axId val="216275080"/>
      </c:scatterChart>
      <c:valAx>
        <c:axId val="21627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5080"/>
        <c:crosses val="autoZero"/>
        <c:crossBetween val="midCat"/>
      </c:valAx>
      <c:valAx>
        <c:axId val="2162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39-424D-BA00-477BBA46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75864"/>
        <c:axId val="216276256"/>
      </c:scatterChart>
      <c:valAx>
        <c:axId val="21627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6256"/>
        <c:crosses val="autoZero"/>
        <c:crossBetween val="midCat"/>
      </c:valAx>
      <c:valAx>
        <c:axId val="216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34-48A1-B0A8-ACFD4267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77824"/>
        <c:axId val="216278216"/>
      </c:scatterChart>
      <c:valAx>
        <c:axId val="2162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8216"/>
        <c:crosses val="autoZero"/>
        <c:crossBetween val="midCat"/>
      </c:valAx>
      <c:valAx>
        <c:axId val="216278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18752"/>
        <c:axId val="166419144"/>
      </c:scatterChart>
      <c:valAx>
        <c:axId val="1664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19144"/>
        <c:crosses val="autoZero"/>
        <c:crossBetween val="midCat"/>
      </c:valAx>
      <c:valAx>
        <c:axId val="16641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18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58208</xdr:colOff>
      <xdr:row>1</xdr:row>
      <xdr:rowOff>67733</xdr:rowOff>
    </xdr:from>
    <xdr:to>
      <xdr:col>13</xdr:col>
      <xdr:colOff>365125</xdr:colOff>
      <xdr:row>17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B78417F-5B2F-43A4-A5A9-8422EDDB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4.4" x14ac:dyDescent="0.3"/>
  <sheetData>
    <row r="1" spans="1:32" x14ac:dyDescent="0.3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x14ac:dyDescent="0.3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9" si="2">LN(K2)*$C$21+$B$21</f>
        <v>-3475.6059285425108</v>
      </c>
      <c r="O2" s="174">
        <f>O3</f>
        <v>1977.8033061988792</v>
      </c>
      <c r="P2" s="96">
        <f>Ard2_Turn2_ESC2_G2b_T2a!D2</f>
        <v>5.7969930558608072</v>
      </c>
      <c r="Q2" s="174">
        <f>Ard2_Turn2_ESC2_G2b_T2a!P2</f>
        <v>5.9999999999999995E-25</v>
      </c>
      <c r="R2" s="174">
        <f>R3</f>
        <v>2676.0568181447202</v>
      </c>
      <c r="S2" s="174">
        <f t="shared" ref="S2:S13" si="3">LN(P2)*$C$21+$B$21</f>
        <v>-2501.3908218524557</v>
      </c>
      <c r="T2" s="174">
        <f>T3</f>
        <v>1793.7335530769128</v>
      </c>
      <c r="U2" s="96">
        <f>Ard3_Turn3_ESC3_G3b_T3a!D2</f>
        <v>6.6811957375597357</v>
      </c>
      <c r="V2" s="174">
        <f>Ard3_Turn3_ESC3_G3b_T3a!P2</f>
        <v>5.9999999999999995E-25</v>
      </c>
      <c r="W2" s="174">
        <f>W3</f>
        <v>3525.2595716631822</v>
      </c>
      <c r="X2" s="174">
        <f t="shared" ref="X2:X14" si="4">LN(U2)*$C$21+$B$21</f>
        <v>-647.28222051976991</v>
      </c>
      <c r="Y2" s="174">
        <f>Y3</f>
        <v>1678.1202657498468</v>
      </c>
      <c r="Z2" s="96">
        <f>Ard4_Turn4_ESC4_G4b_T4a!D2</f>
        <v>6.7090339239286205</v>
      </c>
      <c r="AA2" s="174">
        <f>Ard4_Turn4_ESC4_G4b_T4a!P2</f>
        <v>5.9999999999999995E-25</v>
      </c>
      <c r="AB2" s="174">
        <f>AB3</f>
        <v>2477.137024388659</v>
      </c>
      <c r="AC2" s="174">
        <f t="shared" ref="AC2:AC5" si="5">LN(Z2)*$C$21+$B$21</f>
        <v>-592.97470150013032</v>
      </c>
      <c r="AD2" s="174">
        <f>AD3</f>
        <v>1584.045073876445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3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9</v>
      </c>
      <c r="Q3" s="174">
        <f>Ard2_Turn2_ESC2_G2b_T2a!P3</f>
        <v>8571.4285714285725</v>
      </c>
      <c r="R3" s="174">
        <f>(Q3-Q2)/(P3-P2)</f>
        <v>2676.0568181447202</v>
      </c>
      <c r="S3" s="174">
        <f t="shared" si="3"/>
        <v>3243.9502045883637</v>
      </c>
      <c r="T3" s="174">
        <f>(S3-S2)/(P3-P2)</f>
        <v>1793.7335530769128</v>
      </c>
      <c r="U3" s="96">
        <f>Ard3_Turn3_ESC3_G3b_T3a!D3</f>
        <v>9</v>
      </c>
      <c r="V3" s="174">
        <f>Ard3_Turn3_ESC3_G3b_T3a!P3</f>
        <v>8174.3869209809272</v>
      </c>
      <c r="W3" s="174">
        <f>(V3-V2)/(U3-U2)</f>
        <v>3525.2595716631822</v>
      </c>
      <c r="X3" s="174">
        <f t="shared" si="4"/>
        <v>3243.9502045883637</v>
      </c>
      <c r="Y3" s="174">
        <f>(X3-X2)/(U3-U2)</f>
        <v>1678.1202657498468</v>
      </c>
      <c r="Z3" s="96">
        <f>Ard4_Turn4_ESC4_G4b_T4a!D3</f>
        <v>10</v>
      </c>
      <c r="AA3" s="174">
        <f>Ard4_Turn4_ESC4_G4b_T4a!P3</f>
        <v>8152.1739130434789</v>
      </c>
      <c r="AB3" s="174">
        <f>(AA3-AA2)/(Z3-Z2)</f>
        <v>2477.137024388659</v>
      </c>
      <c r="AC3" s="174">
        <f t="shared" si="5"/>
        <v>4620.0638995952322</v>
      </c>
      <c r="AD3" s="174">
        <f>(AC3-AC2)/(Z3-Z2)</f>
        <v>1584.045073876445</v>
      </c>
      <c r="AE3">
        <f t="shared" si="6"/>
        <v>15</v>
      </c>
      <c r="AF3" s="174">
        <f t="shared" si="7"/>
        <v>8287.2928176795576</v>
      </c>
    </row>
    <row r="4" spans="1:32" x14ac:dyDescent="0.3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9" si="12">(L4-L3)/(K4-K3)</f>
        <v>832.58122743682293</v>
      </c>
      <c r="N4" s="174">
        <f t="shared" si="2"/>
        <v>7001.3657528810727</v>
      </c>
      <c r="O4" s="174">
        <f t="shared" ref="O4:O9" si="13">(N4-N3)/(K4-K3)</f>
        <v>1323.9449442501846</v>
      </c>
      <c r="P4" s="96">
        <f>Ard2_Turn2_ESC2_G2b_T2a!D4</f>
        <v>12</v>
      </c>
      <c r="Q4" s="174">
        <f>Ard2_Turn2_ESC2_G2b_T2a!P4</f>
        <v>9933.7748344370866</v>
      </c>
      <c r="R4" s="174">
        <f t="shared" ref="R4:R13" si="14">(Q4-Q3)/(P4-P3)</f>
        <v>454.11542100283805</v>
      </c>
      <c r="S4" s="174">
        <f t="shared" si="3"/>
        <v>7001.3657528810727</v>
      </c>
      <c r="T4" s="174">
        <f t="shared" ref="T4:T13" si="15">(S4-S3)/(P4-P3)</f>
        <v>1252.4718494309029</v>
      </c>
      <c r="U4" s="96">
        <f>Ard3_Turn3_ESC3_G3b_T3a!D4</f>
        <v>13</v>
      </c>
      <c r="V4" s="174">
        <f>Ard3_Turn3_ESC3_G3b_T3a!P4</f>
        <v>10309.278350515466</v>
      </c>
      <c r="W4" s="174">
        <f t="shared" ref="W4:W14" si="16">(V4-V3)/(U4-U3)</f>
        <v>533.72285738363462</v>
      </c>
      <c r="X4" s="174">
        <f t="shared" si="4"/>
        <v>8046.8035578051349</v>
      </c>
      <c r="Y4" s="174">
        <f t="shared" ref="Y4:Y14" si="17">(X4-X3)/(U4-U3)</f>
        <v>1200.7133383041928</v>
      </c>
      <c r="Z4" s="96">
        <f>Ard4_Turn4_ESC4_G4b_T4a!D4</f>
        <v>14</v>
      </c>
      <c r="AA4" s="174">
        <f>Ard4_Turn4_ESC4_G4b_T4a!P4</f>
        <v>11029.411764705883</v>
      </c>
      <c r="AB4" s="174">
        <f t="shared" ref="AB4:AB5" si="18">(AA4-AA3)/(Z4-Z3)</f>
        <v>719.30946291560099</v>
      </c>
      <c r="AC4" s="174">
        <f t="shared" si="5"/>
        <v>9014.727782104892</v>
      </c>
      <c r="AD4" s="174">
        <f t="shared" ref="AD4:AD5" si="19">(AC4-AC3)/(Z4-Z3)</f>
        <v>1098.6659706274149</v>
      </c>
      <c r="AE4">
        <f t="shared" si="6"/>
        <v>17</v>
      </c>
      <c r="AF4" s="174">
        <f t="shared" si="7"/>
        <v>9375</v>
      </c>
    </row>
    <row r="5" spans="1:32" x14ac:dyDescent="0.3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16129.032258064515</v>
      </c>
      <c r="R5" s="174">
        <f t="shared" si="14"/>
        <v>516.27145196895242</v>
      </c>
      <c r="S5" s="174">
        <f t="shared" si="3"/>
        <v>16054.56107817452</v>
      </c>
      <c r="T5" s="174">
        <f t="shared" si="15"/>
        <v>754.43294377445397</v>
      </c>
      <c r="U5" s="96">
        <f>Ard3_Turn3_ESC3_G3b_T3a!D5</f>
        <v>24</v>
      </c>
      <c r="V5" s="174">
        <f>Ard3_Turn3_ESC3_G3b_T3a!P5</f>
        <v>16042.780748663101</v>
      </c>
      <c r="W5" s="174">
        <f t="shared" si="16"/>
        <v>521.22749074069407</v>
      </c>
      <c r="X5" s="174">
        <f t="shared" si="4"/>
        <v>16054.56107817452</v>
      </c>
      <c r="Y5" s="174">
        <f t="shared" si="17"/>
        <v>727.97795639721687</v>
      </c>
      <c r="Z5" s="96">
        <f>Ard4_Turn4_ESC4_G4b_T4a!D5</f>
        <v>26</v>
      </c>
      <c r="AA5" s="174">
        <f>Ard4_Turn4_ESC4_G4b_T4a!P5</f>
        <v>16620.498614958451</v>
      </c>
      <c r="AB5" s="174">
        <f t="shared" si="18"/>
        <v>465.92390418771402</v>
      </c>
      <c r="AC5" s="174">
        <f t="shared" si="5"/>
        <v>17099.998883098575</v>
      </c>
      <c r="AD5" s="174">
        <f t="shared" si="19"/>
        <v>673.77259174947358</v>
      </c>
      <c r="AE5">
        <f t="shared" si="6"/>
        <v>20</v>
      </c>
      <c r="AF5" s="174">
        <f t="shared" si="7"/>
        <v>11811.023622047245</v>
      </c>
    </row>
    <row r="6" spans="1:32" x14ac:dyDescent="0.3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17341.040462427747</v>
      </c>
      <c r="R6" s="174">
        <f t="shared" si="14"/>
        <v>303.00205109080798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17341.040462427747</v>
      </c>
      <c r="W6" s="174">
        <f t="shared" si="16"/>
        <v>324.56492844116156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19480.519480519481</v>
      </c>
      <c r="AB6" s="174">
        <f t="shared" ref="AB6:AB12" si="20">(AA6-AA5)/(Z6-Z5)</f>
        <v>357.50260819512869</v>
      </c>
      <c r="AC6" s="174">
        <f t="shared" ref="AC6:AC12" si="21">LN(Z6)*$C$21+$B$21</f>
        <v>20603.794812011685</v>
      </c>
      <c r="AD6" s="174">
        <f t="shared" ref="AD6:AD12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x14ac:dyDescent="0.3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18867.92452830189</v>
      </c>
      <c r="R7" s="174">
        <f t="shared" si="14"/>
        <v>381.72101646853571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349.14846568646453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24096.385542168679</v>
      </c>
      <c r="AB7" s="174">
        <f t="shared" si="20"/>
        <v>271.52153303818812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x14ac:dyDescent="0.3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24193.548387096776</v>
      </c>
      <c r="R8" s="174">
        <f t="shared" si="14"/>
        <v>295.86799215527145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24691.358024691359</v>
      </c>
      <c r="W8" s="174">
        <f t="shared" si="16"/>
        <v>284.82061479824347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28985.507246376812</v>
      </c>
      <c r="AB8" s="174">
        <f t="shared" si="20"/>
        <v>195.56486816832535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x14ac:dyDescent="0.3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30150.753768844224</v>
      </c>
      <c r="R9" s="174">
        <f t="shared" si="14"/>
        <v>212.75733506240886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29411.764705882353</v>
      </c>
      <c r="W9" s="174">
        <f t="shared" si="16"/>
        <v>224.7812705329045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31746.031746031746</v>
      </c>
      <c r="AB9" s="174">
        <f t="shared" si="20"/>
        <v>184.03496664366224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x14ac:dyDescent="0.3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35294.117647058825</v>
      </c>
      <c r="R10" s="174">
        <f t="shared" si="14"/>
        <v>139.00983454634056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32432.43243243243</v>
      </c>
      <c r="W10" s="174">
        <f t="shared" si="16"/>
        <v>143.84132031190842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33333.333333333336</v>
      </c>
      <c r="AB10" s="174">
        <f t="shared" si="20"/>
        <v>105.82010582010601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x14ac:dyDescent="0.3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38709.677419354841</v>
      </c>
      <c r="R11" s="174">
        <f t="shared" si="14"/>
        <v>136.62239089184061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32967.032967032967</v>
      </c>
      <c r="W11" s="174">
        <f t="shared" si="16"/>
        <v>106.92010692010736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36809.815950920245</v>
      </c>
      <c r="AB11" s="174">
        <f t="shared" si="20"/>
        <v>133.71086990718882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x14ac:dyDescent="0.3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41958.041958041955</v>
      </c>
      <c r="R12" s="174">
        <f t="shared" si="14"/>
        <v>216.55763591247427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35087.719298245618</v>
      </c>
      <c r="W12" s="174">
        <f t="shared" si="16"/>
        <v>192.78966647387742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180</v>
      </c>
      <c r="AA12" s="174">
        <f>Ard4_Turn4_ESC4_G4b_T4a!P12</f>
        <v>43795.620437956204</v>
      </c>
      <c r="AB12" s="174">
        <f t="shared" si="20"/>
        <v>145.53759347991581</v>
      </c>
      <c r="AC12" s="174">
        <f t="shared" si="21"/>
        <v>42371.209429477036</v>
      </c>
      <c r="AD12" s="174">
        <f t="shared" si="22"/>
        <v>84.394448303676043</v>
      </c>
      <c r="AE12">
        <f t="shared" si="6"/>
        <v>125</v>
      </c>
      <c r="AF12" s="174">
        <f t="shared" si="7"/>
        <v>37500</v>
      </c>
    </row>
    <row r="13" spans="1:32" x14ac:dyDescent="0.3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180</v>
      </c>
      <c r="Q13" s="174">
        <f>Ard2_Turn2_ESC2_G2b_T2a!P13</f>
        <v>44444.444444444445</v>
      </c>
      <c r="R13" s="174">
        <f t="shared" si="14"/>
        <v>99.456099456099622</v>
      </c>
      <c r="S13" s="174">
        <f t="shared" si="3"/>
        <v>42371.209429477036</v>
      </c>
      <c r="T13" s="174">
        <f t="shared" si="15"/>
        <v>78.121359095789956</v>
      </c>
      <c r="U13" s="96">
        <f>Ard3_Turn3_ESC3_G3b_T3a!D13</f>
        <v>132</v>
      </c>
      <c r="V13" s="174">
        <f>Ard3_Turn3_ESC3_G3b_T3a!P13</f>
        <v>37267.080745341613</v>
      </c>
      <c r="W13" s="174">
        <f t="shared" si="16"/>
        <v>99.061883958908851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x14ac:dyDescent="0.3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180</v>
      </c>
      <c r="V14" s="174">
        <f>Ard3_Turn3_ESC3_G3b_T3a!P14</f>
        <v>43795.620437956204</v>
      </c>
      <c r="W14" s="174">
        <f t="shared" si="16"/>
        <v>136.01124359613732</v>
      </c>
      <c r="X14" s="174">
        <f t="shared" si="4"/>
        <v>42371.209429477036</v>
      </c>
      <c r="Y14" s="174">
        <f t="shared" si="17"/>
        <v>84.394448303676043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x14ac:dyDescent="0.3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3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3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3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3">
      <c r="K19" s="96"/>
      <c r="L19" s="174"/>
      <c r="M19" s="174"/>
      <c r="P19" s="174"/>
      <c r="T19" s="96"/>
      <c r="U19" s="174"/>
      <c r="AE19" s="96">
        <f t="shared" ref="AE19:AE29" si="26">F2</f>
        <v>6.0661220353948684</v>
      </c>
      <c r="AF19" s="174">
        <f t="shared" ref="AF19:AF29" si="27">G2</f>
        <v>5.9999999999999995E-25</v>
      </c>
    </row>
    <row r="20" spans="1:32" x14ac:dyDescent="0.3">
      <c r="K20" s="96"/>
      <c r="L20" s="174"/>
      <c r="M20" s="174"/>
      <c r="P20" s="174"/>
      <c r="T20" s="96"/>
      <c r="U20" s="174"/>
      <c r="AE20" s="96">
        <f t="shared" si="26"/>
        <v>9</v>
      </c>
      <c r="AF20" s="174">
        <f t="shared" si="27"/>
        <v>8474.5762711864409</v>
      </c>
    </row>
    <row r="21" spans="1:32" x14ac:dyDescent="0.3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14851.485148514852</v>
      </c>
    </row>
    <row r="22" spans="1:32" x14ac:dyDescent="0.3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16304.347826086958</v>
      </c>
    </row>
    <row r="23" spans="1:32" x14ac:dyDescent="0.3">
      <c r="T23" s="96"/>
      <c r="U23" s="174"/>
      <c r="AE23" s="96">
        <f t="shared" si="26"/>
        <v>35</v>
      </c>
      <c r="AF23" s="174">
        <f t="shared" si="27"/>
        <v>20134.228187919463</v>
      </c>
    </row>
    <row r="24" spans="1:32" x14ac:dyDescent="0.3">
      <c r="AE24" s="96">
        <f t="shared" si="26"/>
        <v>54</v>
      </c>
      <c r="AF24" s="174">
        <f t="shared" si="27"/>
        <v>25104.602510460249</v>
      </c>
    </row>
    <row r="25" spans="1:32" x14ac:dyDescent="0.3">
      <c r="AE25" s="96">
        <f t="shared" si="26"/>
        <v>64</v>
      </c>
      <c r="AF25" s="174">
        <f t="shared" si="27"/>
        <v>27649.76958525346</v>
      </c>
    </row>
    <row r="26" spans="1:32" x14ac:dyDescent="0.3">
      <c r="AE26" s="96">
        <f t="shared" si="26"/>
        <v>90</v>
      </c>
      <c r="AF26" s="174">
        <f t="shared" si="27"/>
        <v>32258.06451612903</v>
      </c>
    </row>
    <row r="27" spans="1:32" x14ac:dyDescent="0.3">
      <c r="AE27" s="96">
        <f t="shared" si="26"/>
        <v>125</v>
      </c>
      <c r="AF27" s="174">
        <f t="shared" si="27"/>
        <v>37037.037037037036</v>
      </c>
    </row>
    <row r="28" spans="1:32" x14ac:dyDescent="0.3">
      <c r="AE28" s="96">
        <f t="shared" si="26"/>
        <v>155</v>
      </c>
      <c r="AF28" s="174">
        <f t="shared" si="27"/>
        <v>41958.041958041955</v>
      </c>
    </row>
    <row r="29" spans="1:32" x14ac:dyDescent="0.3">
      <c r="AE29" s="96">
        <f t="shared" si="26"/>
        <v>180</v>
      </c>
      <c r="AF29" s="174">
        <f t="shared" si="27"/>
        <v>43859.649122807015</v>
      </c>
    </row>
    <row r="30" spans="1:32" x14ac:dyDescent="0.3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x14ac:dyDescent="0.3">
      <c r="AE31" s="96">
        <f t="shared" si="28"/>
        <v>8</v>
      </c>
      <c r="AF31" s="174">
        <f t="shared" si="29"/>
        <v>7500.0000000000009</v>
      </c>
    </row>
    <row r="32" spans="1:32" x14ac:dyDescent="0.3">
      <c r="AE32" s="96">
        <f t="shared" si="28"/>
        <v>12</v>
      </c>
      <c r="AF32" s="174">
        <f t="shared" si="29"/>
        <v>10830.324909747293</v>
      </c>
    </row>
    <row r="33" spans="31:32" x14ac:dyDescent="0.3">
      <c r="AE33" s="96">
        <f t="shared" si="28"/>
        <v>17</v>
      </c>
      <c r="AF33" s="174">
        <f t="shared" si="29"/>
        <v>12244.897959183674</v>
      </c>
    </row>
    <row r="34" spans="31:32" x14ac:dyDescent="0.3">
      <c r="AE34" s="96">
        <f t="shared" si="28"/>
        <v>21</v>
      </c>
      <c r="AF34" s="174">
        <f t="shared" si="29"/>
        <v>14354.066985645934</v>
      </c>
    </row>
    <row r="35" spans="31:32" x14ac:dyDescent="0.3">
      <c r="AE35" s="96">
        <f t="shared" si="28"/>
        <v>27</v>
      </c>
      <c r="AF35" s="174">
        <f t="shared" si="29"/>
        <v>16949.152542372882</v>
      </c>
    </row>
    <row r="36" spans="31:32" x14ac:dyDescent="0.3">
      <c r="AE36" s="96">
        <f t="shared" si="28"/>
        <v>42</v>
      </c>
      <c r="AF36" s="174">
        <f t="shared" si="29"/>
        <v>21660.649819494585</v>
      </c>
    </row>
    <row r="37" spans="31:32" x14ac:dyDescent="0.3">
      <c r="AE37" s="96">
        <f t="shared" si="28"/>
        <v>67</v>
      </c>
      <c r="AF37" s="174">
        <f t="shared" si="29"/>
        <v>27649.76958525346</v>
      </c>
    </row>
    <row r="38" spans="31:32" x14ac:dyDescent="0.3">
      <c r="AE38" s="96">
        <f t="shared" si="28"/>
        <v>79</v>
      </c>
      <c r="AF38" s="174">
        <f t="shared" si="29"/>
        <v>29702.970297029704</v>
      </c>
    </row>
    <row r="39" spans="31:32" x14ac:dyDescent="0.3">
      <c r="AE39" s="96">
        <f t="shared" si="28"/>
        <v>84</v>
      </c>
      <c r="AF39" s="174">
        <f t="shared" si="29"/>
        <v>30456.852791878177</v>
      </c>
    </row>
    <row r="40" spans="31:32" x14ac:dyDescent="0.3">
      <c r="AE40" s="96">
        <f t="shared" si="28"/>
        <v>121</v>
      </c>
      <c r="AF40" s="174">
        <f t="shared" si="29"/>
        <v>36363.636363636368</v>
      </c>
    </row>
    <row r="41" spans="31:32" x14ac:dyDescent="0.3">
      <c r="AE41" s="96">
        <f t="shared" si="28"/>
        <v>175</v>
      </c>
      <c r="AF41" s="174">
        <f t="shared" si="29"/>
        <v>44117.647058823532</v>
      </c>
    </row>
    <row r="42" spans="31:32" x14ac:dyDescent="0.3">
      <c r="AE42" s="96">
        <f t="shared" si="28"/>
        <v>0</v>
      </c>
      <c r="AF42" s="174">
        <f t="shared" si="29"/>
        <v>0</v>
      </c>
    </row>
    <row r="43" spans="31:32" x14ac:dyDescent="0.3">
      <c r="AE43" s="96">
        <f t="shared" ref="AE43:AE54" si="30">P2</f>
        <v>5.7969930558608072</v>
      </c>
      <c r="AF43" s="174">
        <f t="shared" ref="AF43:AF54" si="31">Q2</f>
        <v>5.9999999999999995E-25</v>
      </c>
    </row>
    <row r="44" spans="31:32" x14ac:dyDescent="0.3">
      <c r="AE44" s="96">
        <f t="shared" si="30"/>
        <v>9</v>
      </c>
      <c r="AF44" s="174">
        <f t="shared" si="31"/>
        <v>8571.4285714285725</v>
      </c>
    </row>
    <row r="45" spans="31:32" x14ac:dyDescent="0.3">
      <c r="AE45" s="96">
        <f t="shared" si="30"/>
        <v>12</v>
      </c>
      <c r="AF45" s="174">
        <f t="shared" si="31"/>
        <v>9933.7748344370866</v>
      </c>
    </row>
    <row r="46" spans="31:32" x14ac:dyDescent="0.3">
      <c r="AE46" s="96">
        <f t="shared" si="30"/>
        <v>24</v>
      </c>
      <c r="AF46" s="174">
        <f t="shared" si="31"/>
        <v>16129.032258064515</v>
      </c>
    </row>
    <row r="47" spans="31:32" x14ac:dyDescent="0.3">
      <c r="AE47" s="96">
        <f t="shared" si="30"/>
        <v>28</v>
      </c>
      <c r="AF47" s="174">
        <f t="shared" si="31"/>
        <v>17341.040462427747</v>
      </c>
    </row>
    <row r="48" spans="31:32" x14ac:dyDescent="0.3">
      <c r="AE48" s="96">
        <f t="shared" si="30"/>
        <v>32</v>
      </c>
      <c r="AF48" s="174">
        <f t="shared" si="31"/>
        <v>18867.92452830189</v>
      </c>
    </row>
    <row r="49" spans="31:32" x14ac:dyDescent="0.3">
      <c r="AE49" s="96">
        <f t="shared" si="30"/>
        <v>50</v>
      </c>
      <c r="AF49" s="174">
        <f t="shared" si="31"/>
        <v>24193.548387096776</v>
      </c>
    </row>
    <row r="50" spans="31:32" x14ac:dyDescent="0.3">
      <c r="AE50" s="96">
        <f t="shared" si="30"/>
        <v>78</v>
      </c>
      <c r="AF50" s="174">
        <f t="shared" si="31"/>
        <v>30150.753768844224</v>
      </c>
    </row>
    <row r="51" spans="31:32" x14ac:dyDescent="0.3">
      <c r="AE51" s="96">
        <f t="shared" si="30"/>
        <v>115</v>
      </c>
      <c r="AF51" s="174">
        <f t="shared" si="31"/>
        <v>35294.117647058825</v>
      </c>
    </row>
    <row r="52" spans="31:32" x14ac:dyDescent="0.3">
      <c r="AE52" s="96">
        <f t="shared" si="30"/>
        <v>140</v>
      </c>
      <c r="AF52" s="174">
        <f t="shared" si="31"/>
        <v>38709.677419354841</v>
      </c>
    </row>
    <row r="53" spans="31:32" x14ac:dyDescent="0.3">
      <c r="AE53" s="96">
        <f t="shared" si="30"/>
        <v>155</v>
      </c>
      <c r="AF53" s="174">
        <f t="shared" si="31"/>
        <v>41958.041958041955</v>
      </c>
    </row>
    <row r="54" spans="31:32" x14ac:dyDescent="0.3">
      <c r="AE54" s="96">
        <f t="shared" si="30"/>
        <v>180</v>
      </c>
      <c r="AF54" s="174">
        <f t="shared" si="31"/>
        <v>44444.444444444445</v>
      </c>
    </row>
    <row r="55" spans="31:32" x14ac:dyDescent="0.3">
      <c r="AE55" s="96">
        <f t="shared" ref="AE55:AE67" si="32">U2</f>
        <v>6.6811957375597357</v>
      </c>
      <c r="AF55" s="174">
        <f t="shared" ref="AF55:AF67" si="33">V2</f>
        <v>5.9999999999999995E-25</v>
      </c>
    </row>
    <row r="56" spans="31:32" x14ac:dyDescent="0.3">
      <c r="AE56" s="96">
        <f t="shared" si="32"/>
        <v>9</v>
      </c>
      <c r="AF56" s="174">
        <f t="shared" si="33"/>
        <v>8174.3869209809272</v>
      </c>
    </row>
    <row r="57" spans="31:32" x14ac:dyDescent="0.3">
      <c r="AE57" s="96">
        <f t="shared" si="32"/>
        <v>13</v>
      </c>
      <c r="AF57" s="174">
        <f t="shared" si="33"/>
        <v>10309.278350515466</v>
      </c>
    </row>
    <row r="58" spans="31:32" x14ac:dyDescent="0.3">
      <c r="AE58" s="96">
        <f t="shared" si="32"/>
        <v>24</v>
      </c>
      <c r="AF58" s="174">
        <f t="shared" si="33"/>
        <v>16042.780748663101</v>
      </c>
    </row>
    <row r="59" spans="31:32" x14ac:dyDescent="0.3">
      <c r="AE59" s="96">
        <f t="shared" si="32"/>
        <v>28</v>
      </c>
      <c r="AF59" s="174">
        <f t="shared" si="33"/>
        <v>17341.040462427747</v>
      </c>
    </row>
    <row r="60" spans="31:32" x14ac:dyDescent="0.3">
      <c r="AE60" s="96">
        <f t="shared" si="32"/>
        <v>36</v>
      </c>
      <c r="AF60" s="174">
        <f t="shared" si="33"/>
        <v>20134.228187919463</v>
      </c>
    </row>
    <row r="61" spans="31:32" x14ac:dyDescent="0.3">
      <c r="AE61" s="96">
        <f t="shared" si="32"/>
        <v>52</v>
      </c>
      <c r="AF61" s="174">
        <f t="shared" si="33"/>
        <v>24691.358024691359</v>
      </c>
    </row>
    <row r="62" spans="31:32" x14ac:dyDescent="0.3">
      <c r="AE62" s="96">
        <f t="shared" si="32"/>
        <v>73</v>
      </c>
      <c r="AF62" s="174">
        <f t="shared" si="33"/>
        <v>29411.764705882353</v>
      </c>
    </row>
    <row r="63" spans="31:32" x14ac:dyDescent="0.3">
      <c r="AE63" s="96">
        <f t="shared" si="32"/>
        <v>94</v>
      </c>
      <c r="AF63" s="174">
        <f t="shared" si="33"/>
        <v>32432.43243243243</v>
      </c>
    </row>
    <row r="64" spans="31:32" x14ac:dyDescent="0.3">
      <c r="AE64" s="96">
        <f t="shared" si="32"/>
        <v>99</v>
      </c>
      <c r="AF64" s="174">
        <f t="shared" si="33"/>
        <v>32967.032967032967</v>
      </c>
    </row>
    <row r="65" spans="31:32" x14ac:dyDescent="0.3">
      <c r="AE65" s="96">
        <f t="shared" si="32"/>
        <v>110</v>
      </c>
      <c r="AF65" s="174">
        <f t="shared" si="33"/>
        <v>35087.719298245618</v>
      </c>
    </row>
    <row r="66" spans="31:32" x14ac:dyDescent="0.3">
      <c r="AE66" s="96">
        <f t="shared" si="32"/>
        <v>132</v>
      </c>
      <c r="AF66" s="174">
        <f t="shared" si="33"/>
        <v>37267.080745341613</v>
      </c>
    </row>
    <row r="67" spans="31:32" x14ac:dyDescent="0.3">
      <c r="AE67" s="96">
        <f t="shared" si="32"/>
        <v>180</v>
      </c>
      <c r="AF67" s="174">
        <f t="shared" si="33"/>
        <v>43795.620437956204</v>
      </c>
    </row>
    <row r="68" spans="31:32" x14ac:dyDescent="0.3">
      <c r="AE68" s="96">
        <f t="shared" ref="AE68:AE80" si="34">Z2</f>
        <v>6.7090339239286205</v>
      </c>
      <c r="AF68" s="174">
        <f t="shared" ref="AF68:AF80" si="35">AA2</f>
        <v>5.9999999999999995E-25</v>
      </c>
    </row>
    <row r="69" spans="31:32" x14ac:dyDescent="0.3">
      <c r="AE69" s="96">
        <f t="shared" si="34"/>
        <v>10</v>
      </c>
      <c r="AF69" s="174">
        <f t="shared" si="35"/>
        <v>8152.1739130434789</v>
      </c>
    </row>
    <row r="70" spans="31:32" x14ac:dyDescent="0.3">
      <c r="AE70" s="96">
        <f t="shared" si="34"/>
        <v>14</v>
      </c>
      <c r="AF70" s="174">
        <f t="shared" si="35"/>
        <v>11029.411764705883</v>
      </c>
    </row>
    <row r="71" spans="31:32" x14ac:dyDescent="0.3">
      <c r="AE71" s="96">
        <f t="shared" si="34"/>
        <v>26</v>
      </c>
      <c r="AF71" s="174">
        <f t="shared" si="35"/>
        <v>16620.498614958451</v>
      </c>
    </row>
    <row r="72" spans="31:32" x14ac:dyDescent="0.3">
      <c r="AE72" s="96">
        <f t="shared" si="34"/>
        <v>34</v>
      </c>
      <c r="AF72" s="174">
        <f t="shared" si="35"/>
        <v>19480.519480519481</v>
      </c>
    </row>
    <row r="73" spans="31:32" x14ac:dyDescent="0.3">
      <c r="AE73" s="96">
        <f t="shared" si="34"/>
        <v>51</v>
      </c>
      <c r="AF73" s="174">
        <f t="shared" si="35"/>
        <v>24096.385542168679</v>
      </c>
    </row>
    <row r="74" spans="31:32" x14ac:dyDescent="0.3">
      <c r="AE74" s="96">
        <f t="shared" si="34"/>
        <v>76</v>
      </c>
      <c r="AF74" s="174">
        <f t="shared" si="35"/>
        <v>28985.507246376812</v>
      </c>
    </row>
    <row r="75" spans="31:32" x14ac:dyDescent="0.3">
      <c r="AE75" s="96">
        <f t="shared" si="34"/>
        <v>91</v>
      </c>
      <c r="AF75" s="174">
        <f t="shared" si="35"/>
        <v>31746.031746031746</v>
      </c>
    </row>
    <row r="76" spans="31:32" x14ac:dyDescent="0.3">
      <c r="AE76" s="96">
        <f t="shared" si="34"/>
        <v>106</v>
      </c>
      <c r="AF76" s="174">
        <f t="shared" si="35"/>
        <v>33333.333333333336</v>
      </c>
    </row>
    <row r="77" spans="31:32" x14ac:dyDescent="0.3">
      <c r="AE77" s="96">
        <f t="shared" si="34"/>
        <v>132</v>
      </c>
      <c r="AF77" s="174">
        <f t="shared" si="35"/>
        <v>36809.815950920245</v>
      </c>
    </row>
    <row r="78" spans="31:32" x14ac:dyDescent="0.3">
      <c r="AE78" s="96">
        <f t="shared" si="34"/>
        <v>180</v>
      </c>
      <c r="AF78" s="174">
        <f t="shared" si="35"/>
        <v>43795.620437956204</v>
      </c>
    </row>
    <row r="79" spans="31:32" x14ac:dyDescent="0.3">
      <c r="AE79" s="96">
        <f t="shared" si="34"/>
        <v>0</v>
      </c>
      <c r="AF79" s="174">
        <f t="shared" si="35"/>
        <v>0</v>
      </c>
    </row>
    <row r="80" spans="31:32" x14ac:dyDescent="0.3">
      <c r="AE80" s="96">
        <f t="shared" si="34"/>
        <v>0</v>
      </c>
      <c r="AF80" s="174">
        <f t="shared" si="35"/>
        <v>0</v>
      </c>
    </row>
    <row r="81" spans="23:23" x14ac:dyDescent="0.3">
      <c r="W81" s="96"/>
    </row>
    <row r="82" spans="23:23" x14ac:dyDescent="0.3">
      <c r="W82" s="96"/>
    </row>
    <row r="83" spans="23:23" x14ac:dyDescent="0.3">
      <c r="W83" s="96"/>
    </row>
    <row r="84" spans="23:23" x14ac:dyDescent="0.3">
      <c r="W84" s="96"/>
    </row>
    <row r="85" spans="23:23" x14ac:dyDescent="0.3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P1" zoomScale="90" zoomScaleNormal="90" workbookViewId="0">
      <selection activeCell="Z48" sqref="Z4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" style="1" bestFit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5" customHeight="1" x14ac:dyDescent="0.3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5" customHeight="1" x14ac:dyDescent="0.3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E1" zoomScale="70" zoomScaleNormal="70" workbookViewId="0">
      <selection activeCell="AX5" sqref="AX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3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332031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15.8867187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9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0.14945361227299461</v>
      </c>
      <c r="AI2" s="228">
        <f t="shared" ref="AI2:AI13" si="16">AH2/$Q$23*$Q$31</f>
        <v>5.3803300418278059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-12.585815469150777</v>
      </c>
      <c r="AM2" s="229">
        <f t="shared" ref="AM2:AM13" si="20">($Q$43+$R$43*AL2*$Q$30)/$Q$30</f>
        <v>3.923181115926945E-2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3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3" si="24">($U3-$U$2)</f>
        <v>3.1551500000000003</v>
      </c>
      <c r="W3" s="234">
        <f t="shared" ref="W3:W13" si="25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3" si="26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si="17"/>
        <v>4555.170672024622</v>
      </c>
      <c r="AK3" s="229">
        <f t="shared" si="18"/>
        <v>9.8853530208867664</v>
      </c>
      <c r="AL3" s="229">
        <f t="shared" si="19"/>
        <v>-2.9289255895124828</v>
      </c>
      <c r="AM3" s="229">
        <f t="shared" si="20"/>
        <v>9.9172706414521858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2.8272318367231825E-7</v>
      </c>
      <c r="AS3" s="228"/>
      <c r="AT3" s="1"/>
      <c r="AU3" s="228"/>
      <c r="AV3">
        <f t="shared" si="22"/>
        <v>4.5999999999999999E-3</v>
      </c>
      <c r="AX3" s="128">
        <f>0.21/0.15*9-25</f>
        <v>-12.4</v>
      </c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3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4"/>
        <v>6.2354399999999996</v>
      </c>
      <c r="W4" s="234">
        <f t="shared" si="25"/>
        <v>8.3618622196799993E-3</v>
      </c>
      <c r="X4" s="230">
        <f t="shared" ref="X4:X13" si="29">$W4/$P4*5252</f>
        <v>4.0549568682131136E-3</v>
      </c>
      <c r="Y4" s="230">
        <f t="shared" ref="Y4:Y13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1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6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9211.0840546388536</v>
      </c>
      <c r="AK4" s="229">
        <f t="shared" si="18"/>
        <v>19.989331715796123</v>
      </c>
      <c r="AL4" s="229">
        <f t="shared" si="19"/>
        <v>6.941537245430192</v>
      </c>
      <c r="AM4" s="229">
        <f t="shared" si="20"/>
        <v>20.013773384235744</v>
      </c>
      <c r="AN4" s="2">
        <f t="shared" ref="AN4:AN13" si="32">AO4/$Q$30</f>
        <v>6.941537245430192</v>
      </c>
      <c r="AO4" s="3">
        <f t="shared" si="21"/>
        <v>3198.6603626942324</v>
      </c>
      <c r="AP4" s="227">
        <f t="shared" si="27"/>
        <v>3.2994267727491818E-4</v>
      </c>
      <c r="AQ4" s="227">
        <f t="shared" ref="AQ4:AQ13" si="33">AJ4*AP4/5252</f>
        <v>5.7866141157499084E-4</v>
      </c>
      <c r="AR4" s="231">
        <f t="shared" si="28"/>
        <v>3.6957404609849427E-7</v>
      </c>
      <c r="AS4" s="228">
        <f t="shared" ref="AS4:AS13" si="34">$Q$35/AR4</f>
        <v>0.10127014572560596</v>
      </c>
      <c r="AT4" s="1"/>
      <c r="AU4" s="228"/>
      <c r="AV4">
        <f t="shared" si="22"/>
        <v>0.23799999999999999</v>
      </c>
      <c r="AX4" s="127">
        <f>47+0.085/0.05*15</f>
        <v>72.5</v>
      </c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3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4"/>
        <v>7.7846400000000004</v>
      </c>
      <c r="W5" s="234">
        <f t="shared" si="25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6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17"/>
        <v>13210.653355839728</v>
      </c>
      <c r="AK5" s="229">
        <f t="shared" si="18"/>
        <v>28.668952595138297</v>
      </c>
      <c r="AL5" s="229">
        <f t="shared" si="19"/>
        <v>15.420560994174144</v>
      </c>
      <c r="AM5" s="229">
        <f t="shared" si="20"/>
        <v>28.686972196378115</v>
      </c>
      <c r="AN5" s="2">
        <f t="shared" si="32"/>
        <v>15.420560994174144</v>
      </c>
      <c r="AO5" s="3">
        <f t="shared" si="21"/>
        <v>7105.794506115446</v>
      </c>
      <c r="AP5" s="227">
        <f t="shared" si="27"/>
        <v>1.9572786136409217E-3</v>
      </c>
      <c r="AQ5" s="227">
        <f t="shared" si="33"/>
        <v>4.9232538624540689E-3</v>
      </c>
      <c r="AR5" s="231">
        <f t="shared" si="28"/>
        <v>4.4418154297325635E-7</v>
      </c>
      <c r="AS5" s="228">
        <f t="shared" si="34"/>
        <v>8.4260181668669082E-2</v>
      </c>
      <c r="AT5" s="232"/>
      <c r="AU5" s="165"/>
      <c r="AV5">
        <f t="shared" si="22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3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4"/>
        <v>10.50192</v>
      </c>
      <c r="W6" s="234">
        <f t="shared" si="25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6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17"/>
        <v>15637.093553526916</v>
      </c>
      <c r="AK6" s="229">
        <f t="shared" si="18"/>
        <v>33.934664829702506</v>
      </c>
      <c r="AL6" s="229">
        <f t="shared" si="19"/>
        <v>20.56457588970785</v>
      </c>
      <c r="AM6" s="229">
        <f t="shared" si="20"/>
        <v>33.948788320928394</v>
      </c>
      <c r="AN6" s="2">
        <f t="shared" si="32"/>
        <v>20.564575889707857</v>
      </c>
      <c r="AO6" s="3">
        <f t="shared" si="21"/>
        <v>9476.1565699773801</v>
      </c>
      <c r="AP6" s="227">
        <f t="shared" si="27"/>
        <v>3.0899719769106734E-3</v>
      </c>
      <c r="AQ6" s="227">
        <f t="shared" si="33"/>
        <v>9.1999582788897007E-3</v>
      </c>
      <c r="AR6" s="231">
        <f t="shared" si="28"/>
        <v>4.8944407396912864E-7</v>
      </c>
      <c r="AS6" s="228">
        <f t="shared" si="34"/>
        <v>7.6468016460562963E-2</v>
      </c>
      <c r="AT6" s="232">
        <f t="shared" ref="AT6:AT13" si="35">$Q$44*$Q$27*$Q$36^2*$Q$33*PI()/240*($AC6-$Q$46)/$Q$45*$Q$34</f>
        <v>-1.0314509239179901E-7</v>
      </c>
      <c r="AU6" s="165">
        <f t="shared" ref="AU6:AU13" si="36">-$Q$35/AT6</f>
        <v>0.36285601803166451</v>
      </c>
      <c r="AV6">
        <f t="shared" si="22"/>
        <v>0.58599999999999997</v>
      </c>
      <c r="AW6">
        <v>0.44</v>
      </c>
      <c r="AX6" s="232">
        <f>-$Q$35/AW6</f>
        <v>-8.5060948874537106E-8</v>
      </c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3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4"/>
        <v>14.81034</v>
      </c>
      <c r="W7" s="234">
        <f t="shared" si="25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6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17"/>
        <v>18522.910819867313</v>
      </c>
      <c r="AK7" s="233">
        <f t="shared" si="18"/>
        <v>40.197289105614828</v>
      </c>
      <c r="AL7" s="233">
        <f t="shared" si="19"/>
        <v>26.682462915315533</v>
      </c>
      <c r="AM7" s="233">
        <f t="shared" si="20"/>
        <v>40.206778869802854</v>
      </c>
      <c r="AN7" s="9">
        <f t="shared" si="32"/>
        <v>26.682462915315533</v>
      </c>
      <c r="AO7" s="10">
        <f t="shared" si="21"/>
        <v>12295.278911377398</v>
      </c>
      <c r="AP7" s="230">
        <f t="shared" si="27"/>
        <v>4.5800923567918947E-3</v>
      </c>
      <c r="AQ7" s="230">
        <f t="shared" si="33"/>
        <v>1.6153206830086093E-2</v>
      </c>
      <c r="AR7" s="232">
        <f t="shared" si="28"/>
        <v>5.432757709508463E-7</v>
      </c>
      <c r="AS7" s="228">
        <f t="shared" si="34"/>
        <v>6.889101172189506E-2</v>
      </c>
      <c r="AT7" s="232">
        <f t="shared" si="35"/>
        <v>-1.4363199490561306E-7</v>
      </c>
      <c r="AU7" s="165">
        <f t="shared" si="36"/>
        <v>0.26057437640820308</v>
      </c>
      <c r="AV7">
        <f t="shared" si="22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3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4"/>
        <v>29.145340000000001</v>
      </c>
      <c r="W8" s="234">
        <f t="shared" si="25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6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17"/>
        <v>23596.430052660289</v>
      </c>
      <c r="AK8" s="229">
        <f t="shared" si="18"/>
        <v>51.207530496224585</v>
      </c>
      <c r="AL8" s="229">
        <f t="shared" si="19"/>
        <v>37.438243556907246</v>
      </c>
      <c r="AM8" s="229">
        <f t="shared" si="20"/>
        <v>51.208873762877822</v>
      </c>
      <c r="AN8" s="2">
        <f t="shared" si="32"/>
        <v>37.438243556907246</v>
      </c>
      <c r="AO8" s="3">
        <f t="shared" si="21"/>
        <v>17251.542631022858</v>
      </c>
      <c r="AP8" s="227">
        <f t="shared" si="27"/>
        <v>7.5764934726365541E-3</v>
      </c>
      <c r="AQ8" s="227">
        <f t="shared" si="33"/>
        <v>3.4040022519327057E-2</v>
      </c>
      <c r="AR8" s="231">
        <f t="shared" si="28"/>
        <v>6.3791660395028843E-7</v>
      </c>
      <c r="AS8" s="228">
        <f t="shared" si="34"/>
        <v>5.8670392451037258E-2</v>
      </c>
      <c r="AT8" s="232">
        <f t="shared" si="35"/>
        <v>-2.2523954563406911E-7</v>
      </c>
      <c r="AU8" s="165">
        <f t="shared" si="36"/>
        <v>0.16616450454753204</v>
      </c>
      <c r="AV8">
        <f t="shared" si="22"/>
        <v>1.175</v>
      </c>
      <c r="AW8">
        <v>0.28899999999999998</v>
      </c>
      <c r="AX8" s="232">
        <f>-$Q$35/AW8</f>
        <v>-1.2950455884012569E-7</v>
      </c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3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4"/>
        <v>51.562539999999998</v>
      </c>
      <c r="W9" s="234">
        <f t="shared" si="25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6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17"/>
        <v>28959.20627523346</v>
      </c>
      <c r="AK9" s="229">
        <f t="shared" si="18"/>
        <v>62.845499729239279</v>
      </c>
      <c r="AL9" s="229">
        <f t="shared" si="19"/>
        <v>48.807244448264356</v>
      </c>
      <c r="AM9" s="229">
        <f t="shared" si="20"/>
        <v>62.838232041390853</v>
      </c>
      <c r="AN9" s="2">
        <f t="shared" si="32"/>
        <v>48.807244448264363</v>
      </c>
      <c r="AO9" s="3">
        <f t="shared" si="21"/>
        <v>22490.37824176022</v>
      </c>
      <c r="AP9" s="227">
        <f t="shared" si="27"/>
        <v>1.1265734415476743E-2</v>
      </c>
      <c r="AQ9" s="227">
        <f t="shared" si="33"/>
        <v>6.2118569455405115E-2</v>
      </c>
      <c r="AR9" s="231">
        <f t="shared" si="28"/>
        <v>7.3795320292746935E-7</v>
      </c>
      <c r="AS9" s="228">
        <f t="shared" si="34"/>
        <v>5.0717060860124577E-2</v>
      </c>
      <c r="AT9" s="232">
        <f t="shared" si="35"/>
        <v>-3.4247459958818648E-7</v>
      </c>
      <c r="AU9" s="165">
        <f t="shared" si="36"/>
        <v>0.10928348423445342</v>
      </c>
      <c r="AV9">
        <f t="shared" si="22"/>
        <v>1.6240000000000001</v>
      </c>
      <c r="AX9" s="127"/>
      <c r="AY9" s="96"/>
    </row>
    <row r="10" spans="1:51" ht="13.95" customHeight="1" x14ac:dyDescent="0.3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3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58">
        <f t="shared" ref="U10:U12" si="39">K10</f>
        <v>64.318799999999996</v>
      </c>
      <c r="V10" s="229">
        <f t="shared" si="24"/>
        <v>64.086239999999989</v>
      </c>
      <c r="W10" s="234">
        <f t="shared" si="25"/>
        <v>8.5941057737279988E-2</v>
      </c>
      <c r="X10" s="230">
        <f t="shared" si="29"/>
        <v>1.5195868652951881E-2</v>
      </c>
      <c r="Y10" s="230">
        <f t="shared" ref="Y10:Y12" si="40">X10-$X$3</f>
        <v>1.2232952458491667E-2</v>
      </c>
      <c r="Z10" s="228">
        <f t="shared" si="10"/>
        <v>1.1851433231911994</v>
      </c>
      <c r="AA10" s="229">
        <f t="shared" si="11"/>
        <v>12.654676236558226</v>
      </c>
      <c r="AB10" s="2">
        <f t="shared" si="31"/>
        <v>19.674925895007721</v>
      </c>
      <c r="AC10" s="158">
        <f t="shared" si="12"/>
        <v>21.355520448756128</v>
      </c>
      <c r="AD10" s="175">
        <f t="shared" ref="AD10:AD13" si="41">AC10*1/1.6/1000*3600</f>
        <v>48.049921009701286</v>
      </c>
      <c r="AE10" s="175">
        <f t="shared" si="14"/>
        <v>67.495154666968219</v>
      </c>
      <c r="AF10" s="163">
        <f t="shared" ref="AF10:AF12" si="42">AE10/AC10</f>
        <v>3.1605483382588102</v>
      </c>
      <c r="AG10" s="159">
        <f>$M$41/($Q$27*$Q$36*$Q$33*($AC10-$Q$46)^2/4/$AF10)/(PI()*$Q$36/60/($AC10-$Q$46))</f>
        <v>-0.83001462470815057</v>
      </c>
      <c r="AH10" s="228">
        <f t="shared" si="15"/>
        <v>2.1944444444444446</v>
      </c>
      <c r="AI10" s="228">
        <f t="shared" si="16"/>
        <v>79.000000000000014</v>
      </c>
      <c r="AJ10" s="229">
        <f t="shared" si="17"/>
        <v>30851.073366124794</v>
      </c>
      <c r="AK10" s="229">
        <f t="shared" si="18"/>
        <v>66.951114075791651</v>
      </c>
      <c r="AL10" s="229">
        <f t="shared" si="19"/>
        <v>52.817972800519279</v>
      </c>
      <c r="AM10" s="229">
        <f t="shared" si="20"/>
        <v>66.940808636456552</v>
      </c>
      <c r="AN10" s="2">
        <f t="shared" si="32"/>
        <v>52.817972800519286</v>
      </c>
      <c r="AO10" s="3">
        <f t="shared" si="21"/>
        <v>24338.521866479288</v>
      </c>
      <c r="AP10" s="227">
        <f t="shared" si="27"/>
        <v>1.2695226420403077E-2</v>
      </c>
      <c r="AQ10" s="227">
        <f t="shared" ref="AQ10:AQ12" si="43">AJ10*AP10/5252</f>
        <v>7.4573755082905785E-2</v>
      </c>
      <c r="AR10" s="231">
        <f t="shared" si="28"/>
        <v>7.7324386985722134E-7</v>
      </c>
      <c r="AS10" s="228">
        <f t="shared" si="34"/>
        <v>4.8402346224493374E-2</v>
      </c>
      <c r="AT10" s="232">
        <f t="shared" si="35"/>
        <v>-3.8584347943088994E-7</v>
      </c>
      <c r="AU10" s="165">
        <f t="shared" si="36"/>
        <v>9.7000000000000003E-2</v>
      </c>
      <c r="AV10">
        <f t="shared" si="22"/>
        <v>1.786</v>
      </c>
      <c r="AX10" s="127"/>
      <c r="AY10" s="96"/>
    </row>
    <row r="11" spans="1:51" ht="13.95" customHeight="1" x14ac:dyDescent="0.3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3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58">
        <f t="shared" si="39"/>
        <v>68.010400000000004</v>
      </c>
      <c r="V11" s="229">
        <f t="shared" si="24"/>
        <v>67.777839999999998</v>
      </c>
      <c r="W11" s="234">
        <f t="shared" si="25"/>
        <v>9.0891574552480009E-2</v>
      </c>
      <c r="X11" s="230">
        <f t="shared" si="29"/>
        <v>1.5673403710212686E-2</v>
      </c>
      <c r="Y11" s="230">
        <f t="shared" si="40"/>
        <v>1.2710487515752471E-2</v>
      </c>
      <c r="Z11" s="228">
        <f t="shared" si="10"/>
        <v>1.2776923778889189</v>
      </c>
      <c r="AA11" s="229">
        <f t="shared" si="11"/>
        <v>14.165574197505515</v>
      </c>
      <c r="AB11" s="2">
        <f t="shared" si="31"/>
        <v>20.828541219439252</v>
      </c>
      <c r="AC11" s="158">
        <f t="shared" si="12"/>
        <v>22.173685063239933</v>
      </c>
      <c r="AD11" s="175">
        <f t="shared" si="41"/>
        <v>49.890791392289849</v>
      </c>
      <c r="AE11" s="175">
        <f t="shared" si="14"/>
        <v>69.672417720741393</v>
      </c>
      <c r="AF11" s="165">
        <f t="shared" si="42"/>
        <v>3.1421217322260069</v>
      </c>
      <c r="AG11" s="151"/>
      <c r="AH11" s="228">
        <f t="shared" si="15"/>
        <v>2.3333333333333335</v>
      </c>
      <c r="AI11" s="228">
        <f t="shared" si="16"/>
        <v>84</v>
      </c>
      <c r="AJ11" s="229">
        <f t="shared" si="17"/>
        <v>31555.766551793655</v>
      </c>
      <c r="AK11" s="229">
        <f t="shared" si="18"/>
        <v>68.480396162746644</v>
      </c>
      <c r="AL11" s="229">
        <f t="shared" si="19"/>
        <v>54.311911224106609</v>
      </c>
      <c r="AM11" s="229">
        <f t="shared" si="20"/>
        <v>68.468959204827215</v>
      </c>
      <c r="AN11" s="2">
        <f t="shared" si="32"/>
        <v>54.311911224106609</v>
      </c>
      <c r="AO11" s="3">
        <f t="shared" si="21"/>
        <v>25026.928692068326</v>
      </c>
      <c r="AP11" s="227">
        <f t="shared" si="27"/>
        <v>1.3244757795360145E-2</v>
      </c>
      <c r="AQ11" s="227">
        <f t="shared" si="43"/>
        <v>7.9578919464096329E-2</v>
      </c>
      <c r="AR11" s="231">
        <f t="shared" si="28"/>
        <v>7.863891339314479E-7</v>
      </c>
      <c r="AS11" s="228">
        <f t="shared" si="34"/>
        <v>4.7593253632188338E-2</v>
      </c>
      <c r="AT11" s="232">
        <f t="shared" si="35"/>
        <v>-4.0215321816591598E-7</v>
      </c>
      <c r="AU11" s="165">
        <f t="shared" si="36"/>
        <v>9.3066064908015181E-2</v>
      </c>
      <c r="AV11">
        <f t="shared" si="22"/>
        <v>1.8420000000000001</v>
      </c>
      <c r="AW11">
        <v>8.5000000000000006E-2</v>
      </c>
      <c r="AX11" s="232">
        <f>-$Q$35/AW11</f>
        <v>-4.4031550005642732E-7</v>
      </c>
      <c r="AY11" s="96"/>
    </row>
    <row r="12" spans="1:51" ht="13.95" customHeight="1" x14ac:dyDescent="0.3">
      <c r="A12" t="s">
        <v>232</v>
      </c>
      <c r="B12" s="176">
        <v>62</v>
      </c>
      <c r="C12" s="220">
        <f t="shared" ref="C12" si="44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45">F12*G12</f>
        <v>103.6602</v>
      </c>
      <c r="L12" s="1">
        <f t="shared" ref="L12" si="46">D12</f>
        <v>121</v>
      </c>
      <c r="M12" s="23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3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58">
        <f t="shared" si="39"/>
        <v>103.6602</v>
      </c>
      <c r="V12" s="229">
        <f t="shared" si="24"/>
        <v>103.42764</v>
      </c>
      <c r="W12" s="234">
        <f t="shared" si="25"/>
        <v>0.13869874064807999</v>
      </c>
      <c r="X12" s="230">
        <f t="shared" si="29"/>
        <v>2.0032259111802193E-2</v>
      </c>
      <c r="Y12" s="230">
        <f t="shared" si="40"/>
        <v>1.7069342917341978E-2</v>
      </c>
      <c r="Z12" s="228">
        <f t="shared" si="10"/>
        <v>2.174568786090711</v>
      </c>
      <c r="AA12" s="229">
        <f t="shared" si="11"/>
        <v>31.452447925513269</v>
      </c>
      <c r="AB12" s="2">
        <f t="shared" ref="AB12" si="49">AA12/U12*100</f>
        <v>30.341874630295202</v>
      </c>
      <c r="AC12" s="158">
        <f t="shared" si="12"/>
        <v>28.927526346091174</v>
      </c>
      <c r="AD12" s="175">
        <f t="shared" si="41"/>
        <v>65.086934278705144</v>
      </c>
      <c r="AE12" s="175">
        <f t="shared" si="14"/>
        <v>84.699801935018925</v>
      </c>
      <c r="AF12" s="165">
        <f t="shared" si="42"/>
        <v>2.9280001657128891</v>
      </c>
      <c r="AG12" s="151"/>
      <c r="AH12" s="228">
        <f t="shared" si="15"/>
        <v>3.3611111111111116</v>
      </c>
      <c r="AI12" s="228">
        <f t="shared" si="16"/>
        <v>121.00000000000001</v>
      </c>
      <c r="AJ12" s="229">
        <f t="shared" si="17"/>
        <v>35746.721871576265</v>
      </c>
      <c r="AK12" s="229">
        <f t="shared" si="18"/>
        <v>77.575351283802661</v>
      </c>
      <c r="AL12" s="229">
        <f t="shared" si="19"/>
        <v>63.196670309464153</v>
      </c>
      <c r="AM12" s="229">
        <f t="shared" si="20"/>
        <v>77.557184952126192</v>
      </c>
      <c r="AN12" s="2">
        <f t="shared" si="32"/>
        <v>63.196670309464153</v>
      </c>
      <c r="AO12" s="3">
        <f t="shared" si="21"/>
        <v>29121.025678601083</v>
      </c>
      <c r="AP12" s="227">
        <f t="shared" si="27"/>
        <v>1.6704298911363304E-2</v>
      </c>
      <c r="AQ12" s="227">
        <f t="shared" si="43"/>
        <v>0.11369457868320224</v>
      </c>
      <c r="AR12" s="231">
        <f t="shared" si="28"/>
        <v>8.6456672316063497E-7</v>
      </c>
      <c r="AS12" s="228">
        <f t="shared" si="34"/>
        <v>4.3289680833392991E-2</v>
      </c>
      <c r="AT12" s="232">
        <f t="shared" si="35"/>
        <v>-5.3678796627297485E-7</v>
      </c>
      <c r="AU12" s="165">
        <f t="shared" si="36"/>
        <v>6.9723652273090492E-2</v>
      </c>
      <c r="AV12">
        <f t="shared" si="22"/>
        <v>2.19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3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58">
        <f t="shared" si="0"/>
        <v>172.22399999999999</v>
      </c>
      <c r="V13" s="229">
        <f t="shared" si="24"/>
        <v>171.99143999999998</v>
      </c>
      <c r="W13" s="234">
        <f t="shared" si="25"/>
        <v>0.23064430485168</v>
      </c>
      <c r="X13" s="230">
        <f t="shared" si="29"/>
        <v>2.7457128152503195E-2</v>
      </c>
      <c r="Y13" s="230">
        <f t="shared" si="30"/>
        <v>2.449421195804298E-2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53.010758622096731</v>
      </c>
      <c r="AC13" s="158">
        <f t="shared" si="12"/>
        <v>41.264733453849395</v>
      </c>
      <c r="AD13" s="175">
        <f t="shared" si="41"/>
        <v>92.845650271161119</v>
      </c>
      <c r="AE13" s="175">
        <f t="shared" si="14"/>
        <v>106.65900984409792</v>
      </c>
      <c r="AF13" s="165">
        <f t="shared" si="26"/>
        <v>2.5847497588560868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39983.857739779705</v>
      </c>
      <c r="AK13" s="229">
        <f t="shared" si="18"/>
        <v>86.770524608896935</v>
      </c>
      <c r="AL13" s="229">
        <f t="shared" si="19"/>
        <v>72.179331428091302</v>
      </c>
      <c r="AM13" s="229">
        <f t="shared" si="20"/>
        <v>86.745554751832856</v>
      </c>
      <c r="AN13" s="2">
        <f t="shared" si="32"/>
        <v>72.179331428091302</v>
      </c>
      <c r="AO13" s="3">
        <f t="shared" si="21"/>
        <v>33260.235922064472</v>
      </c>
      <c r="AP13" s="227">
        <f t="shared" si="27"/>
        <v>2.0535035151237838E-2</v>
      </c>
      <c r="AQ13" s="227">
        <f t="shared" si="33"/>
        <v>0.15633471518820818</v>
      </c>
      <c r="AR13" s="231">
        <f t="shared" si="28"/>
        <v>9.4360575892631468E-7</v>
      </c>
      <c r="AS13" s="228">
        <f t="shared" si="34"/>
        <v>3.9663617088753857E-2</v>
      </c>
      <c r="AT13" s="232">
        <f t="shared" si="35"/>
        <v>-7.8272456764309463E-7</v>
      </c>
      <c r="AU13" s="165">
        <f t="shared" si="36"/>
        <v>4.7816076116652749E-2</v>
      </c>
      <c r="AV13">
        <f t="shared" si="22"/>
        <v>2.66</v>
      </c>
      <c r="AW13">
        <v>3.5000000000000003E-2</v>
      </c>
      <c r="AX13" s="232">
        <f>-$Q$35/AW13</f>
        <v>-1.0693376429941806E-6</v>
      </c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50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50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50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50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50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50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51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51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51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51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51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51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N10" zoomScale="60" zoomScaleNormal="60" workbookViewId="0">
      <selection activeCell="AJ6" sqref="AJ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1.0322055169770046</v>
      </c>
      <c r="D2" s="262">
        <f>EXP((0-$Q$41)/$R$41)</f>
        <v>5.7969930558608072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5.7969930558608072</v>
      </c>
      <c r="M2" s="234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0.16102758488502239</v>
      </c>
      <c r="AI2" s="228">
        <f t="shared" ref="AI2:AI13" si="16">AH2/$Q$23*$Q$31</f>
        <v>5.7969930558608063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-12.051452687191878</v>
      </c>
      <c r="AM2" s="229">
        <f t="shared" ref="AM2:AM13" si="20">($Q$43+$R$43*AL2*$Q$30)/$Q$30</f>
        <v>6.141569148348304E-2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3.0000000000000001E-3</v>
      </c>
      <c r="F3" s="73">
        <v>12.2</v>
      </c>
      <c r="G3" s="106">
        <v>0.39</v>
      </c>
      <c r="H3" s="73">
        <v>7000</v>
      </c>
      <c r="I3" s="191">
        <v>1.0000000000000001E+32</v>
      </c>
      <c r="J3" s="61"/>
      <c r="K3" s="2">
        <f t="shared" si="2"/>
        <v>4.758</v>
      </c>
      <c r="L3" s="1">
        <f t="shared" si="3"/>
        <v>9</v>
      </c>
      <c r="M3" s="234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2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58">
        <f>K3</f>
        <v>4.758</v>
      </c>
      <c r="V3" s="1">
        <f t="shared" ref="V3:V13" si="23">($U3-$U$2)</f>
        <v>4.1347800000000001</v>
      </c>
      <c r="W3" s="234">
        <f t="shared" ref="W3:W13" si="24">($U3-$U$2)*0.001341022</f>
        <v>5.5448309451600003E-3</v>
      </c>
      <c r="X3" s="230">
        <f>$W3/$P3*5252</f>
        <v>3.3975027477977041E-3</v>
      </c>
      <c r="Y3" s="230">
        <f>X3-$X$3</f>
        <v>0</v>
      </c>
      <c r="Z3" s="228">
        <f t="shared" si="10"/>
        <v>2.8479401773229537E-2</v>
      </c>
      <c r="AA3" s="229">
        <f t="shared" si="11"/>
        <v>4.71401565954883E-2</v>
      </c>
      <c r="AB3" s="2">
        <f>AA3/U3*100</f>
        <v>0.9907557081859667</v>
      </c>
      <c r="AC3" s="158">
        <f t="shared" si="12"/>
        <v>3.3104737923111678</v>
      </c>
      <c r="AD3" s="175">
        <f t="shared" si="13"/>
        <v>7.4485660327001275</v>
      </c>
      <c r="AE3" s="4">
        <f t="shared" si="14"/>
        <v>1.7278759594743859E-27</v>
      </c>
      <c r="AF3" s="158">
        <f t="shared" ref="AF3:AF13" si="25">AE3/AC3</f>
        <v>5.2194219555143798E-28</v>
      </c>
      <c r="AH3" s="228">
        <f t="shared" si="15"/>
        <v>0.25</v>
      </c>
      <c r="AI3" s="228">
        <f t="shared" si="16"/>
        <v>9</v>
      </c>
      <c r="AJ3" s="229">
        <f t="shared" si="17"/>
        <v>5341.5559957732476</v>
      </c>
      <c r="AK3" s="229">
        <f t="shared" si="18"/>
        <v>11.591918393605138</v>
      </c>
      <c r="AL3" s="229">
        <f t="shared" si="19"/>
        <v>-1.2570730193706521</v>
      </c>
      <c r="AM3" s="229">
        <f t="shared" si="20"/>
        <v>11.641491887218354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2.511671370675344E-7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0.46200000000000002</v>
      </c>
      <c r="F4" s="73">
        <v>12.19</v>
      </c>
      <c r="G4" s="106">
        <v>0.44</v>
      </c>
      <c r="H4" s="73">
        <v>6040</v>
      </c>
      <c r="I4" s="78">
        <v>19200</v>
      </c>
      <c r="J4" s="61"/>
      <c r="K4" s="2">
        <f t="shared" si="2"/>
        <v>5.3635999999999999</v>
      </c>
      <c r="L4" s="1">
        <f t="shared" si="3"/>
        <v>12</v>
      </c>
      <c r="M4" s="234">
        <f t="shared" si="4"/>
        <v>2.4849066497880004</v>
      </c>
      <c r="N4" s="3">
        <f t="shared" si="5"/>
        <v>165.56291390728478</v>
      </c>
      <c r="O4" s="3">
        <f t="shared" si="5"/>
        <v>52.083333333333336</v>
      </c>
      <c r="P4" s="3">
        <f t="shared" si="6"/>
        <v>9933.7748344370866</v>
      </c>
      <c r="Q4" s="3">
        <f t="shared" si="22"/>
        <v>3125</v>
      </c>
      <c r="R4" s="3">
        <f t="shared" si="7"/>
        <v>21.557671081677704</v>
      </c>
      <c r="S4" s="3">
        <f t="shared" si="8"/>
        <v>6.7816840277777777</v>
      </c>
      <c r="T4" s="3">
        <f t="shared" si="9"/>
        <v>12</v>
      </c>
      <c r="U4" s="158">
        <f t="shared" si="0"/>
        <v>5.3635999999999999</v>
      </c>
      <c r="V4" s="229">
        <f t="shared" si="23"/>
        <v>4.74038</v>
      </c>
      <c r="W4" s="234">
        <f t="shared" si="24"/>
        <v>6.3569538683600005E-3</v>
      </c>
      <c r="X4" s="230">
        <f t="shared" ref="X4:X13" si="28">$W4/$P4*5252</f>
        <v>3.3609299861404236E-3</v>
      </c>
      <c r="Y4" s="230">
        <f t="shared" ref="Y4:Y13" si="29">X4-$X$3</f>
        <v>-3.6572761657280555E-5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2" si="30">AA4/U4*100</f>
        <v>1.706905960862604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8.9993539555957618</v>
      </c>
      <c r="AF4" s="158">
        <f t="shared" si="25"/>
        <v>2.1788610095230641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8834.8987683306477</v>
      </c>
      <c r="AK4" s="229">
        <f t="shared" si="18"/>
        <v>19.172957396550885</v>
      </c>
      <c r="AL4" s="229">
        <f t="shared" si="19"/>
        <v>5.8023808601098592</v>
      </c>
      <c r="AM4" s="229">
        <f t="shared" si="20"/>
        <v>19.214786170016261</v>
      </c>
      <c r="AN4" s="2">
        <f t="shared" ref="AN4:AN13" si="31">AO4/$Q$30</f>
        <v>5.8023808601098592</v>
      </c>
      <c r="AO4" s="3">
        <f t="shared" si="21"/>
        <v>2673.7371003386233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3.1894909088325442E-7</v>
      </c>
      <c r="AS4" s="228">
        <f t="shared" ref="AS4:AS13" si="33">$Q$35/AR4</f>
        <v>0.11734417364586795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0.72499999999999998</v>
      </c>
      <c r="F5" s="73">
        <v>12.17</v>
      </c>
      <c r="G5" s="73">
        <v>1.1299999999999999</v>
      </c>
      <c r="H5" s="73">
        <v>3720</v>
      </c>
      <c r="I5" s="78">
        <v>6440</v>
      </c>
      <c r="J5" s="61"/>
      <c r="K5" s="2">
        <f t="shared" si="2"/>
        <v>13.752099999999999</v>
      </c>
      <c r="L5" s="1">
        <f t="shared" si="3"/>
        <v>24</v>
      </c>
      <c r="M5" s="234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2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58">
        <f t="shared" si="0"/>
        <v>13.752099999999999</v>
      </c>
      <c r="V5" s="229">
        <f t="shared" si="23"/>
        <v>13.128879999999999</v>
      </c>
      <c r="W5" s="234">
        <f t="shared" si="24"/>
        <v>1.7606116915360001E-2</v>
      </c>
      <c r="X5" s="230">
        <f t="shared" si="28"/>
        <v>5.7329742144471858E-3</v>
      </c>
      <c r="Y5" s="230">
        <f t="shared" si="29"/>
        <v>2.3354714666494816E-3</v>
      </c>
      <c r="Z5" s="228">
        <f t="shared" si="10"/>
        <v>0.18975628219609206</v>
      </c>
      <c r="AA5" s="229">
        <f t="shared" si="11"/>
        <v>0.81075376002805499</v>
      </c>
      <c r="AB5" s="2">
        <f t="shared" si="30"/>
        <v>5.8954905798245729</v>
      </c>
      <c r="AC5" s="158">
        <f t="shared" si="12"/>
        <v>8.5452112641017166</v>
      </c>
      <c r="AD5" s="175">
        <f t="shared" si="13"/>
        <v>19.226725344228864</v>
      </c>
      <c r="AE5" s="175">
        <f t="shared" si="14"/>
        <v>26.830372041527738</v>
      </c>
      <c r="AF5" s="158">
        <f t="shared" si="25"/>
        <v>3.1398137754933764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17251.831644582377</v>
      </c>
      <c r="AK5" s="229">
        <f t="shared" si="18"/>
        <v>37.43887075647217</v>
      </c>
      <c r="AL5" s="229">
        <f t="shared" si="19"/>
        <v>22.811576153900912</v>
      </c>
      <c r="AM5" s="229">
        <f t="shared" si="20"/>
        <v>37.462039239816058</v>
      </c>
      <c r="AN5" s="2">
        <f t="shared" si="31"/>
        <v>22.811576153900912</v>
      </c>
      <c r="AO5" s="3">
        <f t="shared" si="21"/>
        <v>10511.574291717541</v>
      </c>
      <c r="AP5" s="227">
        <f t="shared" si="26"/>
        <v>3.0617544365980232E-3</v>
      </c>
      <c r="AQ5" s="227">
        <f t="shared" si="32"/>
        <v>1.0057287143420081E-2</v>
      </c>
      <c r="AR5" s="231">
        <f t="shared" si="27"/>
        <v>4.822643429592618E-7</v>
      </c>
      <c r="AS5" s="228">
        <f t="shared" si="33"/>
        <v>7.7606437322607261E-2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0.81899999999999995</v>
      </c>
      <c r="F6" s="73">
        <v>12.16</v>
      </c>
      <c r="G6" s="73">
        <v>1.33</v>
      </c>
      <c r="H6" s="73">
        <v>3460</v>
      </c>
      <c r="I6" s="78">
        <v>5580</v>
      </c>
      <c r="J6" s="61"/>
      <c r="K6" s="2">
        <f t="shared" si="2"/>
        <v>16.172800000000002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2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58">
        <f t="shared" si="0"/>
        <v>16.172800000000002</v>
      </c>
      <c r="V6" s="229">
        <f t="shared" si="23"/>
        <v>15.549580000000002</v>
      </c>
      <c r="W6" s="234">
        <f t="shared" si="24"/>
        <v>2.0852328870760006E-2</v>
      </c>
      <c r="X6" s="230">
        <f t="shared" si="28"/>
        <v>6.3154475342190189E-3</v>
      </c>
      <c r="Y6" s="230">
        <f t="shared" si="29"/>
        <v>2.9179447864213148E-3</v>
      </c>
      <c r="Z6" s="228">
        <f t="shared" si="10"/>
        <v>0.23582871582730708</v>
      </c>
      <c r="AA6" s="229">
        <f t="shared" si="11"/>
        <v>1.1232844746570794</v>
      </c>
      <c r="AB6" s="2">
        <f t="shared" si="30"/>
        <v>6.9455163895990752</v>
      </c>
      <c r="AC6" s="158">
        <f t="shared" si="12"/>
        <v>9.526273937561017</v>
      </c>
      <c r="AD6" s="175">
        <f t="shared" si="13"/>
        <v>21.434116359512288</v>
      </c>
      <c r="AE6" s="175">
        <f t="shared" si="14"/>
        <v>30.965518986996173</v>
      </c>
      <c r="AF6" s="158">
        <f t="shared" si="25"/>
        <v>3.2505383731306159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19123.693727158348</v>
      </c>
      <c r="AK6" s="229">
        <f t="shared" si="18"/>
        <v>41.501071456506828</v>
      </c>
      <c r="AL6" s="229">
        <f t="shared" si="19"/>
        <v>26.594292280271606</v>
      </c>
      <c r="AM6" s="229">
        <f t="shared" si="20"/>
        <v>41.520090032747753</v>
      </c>
      <c r="AN6" s="2">
        <f t="shared" si="31"/>
        <v>26.594292280271613</v>
      </c>
      <c r="AO6" s="3">
        <f t="shared" si="21"/>
        <v>12254.64988274916</v>
      </c>
      <c r="AP6" s="227">
        <f t="shared" si="26"/>
        <v>3.9984798589682664E-3</v>
      </c>
      <c r="AQ6" s="227">
        <f t="shared" si="32"/>
        <v>1.4559349618644407E-2</v>
      </c>
      <c r="AR6" s="231">
        <f t="shared" si="27"/>
        <v>5.1858441730961745E-7</v>
      </c>
      <c r="AS6" s="228">
        <f t="shared" si="33"/>
        <v>7.2171118636699963E-2</v>
      </c>
      <c r="AT6" s="232">
        <f t="shared" ref="AT6:AT13" si="34">$Q$44*$Q$27*$Q$36^2*$Q$33*PI()/240*($AC6-$Q$46)/$Q$45*$Q$34</f>
        <v>-1.3026398899235102E-7</v>
      </c>
      <c r="AU6" s="165">
        <f t="shared" ref="AU6:AU13" si="35">-$Q$35/AT6</f>
        <v>0.28731514975327521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0.94799999999999995</v>
      </c>
      <c r="F7" s="73">
        <v>12.16</v>
      </c>
      <c r="G7" s="73">
        <v>1.607</v>
      </c>
      <c r="H7" s="73">
        <v>3180</v>
      </c>
      <c r="I7" s="78">
        <v>4940</v>
      </c>
      <c r="J7" s="61"/>
      <c r="K7" s="2">
        <f t="shared" si="2"/>
        <v>19.541119999999999</v>
      </c>
      <c r="L7" s="1">
        <f t="shared" si="3"/>
        <v>32</v>
      </c>
      <c r="M7" s="234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2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58">
        <f t="shared" si="0"/>
        <v>19.541119999999999</v>
      </c>
      <c r="V7" s="229">
        <f t="shared" si="23"/>
        <v>18.917899999999999</v>
      </c>
      <c r="W7" s="234">
        <f t="shared" si="24"/>
        <v>2.53693200938E-2</v>
      </c>
      <c r="X7" s="230">
        <f t="shared" si="28"/>
        <v>7.0617024640297916E-3</v>
      </c>
      <c r="Y7" s="230">
        <f t="shared" si="29"/>
        <v>3.6641997162320875E-3</v>
      </c>
      <c r="Z7" s="228">
        <f t="shared" si="10"/>
        <v>0.30376911963050202</v>
      </c>
      <c r="AA7" s="229">
        <f t="shared" si="11"/>
        <v>1.6421399283325013</v>
      </c>
      <c r="AB7" s="2">
        <f t="shared" si="30"/>
        <v>8.4035097698212873</v>
      </c>
      <c r="AC7" s="158">
        <f t="shared" si="12"/>
        <v>10.811763423023141</v>
      </c>
      <c r="AD7" s="175">
        <f t="shared" si="13"/>
        <v>24.326467701802066</v>
      </c>
      <c r="AE7" s="175">
        <f t="shared" si="14"/>
        <v>34.977246143206202</v>
      </c>
      <c r="AF7" s="158">
        <f t="shared" si="25"/>
        <v>3.2351102012391246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20745.174417139777</v>
      </c>
      <c r="AK7" s="233">
        <f t="shared" si="18"/>
        <v>45.019909759417921</v>
      </c>
      <c r="AL7" s="233">
        <f t="shared" si="19"/>
        <v>29.87103003338143</v>
      </c>
      <c r="AM7" s="233">
        <f t="shared" si="20"/>
        <v>45.035333522613982</v>
      </c>
      <c r="AN7" s="9">
        <f t="shared" si="31"/>
        <v>29.871030033381423</v>
      </c>
      <c r="AO7" s="10">
        <f t="shared" si="21"/>
        <v>13764.57063938216</v>
      </c>
      <c r="AP7" s="230">
        <f t="shared" si="26"/>
        <v>4.8648618927728876E-3</v>
      </c>
      <c r="AQ7" s="230">
        <f t="shared" si="32"/>
        <v>1.9215995521871726E-2</v>
      </c>
      <c r="AR7" s="232">
        <f t="shared" si="27"/>
        <v>5.5004629677498183E-7</v>
      </c>
      <c r="AS7" s="228">
        <f t="shared" si="33"/>
        <v>6.8043031512504196E-2</v>
      </c>
      <c r="AT7" s="232">
        <f t="shared" si="34"/>
        <v>-1.6056523537933803E-7</v>
      </c>
      <c r="AU7" s="165">
        <f t="shared" si="35"/>
        <v>0.23309415276834272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1.343</v>
      </c>
      <c r="F8" s="73">
        <v>12.11</v>
      </c>
      <c r="G8" s="73">
        <v>2.95</v>
      </c>
      <c r="H8" s="73">
        <v>2480</v>
      </c>
      <c r="I8" s="78">
        <v>3420</v>
      </c>
      <c r="J8" s="61"/>
      <c r="K8" s="2">
        <f t="shared" si="2"/>
        <v>35.724499999999999</v>
      </c>
      <c r="L8" s="1">
        <f t="shared" si="3"/>
        <v>50</v>
      </c>
      <c r="M8" s="234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2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58">
        <f t="shared" si="0"/>
        <v>35.724499999999999</v>
      </c>
      <c r="V8" s="229">
        <f t="shared" si="23"/>
        <v>35.101279999999996</v>
      </c>
      <c r="W8" s="234">
        <f t="shared" si="24"/>
        <v>4.707158870816E-2</v>
      </c>
      <c r="X8" s="230">
        <f t="shared" si="28"/>
        <v>1.0218426001003927E-2</v>
      </c>
      <c r="Y8" s="230">
        <f t="shared" si="29"/>
        <v>6.8209232532062229E-3</v>
      </c>
      <c r="Z8" s="228">
        <f t="shared" si="10"/>
        <v>0.64042745241181076</v>
      </c>
      <c r="AA8" s="229">
        <f t="shared" si="11"/>
        <v>5.0268929546262759</v>
      </c>
      <c r="AB8" s="2">
        <f t="shared" si="30"/>
        <v>14.071275888049591</v>
      </c>
      <c r="AC8" s="158">
        <f t="shared" si="12"/>
        <v>15.698555505999325</v>
      </c>
      <c r="AD8" s="175">
        <f t="shared" si="13"/>
        <v>35.321749888498474</v>
      </c>
      <c r="AE8" s="175">
        <f t="shared" si="14"/>
        <v>50.522688873520067</v>
      </c>
      <c r="AF8" s="158">
        <f t="shared" si="25"/>
        <v>3.21830176376498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26164.468748432828</v>
      </c>
      <c r="AK8" s="229">
        <f t="shared" si="18"/>
        <v>56.780531138092073</v>
      </c>
      <c r="AL8" s="229">
        <f t="shared" si="19"/>
        <v>40.822505706375907</v>
      </c>
      <c r="AM8" s="229">
        <f t="shared" si="20"/>
        <v>56.78394035799041</v>
      </c>
      <c r="AN8" s="2">
        <f t="shared" si="31"/>
        <v>40.822505706375907</v>
      </c>
      <c r="AO8" s="3">
        <f t="shared" si="21"/>
        <v>18811.010629498018</v>
      </c>
      <c r="AP8" s="227">
        <f t="shared" si="26"/>
        <v>8.1306482321405645E-3</v>
      </c>
      <c r="AQ8" s="227">
        <f t="shared" si="32"/>
        <v>4.0505348738450575E-2</v>
      </c>
      <c r="AR8" s="231">
        <f t="shared" si="27"/>
        <v>6.5519783270873869E-7</v>
      </c>
      <c r="AS8" s="228">
        <f t="shared" si="33"/>
        <v>5.7122926292453143E-2</v>
      </c>
      <c r="AT8" s="232">
        <f t="shared" si="34"/>
        <v>-2.7575551318624402E-7</v>
      </c>
      <c r="AU8" s="165">
        <f t="shared" si="35"/>
        <v>0.13572463909186985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1.74</v>
      </c>
      <c r="F9" s="73">
        <v>12.04</v>
      </c>
      <c r="G9" s="73">
        <v>5.14</v>
      </c>
      <c r="H9" s="73">
        <v>1990</v>
      </c>
      <c r="I9" s="78">
        <v>2650</v>
      </c>
      <c r="J9" s="61"/>
      <c r="K9" s="2">
        <f t="shared" si="2"/>
        <v>61.88559999999999</v>
      </c>
      <c r="L9" s="1">
        <f t="shared" si="3"/>
        <v>78</v>
      </c>
      <c r="M9" s="234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2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58">
        <f t="shared" si="0"/>
        <v>61.88559999999999</v>
      </c>
      <c r="V9" s="229">
        <f t="shared" si="23"/>
        <v>61.262379999999986</v>
      </c>
      <c r="W9" s="234">
        <f t="shared" si="24"/>
        <v>8.2154199352359986E-2</v>
      </c>
      <c r="X9" s="230">
        <f t="shared" si="28"/>
        <v>1.4310549524120055E-2</v>
      </c>
      <c r="Y9" s="230">
        <f t="shared" si="29"/>
        <v>1.0913046776322351E-2</v>
      </c>
      <c r="Z9" s="228">
        <f t="shared" si="10"/>
        <v>1.2395548622912713</v>
      </c>
      <c r="AA9" s="229">
        <f t="shared" si="11"/>
        <v>13.536093859157535</v>
      </c>
      <c r="AB9" s="2">
        <f t="shared" si="30"/>
        <v>21.87276823551446</v>
      </c>
      <c r="AC9" s="158">
        <f t="shared" si="12"/>
        <v>21.84024970728051</v>
      </c>
      <c r="AD9" s="175">
        <f t="shared" si="13"/>
        <v>49.14056184138115</v>
      </c>
      <c r="AE9" s="175">
        <f t="shared" si="14"/>
        <v>65.202866395259861</v>
      </c>
      <c r="AF9" s="163">
        <f t="shared" si="25"/>
        <v>2.9854450965148214</v>
      </c>
      <c r="AG9" s="159">
        <f>$M$41/($Q$27*$Q$36*$Q$33*($AC9-$Q$46)^2/4/$AF9)/(PI()*$Q$36/60/($AC9-$Q$46))</f>
        <v>-0.92708178600141067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31564.318612288345</v>
      </c>
      <c r="AK9" s="229">
        <f t="shared" si="18"/>
        <v>68.498955321806307</v>
      </c>
      <c r="AL9" s="229">
        <f t="shared" si="19"/>
        <v>51.734687405081729</v>
      </c>
      <c r="AM9" s="229">
        <f t="shared" si="20"/>
        <v>68.490393106675569</v>
      </c>
      <c r="AN9" s="2">
        <f t="shared" si="31"/>
        <v>51.734687405081729</v>
      </c>
      <c r="AO9" s="3">
        <f t="shared" si="21"/>
        <v>23839.343956261662</v>
      </c>
      <c r="AP9" s="227">
        <f t="shared" si="26"/>
        <v>1.1951500773628936E-2</v>
      </c>
      <c r="AQ9" s="227">
        <f t="shared" si="32"/>
        <v>7.1828061369732368E-2</v>
      </c>
      <c r="AR9" s="231">
        <f t="shared" si="27"/>
        <v>7.5997208416752902E-7</v>
      </c>
      <c r="AS9" s="228">
        <f t="shared" si="33"/>
        <v>4.9247621438349994E-2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2.08</v>
      </c>
      <c r="F10" s="73">
        <v>11.94</v>
      </c>
      <c r="G10" s="73">
        <v>7.9</v>
      </c>
      <c r="H10" s="73">
        <v>1700</v>
      </c>
      <c r="I10" s="78">
        <v>2175</v>
      </c>
      <c r="J10" s="61"/>
      <c r="K10" s="2">
        <f t="shared" si="2"/>
        <v>94.325999999999993</v>
      </c>
      <c r="L10" s="1">
        <f t="shared" si="3"/>
        <v>115</v>
      </c>
      <c r="M10" s="234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2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58">
        <f t="shared" si="0"/>
        <v>94.325999999999993</v>
      </c>
      <c r="V10" s="229">
        <f t="shared" si="23"/>
        <v>93.70277999999999</v>
      </c>
      <c r="W10" s="234">
        <f t="shared" si="24"/>
        <v>0.12565748944116001</v>
      </c>
      <c r="X10" s="230">
        <f t="shared" si="28"/>
        <v>1.8698672145440881E-2</v>
      </c>
      <c r="Y10" s="230">
        <f t="shared" si="29"/>
        <v>1.5301169397643177E-2</v>
      </c>
      <c r="Z10" s="228">
        <f t="shared" si="10"/>
        <v>1.9882830873636748</v>
      </c>
      <c r="AA10" s="229">
        <f t="shared" si="11"/>
        <v>27.498693141424127</v>
      </c>
      <c r="AB10" s="2">
        <f t="shared" si="30"/>
        <v>29.152824397752614</v>
      </c>
      <c r="AC10" s="158">
        <f t="shared" si="12"/>
        <v>27.660742392458292</v>
      </c>
      <c r="AD10" s="175">
        <f t="shared" si="13"/>
        <v>62.236670383031161</v>
      </c>
      <c r="AE10" s="175">
        <f t="shared" si="14"/>
        <v>79.442572849397052</v>
      </c>
      <c r="AF10" s="165">
        <f t="shared" si="25"/>
        <v>2.872033285377658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36278.540299728964</v>
      </c>
      <c r="AK10" s="229">
        <f t="shared" si="18"/>
        <v>78.729471136564584</v>
      </c>
      <c r="AL10" s="229">
        <f t="shared" si="19"/>
        <v>61.261330722642683</v>
      </c>
      <c r="AM10" s="229">
        <f t="shared" si="20"/>
        <v>78.710457519993682</v>
      </c>
      <c r="AN10" s="2">
        <f t="shared" si="31"/>
        <v>61.261330722642697</v>
      </c>
      <c r="AO10" s="3">
        <f t="shared" si="21"/>
        <v>28229.221196993756</v>
      </c>
      <c r="AP10" s="227">
        <f t="shared" si="26"/>
        <v>1.5749784670713377E-2</v>
      </c>
      <c r="AQ10" s="227">
        <f t="shared" si="32"/>
        <v>0.10879268809758733</v>
      </c>
      <c r="AR10" s="231">
        <f t="shared" si="27"/>
        <v>8.5144296964872615E-7</v>
      </c>
      <c r="AS10" s="228">
        <f t="shared" si="33"/>
        <v>4.39569282253129E-2</v>
      </c>
      <c r="AT10" s="232">
        <f t="shared" si="34"/>
        <v>-5.5772528133527934E-7</v>
      </c>
      <c r="AU10" s="165">
        <f t="shared" si="35"/>
        <v>6.7106187862222805E-2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2.2999999999999998</v>
      </c>
      <c r="F11" s="73">
        <v>11.86</v>
      </c>
      <c r="G11" s="73">
        <v>10.14</v>
      </c>
      <c r="H11" s="73">
        <v>1550</v>
      </c>
      <c r="I11" s="78">
        <v>1955</v>
      </c>
      <c r="J11" s="61"/>
      <c r="K11" s="2">
        <f t="shared" si="2"/>
        <v>120.2604</v>
      </c>
      <c r="L11" s="1">
        <f t="shared" si="3"/>
        <v>140</v>
      </c>
      <c r="M11" s="234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2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58">
        <f t="shared" si="0"/>
        <v>120.2604</v>
      </c>
      <c r="V11" s="229">
        <f t="shared" si="23"/>
        <v>119.63718</v>
      </c>
      <c r="W11" s="234">
        <f t="shared" si="24"/>
        <v>0.16043609039796</v>
      </c>
      <c r="X11" s="230">
        <f t="shared" si="28"/>
        <v>2.1767433958227219E-2</v>
      </c>
      <c r="Y11" s="230">
        <f t="shared" si="29"/>
        <v>1.8369931210429513E-2</v>
      </c>
      <c r="Z11" s="228">
        <f t="shared" si="10"/>
        <v>2.6231908450787782</v>
      </c>
      <c r="AA11" s="229">
        <f t="shared" si="11"/>
        <v>41.671540842096242</v>
      </c>
      <c r="AB11" s="2">
        <f t="shared" si="30"/>
        <v>34.651091167247273</v>
      </c>
      <c r="AC11" s="158">
        <f t="shared" si="12"/>
        <v>31.77164247906239</v>
      </c>
      <c r="AD11" s="175">
        <f t="shared" si="13"/>
        <v>71.486195577890371</v>
      </c>
      <c r="AE11" s="175">
        <f t="shared" si="14"/>
        <v>88.382402019150192</v>
      </c>
      <c r="AF11" s="165">
        <f t="shared" si="25"/>
        <v>2.7818014783905007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38667.206645308324</v>
      </c>
      <c r="AK11" s="229">
        <f t="shared" si="18"/>
        <v>83.913208865686471</v>
      </c>
      <c r="AL11" s="229">
        <f t="shared" si="19"/>
        <v>66.088420704350938</v>
      </c>
      <c r="AM11" s="229">
        <f t="shared" si="20"/>
        <v>83.88889959003555</v>
      </c>
      <c r="AN11" s="2">
        <f t="shared" si="31"/>
        <v>66.088420704350938</v>
      </c>
      <c r="AO11" s="3">
        <f t="shared" si="21"/>
        <v>30453.544260564915</v>
      </c>
      <c r="AP11" s="227">
        <f t="shared" si="26"/>
        <v>1.7838952456709595E-2</v>
      </c>
      <c r="AQ11" s="227">
        <f t="shared" si="32"/>
        <v>0.13133710224284473</v>
      </c>
      <c r="AR11" s="231">
        <f t="shared" si="27"/>
        <v>8.9779068942851048E-7</v>
      </c>
      <c r="AS11" s="228">
        <f t="shared" si="33"/>
        <v>4.1687687281119393E-2</v>
      </c>
      <c r="AT11" s="232">
        <f t="shared" si="34"/>
        <v>-6.5462642117750578E-7</v>
      </c>
      <c r="AU11" s="165">
        <f t="shared" si="35"/>
        <v>5.7172787858875355E-2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2.71</v>
      </c>
      <c r="F12" s="73">
        <v>11.76</v>
      </c>
      <c r="G12" s="73">
        <v>12.23</v>
      </c>
      <c r="H12" s="73">
        <v>1430</v>
      </c>
      <c r="I12" s="78">
        <v>1800</v>
      </c>
      <c r="J12" s="61"/>
      <c r="K12" s="2">
        <f t="shared" si="2"/>
        <v>143.82480000000001</v>
      </c>
      <c r="L12" s="1">
        <f t="shared" si="3"/>
        <v>155</v>
      </c>
      <c r="M12" s="234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2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58">
        <f t="shared" si="0"/>
        <v>143.82480000000001</v>
      </c>
      <c r="V12" s="229">
        <f t="shared" si="23"/>
        <v>143.20158000000001</v>
      </c>
      <c r="W12" s="234">
        <f t="shared" si="24"/>
        <v>0.19203646921476003</v>
      </c>
      <c r="X12" s="230">
        <f t="shared" si="28"/>
        <v>2.4037716948862753E-2</v>
      </c>
      <c r="Y12" s="230">
        <f t="shared" si="29"/>
        <v>2.0640214201065051E-2</v>
      </c>
      <c r="Z12" s="228">
        <f t="shared" si="10"/>
        <v>3.3405414897843171</v>
      </c>
      <c r="AA12" s="229">
        <f t="shared" si="11"/>
        <v>59.885272810955158</v>
      </c>
      <c r="AB12" s="2">
        <f t="shared" si="30"/>
        <v>41.637654153494495</v>
      </c>
      <c r="AC12" s="158">
        <f t="shared" si="12"/>
        <v>35.853632109698282</v>
      </c>
      <c r="AD12" s="175">
        <f t="shared" si="13"/>
        <v>80.670672246821127</v>
      </c>
      <c r="AE12" s="175">
        <f t="shared" si="14"/>
        <v>95.993108859688135</v>
      </c>
      <c r="AF12" s="165">
        <f t="shared" si="25"/>
        <v>2.677360791955087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39903.160754331417</v>
      </c>
      <c r="AK12" s="229">
        <f t="shared" si="18"/>
        <v>86.595400942559493</v>
      </c>
      <c r="AL12" s="229">
        <f t="shared" si="19"/>
        <v>68.586074555654932</v>
      </c>
      <c r="AM12" s="229">
        <f t="shared" si="20"/>
        <v>86.568351564000523</v>
      </c>
      <c r="AN12" s="2">
        <f t="shared" si="31"/>
        <v>68.586074555654932</v>
      </c>
      <c r="AO12" s="3">
        <f t="shared" si="21"/>
        <v>31604.463155245794</v>
      </c>
      <c r="AP12" s="227">
        <f t="shared" si="26"/>
        <v>1.8963400526986033E-2</v>
      </c>
      <c r="AQ12" s="227">
        <f t="shared" si="32"/>
        <v>0.14407837389129793</v>
      </c>
      <c r="AR12" s="231">
        <f t="shared" si="27"/>
        <v>9.2177212777869636E-7</v>
      </c>
      <c r="AS12" s="228">
        <f t="shared" si="33"/>
        <v>4.060311260982491E-2</v>
      </c>
      <c r="AT12" s="232">
        <f t="shared" si="34"/>
        <v>-7.5084609076318016E-7</v>
      </c>
      <c r="AU12" s="165">
        <f t="shared" si="35"/>
        <v>4.9846190804236197E-2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2</v>
      </c>
      <c r="D13" s="80">
        <v>180</v>
      </c>
      <c r="E13" s="80">
        <v>3.57</v>
      </c>
      <c r="F13" s="80">
        <v>11.66</v>
      </c>
      <c r="G13" s="80">
        <v>14.37</v>
      </c>
      <c r="H13" s="80">
        <v>1350</v>
      </c>
      <c r="I13" s="81">
        <v>1700</v>
      </c>
      <c r="J13" s="61"/>
      <c r="K13" s="2">
        <f t="shared" si="2"/>
        <v>167.55419999999998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2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58">
        <f t="shared" si="0"/>
        <v>167.55419999999998</v>
      </c>
      <c r="V13" s="229">
        <f t="shared" si="23"/>
        <v>166.93097999999998</v>
      </c>
      <c r="W13" s="234">
        <f t="shared" si="24"/>
        <v>0.22385811666156</v>
      </c>
      <c r="X13" s="230">
        <f t="shared" si="28"/>
        <v>2.6453313645896544E-2</v>
      </c>
      <c r="Y13" s="230">
        <f t="shared" si="29"/>
        <v>2.3055810898098841E-2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54.488188854304987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101.6397623220227</v>
      </c>
      <c r="AF13" s="165">
        <f t="shared" si="25"/>
        <v>2.4631144760863881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41718.934666426678</v>
      </c>
      <c r="AK13" s="229">
        <f t="shared" si="18"/>
        <v>90.535882522627332</v>
      </c>
      <c r="AL13" s="229">
        <f t="shared" si="19"/>
        <v>72.255445992290788</v>
      </c>
      <c r="AM13" s="229">
        <f t="shared" si="20"/>
        <v>90.504807584105748</v>
      </c>
      <c r="AN13" s="2">
        <f t="shared" si="31"/>
        <v>72.255445992290788</v>
      </c>
      <c r="AO13" s="3">
        <f t="shared" si="21"/>
        <v>33295.309513247594</v>
      </c>
      <c r="AP13" s="227">
        <f t="shared" si="26"/>
        <v>2.0669116788051091E-2</v>
      </c>
      <c r="AQ13" s="227">
        <f t="shared" si="32"/>
        <v>0.16418384099265923</v>
      </c>
      <c r="AR13" s="231">
        <f t="shared" si="27"/>
        <v>9.5700391333844219E-7</v>
      </c>
      <c r="AS13" s="228">
        <f t="shared" si="33"/>
        <v>3.9108322320475633E-2</v>
      </c>
      <c r="AT13" s="232">
        <f t="shared" si="34"/>
        <v>-8.7839525931599473E-7</v>
      </c>
      <c r="AU13" s="165">
        <f t="shared" si="35"/>
        <v>4.2608173379647493E-2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91.763321955226317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79.502892729656168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15929.364786667767</v>
      </c>
      <c r="S40" s="67">
        <f>INDEX(LINEST($Q$5:$Q$13,$E$5:$E$13^{1,2},FALSE,FALSE),1)</f>
        <v>-1553.3720910828754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64.483866928332702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INDEX(LINEST($P$3:$P$13,$M$3:$M$13),2)</f>
        <v>-21339.489964118849</v>
      </c>
      <c r="R41" s="67">
        <f>INDEX(LINEST($P$3:$P$13,$M$3:$M$13),1)</f>
        <v>12143.067320063643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39.809753111872752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-5553.3093982580176</v>
      </c>
      <c r="R42" s="69">
        <f>INDEX(LINEST($Q$4:$Q$13,$P$4:$P$13),1)</f>
        <v>0.93119872839823603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34.445815325685807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5985.8215745762427</v>
      </c>
      <c r="R43" s="69">
        <f>INDEX(LINEST($P$4:$P$13,$Q$4:$Q$13),1)</f>
        <v>1.0727875572373891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28.622111443539978</v>
      </c>
      <c r="K44" s="246">
        <v>0.5</v>
      </c>
      <c r="L44" s="255"/>
      <c r="M44" s="256"/>
      <c r="P44" s="65" t="s">
        <v>180</v>
      </c>
      <c r="Q44" s="206">
        <f>AG9</f>
        <v>-0.92708178600141067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2.9854450965148214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4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-2.3707465536193552E-3</v>
      </c>
      <c r="K47" s="180">
        <f>INDEX(LINEST($Y$3:$Y$13,$P$3:$P$13^{1,2}),2)</f>
        <v>1.4752397194391045E-7</v>
      </c>
      <c r="L47" s="180">
        <f>INDEX(LINEST($Y$3:$Y$13,$P$3:$P$13^{1,2}),1)</f>
        <v>9.7015893127055435E-12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26" zoomScaleNormal="100" workbookViewId="0">
      <selection activeCell="O38" sqref="O3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1.037117754097554</v>
      </c>
      <c r="D2" s="262">
        <f>EXP((0-$Q$42)/$R$42)</f>
        <v>6.6811957375597357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6.6811957375597357</v>
      </c>
      <c r="M2" s="234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0.18558877048777042</v>
      </c>
      <c r="AI2" s="228">
        <f t="shared" ref="AI2:AI14" si="15">AH2/$Q$24*$Q$32</f>
        <v>6.6811957375597357</v>
      </c>
      <c r="AJ2" s="229">
        <f t="shared" ref="AJ2:AJ14" si="16"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-13.269598334813466</v>
      </c>
      <c r="AM2" s="229">
        <f t="shared" ref="AM2:AM14" si="19">($Q$44+$R$44*AL2*$Q$31)/$Q$31</f>
        <v>4.5404925744912582E-2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3.6</v>
      </c>
      <c r="F3" s="73">
        <v>12.17</v>
      </c>
      <c r="G3" s="106">
        <v>0.32</v>
      </c>
      <c r="H3" s="73">
        <v>7340</v>
      </c>
      <c r="I3" s="191">
        <v>1.0000000000000001E+32</v>
      </c>
      <c r="J3" s="61"/>
      <c r="K3" s="2">
        <f t="shared" si="2"/>
        <v>3.8944000000000001</v>
      </c>
      <c r="L3" s="1">
        <f t="shared" si="3"/>
        <v>9</v>
      </c>
      <c r="M3" s="234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58">
        <f>K3</f>
        <v>3.8944000000000001</v>
      </c>
      <c r="V3" s="1">
        <f t="shared" ref="V3:V14" si="21">($U3-$U$2)</f>
        <v>2.1634200000000003</v>
      </c>
      <c r="W3" s="234">
        <f t="shared" ref="W3:W14" si="22">($U3-$U$2)*0.001341022</f>
        <v>2.9011938152400008E-3</v>
      </c>
      <c r="X3" s="230">
        <f>$W3/$P3*5252</f>
        <v>1.8640015532580192E-3</v>
      </c>
      <c r="Y3" s="230">
        <f>X3-$X$3</f>
        <v>0</v>
      </c>
      <c r="Z3" s="228">
        <f t="shared" si="9"/>
        <v>2.4702266497496038E-2</v>
      </c>
      <c r="AA3" s="229">
        <f t="shared" si="10"/>
        <v>3.8080262312436351E-2</v>
      </c>
      <c r="AB3" s="2">
        <f>AA3/U3*100</f>
        <v>0.97782103308433521</v>
      </c>
      <c r="AC3" s="158">
        <f t="shared" si="11"/>
        <v>3.083139137560222</v>
      </c>
      <c r="AD3" s="175">
        <f t="shared" si="12"/>
        <v>6.937063059510499</v>
      </c>
      <c r="AE3" s="4">
        <f t="shared" si="13"/>
        <v>1.7278759594743859E-27</v>
      </c>
      <c r="AF3" s="158">
        <f t="shared" ref="AF3:AF14" si="23">AE3/AC3</f>
        <v>5.6042750014898925E-28</v>
      </c>
      <c r="AH3" s="228">
        <f t="shared" si="14"/>
        <v>0.25</v>
      </c>
      <c r="AI3" s="228">
        <f t="shared" si="15"/>
        <v>9</v>
      </c>
      <c r="AJ3" s="229">
        <f t="shared" si="16"/>
        <v>3729.6385021300412</v>
      </c>
      <c r="AK3" s="229">
        <f t="shared" si="17"/>
        <v>8.0938335549697076</v>
      </c>
      <c r="AL3" s="229">
        <f t="shared" si="18"/>
        <v>-5.5215603472329233</v>
      </c>
      <c r="AM3" s="229">
        <f t="shared" si="19"/>
        <v>8.1330184277578077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2.1320278842575145E-7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1.0722222222222222</v>
      </c>
      <c r="D4" s="73">
        <v>13</v>
      </c>
      <c r="E4" s="109">
        <v>0.26</v>
      </c>
      <c r="F4" s="73">
        <v>12.17</v>
      </c>
      <c r="G4" s="106">
        <v>0.45400000000000001</v>
      </c>
      <c r="H4" s="73">
        <v>5820</v>
      </c>
      <c r="I4" s="78">
        <v>17300</v>
      </c>
      <c r="J4" s="61"/>
      <c r="K4" s="2">
        <f t="shared" si="2"/>
        <v>5.5251799999999998</v>
      </c>
      <c r="L4" s="1">
        <f t="shared" si="3"/>
        <v>13</v>
      </c>
      <c r="M4" s="234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58">
        <f t="shared" si="0"/>
        <v>5.5251799999999998</v>
      </c>
      <c r="V4" s="229">
        <f t="shared" si="21"/>
        <v>3.7942</v>
      </c>
      <c r="W4" s="234">
        <f t="shared" si="22"/>
        <v>5.0881056724000001E-3</v>
      </c>
      <c r="X4" s="230">
        <f t="shared" ref="X4:X14" si="26">$W4/$P4*5252</f>
        <v>2.592104906170145E-3</v>
      </c>
      <c r="Y4" s="230">
        <f t="shared" ref="Y4:Y14" si="27">X4-$X$3</f>
        <v>7.2810335291212586E-4</v>
      </c>
      <c r="Z4" s="228">
        <f t="shared" si="9"/>
        <v>4.9551411319530933E-2</v>
      </c>
      <c r="AA4" s="229">
        <f t="shared" si="10"/>
        <v>0.10818791970271985</v>
      </c>
      <c r="AB4" s="2">
        <f t="shared" ref="AB4:AB13" si="28">AA4/U4*100</f>
        <v>1.9580885998776485</v>
      </c>
      <c r="AC4" s="158">
        <f t="shared" si="11"/>
        <v>4.3666937760893623</v>
      </c>
      <c r="AD4" s="175">
        <f t="shared" si="12"/>
        <v>9.8250609962010635</v>
      </c>
      <c r="AE4" s="175">
        <f t="shared" si="13"/>
        <v>9.9877223091004996</v>
      </c>
      <c r="AF4" s="158">
        <f t="shared" si="23"/>
        <v>2.2872504510827198</v>
      </c>
      <c r="AG4" s="151"/>
      <c r="AH4" s="228">
        <f t="shared" si="14"/>
        <v>0.36111111111111105</v>
      </c>
      <c r="AI4" s="228">
        <f t="shared" si="15"/>
        <v>12.999999999999998</v>
      </c>
      <c r="AJ4" s="229">
        <f t="shared" si="16"/>
        <v>8333.0404142488842</v>
      </c>
      <c r="AK4" s="229">
        <f t="shared" si="17"/>
        <v>18.083855065644279</v>
      </c>
      <c r="AL4" s="229">
        <f t="shared" si="18"/>
        <v>4.0416541216298496</v>
      </c>
      <c r="AM4" s="229">
        <f t="shared" si="19"/>
        <v>18.11536267865009</v>
      </c>
      <c r="AN4" s="2">
        <f t="shared" ref="AN4:AN14" si="29">AO4/$Q$31</f>
        <v>4.0416541216298523</v>
      </c>
      <c r="AO4" s="3">
        <f t="shared" si="20"/>
        <v>1862.3942192470358</v>
      </c>
      <c r="AP4" s="227">
        <f t="shared" si="24"/>
        <v>9.692031962258243E-5</v>
      </c>
      <c r="AQ4" s="227">
        <f t="shared" ref="AQ4:AQ14" si="30">AJ4*AP4/5252</f>
        <v>1.5377778758128306E-4</v>
      </c>
      <c r="AR4" s="231">
        <f t="shared" si="25"/>
        <v>3.1333590050170288E-7</v>
      </c>
      <c r="AS4" s="228">
        <f t="shared" ref="AS4:AS14" si="31">$Q$36/AR4</f>
        <v>0.11944631127448137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</v>
      </c>
      <c r="F5" s="73">
        <v>12.14</v>
      </c>
      <c r="G5" s="73">
        <v>1.0900000000000001</v>
      </c>
      <c r="H5" s="73">
        <v>3740</v>
      </c>
      <c r="I5" s="78">
        <v>6700</v>
      </c>
      <c r="J5" s="61"/>
      <c r="K5" s="2">
        <f t="shared" si="2"/>
        <v>13.232600000000001</v>
      </c>
      <c r="L5" s="1">
        <f t="shared" si="3"/>
        <v>24</v>
      </c>
      <c r="M5" s="234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58">
        <f t="shared" si="0"/>
        <v>13.232600000000001</v>
      </c>
      <c r="V5" s="229">
        <f t="shared" si="21"/>
        <v>11.501620000000003</v>
      </c>
      <c r="W5" s="234">
        <f t="shared" si="22"/>
        <v>1.5423925455640005E-2</v>
      </c>
      <c r="X5" s="230">
        <f t="shared" si="26"/>
        <v>5.0494024547316609E-3</v>
      </c>
      <c r="Y5" s="230">
        <f t="shared" si="27"/>
        <v>3.185400901473642E-3</v>
      </c>
      <c r="Z5" s="228">
        <f t="shared" si="9"/>
        <v>0.18672831398982662</v>
      </c>
      <c r="AA5" s="229">
        <f t="shared" si="10"/>
        <v>0.79142541210756745</v>
      </c>
      <c r="AB5" s="2">
        <f t="shared" si="28"/>
        <v>5.9808761098164176</v>
      </c>
      <c r="AC5" s="158">
        <f t="shared" si="11"/>
        <v>8.4767585075575198</v>
      </c>
      <c r="AD5" s="175">
        <f t="shared" si="12"/>
        <v>19.07270664200442</v>
      </c>
      <c r="AE5" s="175">
        <f t="shared" si="13"/>
        <v>25.789193424990842</v>
      </c>
      <c r="AF5" s="158">
        <f t="shared" si="23"/>
        <v>3.0423414093958541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16008.254202811288</v>
      </c>
      <c r="AK5" s="229">
        <f t="shared" si="17"/>
        <v>34.740134988739776</v>
      </c>
      <c r="AL5" s="229">
        <f t="shared" si="18"/>
        <v>19.986322207456581</v>
      </c>
      <c r="AM5" s="229">
        <f t="shared" si="19"/>
        <v>34.75884237025064</v>
      </c>
      <c r="AN5" s="2">
        <f t="shared" si="29"/>
        <v>19.986322207456581</v>
      </c>
      <c r="AO5" s="3">
        <f t="shared" si="20"/>
        <v>9209.6972731959922</v>
      </c>
      <c r="AP5" s="227">
        <f t="shared" si="24"/>
        <v>3.1425330605874798E-3</v>
      </c>
      <c r="AQ5" s="227">
        <f t="shared" si="30"/>
        <v>9.5785354292884511E-3</v>
      </c>
      <c r="AR5" s="231">
        <f t="shared" si="25"/>
        <v>4.8028700691579907E-7</v>
      </c>
      <c r="AS5" s="228">
        <f t="shared" si="31"/>
        <v>7.7925942126012504E-2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0.78</v>
      </c>
      <c r="F6" s="73">
        <v>12.14</v>
      </c>
      <c r="G6" s="73">
        <v>1.29</v>
      </c>
      <c r="H6" s="73">
        <v>3460</v>
      </c>
      <c r="I6" s="78">
        <v>5640</v>
      </c>
      <c r="J6" s="61"/>
      <c r="K6" s="2">
        <f t="shared" si="2"/>
        <v>15.660600000000001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58">
        <f t="shared" si="0"/>
        <v>15.660600000000001</v>
      </c>
      <c r="V6" s="229">
        <f t="shared" si="21"/>
        <v>13.92962</v>
      </c>
      <c r="W6" s="234">
        <f t="shared" si="22"/>
        <v>1.8679926871640003E-2</v>
      </c>
      <c r="X6" s="230">
        <f t="shared" si="26"/>
        <v>5.6575022786215391E-3</v>
      </c>
      <c r="Y6" s="230">
        <f t="shared" si="27"/>
        <v>3.7935007253635201E-3</v>
      </c>
      <c r="Z6" s="228">
        <f t="shared" si="9"/>
        <v>0.23582871582730708</v>
      </c>
      <c r="AA6" s="229">
        <f t="shared" si="10"/>
        <v>1.1232844746570794</v>
      </c>
      <c r="AB6" s="2">
        <f t="shared" si="28"/>
        <v>7.1726784073220653</v>
      </c>
      <c r="AC6" s="158">
        <f t="shared" si="11"/>
        <v>9.526273937561017</v>
      </c>
      <c r="AD6" s="175">
        <f t="shared" si="12"/>
        <v>21.434116359512288</v>
      </c>
      <c r="AE6" s="175">
        <f t="shared" si="13"/>
        <v>30.63609857224089</v>
      </c>
      <c r="AF6" s="158">
        <f t="shared" si="23"/>
        <v>3.2159581776717787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17938.005942765791</v>
      </c>
      <c r="AK6" s="229">
        <f t="shared" si="17"/>
        <v>38.92796428551604</v>
      </c>
      <c r="AL6" s="229">
        <f t="shared" si="18"/>
        <v>23.995233467684084</v>
      </c>
      <c r="AM6" s="229">
        <f t="shared" si="19"/>
        <v>38.943453350289467</v>
      </c>
      <c r="AN6" s="2">
        <f t="shared" si="29"/>
        <v>23.995233467684077</v>
      </c>
      <c r="AO6" s="3">
        <f t="shared" si="20"/>
        <v>11057.003581908823</v>
      </c>
      <c r="AP6" s="227">
        <f t="shared" si="24"/>
        <v>4.1098693037237254E-3</v>
      </c>
      <c r="AQ6" s="227">
        <f t="shared" si="30"/>
        <v>1.4037102055252645E-2</v>
      </c>
      <c r="AR6" s="231">
        <f t="shared" si="25"/>
        <v>5.2226293057932422E-7</v>
      </c>
      <c r="AS6" s="228">
        <f t="shared" si="31"/>
        <v>7.1662787675319667E-2</v>
      </c>
      <c r="AT6" s="232">
        <f t="shared" ref="AT6:AT14" si="32">$Q$45*$Q$28*$Q$37^2*$Q$34*PI()/240*($AC6-$Q$47)/$Q$46*$Q$35</f>
        <v>-1.170257314108135E-7</v>
      </c>
      <c r="AU6" s="165">
        <f t="shared" ref="AU6:AU14" si="33">-$Q$36/AT6</f>
        <v>0.31981699284075554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1.012</v>
      </c>
      <c r="F7" s="73">
        <v>12.11</v>
      </c>
      <c r="G7" s="73">
        <v>1.8839999999999999</v>
      </c>
      <c r="H7" s="73">
        <v>2980</v>
      </c>
      <c r="I7" s="78">
        <v>4440</v>
      </c>
      <c r="J7" s="61"/>
      <c r="K7" s="2">
        <f t="shared" si="2"/>
        <v>22.815239999999999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58">
        <f t="shared" si="0"/>
        <v>22.815239999999999</v>
      </c>
      <c r="V7" s="229">
        <f t="shared" si="21"/>
        <v>21.08426</v>
      </c>
      <c r="W7" s="234">
        <f t="shared" si="22"/>
        <v>2.8274456513720004E-2</v>
      </c>
      <c r="X7" s="230">
        <f t="shared" si="26"/>
        <v>7.3753731319661864E-3</v>
      </c>
      <c r="Y7" s="230">
        <f t="shared" si="27"/>
        <v>5.5113715787081675E-3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9.6412639110610101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38.916125213387083</v>
      </c>
      <c r="AF7" s="158">
        <f t="shared" si="23"/>
        <v>3.2652525257983149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21084.112439306809</v>
      </c>
      <c r="AK7" s="233">
        <f t="shared" si="17"/>
        <v>45.755452342245682</v>
      </c>
      <c r="AL7" s="233">
        <f t="shared" si="18"/>
        <v>30.531028460751699</v>
      </c>
      <c r="AM7" s="233">
        <f t="shared" si="19"/>
        <v>45.765694531482751</v>
      </c>
      <c r="AN7" s="9">
        <f t="shared" si="29"/>
        <v>30.531028460751699</v>
      </c>
      <c r="AO7" s="10">
        <f t="shared" si="20"/>
        <v>14068.697914714383</v>
      </c>
      <c r="AP7" s="230">
        <f t="shared" si="24"/>
        <v>5.8606145064138918E-3</v>
      </c>
      <c r="AQ7" s="230">
        <f t="shared" si="30"/>
        <v>2.3527390559151384E-2</v>
      </c>
      <c r="AR7" s="232">
        <f t="shared" si="25"/>
        <v>5.9069698010076173E-7</v>
      </c>
      <c r="AS7" s="228">
        <f t="shared" si="31"/>
        <v>6.336043481788585E-2</v>
      </c>
      <c r="AT7" s="232">
        <f t="shared" si="32"/>
        <v>-1.5991755619886186E-7</v>
      </c>
      <c r="AU7" s="165">
        <f t="shared" si="33"/>
        <v>0.2340382031492218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1.34</v>
      </c>
      <c r="F8" s="73">
        <v>12.06</v>
      </c>
      <c r="G8" s="73">
        <v>3.07</v>
      </c>
      <c r="H8" s="73">
        <v>2430</v>
      </c>
      <c r="I8" s="78">
        <v>3360</v>
      </c>
      <c r="J8" s="61"/>
      <c r="K8" s="2">
        <f t="shared" si="2"/>
        <v>37.0242</v>
      </c>
      <c r="L8" s="1">
        <f t="shared" si="3"/>
        <v>52</v>
      </c>
      <c r="M8" s="234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58">
        <f t="shared" si="0"/>
        <v>37.0242</v>
      </c>
      <c r="V8" s="229">
        <f t="shared" si="21"/>
        <v>35.293219999999998</v>
      </c>
      <c r="W8" s="234">
        <f t="shared" si="22"/>
        <v>4.7328984470840003E-2</v>
      </c>
      <c r="X8" s="230">
        <f t="shared" si="26"/>
        <v>1.0067158970854492E-2</v>
      </c>
      <c r="Y8" s="230">
        <f t="shared" si="27"/>
        <v>8.2031574175964721E-3</v>
      </c>
      <c r="Z8" s="228">
        <f t="shared" si="9"/>
        <v>0.68077901739956448</v>
      </c>
      <c r="AA8" s="229">
        <f t="shared" si="10"/>
        <v>5.5093957511159575</v>
      </c>
      <c r="AB8" s="2">
        <f t="shared" si="28"/>
        <v>14.880526118365712</v>
      </c>
      <c r="AC8" s="158">
        <f t="shared" si="11"/>
        <v>16.185562745928078</v>
      </c>
      <c r="AD8" s="175">
        <f t="shared" si="12"/>
        <v>36.417516178338168</v>
      </c>
      <c r="AE8" s="175">
        <f t="shared" si="13"/>
        <v>51.424879746261503</v>
      </c>
      <c r="AF8" s="158">
        <f t="shared" si="23"/>
        <v>3.1772067831993573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25687.514351425656</v>
      </c>
      <c r="AK8" s="229">
        <f t="shared" si="17"/>
        <v>55.745473852920256</v>
      </c>
      <c r="AL8" s="229">
        <f t="shared" si="18"/>
        <v>40.094242929614474</v>
      </c>
      <c r="AM8" s="229">
        <f t="shared" si="19"/>
        <v>55.748038782375041</v>
      </c>
      <c r="AN8" s="2">
        <f t="shared" si="29"/>
        <v>40.094242929614481</v>
      </c>
      <c r="AO8" s="3">
        <f t="shared" si="20"/>
        <v>18475.427141966353</v>
      </c>
      <c r="AP8" s="227">
        <f t="shared" si="24"/>
        <v>8.8103065938909889E-3</v>
      </c>
      <c r="AQ8" s="227">
        <f t="shared" si="30"/>
        <v>4.3091179944979983E-2</v>
      </c>
      <c r="AR8" s="231">
        <f t="shared" si="25"/>
        <v>6.9083009217671322E-7</v>
      </c>
      <c r="AS8" s="228">
        <f t="shared" si="31"/>
        <v>5.4176588322708163E-2</v>
      </c>
      <c r="AT8" s="232">
        <f t="shared" si="32"/>
        <v>-2.3643661592637232E-7</v>
      </c>
      <c r="AU8" s="165">
        <f t="shared" si="33"/>
        <v>0.15829535268112299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1.65</v>
      </c>
      <c r="F9" s="73">
        <v>11.98</v>
      </c>
      <c r="G9" s="73">
        <v>4.68</v>
      </c>
      <c r="H9" s="73">
        <v>2040</v>
      </c>
      <c r="I9" s="78">
        <v>2740</v>
      </c>
      <c r="J9" s="61"/>
      <c r="K9" s="2">
        <f t="shared" si="2"/>
        <v>56.066400000000002</v>
      </c>
      <c r="L9" s="1">
        <f t="shared" si="3"/>
        <v>73</v>
      </c>
      <c r="M9" s="234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58">
        <f t="shared" si="0"/>
        <v>56.066400000000002</v>
      </c>
      <c r="V9" s="229">
        <f t="shared" si="21"/>
        <v>54.335419999999999</v>
      </c>
      <c r="W9" s="234">
        <f t="shared" si="22"/>
        <v>7.2864993599240008E-2</v>
      </c>
      <c r="X9" s="230">
        <f t="shared" si="26"/>
        <v>1.3011356177029089E-2</v>
      </c>
      <c r="Y9" s="230">
        <f t="shared" si="27"/>
        <v>1.1147354623771069E-2</v>
      </c>
      <c r="Z9" s="228">
        <f t="shared" si="9"/>
        <v>1.1506267866687925</v>
      </c>
      <c r="AA9" s="229">
        <f t="shared" si="10"/>
        <v>12.105882310531264</v>
      </c>
      <c r="AB9" s="2">
        <f t="shared" si="28"/>
        <v>21.592044986892798</v>
      </c>
      <c r="AC9" s="158">
        <f t="shared" si="11"/>
        <v>21.042239674567803</v>
      </c>
      <c r="AD9" s="175">
        <f t="shared" si="12"/>
        <v>47.345039267777551</v>
      </c>
      <c r="AE9" s="175">
        <f t="shared" si="13"/>
        <v>63.061166404174671</v>
      </c>
      <c r="AF9" s="165">
        <f t="shared" si="23"/>
        <v>2.9968847128184759</v>
      </c>
      <c r="AG9" s="151">
        <f>$M$42/($Q$28*$Q$37*$Q$34*($AC9-$Q$47)^2/4/$AF9)/(PI()*$Q$37/60/($AC9-$Q$47))</f>
        <v>-0.86209649393412002</v>
      </c>
      <c r="AH9" s="228">
        <f t="shared" si="14"/>
        <v>2.0277777777777777</v>
      </c>
      <c r="AI9" s="228">
        <f t="shared" si="15"/>
        <v>73</v>
      </c>
      <c r="AJ9" s="229">
        <f t="shared" si="16"/>
        <v>29934.022583352191</v>
      </c>
      <c r="AK9" s="229">
        <f t="shared" si="17"/>
        <v>64.960986509010823</v>
      </c>
      <c r="AL9" s="229">
        <f t="shared" si="18"/>
        <v>48.916038145625215</v>
      </c>
      <c r="AM9" s="229">
        <f t="shared" si="19"/>
        <v>64.956469383175516</v>
      </c>
      <c r="AN9" s="2">
        <f t="shared" si="29"/>
        <v>48.916038145625222</v>
      </c>
      <c r="AO9" s="3">
        <f t="shared" si="20"/>
        <v>22540.510377504103</v>
      </c>
      <c r="AP9" s="227">
        <f t="shared" si="24"/>
        <v>1.1940047180732638E-2</v>
      </c>
      <c r="AQ9" s="227">
        <f t="shared" si="30"/>
        <v>6.8052864043096239E-2</v>
      </c>
      <c r="AR9" s="231">
        <f t="shared" si="25"/>
        <v>7.8320005961308517E-7</v>
      </c>
      <c r="AS9" s="228">
        <f t="shared" si="31"/>
        <v>4.7787046292215356E-2</v>
      </c>
      <c r="AT9" s="232">
        <f t="shared" si="32"/>
        <v>-3.2352400686915766E-7</v>
      </c>
      <c r="AU9" s="165">
        <f t="shared" si="33"/>
        <v>0.1156848231047435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1.89</v>
      </c>
      <c r="F10" s="73">
        <v>11.91</v>
      </c>
      <c r="G10" s="73">
        <v>6.33</v>
      </c>
      <c r="H10" s="73">
        <v>1850</v>
      </c>
      <c r="I10" s="78">
        <v>2380</v>
      </c>
      <c r="J10" s="61"/>
      <c r="K10" s="2">
        <f t="shared" si="2"/>
        <v>75.390299999999996</v>
      </c>
      <c r="L10" s="1">
        <f t="shared" si="3"/>
        <v>94</v>
      </c>
      <c r="M10" s="234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58">
        <f t="shared" si="0"/>
        <v>75.390299999999996</v>
      </c>
      <c r="V10" s="229">
        <f t="shared" si="21"/>
        <v>73.659319999999994</v>
      </c>
      <c r="W10" s="234">
        <f t="shared" si="22"/>
        <v>9.8778768625039995E-2</v>
      </c>
      <c r="X10" s="230">
        <f t="shared" si="26"/>
        <v>1.5995904528576896E-2</v>
      </c>
      <c r="Y10" s="230">
        <f t="shared" si="27"/>
        <v>1.4131902975318876E-2</v>
      </c>
      <c r="Z10" s="228">
        <f t="shared" si="9"/>
        <v>1.5428005935629054</v>
      </c>
      <c r="AA10" s="229">
        <f t="shared" si="10"/>
        <v>18.795739753258349</v>
      </c>
      <c r="AB10" s="2">
        <f t="shared" si="28"/>
        <v>24.93124414315681</v>
      </c>
      <c r="AC10" s="158">
        <f t="shared" si="11"/>
        <v>24.365740889238232</v>
      </c>
      <c r="AD10" s="175">
        <f t="shared" si="12"/>
        <v>54.82291700078602</v>
      </c>
      <c r="AE10" s="175">
        <f t="shared" si="13"/>
        <v>72.599830230016238</v>
      </c>
      <c r="AF10" s="165">
        <f t="shared" si="23"/>
        <v>2.9795864020733247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33099.1687896367</v>
      </c>
      <c r="AK10" s="229">
        <f t="shared" si="17"/>
        <v>71.829793380287981</v>
      </c>
      <c r="AL10" s="229">
        <f t="shared" si="18"/>
        <v>55.491386675659186</v>
      </c>
      <c r="AM10" s="229">
        <f t="shared" si="19"/>
        <v>71.81999762570409</v>
      </c>
      <c r="AN10" s="2">
        <f t="shared" si="29"/>
        <v>55.491386675659186</v>
      </c>
      <c r="AO10" s="3">
        <f t="shared" si="20"/>
        <v>25570.430980143752</v>
      </c>
      <c r="AP10" s="227">
        <f t="shared" si="24"/>
        <v>1.452794718917157E-2</v>
      </c>
      <c r="AQ10" s="227">
        <f t="shared" si="30"/>
        <v>9.1558068579839655E-2</v>
      </c>
      <c r="AR10" s="231">
        <f t="shared" si="25"/>
        <v>8.5204826054385741E-7</v>
      </c>
      <c r="AS10" s="228">
        <f t="shared" si="31"/>
        <v>4.3925701439619165E-2</v>
      </c>
      <c r="AT10" s="232">
        <f t="shared" si="32"/>
        <v>-3.8311929266509618E-7</v>
      </c>
      <c r="AU10" s="165">
        <f t="shared" si="33"/>
        <v>9.7689722813079499E-2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1.93</v>
      </c>
      <c r="F11" s="73">
        <v>11.89</v>
      </c>
      <c r="G11" s="73">
        <v>6.65</v>
      </c>
      <c r="H11" s="73">
        <v>1820</v>
      </c>
      <c r="I11" s="78">
        <v>2345</v>
      </c>
      <c r="J11" s="61"/>
      <c r="K11" s="2">
        <f t="shared" si="2"/>
        <v>79.068500000000014</v>
      </c>
      <c r="L11" s="1">
        <f t="shared" si="3"/>
        <v>99</v>
      </c>
      <c r="M11" s="234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58">
        <f t="shared" si="0"/>
        <v>79.068500000000014</v>
      </c>
      <c r="V11" s="229">
        <f t="shared" si="21"/>
        <v>77.337520000000012</v>
      </c>
      <c r="W11" s="234">
        <f t="shared" si="22"/>
        <v>0.10371131574544003</v>
      </c>
      <c r="X11" s="230">
        <f t="shared" si="26"/>
        <v>1.6522318852283214E-2</v>
      </c>
      <c r="Y11" s="230">
        <f t="shared" si="27"/>
        <v>1.4658317299025194E-2</v>
      </c>
      <c r="Z11" s="228">
        <f t="shared" si="9"/>
        <v>1.6203574063057316</v>
      </c>
      <c r="AA11" s="229">
        <f t="shared" si="10"/>
        <v>20.230702096643892</v>
      </c>
      <c r="AB11" s="2">
        <f t="shared" si="28"/>
        <v>25.586298079062946</v>
      </c>
      <c r="AC11" s="158">
        <f t="shared" si="11"/>
        <v>24.970666370165908</v>
      </c>
      <c r="AD11" s="175">
        <f t="shared" si="12"/>
        <v>56.183999332873292</v>
      </c>
      <c r="AE11" s="175">
        <f t="shared" si="13"/>
        <v>73.683409785688113</v>
      </c>
      <c r="AF11" s="163">
        <f t="shared" si="23"/>
        <v>2.9507986968951103</v>
      </c>
      <c r="AG11" s="159">
        <f>$M$42/($Q$28*$Q$37*$Q$34*($AC11-$Q$47)^2/4/$AF11)/(PI()*$Q$37/60/($AC11-$Q$47))</f>
        <v>-0.69706398367606981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33747.946433673147</v>
      </c>
      <c r="AK11" s="229">
        <f t="shared" si="17"/>
        <v>73.237730975853182</v>
      </c>
      <c r="AL11" s="229">
        <f t="shared" si="18"/>
        <v>56.839172480802645</v>
      </c>
      <c r="AM11" s="229">
        <f t="shared" si="19"/>
        <v>73.226853231338964</v>
      </c>
      <c r="AN11" s="2">
        <f t="shared" si="29"/>
        <v>56.839172480802645</v>
      </c>
      <c r="AO11" s="3">
        <f t="shared" si="20"/>
        <v>26191.49067915386</v>
      </c>
      <c r="AP11" s="227">
        <f t="shared" si="24"/>
        <v>1.5085314891910312E-2</v>
      </c>
      <c r="AQ11" s="227">
        <f t="shared" si="30"/>
        <v>9.6934196288515045E-2</v>
      </c>
      <c r="AR11" s="231">
        <f t="shared" si="25"/>
        <v>8.6616045969198081E-7</v>
      </c>
      <c r="AS11" s="228">
        <f t="shared" si="31"/>
        <v>4.321002775641114E-2</v>
      </c>
      <c r="AT11" s="232">
        <f t="shared" si="32"/>
        <v>-3.9396650005048754E-7</v>
      </c>
      <c r="AU11" s="165">
        <f t="shared" si="33"/>
        <v>9.5000000000000029E-2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2.02</v>
      </c>
      <c r="F12" s="73">
        <v>11.85</v>
      </c>
      <c r="G12" s="73">
        <v>7.55</v>
      </c>
      <c r="H12" s="73">
        <v>1710</v>
      </c>
      <c r="I12" s="78">
        <v>2220</v>
      </c>
      <c r="J12" s="61"/>
      <c r="K12" s="2">
        <f t="shared" si="2"/>
        <v>89.467500000000001</v>
      </c>
      <c r="L12" s="1">
        <f t="shared" si="3"/>
        <v>110</v>
      </c>
      <c r="M12" s="234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58">
        <f t="shared" si="0"/>
        <v>89.467500000000001</v>
      </c>
      <c r="V12" s="229">
        <f t="shared" si="21"/>
        <v>87.736519999999999</v>
      </c>
      <c r="W12" s="234">
        <f t="shared" si="22"/>
        <v>0.11765660352344001</v>
      </c>
      <c r="X12" s="230">
        <f t="shared" si="26"/>
        <v>1.7611075728595545E-2</v>
      </c>
      <c r="Y12" s="230">
        <f t="shared" si="27"/>
        <v>1.5747074175337526E-2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29.935354272230107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77.832250426774166</v>
      </c>
      <c r="AF12" s="165">
        <f t="shared" si="23"/>
        <v>2.8386806619152343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35066.913295454338</v>
      </c>
      <c r="AK12" s="229">
        <f t="shared" si="17"/>
        <v>76.100072255760281</v>
      </c>
      <c r="AL12" s="229">
        <f t="shared" si="18"/>
        <v>59.579224993560686</v>
      </c>
      <c r="AM12" s="229">
        <f t="shared" si="19"/>
        <v>76.086994822529888</v>
      </c>
      <c r="AN12" s="2">
        <f t="shared" si="29"/>
        <v>59.579224993560686</v>
      </c>
      <c r="AO12" s="3">
        <f t="shared" si="20"/>
        <v>27454.106877032766</v>
      </c>
      <c r="AP12" s="227">
        <f t="shared" si="24"/>
        <v>1.6246672508802271E-2</v>
      </c>
      <c r="AQ12" s="227">
        <f t="shared" si="30"/>
        <v>0.1084768956979838</v>
      </c>
      <c r="AR12" s="231">
        <f t="shared" si="25"/>
        <v>8.9485060213805108E-7</v>
      </c>
      <c r="AS12" s="228">
        <f t="shared" si="31"/>
        <v>4.1824654769604085E-2</v>
      </c>
      <c r="AT12" s="232">
        <f t="shared" si="32"/>
        <v>-4.3785904429174298E-7</v>
      </c>
      <c r="AU12" s="165">
        <f t="shared" si="33"/>
        <v>8.5476862914493204E-2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2.2200000000000002</v>
      </c>
      <c r="F13" s="73">
        <v>11.77</v>
      </c>
      <c r="G13" s="73">
        <v>9.31</v>
      </c>
      <c r="H13" s="73">
        <v>1610</v>
      </c>
      <c r="I13" s="78">
        <v>2030</v>
      </c>
      <c r="J13" s="61"/>
      <c r="K13" s="2">
        <f t="shared" si="2"/>
        <v>109.5787</v>
      </c>
      <c r="L13" s="1">
        <f t="shared" si="3"/>
        <v>132</v>
      </c>
      <c r="M13" s="234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58">
        <f t="shared" si="0"/>
        <v>109.5787</v>
      </c>
      <c r="V13" s="229">
        <f t="shared" si="21"/>
        <v>107.84772</v>
      </c>
      <c r="W13" s="234">
        <f t="shared" si="22"/>
        <v>0.14462616516984</v>
      </c>
      <c r="X13" s="230">
        <f t="shared" si="26"/>
        <v>2.0381972622498658E-2</v>
      </c>
      <c r="Y13" s="230">
        <f t="shared" si="27"/>
        <v>1.8517971069240639E-2</v>
      </c>
      <c r="Z13" s="228">
        <f t="shared" si="9"/>
        <v>2.3407086194813465</v>
      </c>
      <c r="AA13" s="229">
        <f t="shared" si="10"/>
        <v>35.124953566728934</v>
      </c>
      <c r="AB13" s="2">
        <f t="shared" si="28"/>
        <v>32.054544876631077</v>
      </c>
      <c r="AC13" s="158">
        <f t="shared" si="11"/>
        <v>30.012239263263716</v>
      </c>
      <c r="AD13" s="175">
        <f t="shared" si="12"/>
        <v>67.527538342343348</v>
      </c>
      <c r="AE13" s="175">
        <f t="shared" si="13"/>
        <v>85.117042338639706</v>
      </c>
      <c r="AF13" s="165">
        <f t="shared" si="23"/>
        <v>2.8360776945699837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37349.325165766008</v>
      </c>
      <c r="AK13" s="229">
        <f t="shared" si="17"/>
        <v>81.053223015985253</v>
      </c>
      <c r="AL13" s="229">
        <f t="shared" si="18"/>
        <v>64.320760631499823</v>
      </c>
      <c r="AM13" s="229">
        <f t="shared" si="19"/>
        <v>81.036339121969291</v>
      </c>
      <c r="AN13" s="2">
        <f t="shared" si="29"/>
        <v>64.320760631499837</v>
      </c>
      <c r="AO13" s="3">
        <f t="shared" si="20"/>
        <v>29639.006498995124</v>
      </c>
      <c r="AP13" s="227">
        <f t="shared" si="24"/>
        <v>1.8345747573751899E-2</v>
      </c>
      <c r="AQ13" s="227">
        <f t="shared" si="30"/>
        <v>0.13046483083418173</v>
      </c>
      <c r="AR13" s="231">
        <f t="shared" si="25"/>
        <v>9.4449758234452328E-7</v>
      </c>
      <c r="AS13" s="228">
        <f t="shared" si="31"/>
        <v>3.962616549201943E-2</v>
      </c>
      <c r="AT13" s="232">
        <f t="shared" si="32"/>
        <v>-4.8436934873878421E-7</v>
      </c>
      <c r="AU13" s="165">
        <f t="shared" si="33"/>
        <v>7.7269169905670995E-2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2</v>
      </c>
      <c r="D14" s="80">
        <v>180</v>
      </c>
      <c r="E14" s="80">
        <v>2.65</v>
      </c>
      <c r="F14" s="80">
        <v>11.51</v>
      </c>
      <c r="G14" s="80">
        <v>14.62</v>
      </c>
      <c r="H14" s="80">
        <v>1370</v>
      </c>
      <c r="I14" s="81">
        <v>1680</v>
      </c>
      <c r="J14" s="61"/>
      <c r="K14" s="2">
        <f t="shared" si="2"/>
        <v>168.27619999999999</v>
      </c>
      <c r="L14" s="1">
        <f t="shared" si="3"/>
        <v>180</v>
      </c>
      <c r="M14" s="234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58">
        <f t="shared" si="0"/>
        <v>168.27619999999999</v>
      </c>
      <c r="V14" s="229">
        <f t="shared" si="21"/>
        <v>166.54522</v>
      </c>
      <c r="W14" s="234">
        <f t="shared" si="22"/>
        <v>0.22334080401484002</v>
      </c>
      <c r="X14" s="230">
        <f t="shared" si="26"/>
        <v>2.6783178111328961E-2</v>
      </c>
      <c r="Y14" s="230">
        <f t="shared" si="27"/>
        <v>2.4919176558070941E-2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54.254403729891621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102.84975949252301</v>
      </c>
      <c r="AF14" s="165">
        <f t="shared" si="23"/>
        <v>2.4924372674683695</v>
      </c>
      <c r="AG14" s="151"/>
      <c r="AH14" s="228">
        <f t="shared" si="14"/>
        <v>5</v>
      </c>
      <c r="AI14" s="228">
        <f t="shared" si="15"/>
        <v>180</v>
      </c>
      <c r="AJ14" s="229">
        <f t="shared" si="16"/>
        <v>41232.032742667434</v>
      </c>
      <c r="AK14" s="229">
        <f t="shared" si="17"/>
        <v>89.479237722802594</v>
      </c>
      <c r="AL14" s="229">
        <f t="shared" si="18"/>
        <v>72.386787884092314</v>
      </c>
      <c r="AM14" s="229">
        <f t="shared" si="19"/>
        <v>89.455878497000398</v>
      </c>
      <c r="AN14" s="2">
        <f t="shared" si="29"/>
        <v>72.386787884092286</v>
      </c>
      <c r="AO14" s="3">
        <f t="shared" si="20"/>
        <v>33355.831856989724</v>
      </c>
      <c r="AP14" s="227">
        <f t="shared" si="24"/>
        <v>2.2176915599306801E-2</v>
      </c>
      <c r="AQ14" s="227">
        <f t="shared" si="30"/>
        <v>0.174104971462679</v>
      </c>
      <c r="AR14" s="231">
        <f t="shared" si="25"/>
        <v>1.0289541647542625E-6</v>
      </c>
      <c r="AS14" s="228">
        <f t="shared" si="31"/>
        <v>3.6373648882343262E-2</v>
      </c>
      <c r="AT14" s="232">
        <f t="shared" si="32"/>
        <v>-6.8614319020602452E-7</v>
      </c>
      <c r="AU14" s="165">
        <f t="shared" si="33"/>
        <v>5.4546657372724745E-2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94.180507611575763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78.613865839269394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13129.73420728842</v>
      </c>
      <c r="S41" s="67">
        <f>INDEX(LINEST($Q$4:$Q$14,$E$4:$E$14^{1,2},FALSE,FALSE),1)</f>
        <v>110.96926069752767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64.000283767308289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-23776.551908037785</v>
      </c>
      <c r="R42" s="67">
        <f>INDEX(LINEST($P$4:$P$14,$M$4:$M$14),1)</f>
        <v>12518.606743200846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39.992256077657927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-6114.6309126820452</v>
      </c>
      <c r="R43" s="69">
        <f>INDEX(LINEST($Q$4:$Q$14,$P$4:$P$14),1)</f>
        <v>0.95727666438398118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30.597810459968649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6403.5412099425012</v>
      </c>
      <c r="R44" s="69">
        <f>INDEX(LINEST($P$4:$P$14,$Q$4:$Q$14),1)</f>
        <v>1.0438272908543638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27.408338182358097</v>
      </c>
      <c r="K45" s="246">
        <v>0.5</v>
      </c>
      <c r="L45" s="255"/>
      <c r="M45" s="256"/>
      <c r="P45" s="65" t="s">
        <v>180</v>
      </c>
      <c r="Q45" s="206">
        <f>AG11</f>
        <v>-0.69706398367606981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2.9507986968951103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-1.7588963712643103E-3</v>
      </c>
      <c r="K48" s="180">
        <f>INDEX(LINEST($Y$3:$Y$14,$P$3:$P$14^{1,2}),2)</f>
        <v>1.3207576166030541E-7</v>
      </c>
      <c r="L48" s="180">
        <f>INDEX(LINEST($Y$3:$Y$14,$P$3:$P$14^{1,2}),1)</f>
        <v>1.0875990624709801E-11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abSelected="1" topLeftCell="I36" zoomScale="90" zoomScaleNormal="90" workbookViewId="0">
      <selection activeCell="R51" sqref="R5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2" si="1">D2/180+1</f>
        <v>1.0372724106884923</v>
      </c>
      <c r="D2" s="262">
        <f>EXP((0-$Q$40)/$R$40)</f>
        <v>6.7090339239286205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6.7090339239286205</v>
      </c>
      <c r="M2" s="234">
        <f t="shared" ref="M2:M12" si="4">LN(L2)</f>
        <v>1.9034549650486081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6.7090339239286205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1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3" si="15">D2/$Q$30*$Q$22</f>
        <v>0.18636205344246171</v>
      </c>
      <c r="AI2" s="228">
        <f t="shared" ref="AI2:AI13" si="16">AH2/$Q$22*$Q$30</f>
        <v>6.7090339239286205</v>
      </c>
      <c r="AJ2" s="229">
        <f t="shared" ref="AJ2:AJ13" si="17">MAX(($Q$40+$R$40*LN($AI2)),0)</f>
        <v>0</v>
      </c>
      <c r="AK2" s="229">
        <f t="shared" ref="AK2:AK13" si="18">MAX(($Q$40+$R$40*LN(AI2))/$Q$29,0)</f>
        <v>0</v>
      </c>
      <c r="AL2" s="229">
        <f t="shared" ref="AL2:AL13" si="19">($Q$41+$R$41*AK2*$Q$29)/$Q$29</f>
        <v>-13.964544696589824</v>
      </c>
      <c r="AM2" s="229">
        <f t="shared" ref="AM2:AM13" si="20">($Q$42+$R$42*AL2*$Q$29)/$Q$29</f>
        <v>9.1881258622900461E-2</v>
      </c>
      <c r="AN2" s="1"/>
      <c r="AO2" s="1">
        <f t="shared" ref="AO2:AO13" si="21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1.0555555555555556</v>
      </c>
      <c r="D3" s="73">
        <v>10</v>
      </c>
      <c r="E3" s="109">
        <v>7.0000000000000007E-2</v>
      </c>
      <c r="F3" s="73">
        <v>12.22</v>
      </c>
      <c r="G3" s="106">
        <v>0.35699999999999998</v>
      </c>
      <c r="H3" s="73">
        <v>7360</v>
      </c>
      <c r="I3" s="191">
        <v>1.0000000000000001E+32</v>
      </c>
      <c r="J3" s="61"/>
      <c r="K3" s="2">
        <f t="shared" si="2"/>
        <v>4.3625400000000001</v>
      </c>
      <c r="L3" s="1">
        <f t="shared" si="3"/>
        <v>10</v>
      </c>
      <c r="M3" s="234">
        <f t="shared" si="4"/>
        <v>2.3025850929940459</v>
      </c>
      <c r="N3" s="3">
        <f t="shared" si="5"/>
        <v>135.86956521739131</v>
      </c>
      <c r="O3" s="3">
        <f t="shared" si="5"/>
        <v>9.999999999999999E-27</v>
      </c>
      <c r="P3" s="3">
        <f t="shared" si="6"/>
        <v>8152.1739130434789</v>
      </c>
      <c r="Q3" s="3">
        <f t="shared" ref="Q3:Q12" si="22">O3*60/$C$24</f>
        <v>5.9999999999999995E-25</v>
      </c>
      <c r="R3" s="3">
        <f t="shared" si="7"/>
        <v>17.69134963768116</v>
      </c>
      <c r="S3" s="3">
        <f t="shared" si="8"/>
        <v>1.3020833333333332E-27</v>
      </c>
      <c r="T3" s="3">
        <f>L3</f>
        <v>10</v>
      </c>
      <c r="U3" s="158">
        <f>K3</f>
        <v>4.3625400000000001</v>
      </c>
      <c r="V3" s="1">
        <f t="shared" ref="V3:V12" si="23">($U3-$U$2)</f>
        <v>3.4330600000000002</v>
      </c>
      <c r="W3" s="234">
        <f t="shared" ref="W3:W12" si="24">($U3-$U$2)*0.001341022</f>
        <v>4.603808987320001E-3</v>
      </c>
      <c r="X3" s="230">
        <f>$W3/$P3*5252</f>
        <v>2.9659824556389695E-3</v>
      </c>
      <c r="Y3" s="230">
        <f>X3-$X$3</f>
        <v>0</v>
      </c>
      <c r="Z3" s="228">
        <f t="shared" si="10"/>
        <v>2.4501436049868833E-2</v>
      </c>
      <c r="AA3" s="229">
        <f t="shared" si="11"/>
        <v>3.7616816315326256E-2</v>
      </c>
      <c r="AB3" s="2">
        <f>AA3/U3*100</f>
        <v>0.86226868556680858</v>
      </c>
      <c r="AC3" s="158">
        <f t="shared" si="12"/>
        <v>3.0705805356684497</v>
      </c>
      <c r="AD3" s="175">
        <f t="shared" si="13"/>
        <v>6.9088062052540122</v>
      </c>
      <c r="AE3" s="4">
        <f t="shared" si="14"/>
        <v>1.7278759594743859E-27</v>
      </c>
      <c r="AF3" s="158">
        <f t="shared" ref="AF3:AF12" si="25">AE3/AC3</f>
        <v>5.627196353924116E-28</v>
      </c>
      <c r="AH3" s="228">
        <f t="shared" si="15"/>
        <v>0.27777777777777779</v>
      </c>
      <c r="AI3" s="228">
        <f t="shared" si="16"/>
        <v>10</v>
      </c>
      <c r="AJ3" s="229">
        <f t="shared" si="17"/>
        <v>4955.5552609427614</v>
      </c>
      <c r="AK3" s="229">
        <f t="shared" si="18"/>
        <v>10.754243187809811</v>
      </c>
      <c r="AL3" s="229">
        <f t="shared" si="19"/>
        <v>-3.4566594209835877</v>
      </c>
      <c r="AM3" s="229">
        <f t="shared" si="20"/>
        <v>10.830615370281183</v>
      </c>
      <c r="AN3" s="1"/>
      <c r="AO3" s="1">
        <f t="shared" si="21"/>
        <v>0</v>
      </c>
      <c r="AP3" s="227">
        <f t="shared" ref="AP3:AP13" si="26">MAX($J$46+$AJ3*($K$46+$AJ3*$L$46), 0)</f>
        <v>0</v>
      </c>
      <c r="AQ3" s="227">
        <f>AJ3*AP3/5252</f>
        <v>0</v>
      </c>
      <c r="AR3" s="231">
        <f t="shared" ref="AR3:AR13" si="27">MAX($K$46+$L$46*2*AJ3,1E-32)</f>
        <v>2.4215538624094316E-7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1.0777777777777777</v>
      </c>
      <c r="D4" s="73">
        <v>14</v>
      </c>
      <c r="E4" s="109">
        <v>0.3</v>
      </c>
      <c r="F4" s="73">
        <v>12.22</v>
      </c>
      <c r="G4" s="106">
        <v>0.54700000000000004</v>
      </c>
      <c r="H4" s="73">
        <v>5440</v>
      </c>
      <c r="I4" s="78">
        <v>80000</v>
      </c>
      <c r="J4" s="61"/>
      <c r="K4" s="2">
        <f t="shared" si="2"/>
        <v>6.6843400000000006</v>
      </c>
      <c r="L4" s="1">
        <f t="shared" si="3"/>
        <v>14</v>
      </c>
      <c r="M4" s="234">
        <f t="shared" si="4"/>
        <v>2.6390573296152584</v>
      </c>
      <c r="N4" s="3">
        <f t="shared" si="5"/>
        <v>183.82352941176472</v>
      </c>
      <c r="O4" s="3">
        <f t="shared" si="5"/>
        <v>12.500000000000002</v>
      </c>
      <c r="P4" s="3">
        <f t="shared" si="6"/>
        <v>11029.411764705883</v>
      </c>
      <c r="Q4" s="3">
        <f t="shared" si="22"/>
        <v>750.00000000000011</v>
      </c>
      <c r="R4" s="3">
        <f t="shared" si="7"/>
        <v>23.935355392156865</v>
      </c>
      <c r="S4" s="3">
        <f t="shared" si="8"/>
        <v>1.627604166666667</v>
      </c>
      <c r="T4" s="3">
        <f t="shared" si="9"/>
        <v>14</v>
      </c>
      <c r="U4" s="158">
        <f t="shared" si="0"/>
        <v>6.6843400000000006</v>
      </c>
      <c r="V4" s="229">
        <f t="shared" si="23"/>
        <v>5.7548600000000008</v>
      </c>
      <c r="W4" s="234">
        <f t="shared" si="24"/>
        <v>7.7173938669200014E-3</v>
      </c>
      <c r="X4" s="230">
        <f t="shared" ref="X4:X12" si="28">$W4/$P4*5252</f>
        <v>3.6748789014084552E-3</v>
      </c>
      <c r="Y4" s="230">
        <f t="shared" ref="Y4:Y12" si="29">X4-$X$3</f>
        <v>7.0889644576948565E-4</v>
      </c>
      <c r="Z4" s="228">
        <f t="shared" si="10"/>
        <v>6.0677584453237142E-2</v>
      </c>
      <c r="AA4" s="229">
        <f t="shared" si="11"/>
        <v>0.14660107411535164</v>
      </c>
      <c r="AB4" s="2">
        <f t="shared" ref="AB4:AB11" si="30">AA4/U4*100</f>
        <v>2.1932019334048181</v>
      </c>
      <c r="AC4" s="158">
        <f t="shared" si="12"/>
        <v>4.8321328357536641</v>
      </c>
      <c r="AD4" s="175">
        <f t="shared" si="13"/>
        <v>10.872298880445744</v>
      </c>
      <c r="AE4" s="175">
        <f t="shared" si="14"/>
        <v>2.1598449493429834</v>
      </c>
      <c r="AF4" s="158">
        <f t="shared" si="25"/>
        <v>0.44697549151835642</v>
      </c>
      <c r="AG4" s="151"/>
      <c r="AH4" s="228">
        <f t="shared" si="15"/>
        <v>0.3888888888888889</v>
      </c>
      <c r="AI4" s="228">
        <f t="shared" si="16"/>
        <v>14</v>
      </c>
      <c r="AJ4" s="229">
        <f t="shared" si="17"/>
        <v>9133.1571145852577</v>
      </c>
      <c r="AK4" s="229">
        <f t="shared" si="18"/>
        <v>19.820219432693701</v>
      </c>
      <c r="AL4" s="229">
        <f t="shared" si="19"/>
        <v>5.4016336851826967</v>
      </c>
      <c r="AM4" s="229">
        <f t="shared" si="20"/>
        <v>19.88351724874855</v>
      </c>
      <c r="AN4" s="2">
        <f t="shared" ref="AN4:AN13" si="31">AO4/$Q$29</f>
        <v>5.4016336851826967</v>
      </c>
      <c r="AO4" s="3">
        <f t="shared" si="21"/>
        <v>2489.0728021321866</v>
      </c>
      <c r="AP4" s="227">
        <f t="shared" si="26"/>
        <v>4.7406206488910443E-5</v>
      </c>
      <c r="AQ4" s="227">
        <f t="shared" ref="AQ4:AQ13" si="32">AJ4*AP4/5252</f>
        <v>8.2438753250131417E-5</v>
      </c>
      <c r="AR4" s="231">
        <f t="shared" si="27"/>
        <v>3.298719185561271E-7</v>
      </c>
      <c r="AS4" s="228">
        <f t="shared" ref="AS4:AS13" si="33">$Q$34/AR4</f>
        <v>0.11345863469863143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0.72</v>
      </c>
      <c r="F5" s="73">
        <v>12.18</v>
      </c>
      <c r="G5" s="73">
        <v>1.21</v>
      </c>
      <c r="H5" s="73">
        <v>3610</v>
      </c>
      <c r="I5" s="78">
        <v>6240</v>
      </c>
      <c r="J5" s="61"/>
      <c r="K5" s="2">
        <f t="shared" si="2"/>
        <v>14.7378</v>
      </c>
      <c r="L5" s="1">
        <f t="shared" si="3"/>
        <v>26</v>
      </c>
      <c r="M5" s="234">
        <f t="shared" si="4"/>
        <v>3.2580965380214821</v>
      </c>
      <c r="N5" s="3">
        <f t="shared" si="5"/>
        <v>277.0083102493075</v>
      </c>
      <c r="O5" s="3">
        <f t="shared" si="5"/>
        <v>160.25641025641028</v>
      </c>
      <c r="P5" s="3">
        <f t="shared" si="6"/>
        <v>16620.498614958451</v>
      </c>
      <c r="Q5" s="3">
        <f t="shared" si="22"/>
        <v>9615.3846153846171</v>
      </c>
      <c r="R5" s="3">
        <f t="shared" si="7"/>
        <v>36.068790397045248</v>
      </c>
      <c r="S5" s="3">
        <f t="shared" si="8"/>
        <v>20.866720085470089</v>
      </c>
      <c r="T5" s="3">
        <f t="shared" si="9"/>
        <v>26</v>
      </c>
      <c r="U5" s="158">
        <f t="shared" si="0"/>
        <v>14.7378</v>
      </c>
      <c r="V5" s="229">
        <f t="shared" si="23"/>
        <v>13.80832</v>
      </c>
      <c r="W5" s="234">
        <f t="shared" si="24"/>
        <v>1.8517260903040001E-2</v>
      </c>
      <c r="X5" s="230">
        <f t="shared" si="28"/>
        <v>5.8513680314764257E-3</v>
      </c>
      <c r="Y5" s="230">
        <f t="shared" si="29"/>
        <v>2.8853855758374561E-3</v>
      </c>
      <c r="Z5" s="228">
        <f t="shared" si="10"/>
        <v>0.20763634563922254</v>
      </c>
      <c r="AA5" s="229">
        <f t="shared" si="11"/>
        <v>0.92800388075325091</v>
      </c>
      <c r="AB5" s="2">
        <f t="shared" si="30"/>
        <v>6.2967599014320381</v>
      </c>
      <c r="AC5" s="158">
        <f t="shared" si="12"/>
        <v>8.9387421830829101</v>
      </c>
      <c r="AD5" s="175">
        <f t="shared" si="13"/>
        <v>20.112169911936547</v>
      </c>
      <c r="AE5" s="175">
        <f t="shared" si="14"/>
        <v>27.690319863371577</v>
      </c>
      <c r="AF5" s="158">
        <f t="shared" si="25"/>
        <v>3.0977870595459303</v>
      </c>
      <c r="AG5" s="151"/>
      <c r="AH5" s="228">
        <f t="shared" si="15"/>
        <v>0.7222222222222221</v>
      </c>
      <c r="AI5" s="228">
        <f t="shared" si="16"/>
        <v>25.999999999999996</v>
      </c>
      <c r="AJ5" s="229">
        <f t="shared" si="17"/>
        <v>16819.07905121908</v>
      </c>
      <c r="AK5" s="229">
        <f t="shared" si="18"/>
        <v>36.499737524346962</v>
      </c>
      <c r="AL5" s="229">
        <f t="shared" si="19"/>
        <v>21.699057827325941</v>
      </c>
      <c r="AM5" s="229">
        <f t="shared" si="20"/>
        <v>36.538981214812814</v>
      </c>
      <c r="AN5" s="2">
        <f t="shared" si="31"/>
        <v>21.699057827325941</v>
      </c>
      <c r="AO5" s="3">
        <f t="shared" si="21"/>
        <v>9998.925846831793</v>
      </c>
      <c r="AP5" s="227">
        <f t="shared" si="26"/>
        <v>3.2029540127219589E-3</v>
      </c>
      <c r="AQ5" s="227">
        <f t="shared" si="32"/>
        <v>1.0257185212755138E-2</v>
      </c>
      <c r="AR5" s="231">
        <f t="shared" si="27"/>
        <v>4.9125216577592726E-7</v>
      </c>
      <c r="AS5" s="228">
        <f t="shared" si="33"/>
        <v>7.6186569978131474E-2</v>
      </c>
      <c r="AT5" s="232"/>
      <c r="AU5" s="165"/>
      <c r="AX5" s="127"/>
      <c r="AY5" s="96"/>
    </row>
    <row r="6" spans="1:51" ht="13.95" customHeight="1" x14ac:dyDescent="0.3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0.97</v>
      </c>
      <c r="F6" s="73">
        <v>12.16</v>
      </c>
      <c r="G6" s="73">
        <v>1.74</v>
      </c>
      <c r="H6" s="73">
        <v>3080</v>
      </c>
      <c r="I6" s="78">
        <v>4780</v>
      </c>
      <c r="J6" s="61"/>
      <c r="K6" s="2">
        <f t="shared" si="2"/>
        <v>21.1584</v>
      </c>
      <c r="L6" s="1">
        <f t="shared" si="3"/>
        <v>34</v>
      </c>
      <c r="M6" s="234">
        <f t="shared" si="4"/>
        <v>3.5263605246161616</v>
      </c>
      <c r="N6" s="3">
        <f t="shared" si="5"/>
        <v>324.6753246753247</v>
      </c>
      <c r="O6" s="3">
        <f t="shared" si="5"/>
        <v>209.20502092050208</v>
      </c>
      <c r="P6" s="3">
        <f t="shared" si="6"/>
        <v>19480.519480519481</v>
      </c>
      <c r="Q6" s="3">
        <f t="shared" si="22"/>
        <v>12552.301255230124</v>
      </c>
      <c r="R6" s="3">
        <f t="shared" si="7"/>
        <v>42.275432900432897</v>
      </c>
      <c r="S6" s="3">
        <f t="shared" si="8"/>
        <v>27.240237099023705</v>
      </c>
      <c r="T6" s="3">
        <f t="shared" si="9"/>
        <v>34</v>
      </c>
      <c r="U6" s="158">
        <f t="shared" si="0"/>
        <v>21.1584</v>
      </c>
      <c r="V6" s="229">
        <f t="shared" si="23"/>
        <v>20.228919999999999</v>
      </c>
      <c r="W6" s="234">
        <f t="shared" si="24"/>
        <v>2.7127426756240001E-2</v>
      </c>
      <c r="X6" s="230">
        <f t="shared" si="28"/>
        <v>7.3136265932869874E-3</v>
      </c>
      <c r="Y6" s="230">
        <f t="shared" si="29"/>
        <v>4.3476441376480175E-3</v>
      </c>
      <c r="Z6" s="228">
        <f t="shared" si="10"/>
        <v>0.33432806364140599</v>
      </c>
      <c r="AA6" s="229">
        <f t="shared" si="11"/>
        <v>1.8960682969048819</v>
      </c>
      <c r="AB6" s="2">
        <f t="shared" si="30"/>
        <v>8.9613028249058626</v>
      </c>
      <c r="AC6" s="158">
        <f t="shared" si="12"/>
        <v>11.342561412604413</v>
      </c>
      <c r="AD6" s="175">
        <f t="shared" si="13"/>
        <v>25.520763178359928</v>
      </c>
      <c r="AE6" s="175">
        <f t="shared" si="14"/>
        <v>36.14803262498716</v>
      </c>
      <c r="AF6" s="158">
        <f t="shared" si="25"/>
        <v>3.1869373512774359</v>
      </c>
      <c r="AG6" s="151"/>
      <c r="AH6" s="228">
        <f t="shared" si="15"/>
        <v>0.94444444444444442</v>
      </c>
      <c r="AI6" s="228">
        <f t="shared" si="16"/>
        <v>34</v>
      </c>
      <c r="AJ6" s="233">
        <f t="shared" si="17"/>
        <v>20149.814861452069</v>
      </c>
      <c r="AK6" s="233">
        <f t="shared" si="18"/>
        <v>43.727896834748414</v>
      </c>
      <c r="AL6" s="233">
        <f t="shared" si="19"/>
        <v>28.761634659659219</v>
      </c>
      <c r="AM6" s="233">
        <f t="shared" si="20"/>
        <v>43.756716539888409</v>
      </c>
      <c r="AN6" s="9">
        <f t="shared" si="31"/>
        <v>28.761634659659219</v>
      </c>
      <c r="AO6" s="10">
        <f t="shared" si="21"/>
        <v>13253.361251170969</v>
      </c>
      <c r="AP6" s="230">
        <f t="shared" si="26"/>
        <v>4.9556527014363687E-3</v>
      </c>
      <c r="AQ6" s="230">
        <f t="shared" si="32"/>
        <v>1.9012849286290486E-2</v>
      </c>
      <c r="AR6" s="232">
        <f t="shared" si="27"/>
        <v>5.6118716809715231E-7</v>
      </c>
      <c r="AS6" s="228">
        <f t="shared" si="33"/>
        <v>6.6692218982307566E-2</v>
      </c>
      <c r="AT6" s="232">
        <f t="shared" ref="AT6:AT12" si="34">$Q$43*$Q$26*$Q$35^2*$Q$32*PI()/240*($AC6-$Q$45)/$Q$44*$Q$33</f>
        <v>-1.5540821955235065E-7</v>
      </c>
      <c r="AU6" s="165">
        <f t="shared" ref="AU6:AU12" si="35">-$Q$34/AT6</f>
        <v>0.24082907334376075</v>
      </c>
      <c r="AX6" s="127"/>
      <c r="AY6" s="96"/>
    </row>
    <row r="7" spans="1:51" ht="13.95" customHeight="1" x14ac:dyDescent="0.3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1.3149999999999999</v>
      </c>
      <c r="F7" s="73">
        <v>12.05</v>
      </c>
      <c r="G7" s="73">
        <v>2.92</v>
      </c>
      <c r="H7" s="73">
        <v>2490</v>
      </c>
      <c r="I7" s="78">
        <v>3500</v>
      </c>
      <c r="J7" s="61"/>
      <c r="K7" s="2">
        <f t="shared" si="2"/>
        <v>35.186</v>
      </c>
      <c r="L7" s="1">
        <f t="shared" si="3"/>
        <v>51</v>
      </c>
      <c r="M7" s="234">
        <f t="shared" si="4"/>
        <v>3.9318256327243257</v>
      </c>
      <c r="N7" s="3">
        <f t="shared" si="5"/>
        <v>401.60642570281129</v>
      </c>
      <c r="O7" s="3">
        <f t="shared" si="5"/>
        <v>285.71428571428572</v>
      </c>
      <c r="P7" s="3">
        <f t="shared" si="6"/>
        <v>24096.385542168679</v>
      </c>
      <c r="Q7" s="3">
        <f t="shared" si="22"/>
        <v>17142.857142857145</v>
      </c>
      <c r="R7" s="3">
        <f t="shared" si="7"/>
        <v>52.292503346720224</v>
      </c>
      <c r="S7" s="3">
        <f t="shared" si="8"/>
        <v>37.202380952380956</v>
      </c>
      <c r="T7" s="3">
        <f t="shared" si="9"/>
        <v>51</v>
      </c>
      <c r="U7" s="158">
        <f t="shared" si="0"/>
        <v>35.186</v>
      </c>
      <c r="V7" s="229">
        <f t="shared" si="23"/>
        <v>34.256520000000002</v>
      </c>
      <c r="W7" s="234">
        <f t="shared" si="24"/>
        <v>4.5938746963440004E-2</v>
      </c>
      <c r="X7" s="230">
        <f t="shared" si="28"/>
        <v>1.0012717410657455E-2</v>
      </c>
      <c r="Y7" s="230">
        <f t="shared" si="29"/>
        <v>7.0467349550184851E-3</v>
      </c>
      <c r="Z7" s="228">
        <f t="shared" si="10"/>
        <v>0.63274240545140414</v>
      </c>
      <c r="AA7" s="229">
        <f t="shared" si="11"/>
        <v>4.9366818441590627</v>
      </c>
      <c r="AB7" s="2">
        <f t="shared" si="30"/>
        <v>14.030244540894286</v>
      </c>
      <c r="AC7" s="158">
        <f t="shared" si="12"/>
        <v>15.60408090757625</v>
      </c>
      <c r="AD7" s="175">
        <f t="shared" si="13"/>
        <v>35.109182042046562</v>
      </c>
      <c r="AE7" s="175">
        <f t="shared" si="14"/>
        <v>49.367884556411035</v>
      </c>
      <c r="AF7" s="158">
        <f t="shared" si="25"/>
        <v>3.1637803500776163</v>
      </c>
      <c r="AG7" s="151"/>
      <c r="AH7" s="228">
        <f t="shared" si="15"/>
        <v>1.4166666666666665</v>
      </c>
      <c r="AI7" s="228">
        <f t="shared" si="16"/>
        <v>51</v>
      </c>
      <c r="AJ7" s="229">
        <f t="shared" si="17"/>
        <v>25184.024531258845</v>
      </c>
      <c r="AK7" s="229">
        <f t="shared" si="18"/>
        <v>54.652831014016591</v>
      </c>
      <c r="AL7" s="229">
        <f t="shared" si="19"/>
        <v>39.436300742106155</v>
      </c>
      <c r="AM7" s="229">
        <f t="shared" si="20"/>
        <v>54.665895483462393</v>
      </c>
      <c r="AN7" s="2">
        <f t="shared" si="31"/>
        <v>39.436300742106155</v>
      </c>
      <c r="AO7" s="3">
        <f t="shared" si="21"/>
        <v>18172.247381962516</v>
      </c>
      <c r="AP7" s="227">
        <f t="shared" si="26"/>
        <v>8.0468511177519183E-3</v>
      </c>
      <c r="AQ7" s="227">
        <f t="shared" si="32"/>
        <v>3.8585699914099769E-2</v>
      </c>
      <c r="AR7" s="231">
        <f t="shared" si="27"/>
        <v>6.6688977707076621E-7</v>
      </c>
      <c r="AS7" s="228">
        <f t="shared" si="33"/>
        <v>5.6121444340006467E-2</v>
      </c>
      <c r="AT7" s="232">
        <f t="shared" si="34"/>
        <v>-2.5982583795886433E-7</v>
      </c>
      <c r="AU7" s="165">
        <f t="shared" si="35"/>
        <v>0.14404578774310253</v>
      </c>
      <c r="AX7" s="127"/>
      <c r="AY7" s="96"/>
    </row>
    <row r="8" spans="1:51" ht="13.95" customHeight="1" x14ac:dyDescent="0.3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1.68</v>
      </c>
      <c r="F8" s="73">
        <v>11.97</v>
      </c>
      <c r="G8" s="73">
        <v>4.82</v>
      </c>
      <c r="H8" s="73">
        <v>2070</v>
      </c>
      <c r="I8" s="78">
        <v>2720</v>
      </c>
      <c r="J8" s="61"/>
      <c r="K8" s="2">
        <f t="shared" si="2"/>
        <v>57.695400000000006</v>
      </c>
      <c r="L8" s="1">
        <f t="shared" si="3"/>
        <v>76</v>
      </c>
      <c r="M8" s="234">
        <f t="shared" si="4"/>
        <v>4.3307333402863311</v>
      </c>
      <c r="N8" s="3">
        <f t="shared" si="5"/>
        <v>483.09178743961354</v>
      </c>
      <c r="O8" s="3">
        <f t="shared" si="5"/>
        <v>367.64705882352945</v>
      </c>
      <c r="P8" s="3">
        <f t="shared" si="6"/>
        <v>28985.507246376812</v>
      </c>
      <c r="Q8" s="3">
        <f t="shared" si="22"/>
        <v>22058.823529411766</v>
      </c>
      <c r="R8" s="3">
        <f t="shared" si="7"/>
        <v>62.902576489533011</v>
      </c>
      <c r="S8" s="3">
        <f t="shared" si="8"/>
        <v>47.870710784313729</v>
      </c>
      <c r="T8" s="3">
        <f t="shared" si="9"/>
        <v>76</v>
      </c>
      <c r="U8" s="158">
        <f t="shared" si="0"/>
        <v>57.695400000000006</v>
      </c>
      <c r="V8" s="229">
        <f t="shared" si="23"/>
        <v>56.765920000000008</v>
      </c>
      <c r="W8" s="234">
        <f t="shared" si="24"/>
        <v>7.6124347570240017E-2</v>
      </c>
      <c r="X8" s="230">
        <f t="shared" si="28"/>
        <v>1.3793275033642069E-2</v>
      </c>
      <c r="Y8" s="230">
        <f t="shared" si="29"/>
        <v>1.0827292578003099E-2</v>
      </c>
      <c r="Z8" s="228">
        <f t="shared" si="10"/>
        <v>1.1013210651331984</v>
      </c>
      <c r="AA8" s="229">
        <f t="shared" si="11"/>
        <v>11.336151631995348</v>
      </c>
      <c r="AB8" s="2">
        <f t="shared" si="30"/>
        <v>19.648276347846355</v>
      </c>
      <c r="AC8" s="158">
        <f t="shared" si="12"/>
        <v>20.586461098198111</v>
      </c>
      <c r="AD8" s="175">
        <f t="shared" si="13"/>
        <v>46.319537470945747</v>
      </c>
      <c r="AE8" s="175">
        <f t="shared" si="14"/>
        <v>63.524851451264198</v>
      </c>
      <c r="AF8" s="163">
        <f t="shared" si="25"/>
        <v>3.0857587007426153</v>
      </c>
      <c r="AG8" s="159">
        <f>$M$40/($Q$26*$Q$35*$Q$32*($AC8-$Q$45)^2/4/$AF8)/(PI()*$Q$35/60/($AC8-$Q$45))</f>
        <v>-0.99606633499190611</v>
      </c>
      <c r="AH8" s="228">
        <f t="shared" si="15"/>
        <v>2.1111111111111112</v>
      </c>
      <c r="AI8" s="228">
        <f t="shared" si="16"/>
        <v>76</v>
      </c>
      <c r="AJ8" s="229">
        <f t="shared" si="17"/>
        <v>30136.818245467628</v>
      </c>
      <c r="AK8" s="229">
        <f t="shared" si="18"/>
        <v>65.401081261865514</v>
      </c>
      <c r="AL8" s="229">
        <f t="shared" si="19"/>
        <v>49.938330363858107</v>
      </c>
      <c r="AM8" s="229">
        <f t="shared" si="20"/>
        <v>65.398645297791418</v>
      </c>
      <c r="AN8" s="2">
        <f t="shared" si="31"/>
        <v>49.9383303638581</v>
      </c>
      <c r="AO8" s="3">
        <f t="shared" si="21"/>
        <v>23011.582631665813</v>
      </c>
      <c r="AP8" s="227">
        <f t="shared" si="26"/>
        <v>1.1607346872347815E-2</v>
      </c>
      <c r="AQ8" s="227">
        <f t="shared" si="32"/>
        <v>6.660481778447129E-2</v>
      </c>
      <c r="AR8" s="231">
        <f t="shared" si="27"/>
        <v>7.70882906407407E-7</v>
      </c>
      <c r="AS8" s="228">
        <f t="shared" si="33"/>
        <v>4.855058685789107E-2</v>
      </c>
      <c r="AT8" s="232">
        <f t="shared" si="34"/>
        <v>-3.8190630106935023E-7</v>
      </c>
      <c r="AU8" s="165">
        <f t="shared" si="35"/>
        <v>9.8000000000000004E-2</v>
      </c>
      <c r="AX8" s="127"/>
      <c r="AY8" s="96"/>
    </row>
    <row r="9" spans="1:51" ht="13.95" customHeight="1" x14ac:dyDescent="0.3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1.86</v>
      </c>
      <c r="F9" s="73">
        <v>11.92</v>
      </c>
      <c r="G9" s="73">
        <v>5.99</v>
      </c>
      <c r="H9" s="73">
        <v>1890</v>
      </c>
      <c r="I9" s="78">
        <v>2480</v>
      </c>
      <c r="J9" s="61"/>
      <c r="K9" s="2">
        <f t="shared" si="2"/>
        <v>71.400800000000004</v>
      </c>
      <c r="L9" s="1">
        <f t="shared" si="3"/>
        <v>91</v>
      </c>
      <c r="M9" s="234">
        <f t="shared" si="4"/>
        <v>4.5108595065168497</v>
      </c>
      <c r="N9" s="3">
        <f t="shared" si="5"/>
        <v>529.10052910052912</v>
      </c>
      <c r="O9" s="3">
        <f t="shared" si="5"/>
        <v>403.22580645161293</v>
      </c>
      <c r="P9" s="3">
        <f t="shared" si="6"/>
        <v>31746.031746031746</v>
      </c>
      <c r="Q9" s="3">
        <f t="shared" si="22"/>
        <v>24193.548387096776</v>
      </c>
      <c r="R9" s="3">
        <f t="shared" si="7"/>
        <v>68.893298059964721</v>
      </c>
      <c r="S9" s="3">
        <f t="shared" si="8"/>
        <v>52.503360215053767</v>
      </c>
      <c r="T9" s="3">
        <f t="shared" si="9"/>
        <v>91</v>
      </c>
      <c r="U9" s="158">
        <f t="shared" si="0"/>
        <v>71.400800000000004</v>
      </c>
      <c r="V9" s="229">
        <f t="shared" si="23"/>
        <v>70.471320000000006</v>
      </c>
      <c r="W9" s="234">
        <f t="shared" si="24"/>
        <v>9.4503590489040015E-2</v>
      </c>
      <c r="X9" s="230">
        <f t="shared" si="28"/>
        <v>1.5634485003325801E-2</v>
      </c>
      <c r="Y9" s="230">
        <f t="shared" si="29"/>
        <v>1.2668502547686832E-2</v>
      </c>
      <c r="Z9" s="228">
        <f t="shared" si="10"/>
        <v>1.446903509283622</v>
      </c>
      <c r="AA9" s="229">
        <f t="shared" si="11"/>
        <v>17.070808173780513</v>
      </c>
      <c r="AB9" s="2">
        <f t="shared" si="30"/>
        <v>23.908427039725762</v>
      </c>
      <c r="AC9" s="158">
        <f t="shared" si="12"/>
        <v>23.596332532543876</v>
      </c>
      <c r="AD9" s="175">
        <f t="shared" si="13"/>
        <v>53.091748198223712</v>
      </c>
      <c r="AE9" s="175">
        <f t="shared" si="14"/>
        <v>69.672417720741393</v>
      </c>
      <c r="AF9" s="165">
        <f t="shared" si="25"/>
        <v>2.9526799397596952</v>
      </c>
      <c r="AG9" s="151"/>
      <c r="AH9" s="228">
        <f t="shared" si="15"/>
        <v>2.5277777777777777</v>
      </c>
      <c r="AI9" s="228">
        <f t="shared" si="16"/>
        <v>91</v>
      </c>
      <c r="AJ9" s="229">
        <f t="shared" si="17"/>
        <v>32373.24468436357</v>
      </c>
      <c r="AK9" s="229">
        <f t="shared" si="18"/>
        <v>70.254437249052884</v>
      </c>
      <c r="AL9" s="229">
        <f t="shared" si="19"/>
        <v>54.680505803302282</v>
      </c>
      <c r="AM9" s="229">
        <f t="shared" si="20"/>
        <v>70.245002087891521</v>
      </c>
      <c r="AN9" s="2">
        <f t="shared" si="31"/>
        <v>54.680505803302282</v>
      </c>
      <c r="AO9" s="3">
        <f t="shared" si="21"/>
        <v>25196.777074161691</v>
      </c>
      <c r="AP9" s="227">
        <f t="shared" si="26"/>
        <v>1.3383878773407323E-2</v>
      </c>
      <c r="AQ9" s="227">
        <f t="shared" si="32"/>
        <v>8.2498016442759906E-2</v>
      </c>
      <c r="AR9" s="231">
        <f t="shared" si="27"/>
        <v>8.1784084516523852E-7</v>
      </c>
      <c r="AS9" s="228">
        <f t="shared" si="33"/>
        <v>4.5762959536747666E-2</v>
      </c>
      <c r="AT9" s="232">
        <f t="shared" si="34"/>
        <v>-4.5565549012151931E-7</v>
      </c>
      <c r="AU9" s="165">
        <f t="shared" si="35"/>
        <v>8.2138410084370811E-2</v>
      </c>
      <c r="AX9" s="150"/>
      <c r="AY9" s="152"/>
    </row>
    <row r="10" spans="1:51" ht="13.95" customHeight="1" x14ac:dyDescent="0.3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2.02</v>
      </c>
      <c r="F10" s="73">
        <v>11.87</v>
      </c>
      <c r="G10" s="73">
        <v>7.18</v>
      </c>
      <c r="H10" s="73">
        <v>1800</v>
      </c>
      <c r="I10" s="78">
        <v>2250</v>
      </c>
      <c r="J10" s="61"/>
      <c r="K10" s="2">
        <f t="shared" si="2"/>
        <v>85.226599999999991</v>
      </c>
      <c r="L10" s="1">
        <f t="shared" si="3"/>
        <v>106</v>
      </c>
      <c r="M10" s="234">
        <f t="shared" si="4"/>
        <v>4.6634390941120669</v>
      </c>
      <c r="N10" s="3">
        <f t="shared" si="5"/>
        <v>555.55555555555554</v>
      </c>
      <c r="O10" s="3">
        <f t="shared" si="5"/>
        <v>444.44444444444451</v>
      </c>
      <c r="P10" s="3">
        <f t="shared" si="6"/>
        <v>33333.333333333336</v>
      </c>
      <c r="Q10" s="3">
        <f t="shared" si="22"/>
        <v>26666.666666666672</v>
      </c>
      <c r="R10" s="3">
        <f t="shared" si="7"/>
        <v>72.337962962962962</v>
      </c>
      <c r="S10" s="3">
        <f t="shared" si="8"/>
        <v>57.870370370370381</v>
      </c>
      <c r="T10" s="3">
        <f t="shared" si="9"/>
        <v>106</v>
      </c>
      <c r="U10" s="158">
        <f t="shared" si="0"/>
        <v>85.226599999999991</v>
      </c>
      <c r="V10" s="229">
        <f t="shared" si="23"/>
        <v>84.297119999999993</v>
      </c>
      <c r="W10" s="234">
        <f t="shared" si="24"/>
        <v>0.11304429245663999</v>
      </c>
      <c r="X10" s="230">
        <f t="shared" si="28"/>
        <v>1.7811258719468197E-2</v>
      </c>
      <c r="Y10" s="230">
        <f t="shared" si="29"/>
        <v>1.4845276263829227E-2</v>
      </c>
      <c r="Z10" s="228">
        <f t="shared" si="10"/>
        <v>1.6749716749344534</v>
      </c>
      <c r="AA10" s="229">
        <f t="shared" si="11"/>
        <v>21.26208881723857</v>
      </c>
      <c r="AB10" s="2">
        <f t="shared" si="30"/>
        <v>24.94771446618611</v>
      </c>
      <c r="AC10" s="158">
        <f t="shared" si="12"/>
        <v>25.387998060409728</v>
      </c>
      <c r="AD10" s="175">
        <f t="shared" si="13"/>
        <v>57.122995635921889</v>
      </c>
      <c r="AE10" s="175">
        <f t="shared" si="14"/>
        <v>76.794487087750511</v>
      </c>
      <c r="AF10" s="165">
        <f t="shared" si="25"/>
        <v>3.0248342900066834</v>
      </c>
      <c r="AG10" s="151"/>
      <c r="AH10" s="228">
        <f t="shared" si="15"/>
        <v>2.9444444444444446</v>
      </c>
      <c r="AI10" s="228">
        <f t="shared" si="16"/>
        <v>106</v>
      </c>
      <c r="AJ10" s="229">
        <f t="shared" si="17"/>
        <v>34267.655867784233</v>
      </c>
      <c r="AK10" s="229">
        <f t="shared" si="18"/>
        <v>74.365572629740086</v>
      </c>
      <c r="AL10" s="229">
        <f t="shared" si="19"/>
        <v>58.697463405833936</v>
      </c>
      <c r="AM10" s="229">
        <f t="shared" si="20"/>
        <v>74.350208654195896</v>
      </c>
      <c r="AN10" s="2">
        <f t="shared" si="31"/>
        <v>58.697463405833936</v>
      </c>
      <c r="AO10" s="3">
        <f t="shared" si="21"/>
        <v>27047.79113740828</v>
      </c>
      <c r="AP10" s="227">
        <f t="shared" si="26"/>
        <v>1.4970882321274965E-2</v>
      </c>
      <c r="AQ10" s="227">
        <f t="shared" si="32"/>
        <v>9.7680320529806797E-2</v>
      </c>
      <c r="AR10" s="231">
        <f t="shared" si="27"/>
        <v>8.5761753658064419E-7</v>
      </c>
      <c r="AS10" s="228">
        <f t="shared" si="33"/>
        <v>4.364045265914053E-2</v>
      </c>
      <c r="AT10" s="232">
        <f t="shared" si="34"/>
        <v>-4.9955566413727561E-7</v>
      </c>
      <c r="AU10" s="165">
        <f t="shared" si="35"/>
        <v>7.4920214485870801E-2</v>
      </c>
      <c r="AX10" s="127"/>
      <c r="AY10" s="96"/>
    </row>
    <row r="11" spans="1:51" ht="13.95" customHeight="1" x14ac:dyDescent="0.3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2.2599999999999998</v>
      </c>
      <c r="F11" s="73">
        <v>11.83</v>
      </c>
      <c r="G11" s="73">
        <v>9.1300000000000008</v>
      </c>
      <c r="H11" s="73">
        <v>1630</v>
      </c>
      <c r="I11" s="78">
        <v>2010</v>
      </c>
      <c r="J11" s="61"/>
      <c r="K11" s="2">
        <f t="shared" si="2"/>
        <v>108.00790000000001</v>
      </c>
      <c r="L11" s="1">
        <f t="shared" si="3"/>
        <v>132</v>
      </c>
      <c r="M11" s="234">
        <f t="shared" si="4"/>
        <v>4.8828019225863706</v>
      </c>
      <c r="N11" s="3">
        <f t="shared" si="5"/>
        <v>613.49693251533745</v>
      </c>
      <c r="O11" s="3">
        <f t="shared" si="5"/>
        <v>497.51243781094524</v>
      </c>
      <c r="P11" s="3">
        <f t="shared" si="6"/>
        <v>36809.815950920245</v>
      </c>
      <c r="Q11" s="3">
        <f t="shared" si="22"/>
        <v>29850.746268656716</v>
      </c>
      <c r="R11" s="3">
        <f t="shared" si="7"/>
        <v>79.882413087934552</v>
      </c>
      <c r="S11" s="3">
        <f t="shared" si="8"/>
        <v>64.780265339966832</v>
      </c>
      <c r="T11" s="3">
        <f t="shared" si="9"/>
        <v>132</v>
      </c>
      <c r="U11" s="158">
        <f t="shared" si="0"/>
        <v>108.00790000000001</v>
      </c>
      <c r="V11" s="229">
        <f t="shared" si="23"/>
        <v>107.07842000000001</v>
      </c>
      <c r="W11" s="234">
        <f t="shared" si="24"/>
        <v>0.14359451694524003</v>
      </c>
      <c r="X11" s="230">
        <f t="shared" si="28"/>
        <v>2.0487969948068882E-2</v>
      </c>
      <c r="Y11" s="230">
        <f t="shared" si="29"/>
        <v>1.7521987492429912E-2</v>
      </c>
      <c r="Z11" s="228">
        <f t="shared" si="10"/>
        <v>2.2556004329548065</v>
      </c>
      <c r="AA11" s="229">
        <f t="shared" si="11"/>
        <v>33.226758975060008</v>
      </c>
      <c r="AB11" s="2">
        <f t="shared" si="30"/>
        <v>30.763267293466502</v>
      </c>
      <c r="AC11" s="158">
        <f t="shared" si="12"/>
        <v>29.461564636723708</v>
      </c>
      <c r="AD11" s="175">
        <f t="shared" si="13"/>
        <v>66.288520432628331</v>
      </c>
      <c r="AE11" s="175">
        <f t="shared" si="14"/>
        <v>85.963978083302791</v>
      </c>
      <c r="AF11" s="165">
        <f t="shared" si="25"/>
        <v>2.9178347838372805</v>
      </c>
      <c r="AG11" s="151"/>
      <c r="AH11" s="228">
        <f t="shared" si="15"/>
        <v>3.6666666666666665</v>
      </c>
      <c r="AI11" s="228">
        <f t="shared" si="16"/>
        <v>132</v>
      </c>
      <c r="AJ11" s="229">
        <f t="shared" si="17"/>
        <v>36991.240339587683</v>
      </c>
      <c r="AK11" s="229">
        <f t="shared" si="18"/>
        <v>80.276129209174655</v>
      </c>
      <c r="AL11" s="229">
        <f t="shared" si="19"/>
        <v>64.472621114939727</v>
      </c>
      <c r="AM11" s="229">
        <f t="shared" si="20"/>
        <v>80.252241410011507</v>
      </c>
      <c r="AN11" s="2">
        <f t="shared" si="31"/>
        <v>64.472621114939727</v>
      </c>
      <c r="AO11" s="3">
        <f t="shared" si="21"/>
        <v>29708.983809764224</v>
      </c>
      <c r="AP11" s="227">
        <f t="shared" si="26"/>
        <v>1.7384552570285879E-2</v>
      </c>
      <c r="AQ11" s="227">
        <f t="shared" si="32"/>
        <v>0.12244405223222424</v>
      </c>
      <c r="AR11" s="231">
        <f t="shared" si="27"/>
        <v>9.1480426564286394E-7</v>
      </c>
      <c r="AS11" s="228">
        <f t="shared" si="33"/>
        <v>4.0912377554880808E-2</v>
      </c>
      <c r="AT11" s="232">
        <f t="shared" si="34"/>
        <v>-5.9936797775474322E-7</v>
      </c>
      <c r="AU11" s="165">
        <f t="shared" si="35"/>
        <v>6.2443805631723442E-2</v>
      </c>
      <c r="AX11" s="127"/>
      <c r="AY11" s="96"/>
    </row>
    <row r="12" spans="1:51" ht="13.95" customHeight="1" thickBot="1" x14ac:dyDescent="0.35">
      <c r="A12" t="s">
        <v>233</v>
      </c>
      <c r="B12" t="s">
        <v>234</v>
      </c>
      <c r="C12" s="221">
        <f t="shared" si="1"/>
        <v>2</v>
      </c>
      <c r="D12" s="80">
        <v>180</v>
      </c>
      <c r="E12" s="80">
        <v>2.75</v>
      </c>
      <c r="F12" s="80">
        <v>11.5</v>
      </c>
      <c r="G12" s="80">
        <v>14.51</v>
      </c>
      <c r="H12" s="80">
        <v>1370</v>
      </c>
      <c r="I12" s="81">
        <v>1670</v>
      </c>
      <c r="J12" s="61"/>
      <c r="K12" s="2">
        <f t="shared" si="2"/>
        <v>166.86500000000001</v>
      </c>
      <c r="L12" s="1">
        <f t="shared" si="3"/>
        <v>180</v>
      </c>
      <c r="M12" s="234">
        <f t="shared" si="4"/>
        <v>5.1929568508902104</v>
      </c>
      <c r="N12" s="3">
        <f t="shared" si="5"/>
        <v>729.92700729927003</v>
      </c>
      <c r="O12" s="3">
        <f t="shared" si="5"/>
        <v>598.80239520958082</v>
      </c>
      <c r="P12" s="3">
        <f t="shared" si="6"/>
        <v>43795.620437956204</v>
      </c>
      <c r="Q12" s="3">
        <f t="shared" si="22"/>
        <v>35928.143712574849</v>
      </c>
      <c r="R12" s="3">
        <f t="shared" si="7"/>
        <v>95.042579075425792</v>
      </c>
      <c r="S12" s="3">
        <f t="shared" si="8"/>
        <v>77.969061876247494</v>
      </c>
      <c r="T12" s="3">
        <f t="shared" si="9"/>
        <v>180</v>
      </c>
      <c r="U12" s="158">
        <f t="shared" si="0"/>
        <v>166.86500000000001</v>
      </c>
      <c r="V12" s="229">
        <f t="shared" si="23"/>
        <v>165.93552</v>
      </c>
      <c r="W12" s="234">
        <f t="shared" si="24"/>
        <v>0.22252318290144002</v>
      </c>
      <c r="X12" s="230">
        <f t="shared" si="28"/>
        <v>2.6685128442329287E-2</v>
      </c>
      <c r="Y12" s="230">
        <f t="shared" si="29"/>
        <v>2.3719145986690317E-2</v>
      </c>
      <c r="Z12" s="163">
        <f>C32/0.224</f>
        <v>4.4249528005034611</v>
      </c>
      <c r="AA12" s="229">
        <f t="shared" si="11"/>
        <v>91.297248929319878</v>
      </c>
      <c r="AB12" s="2">
        <f>AA12/U12*100</f>
        <v>54.713240601276404</v>
      </c>
      <c r="AC12" s="158">
        <f t="shared" si="12"/>
        <v>41.264733453849395</v>
      </c>
      <c r="AD12" s="175">
        <f>AC12*1/1.6/1000*3600</f>
        <v>92.845650271161119</v>
      </c>
      <c r="AE12" s="175">
        <f t="shared" si="14"/>
        <v>103.4656263158315</v>
      </c>
      <c r="AF12" s="165">
        <f t="shared" si="25"/>
        <v>2.5073620415250657</v>
      </c>
      <c r="AG12" s="151"/>
      <c r="AH12" s="228">
        <f t="shared" si="15"/>
        <v>5</v>
      </c>
      <c r="AI12" s="228">
        <f t="shared" si="16"/>
        <v>180</v>
      </c>
      <c r="AJ12" s="229">
        <f t="shared" si="17"/>
        <v>40842.089421252422</v>
      </c>
      <c r="AK12" s="229">
        <f t="shared" si="18"/>
        <v>88.633006556537367</v>
      </c>
      <c r="AL12" s="229">
        <f t="shared" si="19"/>
        <v>72.638059341958609</v>
      </c>
      <c r="AM12" s="229">
        <f t="shared" si="20"/>
        <v>88.597067007668912</v>
      </c>
      <c r="AN12" s="2">
        <f t="shared" si="31"/>
        <v>72.638059341958638</v>
      </c>
      <c r="AO12" s="3">
        <f t="shared" si="21"/>
        <v>33471.617744774543</v>
      </c>
      <c r="AP12" s="227">
        <f t="shared" si="26"/>
        <v>2.1063007380398409E-2</v>
      </c>
      <c r="AQ12" s="227">
        <f t="shared" si="32"/>
        <v>0.16379612165093899</v>
      </c>
      <c r="AR12" s="231">
        <f t="shared" si="27"/>
        <v>9.9566001488527295E-7</v>
      </c>
      <c r="AS12" s="228">
        <f t="shared" si="33"/>
        <v>3.7589957360202833E-2</v>
      </c>
      <c r="AT12" s="232">
        <f t="shared" si="34"/>
        <v>-8.8857439321018542E-7</v>
      </c>
      <c r="AU12" s="165">
        <f t="shared" si="35"/>
        <v>4.2120072096139397E-2</v>
      </c>
      <c r="AX12" s="127"/>
      <c r="AY12" s="96"/>
    </row>
    <row r="13" spans="1:51" ht="13.95" customHeight="1" x14ac:dyDescent="0.3">
      <c r="C13" s="267"/>
      <c r="AE13" s="45"/>
      <c r="AF13" s="30"/>
      <c r="AH13" s="228">
        <f t="shared" si="15"/>
        <v>0</v>
      </c>
      <c r="AI13" s="228">
        <f t="shared" si="16"/>
        <v>0</v>
      </c>
      <c r="AJ13" s="229" t="e">
        <f t="shared" si="17"/>
        <v>#NUM!</v>
      </c>
      <c r="AK13" s="229" t="e">
        <f t="shared" si="18"/>
        <v>#NUM!</v>
      </c>
      <c r="AL13" s="229" t="e">
        <f t="shared" si="19"/>
        <v>#NUM!</v>
      </c>
      <c r="AM13" s="229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227" t="e">
        <f t="shared" si="26"/>
        <v>#NUM!</v>
      </c>
      <c r="AQ13" s="227" t="e">
        <f t="shared" si="32"/>
        <v>#NUM!</v>
      </c>
      <c r="AR13" s="231" t="e">
        <f t="shared" si="27"/>
        <v>#NUM!</v>
      </c>
      <c r="AS13" s="228" t="e">
        <f t="shared" si="33"/>
        <v>#NUM!</v>
      </c>
      <c r="AV13" s="146"/>
      <c r="AW13" s="95"/>
      <c r="AX13" s="128"/>
      <c r="AY13" s="96"/>
    </row>
    <row r="14" spans="1:51" x14ac:dyDescent="0.3">
      <c r="A14" t="s">
        <v>235</v>
      </c>
      <c r="AE14" s="194"/>
      <c r="AF14" s="30"/>
    </row>
    <row r="15" spans="1:51" ht="13.95" customHeight="1" x14ac:dyDescent="0.3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5" customHeight="1" x14ac:dyDescent="0.3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5" customHeight="1" x14ac:dyDescent="0.3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5" customHeight="1" x14ac:dyDescent="0.3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5" customHeight="1" x14ac:dyDescent="0.3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5" customHeight="1" thickBot="1" x14ac:dyDescent="0.35">
      <c r="A20">
        <v>6</v>
      </c>
      <c r="C20" t="s">
        <v>241</v>
      </c>
      <c r="O20" s="188"/>
      <c r="AN20" s="45"/>
      <c r="AO20" s="5"/>
      <c r="AV20" s="5"/>
    </row>
    <row r="21" spans="1:48" ht="13.95" customHeight="1" x14ac:dyDescent="0.3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5" customHeight="1" x14ac:dyDescent="0.3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5" customHeight="1" thickBot="1" x14ac:dyDescent="0.35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5" customHeight="1" x14ac:dyDescent="0.3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5" customHeight="1" x14ac:dyDescent="0.3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5" customHeight="1" x14ac:dyDescent="0.3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5" customHeight="1" x14ac:dyDescent="0.3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3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5" customHeight="1" x14ac:dyDescent="0.3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5" customHeight="1" thickBot="1" x14ac:dyDescent="0.35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5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5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3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" thickBot="1" x14ac:dyDescent="0.35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3.8" thickBot="1" x14ac:dyDescent="0.35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" x14ac:dyDescent="0.35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36">(I38*$Q$29*$R$42+$Q$42)/$Q$29</f>
        <v>88.911215408699249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" thickBot="1" x14ac:dyDescent="0.35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6"/>
        <v>77.725299021912619</v>
      </c>
      <c r="K39" s="243">
        <v>4.2999999999999997E-2</v>
      </c>
      <c r="L39" s="249"/>
      <c r="M39" s="250"/>
      <c r="P39" s="65" t="s">
        <v>121</v>
      </c>
      <c r="Q39" s="205">
        <f>INDEX(LINEST($Q$5:$Q$12,$E$5:$E$12^{1,2},FALSE,FALSE),3)</f>
        <v>0</v>
      </c>
      <c r="R39" s="205">
        <f>INDEX(LINEST($Q$5:$Q$12,$E$5:$E$12^{1,2},FALSE,FALSE),2)</f>
        <v>13114.624315320485</v>
      </c>
      <c r="S39" s="205">
        <f>INDEX(LINEST($Q$5:$Q$12,$E$5:$E$12^{1,2},FALSE,FALSE),1)</f>
        <v>-0.8433621525460272</v>
      </c>
      <c r="T39" s="31" t="s">
        <v>267</v>
      </c>
      <c r="AI39" s="5"/>
    </row>
    <row r="40" spans="1:50" ht="15" thickBot="1" x14ac:dyDescent="0.35">
      <c r="B40" s="30"/>
      <c r="C40" s="201"/>
      <c r="D40"/>
      <c r="E40"/>
      <c r="H40" s="10"/>
      <c r="I40" s="241">
        <v>48</v>
      </c>
      <c r="J40" s="253">
        <f t="shared" si="36"/>
        <v>63.41773155044131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-23633.085065689971</v>
      </c>
      <c r="R40" s="67">
        <f>INDEX(LINEST($P$4:$P$12,$M$4:$M$12),1)</f>
        <v>12415.888738973374</v>
      </c>
      <c r="S40" s="30"/>
      <c r="T40" s="31" t="s">
        <v>267</v>
      </c>
      <c r="AI40" s="5"/>
      <c r="AW40" s="151"/>
      <c r="AX40" s="164"/>
    </row>
    <row r="41" spans="1:50" ht="15" thickBot="1" x14ac:dyDescent="0.35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6"/>
        <v>39.912442133024179</v>
      </c>
      <c r="K41" s="243">
        <v>0.28899999999999998</v>
      </c>
      <c r="L41" s="61"/>
      <c r="M41" s="250"/>
      <c r="P41" s="65" t="s">
        <v>122</v>
      </c>
      <c r="Q41" s="205">
        <f>INDEX(LINEST($Q$5:$Q$12,$P$5:$P$12),2)</f>
        <v>-6434.862196188591</v>
      </c>
      <c r="R41" s="69">
        <f>INDEX(LINEST($Q$5:$Q$12,$P$5:$P$12),1)</f>
        <v>0.97709202703516818</v>
      </c>
      <c r="S41" s="30"/>
      <c r="T41" s="31" t="s">
        <v>267</v>
      </c>
      <c r="AI41" s="5"/>
    </row>
    <row r="42" spans="1:50" ht="15" thickBot="1" x14ac:dyDescent="0.35">
      <c r="C42" s="198"/>
      <c r="D42"/>
      <c r="E42"/>
      <c r="G42" s="6"/>
      <c r="I42" s="241">
        <v>16</v>
      </c>
      <c r="J42" s="253">
        <f t="shared" si="36"/>
        <v>30.714720187078346</v>
      </c>
      <c r="K42" s="243">
        <v>0.436</v>
      </c>
      <c r="L42" s="61"/>
      <c r="M42" s="250"/>
      <c r="P42" s="65" t="s">
        <v>123</v>
      </c>
      <c r="Q42" s="205">
        <f>INDEX(LINEST($P$5:$P$12,$Q$5:$Q$12),2)</f>
        <v>6618.569244086877</v>
      </c>
      <c r="R42" s="69">
        <f>INDEX(LINEST($P$5:$P$12,$Q$5:$Q$12),1)</f>
        <v>1.0219691051050925</v>
      </c>
      <c r="S42" s="30"/>
      <c r="T42" s="31" t="s">
        <v>267</v>
      </c>
      <c r="AI42" s="5"/>
    </row>
    <row r="43" spans="1:50" ht="15" thickBot="1" x14ac:dyDescent="0.35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36"/>
        <v>26.710269816054311</v>
      </c>
      <c r="K43" s="246">
        <v>0.5</v>
      </c>
      <c r="L43" s="255"/>
      <c r="M43" s="256"/>
      <c r="P43" s="65" t="s">
        <v>180</v>
      </c>
      <c r="Q43" s="206">
        <f>AG8</f>
        <v>-0.99606633499190611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3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3.0857587007426153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" thickBot="1" x14ac:dyDescent="0.35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" thickBot="1" x14ac:dyDescent="0.35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-2.0896438355913084E-3</v>
      </c>
      <c r="K46" s="180">
        <f>INDEX(LINEST($Y$3:$Y$12,$P$3:$P$12^{1,2}),2)</f>
        <v>1.381042730868355E-7</v>
      </c>
      <c r="L46" s="180">
        <f>INDEX(LINEST($Y$3:$Y$12,$P$3:$P$12^{1,2}),1)</f>
        <v>1.0498431323547851E-11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" thickBot="1" x14ac:dyDescent="0.35">
      <c r="Q47" s="61"/>
      <c r="R47" s="213"/>
      <c r="T47" s="213"/>
      <c r="U47" s="188"/>
      <c r="V47" s="30"/>
    </row>
    <row r="48" spans="1:50" ht="15" thickBot="1" x14ac:dyDescent="0.35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3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3">
      <c r="I50" s="241">
        <v>0</v>
      </c>
      <c r="J50" s="253">
        <f t="shared" ref="J50:J55" ca="1" si="37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3">
      <c r="I51" s="241">
        <v>0.02</v>
      </c>
      <c r="J51" s="253">
        <f t="shared" ca="1" si="37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3">
      <c r="I52" s="241">
        <v>8.5000000000000006E-2</v>
      </c>
      <c r="J52" s="253">
        <f t="shared" ca="1" si="37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3">
      <c r="I53" s="241">
        <v>0.185</v>
      </c>
      <c r="J53" s="253">
        <f t="shared" ca="1" si="37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3">
      <c r="I54" s="241">
        <v>0.34399999999999997</v>
      </c>
      <c r="J54" s="253">
        <f t="shared" ca="1" si="37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" thickBot="1" x14ac:dyDescent="0.35">
      <c r="I55" s="245">
        <v>0.5</v>
      </c>
      <c r="J55" s="257">
        <f t="shared" ca="1" si="37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3">
      <c r="V56" s="45"/>
      <c r="W56" s="45"/>
      <c r="X56" s="196"/>
      <c r="Y56" s="45"/>
    </row>
    <row r="57" spans="8:45" x14ac:dyDescent="0.3">
      <c r="W57" s="45"/>
      <c r="X57" s="196"/>
      <c r="Y57" s="45"/>
    </row>
    <row r="58" spans="8:45" x14ac:dyDescent="0.3">
      <c r="W58" s="45"/>
      <c r="X58" s="149"/>
      <c r="Y58" s="45"/>
    </row>
    <row r="59" spans="8:45" x14ac:dyDescent="0.3">
      <c r="W59" s="45"/>
      <c r="X59" s="149"/>
      <c r="Y59" s="45"/>
    </row>
    <row r="60" spans="8:45" x14ac:dyDescent="0.3">
      <c r="W60" s="45"/>
      <c r="X60" s="149"/>
      <c r="Y60" s="45"/>
    </row>
    <row r="61" spans="8:45" x14ac:dyDescent="0.3">
      <c r="H61" s="176"/>
    </row>
    <row r="63" spans="8:45" x14ac:dyDescent="0.3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3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3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A7" zoomScale="70" zoomScaleNormal="70" workbookViewId="0">
      <selection activeCell="Q20" sqref="Q20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2.332031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  <col min="52" max="52" width="9.44140625" bestFit="1" customWidth="1"/>
    <col min="53" max="53" width="7.33203125" customWidth="1"/>
    <col min="54" max="54" width="16.88671875" bestFit="1" customWidth="1"/>
    <col min="55" max="57" width="13.44140625" bestFit="1" customWidth="1"/>
    <col min="58" max="58" width="14.33203125" bestFit="1" customWidth="1"/>
    <col min="59" max="59" width="13.88671875" bestFit="1" customWidth="1"/>
    <col min="60" max="60" width="14.33203125" bestFit="1" customWidth="1"/>
    <col min="61" max="61" width="13.88671875" bestFit="1" customWidth="1"/>
    <col min="62" max="62" width="13.44140625" bestFit="1" customWidth="1"/>
    <col min="63" max="64" width="13.88671875" bestFit="1" customWidth="1"/>
    <col min="65" max="65" width="13.441406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232">
        <f t="shared" ref="AT4:AT14" si="32">$Q$45*$Q$28*$Q$37^2*$Q$34*PI()/240*($AC4-$Q$47)/$Q$46*$Q$35</f>
        <v>-2.4892694785652227E-8</v>
      </c>
      <c r="AU4" s="165">
        <f t="shared" ref="AU4:AU5" si="33">-$Q$36/AT4</f>
        <v>1.5035261480154642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>
        <f t="shared" si="32"/>
        <v>-7.718033804874377E-8</v>
      </c>
      <c r="AU5" s="165">
        <f t="shared" si="33"/>
        <v>0.48492684083813109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si="32"/>
        <v>-1.1137431073219437E-7</v>
      </c>
      <c r="AU6" s="165">
        <f t="shared" ref="AU6:AU14" si="34">-$Q$36/AT6</f>
        <v>0.33604533450080026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-1.8769976975472293E-7</v>
      </c>
      <c r="AU7" s="165">
        <f t="shared" si="34"/>
        <v>0.19939724781604101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-2.8335035185837123E-7</v>
      </c>
      <c r="AU8" s="165">
        <f t="shared" si="34"/>
        <v>0.13208671617779957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-1.1274772604941929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-3.9590420031215084E-7</v>
      </c>
      <c r="AU9" s="165">
        <f t="shared" si="34"/>
        <v>9.4535035180953214E-2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-5.2851652133735734E-7</v>
      </c>
      <c r="AU10" s="165">
        <f t="shared" si="34"/>
        <v>7.0814848720512219E-2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-0.75615431600062422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-5.5053970857196504E-7</v>
      </c>
      <c r="AU11" s="165">
        <f t="shared" si="34"/>
        <v>6.7982049109367726E-2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-6.247798188578991E-7</v>
      </c>
      <c r="AU12" s="165">
        <f t="shared" si="34"/>
        <v>5.990401158157245E-2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-7.6550521145609418E-7</v>
      </c>
      <c r="AU13" s="165">
        <f t="shared" si="34"/>
        <v>4.8891656052354585E-2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-9.3023606076218221E-7</v>
      </c>
      <c r="AU14" s="165">
        <f t="shared" si="34"/>
        <v>4.0233677325012464E-2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65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65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65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65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65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65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65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65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65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65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  <c r="AY27" t="s">
        <v>326</v>
      </c>
      <c r="AZ27">
        <v>-25454</v>
      </c>
      <c r="BA27">
        <v>13061</v>
      </c>
    </row>
    <row r="28" spans="1:65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65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65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65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65" ht="15" thickBot="1" x14ac:dyDescent="0.3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  <c r="AY32" t="s">
        <v>342</v>
      </c>
      <c r="AZ32" s="262">
        <v>7.0220000000000002</v>
      </c>
      <c r="BA32" s="73">
        <v>14</v>
      </c>
      <c r="BB32" s="73">
        <v>18</v>
      </c>
      <c r="BC32" s="73">
        <v>24</v>
      </c>
      <c r="BD32" s="73">
        <v>28</v>
      </c>
      <c r="BE32" s="73">
        <v>36</v>
      </c>
      <c r="BF32" s="73">
        <v>52</v>
      </c>
      <c r="BG32" s="73">
        <v>73</v>
      </c>
      <c r="BH32" s="73">
        <v>94</v>
      </c>
      <c r="BI32" s="73">
        <v>99</v>
      </c>
      <c r="BJ32" s="73">
        <v>110</v>
      </c>
      <c r="BK32" s="73">
        <v>132</v>
      </c>
      <c r="BL32" s="80">
        <v>175</v>
      </c>
      <c r="BM32">
        <v>180</v>
      </c>
    </row>
    <row r="33" spans="1:65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  <c r="AZ33" s="174">
        <v>-0.27337168179292348</v>
      </c>
      <c r="BA33" s="174">
        <v>9014.727782104892</v>
      </c>
      <c r="BB33" s="174">
        <v>12297.145529881804</v>
      </c>
      <c r="BC33" s="174">
        <v>16054.56107817452</v>
      </c>
      <c r="BD33" s="174">
        <v>18067.923107398339</v>
      </c>
      <c r="BE33" s="174">
        <v>21350.340855175251</v>
      </c>
      <c r="BF33" s="174">
        <v>26153.194208392022</v>
      </c>
      <c r="BG33" s="174">
        <v>30583.69076083913</v>
      </c>
      <c r="BH33" s="174">
        <v>33885.973151228522</v>
      </c>
      <c r="BI33" s="174">
        <v>34562.860362607877</v>
      </c>
      <c r="BJ33" s="174">
        <v>35938.974057614752</v>
      </c>
      <c r="BK33" s="174">
        <v>38320.275910900586</v>
      </c>
      <c r="BL33" s="174">
        <v>42003.269605415029</v>
      </c>
      <c r="BM33" s="174">
        <v>42371.209429477036</v>
      </c>
    </row>
    <row r="34" spans="1:65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  <c r="AY34" s="262">
        <v>7.0205000000000002</v>
      </c>
      <c r="AZ34">
        <f>(LN($AY34)*$BA$27+$AZ$27)/$Q$31</f>
        <v>-5.9325451777978181E-4</v>
      </c>
      <c r="BA34" s="174">
        <f>AZ34*$Q$31</f>
        <v>-0.27337168179292348</v>
      </c>
      <c r="BB34" s="174">
        <v>-0.27337168179292348</v>
      </c>
    </row>
    <row r="35" spans="1:65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  <c r="AY35" s="73">
        <v>14</v>
      </c>
      <c r="AZ35">
        <f t="shared" ref="AZ35:AZ47" si="35">(LN($AY35)*$BA$27+$AZ$27)/$Q$31</f>
        <v>19.563211332692909</v>
      </c>
      <c r="BA35" s="174">
        <f t="shared" ref="BA35:BA47" si="36">AZ35*$Q$31</f>
        <v>9014.727782104892</v>
      </c>
      <c r="BB35" s="174">
        <v>9014.727782104892</v>
      </c>
    </row>
    <row r="36" spans="1:65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  <c r="AY36" s="73">
        <v>18</v>
      </c>
      <c r="AZ36">
        <f t="shared" si="35"/>
        <v>26.686513736722663</v>
      </c>
      <c r="BA36" s="174">
        <f t="shared" si="36"/>
        <v>12297.145529881804</v>
      </c>
      <c r="BB36" s="174">
        <v>12297.145529881804</v>
      </c>
    </row>
    <row r="37" spans="1:65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  <c r="AY37" s="73">
        <v>24</v>
      </c>
      <c r="AZ37">
        <f t="shared" si="35"/>
        <v>34.840627339788455</v>
      </c>
      <c r="BA37" s="174">
        <f t="shared" si="36"/>
        <v>16054.56107817452</v>
      </c>
      <c r="BB37" s="174">
        <v>16054.56107817452</v>
      </c>
    </row>
    <row r="38" spans="1:65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  <c r="AY38" s="73">
        <v>28</v>
      </c>
      <c r="AZ38">
        <f t="shared" si="35"/>
        <v>39.20990257681931</v>
      </c>
      <c r="BA38" s="174">
        <f t="shared" si="36"/>
        <v>18067.923107398339</v>
      </c>
      <c r="BB38" s="174">
        <v>18067.923107398339</v>
      </c>
    </row>
    <row r="39" spans="1:65" ht="43.8" thickBot="1" x14ac:dyDescent="0.35">
      <c r="I39" s="193" t="s">
        <v>100</v>
      </c>
      <c r="J39" s="236" t="s">
        <v>294</v>
      </c>
      <c r="K39" s="292" t="s">
        <v>341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  <c r="AY39" s="73">
        <v>36</v>
      </c>
      <c r="AZ39">
        <f t="shared" si="35"/>
        <v>46.333204980849068</v>
      </c>
      <c r="BA39" s="174">
        <f t="shared" si="36"/>
        <v>21350.340855175251</v>
      </c>
      <c r="BB39" s="174">
        <v>21350.340855175251</v>
      </c>
      <c r="BC39" s="45"/>
      <c r="BD39" s="45"/>
      <c r="BE39" s="45"/>
    </row>
    <row r="40" spans="1:65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v>72.5</v>
      </c>
      <c r="J40" s="253">
        <f t="shared" ref="J40:J45" si="37">(I40*$Q$31*$R$44+$Q$44)/$Q$31</f>
        <v>90.170631844457375</v>
      </c>
      <c r="K40" s="242">
        <v>0</v>
      </c>
      <c r="L40" s="213"/>
      <c r="M40" s="216"/>
      <c r="P40" s="226" t="s">
        <v>343</v>
      </c>
      <c r="Q40" s="58"/>
      <c r="R40" s="58"/>
      <c r="S40" s="58"/>
      <c r="T40" s="25"/>
      <c r="AI40" s="5"/>
      <c r="AY40" s="73">
        <v>52</v>
      </c>
      <c r="AZ40">
        <f t="shared" si="35"/>
        <v>56.756063820295182</v>
      </c>
      <c r="BA40" s="174">
        <f t="shared" si="36"/>
        <v>26153.194208392022</v>
      </c>
      <c r="BB40" s="174">
        <v>26153.194208392022</v>
      </c>
      <c r="BC40" s="45"/>
      <c r="BD40" s="195"/>
      <c r="BE40" s="45"/>
    </row>
    <row r="41" spans="1:65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7"/>
        <v>79.438383345784871</v>
      </c>
      <c r="K41" s="243">
        <v>3.5000000000000003E-2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  <c r="AY41" s="73">
        <v>73</v>
      </c>
      <c r="AZ41">
        <f t="shared" si="35"/>
        <v>66.370856685848807</v>
      </c>
      <c r="BA41" s="174">
        <f t="shared" si="36"/>
        <v>30583.69076083913</v>
      </c>
      <c r="BB41" s="174">
        <v>30583.69076083913</v>
      </c>
      <c r="BC41" s="45"/>
      <c r="BD41" s="61"/>
      <c r="BE41" s="45"/>
    </row>
    <row r="42" spans="1:65" ht="15" thickBot="1" x14ac:dyDescent="0.35">
      <c r="B42" s="30"/>
      <c r="C42" s="201"/>
      <c r="D42"/>
      <c r="E42"/>
      <c r="H42" s="10"/>
      <c r="I42" s="241">
        <v>47</v>
      </c>
      <c r="J42" s="253">
        <f t="shared" si="37"/>
        <v>64.106599776252708</v>
      </c>
      <c r="K42" s="243">
        <v>8.5000000000000006E-2</v>
      </c>
      <c r="L42" s="251">
        <f>$Q$36/K42</f>
        <v>4.4031550005642732E-7</v>
      </c>
      <c r="M42" s="252">
        <f>-L42/$Q$35</f>
        <v>-5.9689169187649285E-7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  <c r="AY42" s="73">
        <v>94</v>
      </c>
      <c r="AZ42">
        <f t="shared" si="35"/>
        <v>73.537268123325788</v>
      </c>
      <c r="BA42" s="174">
        <f t="shared" si="36"/>
        <v>33885.973151228522</v>
      </c>
      <c r="BB42" s="174">
        <v>33885.973151228522</v>
      </c>
      <c r="BC42" s="45">
        <f>(32000-BA41)/(BA42-BA41)*(AY42-AY41)+AY41</f>
        <v>82.006647677660041</v>
      </c>
      <c r="BD42" s="61"/>
      <c r="BE42" s="45"/>
    </row>
    <row r="43" spans="1:65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7"/>
        <v>41.619983874272194</v>
      </c>
      <c r="K43" s="243">
        <v>0.28999999999999998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  <c r="AY43" s="73">
        <v>99</v>
      </c>
      <c r="AZ43">
        <f t="shared" si="35"/>
        <v>75.00620738413167</v>
      </c>
      <c r="BA43" s="174">
        <f t="shared" si="36"/>
        <v>34562.860362607877</v>
      </c>
      <c r="BB43" s="174">
        <v>34562.860362607877</v>
      </c>
      <c r="BC43" s="45"/>
      <c r="BD43" s="61"/>
      <c r="BE43" s="45"/>
    </row>
    <row r="44" spans="1:65" ht="15" thickBot="1" x14ac:dyDescent="0.35">
      <c r="C44" s="198"/>
      <c r="D44"/>
      <c r="E44"/>
      <c r="G44" s="6"/>
      <c r="I44" s="241">
        <v>16</v>
      </c>
      <c r="J44" s="253">
        <f t="shared" si="37"/>
        <v>32.420913732552897</v>
      </c>
      <c r="K44" s="243">
        <v>0.44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  <c r="AY44" s="73">
        <v>110</v>
      </c>
      <c r="AZ44">
        <f t="shared" si="35"/>
        <v>77.992565229198675</v>
      </c>
      <c r="BA44" s="174">
        <f t="shared" si="36"/>
        <v>35938.974057614752</v>
      </c>
      <c r="BB44" s="174">
        <v>35938.974057614752</v>
      </c>
      <c r="BC44" s="45"/>
      <c r="BD44" s="61"/>
      <c r="BE44" s="45"/>
    </row>
    <row r="45" spans="1:65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12.4</v>
      </c>
      <c r="J45" s="257">
        <f t="shared" si="37"/>
        <v>28.741285675865178</v>
      </c>
      <c r="K45" s="246">
        <v>0.5</v>
      </c>
      <c r="L45" s="255"/>
      <c r="M45" s="256"/>
      <c r="P45" s="65" t="s">
        <v>180</v>
      </c>
      <c r="Q45" s="293">
        <v>-2</v>
      </c>
      <c r="R45" s="30"/>
      <c r="S45" s="30"/>
      <c r="T45" s="31" t="s">
        <v>261</v>
      </c>
      <c r="U45" s="5"/>
      <c r="AI45" s="5"/>
      <c r="AJ45" s="5"/>
      <c r="AK45" s="151"/>
      <c r="AY45" s="73">
        <v>132</v>
      </c>
      <c r="AZ45">
        <f t="shared" si="35"/>
        <v>83.160320987197451</v>
      </c>
      <c r="BA45" s="174">
        <f t="shared" si="36"/>
        <v>38320.275910900586</v>
      </c>
      <c r="BB45" s="174">
        <v>38320.275910900586</v>
      </c>
      <c r="BC45" s="45"/>
      <c r="BD45" s="61"/>
      <c r="BE45" s="45"/>
    </row>
    <row r="46" spans="1:65" ht="15" thickBot="1" x14ac:dyDescent="0.3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94">
        <v>6</v>
      </c>
      <c r="R46" s="30"/>
      <c r="S46" s="30"/>
      <c r="T46" s="31" t="s">
        <v>261</v>
      </c>
      <c r="AI46" s="5"/>
      <c r="AJ46" s="5"/>
      <c r="AK46" s="151"/>
      <c r="AX46" s="164"/>
      <c r="AY46" s="80">
        <v>175</v>
      </c>
      <c r="AZ46">
        <f t="shared" si="35"/>
        <v>91.152928831195808</v>
      </c>
      <c r="BA46" s="174">
        <f t="shared" si="36"/>
        <v>42003.269605415029</v>
      </c>
      <c r="BB46" s="174">
        <v>42003.269605415029</v>
      </c>
      <c r="BC46" s="45"/>
      <c r="BD46" s="61"/>
      <c r="BE46" s="45"/>
    </row>
    <row r="47" spans="1:65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95">
        <v>4.5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  <c r="AY47">
        <v>180</v>
      </c>
      <c r="AZ47">
        <f t="shared" si="35"/>
        <v>91.951409352163708</v>
      </c>
      <c r="BA47" s="174">
        <f t="shared" si="36"/>
        <v>42371.209429477036</v>
      </c>
      <c r="BB47" s="174">
        <v>42371.209429477036</v>
      </c>
      <c r="BC47" s="45"/>
      <c r="BD47" s="61"/>
      <c r="BE47" s="45"/>
    </row>
    <row r="48" spans="1:65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  <c r="BC48" s="45"/>
      <c r="BD48" s="61"/>
      <c r="BE48" s="45"/>
    </row>
    <row r="49" spans="1:57" ht="15" thickBot="1" x14ac:dyDescent="0.35">
      <c r="Q49" s="61"/>
      <c r="R49" s="213"/>
      <c r="T49" s="213"/>
      <c r="U49" s="188"/>
      <c r="V49" s="30"/>
      <c r="BC49" s="45"/>
      <c r="BD49" s="61"/>
      <c r="BE49" s="45"/>
    </row>
    <row r="50" spans="1:57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  <c r="BC50" s="45"/>
      <c r="BD50" s="61"/>
      <c r="BE50" s="45"/>
    </row>
    <row r="51" spans="1:57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21.759999999999998</v>
      </c>
      <c r="S51" s="258">
        <f ca="1">J55</f>
        <v>36.268292682926827</v>
      </c>
      <c r="T51" s="258">
        <f ca="1">J54</f>
        <v>47</v>
      </c>
      <c r="U51" s="259">
        <f ca="1">J53</f>
        <v>66.5</v>
      </c>
      <c r="V51" s="261">
        <v>80</v>
      </c>
      <c r="W51" s="45"/>
      <c r="X51" s="45"/>
      <c r="Y51" s="45"/>
      <c r="BC51" s="45"/>
      <c r="BD51" s="61"/>
      <c r="BE51" s="45"/>
    </row>
    <row r="52" spans="1:57" x14ac:dyDescent="0.3">
      <c r="I52" s="241">
        <v>0</v>
      </c>
      <c r="J52" s="253">
        <f t="shared" ref="J52:J57" ca="1" si="38">FORECAST(I52,OFFSET(MeasNt,MATCH(I52,MeasTauT,1)-1,0,2),OFFSET(MeasTauT,MATCH(I52,MeasTauT,1)-1,0,2))</f>
        <v>72.5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  <c r="BC52" s="45"/>
      <c r="BD52" s="61"/>
      <c r="BE52" s="45"/>
    </row>
    <row r="53" spans="1:57" x14ac:dyDescent="0.3">
      <c r="I53" s="241">
        <v>0.02</v>
      </c>
      <c r="J53" s="253">
        <f t="shared" ca="1" si="38"/>
        <v>66.5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3">
      <c r="I54" s="241">
        <v>8.5000000000000006E-2</v>
      </c>
      <c r="J54" s="253">
        <f t="shared" ca="1" si="38"/>
        <v>47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  <c r="BC54" s="45"/>
      <c r="BD54" s="45"/>
      <c r="BE54" s="45"/>
    </row>
    <row r="55" spans="1:57" x14ac:dyDescent="0.3">
      <c r="I55" s="241">
        <v>0.185</v>
      </c>
      <c r="J55" s="253">
        <f t="shared" ca="1" si="38"/>
        <v>36.268292682926827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57" x14ac:dyDescent="0.3">
      <c r="I56" s="241">
        <v>0.34399999999999997</v>
      </c>
      <c r="J56" s="253">
        <f t="shared" ca="1" si="38"/>
        <v>21.759999999999998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57" ht="15" thickBot="1" x14ac:dyDescent="0.35">
      <c r="I57" s="245">
        <v>0.5</v>
      </c>
      <c r="J57" s="257">
        <f t="shared" ca="1" si="38"/>
        <v>12.399999999999995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57" x14ac:dyDescent="0.3">
      <c r="V58" s="45"/>
      <c r="W58" s="45"/>
      <c r="X58" s="196"/>
      <c r="Y58" s="45"/>
    </row>
    <row r="59" spans="1:57" x14ac:dyDescent="0.3">
      <c r="W59" s="45"/>
      <c r="X59" s="196"/>
      <c r="Y59" s="45"/>
    </row>
    <row r="60" spans="1:57" x14ac:dyDescent="0.3">
      <c r="W60" s="45"/>
      <c r="X60" s="149"/>
      <c r="Y60" s="45"/>
    </row>
    <row r="61" spans="1:57" x14ac:dyDescent="0.3">
      <c r="W61" s="45"/>
      <c r="X61" s="149"/>
      <c r="Y61" s="45"/>
    </row>
    <row r="62" spans="1:57" x14ac:dyDescent="0.3">
      <c r="W62" s="45"/>
      <c r="X62" s="149"/>
      <c r="Y62" s="45"/>
    </row>
    <row r="63" spans="1:57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3320312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Ardx_Turnx_ESCx_Gxb_Txa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2017-01-15T22:31:58Z</dcterms:modified>
</cp:coreProperties>
</file>